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<sst xmlns="http://schemas.openxmlformats.org/spreadsheetml/2006/main" count="4376" uniqueCount="1529">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</sst>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E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N1" s="601"/>
      <c r="AW1" t="inlineStr">
        <is>
          <t>⚙ リスク設定（AX列を変更）</t>
        </is>
      </c>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N2" s="488" t="s">
        <v>1361</v>
      </c>
      <c r="AW2" t="inlineStr">
        <is>
          <t>損切幅</t>
        </is>
      </c>
      <c r="AX2">
        <v>0.03</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t="inlineStr">
        <is>
          <t>売却日★実約定を手入力</t>
        </is>
      </c>
      <c r="U3" t="inlineStr">
        <is>
          <t>売却価格★実約定を手入力</t>
        </is>
      </c>
      <c r="V3" s="442" t="s">
        <v>799</v>
      </c>
      <c r="W3" s="442" t="s">
        <v>652</v>
      </c>
      <c r="X3" s="442" t="s">
        <v>716</v>
      </c>
      <c r="Y3" t="inlineStr">
        <is>
          <t>重複警告</t>
        </is>
      </c>
      <c r="Z3" s="604" t="s">
        <v>537</v>
      </c>
      <c r="AA3" s="604" t="s">
        <v>538</v>
      </c>
      <c r="AB3" t="inlineStr">
        <is>
          <t>推奨株数</t>
        </is>
      </c>
      <c r="AC3" t="inlineStr">
        <is>
          <t>実質損益(手数料後)</t>
        </is>
      </c>
      <c r="AD3" s="606" t="s">
        <v>1259</v>
      </c>
      <c r="AE3" s="606" t="s">
        <v>1260</v>
      </c>
      <c r="AF3" s="606" t="s">
        <v>1261</v>
      </c>
      <c r="AG3" s="606" t="s">
        <v>1262</v>
      </c>
      <c r="AH3" s="606" t="s">
        <v>860</v>
      </c>
      <c r="AI3" s="606" t="s">
        <v>1263</v>
      </c>
      <c r="AJ3" s="606" t="s">
        <v>1264</v>
      </c>
      <c r="AK3" s="606" t="s">
        <v>1265</v>
      </c>
      <c r="AN3" s="654" t="s">
        <v>1259</v>
      </c>
      <c r="AO3" s="655" t="s">
        <v>1282</v>
      </c>
      <c r="AP3" s="655" t="s">
        <v>1283</v>
      </c>
      <c r="AQ3" s="655" t="s">
        <v>1362</v>
      </c>
      <c r="AR3" s="655" t="s">
        <v>1167</v>
      </c>
      <c r="AS3" s="655" t="s">
        <v>1284</v>
      </c>
      <c r="AT3" s="656" t="s">
        <v>1285</v>
      </c>
      <c r="AW3" t="inlineStr">
        <is>
          <t>利確幅</t>
        </is>
      </c>
      <c r="AX3">
        <v>0.08</v>
      </c>
      <c r="BB3" s="607" t="s">
        <v>1319</v>
      </c>
      <c r="BC3" s="607" t="s">
        <v>1320</v>
      </c>
      <c r="BE3" s="601"/>
    </row>
    <row r="4" spans="1:57" ht="35.4" customHeight="1">
      <c r="A4" s="619" t="str">
        <f>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IF(OR(F4="",G4="",H4=""),"",IF(C4="売",(F4-H4)*G4,(H4-F4)*G4))</f>
        <v>-10350</v>
      </c>
      <c r="L4" s="705">
        <f>IF(OR(F4="",H4=""),"",IF(C4="売",(F4-H4)/F4,(H4-F4)/F4))</f>
        <v>-4.142485491294777E-2</v>
      </c>
      <c r="M4" s="485">
        <f>IF($F4="","",IF($C4="売",CEILING($F4*IF($C4="売",1-$AX$3,1+$AX$3),IF($F4*IF($C4="売",1-$AX$3,1+$AX$3)&lt;=3000,1,IF($F4*IF($C4="売",1-$AX$3,1+$AX$3)&lt;=5000,5,IF($F4*IF($C4="売",1-$AX$3,1+$AX$3)&lt;=30000,10,IF($F4*IF($C4="売",1-$AX$3,1+$AX$3)&lt;=50000,50,IF($F4*IF($C4="売",1-$AX$3,1+$AX$3)&lt;=300000,100,500)))))),FLOOR($F4*IF($C4="売",1-$AX$3,1+$AX$3),IF($F4*IF($C4="売",1-$AX$3,1+$AX$3)&lt;=3000,1,IF($F4*IF($C4="売",1-$AX$3,1+$AX$3)&lt;=5000,5,IF($F4*IF($C4="売",1-$AX$3,1+$AX$3)&lt;=30000,10,IF($F4*IF($C4="売",1-$AX$3,1+$AX$3)&lt;=50000,50,IF($F4*IF($C4="売",1-$AX$3,1+$AX$3)&lt;=300000,100,500))))))))</f>
      </c>
      <c r="N4" s="485">
        <f>IF($F4="","",IF($C4="売",CEILING($F4*IF($C4="売",1+$AX$2,1-$AX$2),IF($F4*IF($C4="売",1+$AX$2,1-$AX$2)&lt;=3000,1,IF($F4*IF($C4="売",1+$AX$2,1-$AX$2)&lt;=5000,5,IF($F4*IF($C4="売",1+$AX$2,1-$AX$2)&lt;=30000,10,IF($F4*IF($C4="売",1+$AX$2,1-$AX$2)&lt;=50000,50,IF($F4*IF($C4="売",1+$AX$2,1-$AX$2)&lt;=300000,100,500)))))),FLOOR($F4*IF($C4="売",1+$AX$2,1-$AX$2),IF($F4*IF($C4="売",1+$AX$2,1-$AX$2)&lt;=3000,1,IF($F4*IF($C4="売",1+$AX$2,1-$AX$2)&lt;=5000,5,IF($F4*IF($C4="売",1+$AX$2,1-$AX$2)&lt;=30000,10,IF($F4*IF($C4="売",1+$AX$2,1-$AX$2)&lt;=50000,50,IF($F4*IF($C4="売",1+$AX$2,1-$AX$2)&lt;=300000,100,500))))))))</f>
      </c>
      <c r="O4" s="486" t="str">
        <f>IF(OR($B4="",$F4="",$H4=""),"",IF($S4="✅売却済","―決済済―",IF($C4="売",IF($H4&lt;=$M4,"🟢利確",IF(AND($R4&lt;&gt;"",$H4&gt;=$R4),"🟠TRAIL決済",IF($H4&gt;=$N4,"🔴損切",IF($W4&gt;=$AX$5,"⏱時間決済",IF($H4&gt;=$F4*(1+$AX$2*0.7),"⚠️損切接近","保持継続"))))),IF($H4&gt;=$M4,"🟢利確",IF(AND($R4&lt;&gt;"",$H4&lt;=$R4),"🟠TRAIL決済",IF($H4&lt;=$N4,"🔴損切",IF($W4&gt;=$AX$5,"⏱時間決済",IF($H4&lt;=$F4*(1-$AX$2*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IF($H4&gt;$F4*(1-$AX$2),$N4,CEILING(MIN($N4,IF($Q4="",$N4,$Q4*1.03)),IF($N4&lt;=3000,1,IF($N4&lt;=5000,5,IF($N4&lt;=30000,10,IF($N4&lt;=50000,50,IF($N4&lt;=300000,100,500))))))),IF($H4&lt;$F4*(1+$AX$2),$N4,FLOOR(MAX($N4,IF($P4="",$N4,$P4*0.97)),IF($N4&lt;=3000,1,IF($N4&lt;=5000,5,IF($N4&lt;=30000,10,IF($N4&lt;=50000,50,IF($N4&lt;=300000,100,500))))))))))</f>
      </c>
      <c r="S4" s="585" t="str">
        <f>IF(B4="","",IF(T4&lt;&gt;"","✅売却済",IF(OR(H4="",L4=""),"📌保有中",IF(L4&gt;=0.06,"🟢利確推奨",IF(L4&gt;=0.05,"🟡利確直近",IF(L4&gt;=0.045,"🔵トレーリング検討",IF(L4&gt;-0.03,"📌保有中",IF(L4&gt;-0.04,"⚠️損切注意","🔴損切り"))))))))</f>
        <v>✅売却済</v>
      </c>
      <c r="T4" s="593">
        <v>46234</v>
      </c>
      <c r="U4" s="485">
        <v>2399</v>
      </c>
      <c r="V4" s="700">
        <f>IF(OR(F4="",G4="",U4=""),"",IF(C4="売",(F4-U4)*G4,(U4-F4)*G4))</f>
        <v>-9950</v>
      </c>
      <c r="W4" s="487">
        <f ca="1">IF(OR($E4="",$B4=""),"",IF($T4&lt;&gt;"",$T4-$E4,TODAY()-$E4)+1)</f>
        <v>5</v>
      </c>
      <c r="X4" s="484" t="str">
        <f ca="1">IF(OR($AH4="",$AH4="保有中"),"",$AH4)</f>
        <v>損切確定</v>
      </c>
      <c r="Y4" s="488">
        <f>IF($B4="","",IF(COUNTIFS($B$4:$B4,$B4,$C$4:$C4,$C4)&gt;1,"⛔重複"&amp;COUNTIFS($B$4:$B4,$B4,$C$4:$C4,$C4)&amp;"回目",""))</f>
      </c>
      <c r="Z4" s="710" t="s">
        <v>1268</v>
      </c>
      <c r="AA4" s="600" t="s">
        <v>1269</v>
      </c>
      <c r="AB4">
        <f>IF($F4="","",MAX(100,ROUNDDOWN($AX$4/($F4*$AX$2)/100,0)*100))</f>
      </c>
      <c r="AC4">
        <f>IF(OR($F4="",$G4="",$U4=""),"",ROUND($V4-($F4+$U4)*$G4*$AX$6-IF($C4="売",$F4*$G4*$AX$7*$W4/365,0),0))</f>
      </c>
      <c r="AD4" s="608" t="s">
        <v>1267</v>
      </c>
      <c r="AE4" s="624">
        <f>IF($E4="","",WORKDAY($E4,12))</f>
        <v>46246</v>
      </c>
      <c r="AF4" s="626"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26"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46234</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IFERROR(INDEX(始値!$E$6:$BT$305,MATCH(TEXT($B4,"0"),TEXT(銘柄管理!$B$6:$B$305,"0"),0),MATCH($AE4,始値!$E$3:$BT$3,0)),"")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AW4" t="inlineStr">
        <is>
          <t>1回の許容損失額(円)</t>
        </is>
      </c>
      <c r="AX4">
        <v>20000</v>
      </c>
      <c r="BB4" s="600">
        <f>IF(N(買抽出v13!$C4)=0,"",N(買抽出v13!$Q4)+N(買抽出v13!$L4)/1000-ROW()/1000000)</f>
        <v>18.002396000000001</v>
      </c>
      <c r="BC4" s="600">
        <f>IF(N(売抽出v13!$C4)=0,"",N(売抽出v13!$Q4)+IFERROR(VALUE(SUBSTITUTE(売抽出v13!$L4,"倍","")),0)/1000-ROW()/1000000)</f>
        <v>13.001965999999999</v>
      </c>
      <c r="BE4" s="601"/>
    </row>
    <row r="5" spans="1:55" ht="35.4" customHeight="1">
      <c r="A5" s="619" t="str">
        <f>IF(B5="","",HYPERLINK("https://kabutan.jp/stock/?code="&amp;B5,"株探"))</f>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IF(OR(F5="",G5="",H5=""),"",IF(C5="売",(F5-H5)*G5,(H5-F5)*G5))</f>
        <v>-1550</v>
      </c>
      <c r="L5" s="705">
        <f>IF(OR(F5="",H5=""),"",IF(C5="売",(F5-H5)/F5,(H5-F5)/F5))</f>
        <v>-1.2916666666666667E-2</v>
      </c>
      <c r="M5" s="485">
        <f>IF($F5="","",IF($C5="売",CEILING($F5*IF($C5="売",1-$AX$3,1+$AX$3),IF($F5*IF($C5="売",1-$AX$3,1+$AX$3)&lt;=3000,1,IF($F5*IF($C5="売",1-$AX$3,1+$AX$3)&lt;=5000,5,IF($F5*IF($C5="売",1-$AX$3,1+$AX$3)&lt;=30000,10,IF($F5*IF($C5="売",1-$AX$3,1+$AX$3)&lt;=50000,50,IF($F5*IF($C5="売",1-$AX$3,1+$AX$3)&lt;=300000,100,500)))))),FLOOR($F5*IF($C5="売",1-$AX$3,1+$AX$3),IF($F5*IF($C5="売",1-$AX$3,1+$AX$3)&lt;=3000,1,IF($F5*IF($C5="売",1-$AX$3,1+$AX$3)&lt;=5000,5,IF($F5*IF($C5="売",1-$AX$3,1+$AX$3)&lt;=30000,10,IF($F5*IF($C5="売",1-$AX$3,1+$AX$3)&lt;=50000,50,IF($F5*IF($C5="売",1-$AX$3,1+$AX$3)&lt;=300000,100,500))))))))</f>
      </c>
      <c r="N5" s="485">
        <f>IF($F5="","",IF($C5="売",CEILING($F5*IF($C5="売",1+$AX$2,1-$AX$2),IF($F5*IF($C5="売",1+$AX$2,1-$AX$2)&lt;=3000,1,IF($F5*IF($C5="売",1+$AX$2,1-$AX$2)&lt;=5000,5,IF($F5*IF($C5="売",1+$AX$2,1-$AX$2)&lt;=30000,10,IF($F5*IF($C5="売",1+$AX$2,1-$AX$2)&lt;=50000,50,IF($F5*IF($C5="売",1+$AX$2,1-$AX$2)&lt;=300000,100,500)))))),FLOOR($F5*IF($C5="売",1+$AX$2,1-$AX$2),IF($F5*IF($C5="売",1+$AX$2,1-$AX$2)&lt;=3000,1,IF($F5*IF($C5="売",1+$AX$2,1-$AX$2)&lt;=5000,5,IF($F5*IF($C5="売",1+$AX$2,1-$AX$2)&lt;=30000,10,IF($F5*IF($C5="売",1+$AX$2,1-$AX$2)&lt;=50000,50,IF($F5*IF($C5="売",1+$AX$2,1-$AX$2)&lt;=300000,100,500))))))))</f>
      </c>
      <c r="O5" s="486" t="str">
        <f>IF(OR($B5="",$F5="",$H5=""),"",IF($S5="✅売却済","―決済済―",IF($C5="売",IF($H5&lt;=$M5,"🟢利確",IF(AND($R5&lt;&gt;"",$H5&gt;=$R5),"🟠TRAIL決済",IF($H5&gt;=$N5,"🔴損切",IF($W5&gt;=$AX$5,"⏱時間決済",IF($H5&gt;=$F5*(1+$AX$2*0.7),"⚠️損切接近","保持継続"))))),IF($H5&gt;=$M5,"🟢利確",IF(AND($R5&lt;&gt;"",$H5&lt;=$R5),"🟠TRAIL決済",IF($H5&lt;=$N5,"🔴損切",IF($W5&gt;=$AX$5,"⏱時間決済",IF($H5&lt;=$F5*(1-$AX$2*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IF($H5&gt;$F5*(1-$AX$2),$N5,CEILING(MIN($N5,IF($Q5="",$N5,$Q5*1.03)),IF($N5&lt;=3000,1,IF($N5&lt;=5000,5,IF($N5&lt;=30000,10,IF($N5&lt;=50000,50,IF($N5&lt;=300000,100,500))))))),IF($H5&lt;$F5*(1+$AX$2),$N5,FLOOR(MAX($N5,IF($P5="",$N5,$P5*0.97)),IF($N5&lt;=3000,1,IF($N5&lt;=5000,5,IF($N5&lt;=30000,10,IF($N5&lt;=50000,50,IF($N5&lt;=300000,100,500))))))))))</f>
      </c>
      <c r="S5" s="585" t="str">
        <f>IF(B5="","",IF(T5&lt;&gt;"","✅売却済",IF(OR(H5="",L5=""),"📌保有中",IF(L5&gt;=0.06,"🟢利確推奨",IF(L5&gt;=0.05,"🟡利確直近",IF(L5&gt;=0.045,"🔵トレーリング検討",IF(L5&gt;-0.03,"📌保有中",IF(L5&gt;-0.04,"⚠️損切注意","🔴損切り"))))))))</f>
        <v>✅売却済</v>
      </c>
      <c r="T5" s="593">
        <v>46232</v>
      </c>
      <c r="U5" s="485">
        <v>1152</v>
      </c>
      <c r="V5" s="700">
        <f>IF(OR(F5="",G5="",U5=""),"",IF(C5="売",(F5-U5)*G5,(U5-F5)*G5))</f>
        <v>-4800</v>
      </c>
      <c r="W5" s="487">
        <f>IF(OR($E5="",$B5=""),"",IF($T5&lt;&gt;"",$T5-$E5,TODAY()-$E5)+1)</f>
        <v>3</v>
      </c>
      <c r="X5" s="484" t="str">
        <f>IF(OR($AH5="",$AH5="保有中"),"",$AH5)</f>
        <v>損切確定</v>
      </c>
      <c r="Y5" s="488">
        <f>IF($B5="","",IF(COUNTIFS($B$4:$B5,$B5,$C$4:$C5,$C5)&gt;1,"⛔重複"&amp;COUNTIFS($B$4:$B5,$B5,$C$4:$C5,$C5)&amp;"回目",""))</f>
      </c>
      <c r="Z5" s="710" t="s">
        <v>1271</v>
      </c>
      <c r="AA5" s="600" t="s">
        <v>1272</v>
      </c>
      <c r="AB5">
        <f>IF($F5="","",MAX(100,ROUNDDOWN($AX$4/($F5*$AX$2)/100,0)*100))</f>
      </c>
      <c r="AC5">
        <f>IF(OR($F5="",$G5="",$U5=""),"",ROUND($V5-($F5+$U5)*$G5*$AX$6-IF($C5="売",$F5*$G5*$AX$7*$W5/365,0),0))</f>
      </c>
      <c r="AD5" s="608" t="s">
        <v>1270</v>
      </c>
      <c r="AE5" s="624">
        <f>IF($E5="","",WORKDAY($E5,12))</f>
        <v>46246</v>
      </c>
      <c r="AF5" s="626"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26"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46232</v>
      </c>
      <c r="AH5" s="600" t="str">
        <f>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IFERROR(INDEX(始値!$E$6:$BT$305,MATCH(TEXT($B5,"0"),TEXT(銘柄管理!$B$6:$B$305,"0"),0),MATCH($AE5,始値!$E$3:$BT$3,0)),"")</f>
        <v/>
      </c>
      <c r="AJ5" s="905">
        <f>IF(OR($V5="",$F5="",$G5=""),"",$V5/($F5*$G5))</f>
        <v>-0.04</v>
      </c>
      <c r="AK5" s="629" t="str">
        <f>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AW5" t="inlineStr">
        <is>
          <t>時間決済(営業日)</t>
        </is>
      </c>
      <c r="AX5">
        <v>3</v>
      </c>
      <c r="BB5" s="600">
        <f>IF(N(買抽出v13!$C5)=0,"",N(買抽出v13!$Q5)+N(買抽出v13!$L5)/1000-ROW()/1000000)</f>
        <v>17.001594999999998</v>
      </c>
      <c r="BC5" s="600">
        <f>IF(N(売抽出v13!$C5)=0,"",N(売抽出v13!$Q5)+IFERROR(VALUE(SUBSTITUTE(売抽出v13!$L5,"倍","")),0)/1000-ROW()/1000000)</f>
        <v>13.002995</v>
      </c>
    </row>
    <row r="6" spans="1:55" ht="35.4" customHeight="1">
      <c r="A6" s="619" t="str">
        <f>IF(B6="","",HYPERLINK("https://kabutan.jp/stock/?code="&amp;B6,"株探"))</f>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IF(OR(F6="",G6="",H6=""),"",IF(C6="売",(F6-H6)*G6,(H6-F6)*G6))</f>
        <v>6200</v>
      </c>
      <c r="L6" s="705">
        <f>IF(OR(F6="",H6=""),"",IF(C6="売",(F6-H6)/F6,(H6-F6)/F6))</f>
        <v>3.994845360824742E-2</v>
      </c>
      <c r="M6" s="485">
        <f>IF($F6="","",IF($C6="売",CEILING($F6*IF($C6="売",1-$AX$3,1+$AX$3),IF($F6*IF($C6="売",1-$AX$3,1+$AX$3)&lt;=3000,1,IF($F6*IF($C6="売",1-$AX$3,1+$AX$3)&lt;=5000,5,IF($F6*IF($C6="売",1-$AX$3,1+$AX$3)&lt;=30000,10,IF($F6*IF($C6="売",1-$AX$3,1+$AX$3)&lt;=50000,50,IF($F6*IF($C6="売",1-$AX$3,1+$AX$3)&lt;=300000,100,500)))))),FLOOR($F6*IF($C6="売",1-$AX$3,1+$AX$3),IF($F6*IF($C6="売",1-$AX$3,1+$AX$3)&lt;=3000,1,IF($F6*IF($C6="売",1-$AX$3,1+$AX$3)&lt;=5000,5,IF($F6*IF($C6="売",1-$AX$3,1+$AX$3)&lt;=30000,10,IF($F6*IF($C6="売",1-$AX$3,1+$AX$3)&lt;=50000,50,IF($F6*IF($C6="売",1-$AX$3,1+$AX$3)&lt;=300000,100,500))))))))</f>
      </c>
      <c r="N6" s="485">
        <f>IF($F6="","",IF($C6="売",CEILING($F6*IF($C6="売",1+$AX$2,1-$AX$2),IF($F6*IF($C6="売",1+$AX$2,1-$AX$2)&lt;=3000,1,IF($F6*IF($C6="売",1+$AX$2,1-$AX$2)&lt;=5000,5,IF($F6*IF($C6="売",1+$AX$2,1-$AX$2)&lt;=30000,10,IF($F6*IF($C6="売",1+$AX$2,1-$AX$2)&lt;=50000,50,IF($F6*IF($C6="売",1+$AX$2,1-$AX$2)&lt;=300000,100,500)))))),FLOOR($F6*IF($C6="売",1+$AX$2,1-$AX$2),IF($F6*IF($C6="売",1+$AX$2,1-$AX$2)&lt;=3000,1,IF($F6*IF($C6="売",1+$AX$2,1-$AX$2)&lt;=5000,5,IF($F6*IF($C6="売",1+$AX$2,1-$AX$2)&lt;=30000,10,IF($F6*IF($C6="売",1+$AX$2,1-$AX$2)&lt;=50000,50,IF($F6*IF($C6="売",1+$AX$2,1-$AX$2)&lt;=300000,100,500))))))))</f>
      </c>
      <c r="O6" s="486" t="str">
        <f>IF(OR($B6="",$F6="",$H6=""),"",IF($S6="✅売却済","―決済済―",IF($C6="売",IF($H6&lt;=$M6,"🟢利確",IF(AND($R6&lt;&gt;"",$H6&gt;=$R6),"🟠TRAIL決済",IF($H6&gt;=$N6,"🔴損切",IF($W6&gt;=$AX$5,"⏱時間決済",IF($H6&gt;=$F6*(1+$AX$2*0.7),"⚠️損切接近","保持継続"))))),IF($H6&gt;=$M6,"🟢利確",IF(AND($R6&lt;&gt;"",$H6&lt;=$R6),"🟠TRAIL決済",IF($H6&lt;=$N6,"🔴損切",IF($W6&gt;=$AX$5,"⏱時間決済",IF($H6&lt;=$F6*(1-$AX$2*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IF($H6&gt;$F6*(1-$AX$2),$N6,CEILING(MIN($N6,IF($Q6="",$N6,$Q6*1.03)),IF($N6&lt;=3000,1,IF($N6&lt;=5000,5,IF($N6&lt;=30000,10,IF($N6&lt;=50000,50,IF($N6&lt;=300000,100,500))))))),IF($H6&lt;$F6*(1+$AX$2),$N6,FLOOR(MAX($N6,IF($P6="",$N6,$P6*0.97)),IF($N6&lt;=3000,1,IF($N6&lt;=5000,5,IF($N6&lt;=30000,10,IF($N6&lt;=50000,50,IF($N6&lt;=300000,100,500))))))))))</f>
      </c>
      <c r="S6" s="585" t="str">
        <f>IF(B6="","",IF(T6&lt;&gt;"","✅売却済",IF(OR(H6="",L6=""),"📌保有中",IF(L6&gt;=0.06,"🟢利確推奨",IF(L6&gt;=0.05,"🟡利確直近",IF(L6&gt;=0.045,"🔵トレーリング検討",IF(L6&gt;-0.03,"📌保有中",IF(L6&gt;-0.04,"⚠️損切注意","🔴損切り"))))))))</f>
        <v>✅売却済</v>
      </c>
      <c r="T6" s="593">
        <v>46231</v>
      </c>
      <c r="U6" s="485">
        <v>1490</v>
      </c>
      <c r="V6" s="700">
        <f>IF(OR(F6="",G6="",U6=""),"",IF(C6="売",(F6-U6)*G6,(U6-F6)*G6))</f>
        <v>-6200</v>
      </c>
      <c r="W6" s="487">
        <f>IF(OR($E6="",$B6=""),"",IF($T6&lt;&gt;"",$T6-$E6,TODAY()-$E6)+1)</f>
        <v>2</v>
      </c>
      <c r="X6" s="484" t="str">
        <f>IF(OR($AH6="",$AH6="保有中"),"",$AH6)</f>
        <v>損切確定</v>
      </c>
      <c r="Y6" s="488">
        <f>IF($B6="","",IF(COUNTIFS($B$4:$B6,$B6,$C$4:$C6,$C6)&gt;1,"⛔重複"&amp;COUNTIFS($B$4:$B6,$B6,$C$4:$C6,$C6)&amp;"回目",""))</f>
      </c>
      <c r="Z6" s="710" t="s">
        <v>1274</v>
      </c>
      <c r="AA6" s="600" t="s">
        <v>1275</v>
      </c>
      <c r="AB6">
        <f>IF($F6="","",MAX(100,ROUNDDOWN($AX$4/($F6*$AX$2)/100,0)*100))</f>
      </c>
      <c r="AC6">
        <f>IF(OR($F6="",$G6="",$U6=""),"",ROUND($V6-($F6+$U6)*$G6*$AX$6-IF($C6="売",$F6*$G6*$AX$7*$W6/365,0),0))</f>
      </c>
      <c r="AD6" s="608" t="s">
        <v>1273</v>
      </c>
      <c r="AE6" s="624">
        <f>IF($E6="","",WORKDAY($E6,12))</f>
        <v>46246</v>
      </c>
      <c r="AF6" s="626"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26"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00" t="str">
        <f>IF(OR($B6="",$M6=""),"",IF(AND(N($AF6)=0,N($AG6)=0),IF(AND(ISNUMBER($H6),$H6&gt;0,IF($C6="売",$H6&gt;=$N6,$H6&lt;=$N6)),"損切確定",IF(AND(ISNUMBER($H6),$H6&gt;0,IF($C6="売",$H6&lt;=$M6,$H6&gt;=$M6)),"利益確定",IF($AE6&lt;=TODAY(),"日数制限","保有中"))),IF(N($AG6)=0,"利益確定",IF(N($AF6)=0,"損切確定",IF($AG6&lt;=$AF6,"損切確定","利益確定")))))</f>
        <v>損切確定</v>
      </c>
      <c r="AI6" s="600" t="str" cm="1">
        <f t="array" ref="AI6">IFERROR(INDEX(始値!$E$6:$BT$305,MATCH(TEXT($B6,"0"),TEXT(銘柄管理!$B$6:$B$305,"0"),0),MATCH($AE6,始値!$E$3:$BT$3,0)),"")</f>
        <v/>
      </c>
      <c r="AJ6" s="905">
        <f>IF(OR($V6="",$F6="",$G6=""),"",$V6/($F6*$G6))</f>
        <v>-3.994845360824742E-2</v>
      </c>
      <c r="AK6" s="629" t="str">
        <f>IF($V6="","",IF($V6&gt;0,"○勝",IF($V6&lt;0,"●負","△引分")))</f>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AW6" t="inlineStr">
        <is>
          <t>片道手数料率</t>
        </is>
      </c>
      <c r="AX6">
        <v>0.0005</v>
      </c>
      <c r="BB6" s="600">
        <f>IF(N(買抽出v13!$C6)=0,"",N(買抽出v13!$Q6)+N(買抽出v13!$L6)/1000-ROW()/1000000)</f>
        <v>15.001294</v>
      </c>
      <c r="BC6" s="600" t="str">
        <f>IF(N(売抽出v13!$C6)=0,"",N(売抽出v13!$Q6)+IFERROR(VALUE(SUBSTITUTE(売抽出v13!$L6,"倍","")),0)/1000-ROW()/1000000)</f>
        <v/>
      </c>
    </row>
    <row r="7" spans="1:55" ht="35.4" customHeight="1">
      <c r="A7" s="619" t="str">
        <f>IF(B7="","",HYPERLINK("https://kabutan.jp/stock/?code="&amp;B7,"株探"))</f>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IF(OR(F7="",G7="",H7=""),"",IF(C7="売",(F7-H7)*G7,(H7-F7)*G7))</f>
        <v>-459000</v>
      </c>
      <c r="L7" s="705">
        <f>IF(OR(F7="",H7=""),"",IF(C7="売",(F7-H7)/F7,(H7-F7)/F7))</f>
        <v>-8.0526315789473682E-2</v>
      </c>
      <c r="M7" s="485">
        <f>IF($F7="","",IF($C7="売",CEILING($F7*IF($C7="売",1-$AX$3,1+$AX$3),IF($F7*IF($C7="売",1-$AX$3,1+$AX$3)&lt;=3000,1,IF($F7*IF($C7="売",1-$AX$3,1+$AX$3)&lt;=5000,5,IF($F7*IF($C7="売",1-$AX$3,1+$AX$3)&lt;=30000,10,IF($F7*IF($C7="売",1-$AX$3,1+$AX$3)&lt;=50000,50,IF($F7*IF($C7="売",1-$AX$3,1+$AX$3)&lt;=300000,100,500)))))),FLOOR($F7*IF($C7="売",1-$AX$3,1+$AX$3),IF($F7*IF($C7="売",1-$AX$3,1+$AX$3)&lt;=3000,1,IF($F7*IF($C7="売",1-$AX$3,1+$AX$3)&lt;=5000,5,IF($F7*IF($C7="売",1-$AX$3,1+$AX$3)&lt;=30000,10,IF($F7*IF($C7="売",1-$AX$3,1+$AX$3)&lt;=50000,50,IF($F7*IF($C7="売",1-$AX$3,1+$AX$3)&lt;=300000,100,500))))))))</f>
      </c>
      <c r="N7" s="485">
        <f>IF($F7="","",IF($C7="売",CEILING($F7*IF($C7="売",1+$AX$2,1-$AX$2),IF($F7*IF($C7="売",1+$AX$2,1-$AX$2)&lt;=3000,1,IF($F7*IF($C7="売",1+$AX$2,1-$AX$2)&lt;=5000,5,IF($F7*IF($C7="売",1+$AX$2,1-$AX$2)&lt;=30000,10,IF($F7*IF($C7="売",1+$AX$2,1-$AX$2)&lt;=50000,50,IF($F7*IF($C7="売",1+$AX$2,1-$AX$2)&lt;=300000,100,500)))))),FLOOR($F7*IF($C7="売",1+$AX$2,1-$AX$2),IF($F7*IF($C7="売",1+$AX$2,1-$AX$2)&lt;=3000,1,IF($F7*IF($C7="売",1+$AX$2,1-$AX$2)&lt;=5000,5,IF($F7*IF($C7="売",1+$AX$2,1-$AX$2)&lt;=30000,10,IF($F7*IF($C7="売",1+$AX$2,1-$AX$2)&lt;=50000,50,IF($F7*IF($C7="売",1+$AX$2,1-$AX$2)&lt;=300000,100,500))))))))</f>
      </c>
      <c r="O7" s="486" t="str">
        <f>IF(OR($B7="",$F7="",$H7=""),"",IF($S7="✅売却済","―決済済―",IF($C7="売",IF($H7&lt;=$M7,"🟢利確",IF(AND($R7&lt;&gt;"",$H7&gt;=$R7),"🟠TRAIL決済",IF($H7&gt;=$N7,"🔴損切",IF($W7&gt;=$AX$5,"⏱時間決済",IF($H7&gt;=$F7*(1+$AX$2*0.7),"⚠️損切接近","保持継続"))))),IF($H7&gt;=$M7,"🟢利確",IF(AND($R7&lt;&gt;"",$H7&lt;=$R7),"🟠TRAIL決済",IF($H7&lt;=$N7,"🔴損切",IF($W7&gt;=$AX$5,"⏱時間決済",IF($H7&lt;=$F7*(1-$AX$2*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IF($H7&gt;$F7*(1-$AX$2),$N7,CEILING(MIN($N7,IF($Q7="",$N7,$Q7*1.03)),IF($N7&lt;=3000,1,IF($N7&lt;=5000,5,IF($N7&lt;=30000,10,IF($N7&lt;=50000,50,IF($N7&lt;=300000,100,500))))))),IF($H7&lt;$F7*(1+$AX$2),$N7,FLOOR(MAX($N7,IF($P7="",$N7,$P7*0.97)),IF($N7&lt;=3000,1,IF($N7&lt;=5000,5,IF($N7&lt;=30000,10,IF($N7&lt;=50000,50,IF($N7&lt;=300000,100,500))))))))))</f>
      </c>
      <c r="S7" s="585" t="str">
        <f>IF(B7="","",IF(T7&lt;&gt;"","✅売却済",IF(OR(H7="",L7=""),"📌保有中",IF(L7&gt;=0.06,"🟢利確推奨",IF(L7&gt;=0.05,"🟡利確直近",IF(L7&gt;=0.045,"🔵トレーリング検討",IF(L7&gt;-0.03,"📌保有中",IF(L7&gt;-0.04,"⚠️損切注意","🔴損切り"))))))))</f>
        <v>✅売却済</v>
      </c>
      <c r="T7" s="593">
        <v>46232</v>
      </c>
      <c r="U7" s="485">
        <v>53580</v>
      </c>
      <c r="V7" s="700">
        <f>IF(OR(F7="",G7="",U7=""),"",IF(C7="売",(F7-U7)*G7,(U7-F7)*G7))</f>
        <v>342000</v>
      </c>
      <c r="W7" s="487">
        <f>IF(OR($E7="",$B7=""),"",IF($T7&lt;&gt;"",$T7-$E7,TODAY()-$E7)+1)</f>
        <v>3</v>
      </c>
      <c r="X7" s="484" t="str">
        <f>IF(OR($AH7="",$AH7="保有中"),"",$AH7)</f>
        <v>利益確定</v>
      </c>
      <c r="Y7" s="494">
        <f>IF($B7="","",IF(COUNTIFS($B$4:$B7,$B7,$C$4:$C7,$C7)&gt;1,"⛔重複"&amp;COUNTIFS($B$4:$B7,$B7,$C$4:$C7,$C7)&amp;"回目",""))</f>
      </c>
      <c r="Z7" s="710" t="s">
        <v>1276</v>
      </c>
      <c r="AA7" s="600" t="s">
        <v>1277</v>
      </c>
      <c r="AB7">
        <f>IF($F7="","",MAX(100,ROUNDDOWN($AX$4/($F7*$AX$2)/100,0)*100))</f>
      </c>
      <c r="AC7">
        <f>IF(OR($F7="",$G7="",$U7=""),"",ROUND($V7-($F7+$U7)*$G7*$AX$6-IF($C7="売",$F7*$G7*$AX$7*$W7/365,0),0))</f>
      </c>
      <c r="AD7" s="608" t="s">
        <v>1267</v>
      </c>
      <c r="AE7" s="624">
        <f>IF($E7="","",WORKDAY($E7,12))</f>
        <v>46246</v>
      </c>
      <c r="AF7" s="626"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26"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46234</v>
      </c>
      <c r="AH7" s="600" t="str">
        <f>IF(OR($B7="",$M7=""),"",IF(AND(N($AF7)=0,N($AG7)=0),IF(AND(ISNUMBER($H7),$H7&gt;0,IF($C7="売",$H7&gt;=$N7,$H7&lt;=$N7)),"損切確定",IF(AND(ISNUMBER($H7),$H7&gt;0,IF($C7="売",$H7&lt;=$M7,$H7&gt;=$M7)),"利益確定",IF($AE7&lt;=TODAY(),"日数制限","保有中"))),IF(N($AG7)=0,"利益確定",IF(N($AF7)=0,"損切確定",IF($AG7&lt;=$AF7,"損切確定","利益確定")))))</f>
        <v>利益確定</v>
      </c>
      <c r="AI7" s="600" t="str" cm="1">
        <f t="array" ref="AI7">IFERROR(INDEX(始値!$E$6:$BT$305,MATCH(TEXT($B7,"0"),TEXT(銘柄管理!$B$6:$B$305,"0"),0),MATCH($AE7,始値!$E$3:$BT$3,0)),"")</f>
        <v/>
      </c>
      <c r="AJ7" s="905">
        <f>IF(OR($V7="",$F7="",$G7=""),"",$V7/($F7*$G7))</f>
        <v>0.06</v>
      </c>
      <c r="AK7" s="629" t="str">
        <f>IF($V7="","",IF($V7&gt;0,"○勝",IF($V7&lt;0,"●負","△引分")))</f>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AW7" t="inlineStr">
        <is>
          <t>貸株料(年率)</t>
        </is>
      </c>
      <c r="AX7">
        <v>0.0115</v>
      </c>
      <c r="BB7" s="600">
        <f>IF(N(買抽出v13!$C7)=0,"",N(買抽出v13!$Q7)+N(買抽出v13!$L7)/1000-ROW()/1000000)</f>
        <v>15.000893</v>
      </c>
      <c r="BC7" s="600" t="str">
        <f>IF(N(売抽出v13!$C7)=0,"",N(売抽出v13!$Q7)+IFERROR(VALUE(SUBSTITUTE(売抽出v13!$L7,"倍","")),0)/1000-ROW()/1000000)</f>
        <v/>
      </c>
    </row>
    <row r="8" spans="1:55" ht="35.4" customHeight="1" thickBot="1">
      <c r="A8" s="619" t="str">
        <f>IF(B8="","",HYPERLINK("https://kabutan.jp/stock/?code="&amp;B8,"株探"))</f>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IF(OR(F8="",G8="",H8=""),"",IF(C8="売",(F8-H8)*G8,(H8-F8)*G8))</f>
        <v>3300</v>
      </c>
      <c r="L8" s="705">
        <f>IF(OR(F8="",H8=""),"",IF(C8="売",(F8-H8)/F8,(H8-F8)/F8))</f>
        <v>4.3363994743758211E-2</v>
      </c>
      <c r="M8" s="485">
        <f>IF($F8="","",IF($C8="売",CEILING($F8*IF($C8="売",1-$AX$3,1+$AX$3),IF($F8*IF($C8="売",1-$AX$3,1+$AX$3)&lt;=3000,1,IF($F8*IF($C8="売",1-$AX$3,1+$AX$3)&lt;=5000,5,IF($F8*IF($C8="売",1-$AX$3,1+$AX$3)&lt;=30000,10,IF($F8*IF($C8="売",1-$AX$3,1+$AX$3)&lt;=50000,50,IF($F8*IF($C8="売",1-$AX$3,1+$AX$3)&lt;=300000,100,500)))))),FLOOR($F8*IF($C8="売",1-$AX$3,1+$AX$3),IF($F8*IF($C8="売",1-$AX$3,1+$AX$3)&lt;=3000,1,IF($F8*IF($C8="売",1-$AX$3,1+$AX$3)&lt;=5000,5,IF($F8*IF($C8="売",1-$AX$3,1+$AX$3)&lt;=30000,10,IF($F8*IF($C8="売",1-$AX$3,1+$AX$3)&lt;=50000,50,IF($F8*IF($C8="売",1-$AX$3,1+$AX$3)&lt;=300000,100,500))))))))</f>
      </c>
      <c r="N8" s="485">
        <f>IF($F8="","",IF($C8="売",CEILING($F8*IF($C8="売",1+$AX$2,1-$AX$2),IF($F8*IF($C8="売",1+$AX$2,1-$AX$2)&lt;=3000,1,IF($F8*IF($C8="売",1+$AX$2,1-$AX$2)&lt;=5000,5,IF($F8*IF($C8="売",1+$AX$2,1-$AX$2)&lt;=30000,10,IF($F8*IF($C8="売",1+$AX$2,1-$AX$2)&lt;=50000,50,IF($F8*IF($C8="売",1+$AX$2,1-$AX$2)&lt;=300000,100,500)))))),FLOOR($F8*IF($C8="売",1+$AX$2,1-$AX$2),IF($F8*IF($C8="売",1+$AX$2,1-$AX$2)&lt;=3000,1,IF($F8*IF($C8="売",1+$AX$2,1-$AX$2)&lt;=5000,5,IF($F8*IF($C8="売",1+$AX$2,1-$AX$2)&lt;=30000,10,IF($F8*IF($C8="売",1+$AX$2,1-$AX$2)&lt;=50000,50,IF($F8*IF($C8="売",1+$AX$2,1-$AX$2)&lt;=300000,100,500))))))))</f>
      </c>
      <c r="O8" s="486" t="str">
        <f>IF(OR($B8="",$F8="",$H8=""),"",IF($S8="✅売却済","―決済済―",IF($C8="売",IF($H8&lt;=$M8,"🟢利確",IF(AND($R8&lt;&gt;"",$H8&gt;=$R8),"🟠TRAIL決済",IF($H8&gt;=$N8,"🔴損切",IF($W8&gt;=$AX$5,"⏱時間決済",IF($H8&gt;=$F8*(1+$AX$2*0.7),"⚠️損切接近","保持継続"))))),IF($H8&gt;=$M8,"🟢利確",IF(AND($R8&lt;&gt;"",$H8&lt;=$R8),"🟠TRAIL決済",IF($H8&lt;=$N8,"🔴損切",IF($W8&gt;=$AX$5,"⏱時間決済",IF($H8&lt;=$F8*(1-$AX$2*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IF($H8&gt;$F8*(1-$AX$2),$N8,CEILING(MIN($N8,IF($Q8="",$N8,$Q8*1.03)),IF($N8&lt;=3000,1,IF($N8&lt;=5000,5,IF($N8&lt;=30000,10,IF($N8&lt;=50000,50,IF($N8&lt;=300000,100,500))))))),IF($H8&lt;$F8*(1+$AX$2),$N8,FLOOR(MAX($N8,IF($P8="",$N8,$P8*0.97)),IF($N8&lt;=3000,1,IF($N8&lt;=5000,5,IF($N8&lt;=30000,10,IF($N8&lt;=50000,50,IF($N8&lt;=300000,100,500))))))))))</f>
      </c>
      <c r="S8" s="585" t="str">
        <f>IF(B8="","",IF(T8&lt;&gt;"","✅売却済",IF(OR(H8="",L8=""),"📌保有中",IF(L8&gt;=0.06,"🟢利確推奨",IF(L8&gt;=0.05,"🟡利確直近",IF(L8&gt;=0.045,"🔵トレーリング検討",IF(L8&gt;-0.03,"📌保有中",IF(L8&gt;-0.04,"⚠️損切注意","🔴損切り"))))))))</f>
        <v>✅売却済</v>
      </c>
      <c r="T8" s="593">
        <v>46232</v>
      </c>
      <c r="U8" s="485">
        <v>715</v>
      </c>
      <c r="V8" s="700">
        <f>IF(OR(F8="",G8="",U8=""),"",IF(C8="売",(F8-U8)*G8,(U8-F8)*G8))</f>
        <v>4600</v>
      </c>
      <c r="W8" s="487">
        <f>IF(OR($E8="",$B8=""),"",IF($T8&lt;&gt;"",$T8-$E8,TODAY()-$E8)+1)</f>
        <v>3</v>
      </c>
      <c r="X8" s="484" t="str">
        <f>IF(OR($AH8="",$AH8="保有中"),"",$AH8)</f>
        <v>利益確定</v>
      </c>
      <c r="Y8" s="488">
        <f>IF($B8="","",IF(COUNTIFS($B$4:$B8,$B8,$C$4:$C8,$C8)&gt;1,"⛔重複"&amp;COUNTIFS($B$4:$B8,$B8,$C$4:$C8,$C8)&amp;"回目",""))</f>
      </c>
      <c r="Z8" s="710" t="s">
        <v>1278</v>
      </c>
      <c r="AA8" s="600" t="s">
        <v>1279</v>
      </c>
      <c r="AB8">
        <f>IF($F8="","",MAX(100,ROUNDDOWN($AX$4/($F8*$AX$2)/100,0)*100))</f>
      </c>
      <c r="AC8">
        <f>IF(OR($F8="",$G8="",$U8=""),"",ROUND($V8-($F8+$U8)*$G8*$AX$6-IF($C8="売",$F8*$G8*$AX$7*$W8/365,0),0))</f>
      </c>
      <c r="AD8" s="608" t="s">
        <v>1270</v>
      </c>
      <c r="AE8" s="624">
        <f>IF($E8="","",WORKDAY($E8,12))</f>
        <v>46246</v>
      </c>
      <c r="AF8" s="626"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26"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0" t="str">
        <f>IF(OR($B8="",$M8=""),"",IF(AND(N($AF8)=0,N($AG8)=0),IF(AND(ISNUMBER($H8),$H8&gt;0,IF($C8="売",$H8&gt;=$N8,$H8&lt;=$N8)),"損切確定",IF(AND(ISNUMBER($H8),$H8&gt;0,IF($C8="売",$H8&lt;=$M8,$H8&gt;=$M8)),"利益確定",IF($AE8&lt;=TODAY(),"日数制限","保有中"))),IF(N($AG8)=0,"利益確定",IF(N($AF8)=0,"損切確定",IF($AG8&lt;=$AF8,"損切確定","利益確定")))))</f>
        <v>利益確定</v>
      </c>
      <c r="AI8" s="600" t="str" cm="1">
        <f t="array" ref="AI8">IFERROR(INDEX(始値!$E$6:$BT$305,MATCH(TEXT($B8,"0"),TEXT(銘柄管理!$B$6:$B$305,"0"),0),MATCH($AE8,始値!$E$3:$BT$3,0)),"")</f>
        <v/>
      </c>
      <c r="AJ8" s="905">
        <f>IF(OR($V8="",$F8="",$G8=""),"",$V8/($F8*$G8))</f>
        <v>6.0446780551905388E-2</v>
      </c>
      <c r="AK8" s="629" t="str">
        <f>IF($V8="","",IF($V8&gt;0,"○勝",IF($V8&lt;0,"●負","△引分")))</f>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5" ht="35.4" customHeight="1" thickTop="1">
      <c r="A9" s="619" t="str">
        <f>IF(B9="","",HYPERLINK("https://kabutan.jp/stock/?code="&amp;B9,"株探"))</f>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453</v>
      </c>
      <c r="I9" s="485" cm="1">
        <f t="array" ref="I9">_xll.RssMarket(B9, "出来高加重平均")</f>
        <v>458.88</v>
      </c>
      <c r="J9" s="700" cm="1">
        <f t="array" ref="J9">_xll.RssMarket($B9, "前日比")</f>
        <v>-22</v>
      </c>
      <c r="K9" s="700">
        <f>IF(OR(F9="",G9="",H9=""),"",IF(C9="売",(F9-H9)*G9,(H9-F9)*G9))</f>
        <v>-1000</v>
      </c>
      <c r="L9" s="705">
        <f>IF(OR(F9="",H9=""),"",IF(C9="売",(F9-H9)/F9,(H9-F9)/F9))</f>
        <v>-2.2573363431151242E-2</v>
      </c>
      <c r="M9" s="485">
        <f>IF($F9="","",IF($C9="売",CEILING($F9*IF($C9="売",1-$AX$3,1+$AX$3),IF($F9*IF($C9="売",1-$AX$3,1+$AX$3)&lt;=3000,1,IF($F9*IF($C9="売",1-$AX$3,1+$AX$3)&lt;=5000,5,IF($F9*IF($C9="売",1-$AX$3,1+$AX$3)&lt;=30000,10,IF($F9*IF($C9="売",1-$AX$3,1+$AX$3)&lt;=50000,50,IF($F9*IF($C9="売",1-$AX$3,1+$AX$3)&lt;=300000,100,500)))))),FLOOR($F9*IF($C9="売",1-$AX$3,1+$AX$3),IF($F9*IF($C9="売",1-$AX$3,1+$AX$3)&lt;=3000,1,IF($F9*IF($C9="売",1-$AX$3,1+$AX$3)&lt;=5000,5,IF($F9*IF($C9="売",1-$AX$3,1+$AX$3)&lt;=30000,10,IF($F9*IF($C9="売",1-$AX$3,1+$AX$3)&lt;=50000,50,IF($F9*IF($C9="売",1-$AX$3,1+$AX$3)&lt;=300000,100,500))))))))</f>
      </c>
      <c r="N9" s="485">
        <f>IF($F9="","",IF($C9="売",CEILING($F9*IF($C9="売",1+$AX$2,1-$AX$2),IF($F9*IF($C9="売",1+$AX$2,1-$AX$2)&lt;=3000,1,IF($F9*IF($C9="売",1+$AX$2,1-$AX$2)&lt;=5000,5,IF($F9*IF($C9="売",1+$AX$2,1-$AX$2)&lt;=30000,10,IF($F9*IF($C9="売",1+$AX$2,1-$AX$2)&lt;=50000,50,IF($F9*IF($C9="売",1+$AX$2,1-$AX$2)&lt;=300000,100,500)))))),FLOOR($F9*IF($C9="売",1+$AX$2,1-$AX$2),IF($F9*IF($C9="売",1+$AX$2,1-$AX$2)&lt;=3000,1,IF($F9*IF($C9="売",1+$AX$2,1-$AX$2)&lt;=5000,5,IF($F9*IF($C9="売",1+$AX$2,1-$AX$2)&lt;=30000,10,IF($F9*IF($C9="売",1+$AX$2,1-$AX$2)&lt;=50000,50,IF($F9*IF($C9="売",1+$AX$2,1-$AX$2)&lt;=300000,100,500))))))))</f>
      </c>
      <c r="O9" s="486" t="str">
        <f>IF(OR($B9="",$F9="",$H9=""),"",IF($S9="✅売却済","―決済済―",IF($C9="売",IF($H9&lt;=$M9,"🟢利確",IF(AND($R9&lt;&gt;"",$H9&gt;=$R9),"🟠TRAIL決済",IF($H9&gt;=$N9,"🔴損切",IF($W9&gt;=$AX$5,"⏱時間決済",IF($H9&gt;=$F9*(1+$AX$2*0.7),"⚠️損切接近","保持継続"))))),IF($H9&gt;=$M9,"🟢利確",IF(AND($R9&lt;&gt;"",$H9&lt;=$R9),"🟠TRAIL決済",IF($H9&lt;=$N9,"🔴損切",IF($W9&gt;=$AX$5,"⏱時間決済",IF($H9&lt;=$F9*(1-$AX$2*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IF($H9&gt;$F9*(1-$AX$2),$N9,CEILING(MIN($N9,IF($Q9="",$N9,$Q9*1.03)),IF($N9&lt;=3000,1,IF($N9&lt;=5000,5,IF($N9&lt;=30000,10,IF($N9&lt;=50000,50,IF($N9&lt;=300000,100,500))))))),IF($H9&lt;$F9*(1+$AX$2),$N9,FLOOR(MAX($N9,IF($P9="",$N9,$P9*0.97)),IF($N9&lt;=3000,1,IF($N9&lt;=5000,5,IF($N9&lt;=30000,10,IF($N9&lt;=50000,50,IF($N9&lt;=300000,100,500))))))))))</f>
      </c>
      <c r="S9" s="585" t="str">
        <f>IF(B9="","",IF(T9&lt;&gt;"","✅売却済",IF(OR(H9="",L9=""),"📌保有中",IF(L9&gt;=0.06,"🟢利確推奨",IF(L9&gt;=0.05,"🟡利確直近",IF(L9&gt;=0.045,"🔵トレーリング検討",IF(L9&gt;-0.03,"📌保有中",IF(L9&gt;-0.04,"⚠️損切注意","🔴損切り"))))))))</f>
        <v>✅売却済</v>
      </c>
      <c r="T9" s="593">
        <v>46232</v>
      </c>
      <c r="U9" s="485">
        <v>416</v>
      </c>
      <c r="V9" s="700">
        <f>IF(OR(F9="",G9="",U9=""),"",IF(C9="売",(F9-U9)*G9,(U9-F9)*G9))</f>
        <v>2700</v>
      </c>
      <c r="W9" s="487">
        <f>IF(OR($E9="",$B9=""),"",IF($T9&lt;&gt;"",$T9-$E9,TODAY()-$E9)+1)</f>
        <v>3</v>
      </c>
      <c r="X9" s="484" t="str">
        <f>IF(OR($AH9="",$AH9="保有中"),"",$AH9)</f>
        <v>利益確定</v>
      </c>
      <c r="Y9" s="488">
        <f>IF($B9="","",IF(COUNTIFS($B$4:$B9,$B9,$C$4:$C9,$C9)&gt;1,"⛔重複"&amp;COUNTIFS($B$4:$B9,$B9,$C$4:$C9,$C9)&amp;"回目",""))</f>
      </c>
      <c r="Z9" s="710" t="s">
        <v>1280</v>
      </c>
      <c r="AA9" s="600" t="s">
        <v>1281</v>
      </c>
      <c r="AB9">
        <f>IF($F9="","",MAX(100,ROUNDDOWN($AX$4/($F9*$AX$2)/100,0)*100))</f>
      </c>
      <c r="AC9">
        <f>IF(OR($F9="",$G9="",$U9=""),"",ROUND($V9-($F9+$U9)*$G9*$AX$6-IF($C9="売",$F9*$G9*$AX$7*$W9/365,0),0))</f>
      </c>
      <c r="AD9" s="608" t="s">
        <v>1273</v>
      </c>
      <c r="AE9" s="624">
        <f>IF($E9="","",WORKDAY($E9,12))</f>
        <v>46246</v>
      </c>
      <c r="AF9" s="626"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26"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0" t="str">
        <f>IF(OR($B9="",$M9=""),"",IF(AND(N($AF9)=0,N($AG9)=0),IF(AND(ISNUMBER($H9),$H9&gt;0,IF($C9="売",$H9&gt;=$N9,$H9&lt;=$N9)),"損切確定",IF(AND(ISNUMBER($H9),$H9&gt;0,IF($C9="売",$H9&lt;=$M9,$H9&gt;=$M9)),"利益確定",IF($AE9&lt;=TODAY(),"日数制限","保有中"))),IF(N($AG9)=0,"利益確定",IF(N($AF9)=0,"損切確定",IF($AG9&lt;=$AF9,"損切確定","利益確定")))))</f>
        <v>利益確定</v>
      </c>
      <c r="AI9" s="600" t="str" cm="1">
        <f t="array" ref="AI9">IFERROR(INDEX(始値!$E$6:$BT$305,MATCH(TEXT($B9,"0"),TEXT(銘柄管理!$B$6:$B$305,"0"),0),MATCH($AE9,始値!$E$3:$BT$3,0)),"")</f>
        <v/>
      </c>
      <c r="AJ9" s="905">
        <f>IF(OR($V9="",$F9="",$G9=""),"",$V9/($F9*$G9))</f>
        <v>6.0948081264108354E-2</v>
      </c>
      <c r="AK9" s="629" t="str">
        <f>IF($V9="","",IF($V9&gt;0,"○勝",IF($V9&lt;0,"●負","△引分")))</f>
        <v>○勝</v>
      </c>
      <c r="AN9" s="609"/>
      <c r="BB9" s="600">
        <f>IF(N(買抽出v13!$C9)=0,"",N(買抽出v13!$Q9)+N(買抽出v13!$L9)/1000-ROW()/1000000)</f>
        <v>14.001590999999999</v>
      </c>
      <c r="BC9" s="600" t="str">
        <f>IF(N(売抽出v13!$C9)=0,"",N(売抽出v13!$Q9)+IFERROR(VALUE(SUBSTITUTE(売抽出v13!$L9,"倍","")),0)/1000-ROW()/1000000)</f>
        <v/>
      </c>
    </row>
    <row r="10" spans="1:55" ht="35.4" customHeight="1" thickBot="1">
      <c r="A10" s="619" t="str">
        <f>IF(B10="","",HYPERLINK("https://kabutan.jp/stock/?code="&amp;B10,"株探"))</f>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IF(OR(F10="",G10="",H10=""),"",IF(C10="売",(F10-H10)*G10,(H10-F10)*G10))</f>
        <v>6000</v>
      </c>
      <c r="L10" s="705">
        <f>IF(OR(F10="",H10=""),"",IF(C10="売",(F10-H10)/F10,(H10-F10)/F10))</f>
        <v>1.5641293013555789E-2</v>
      </c>
      <c r="M10" s="485">
        <f>IF($F10="","",IF($C10="売",CEILING($F10*IF($C10="売",1-$AX$3,1+$AX$3),IF($F10*IF($C10="売",1-$AX$3,1+$AX$3)&lt;=3000,1,IF($F10*IF($C10="売",1-$AX$3,1+$AX$3)&lt;=5000,5,IF($F10*IF($C10="売",1-$AX$3,1+$AX$3)&lt;=30000,10,IF($F10*IF($C10="売",1-$AX$3,1+$AX$3)&lt;=50000,50,IF($F10*IF($C10="売",1-$AX$3,1+$AX$3)&lt;=300000,100,500)))))),FLOOR($F10*IF($C10="売",1-$AX$3,1+$AX$3),IF($F10*IF($C10="売",1-$AX$3,1+$AX$3)&lt;=3000,1,IF($F10*IF($C10="売",1-$AX$3,1+$AX$3)&lt;=5000,5,IF($F10*IF($C10="売",1-$AX$3,1+$AX$3)&lt;=30000,10,IF($F10*IF($C10="売",1-$AX$3,1+$AX$3)&lt;=50000,50,IF($F10*IF($C10="売",1-$AX$3,1+$AX$3)&lt;=300000,100,500))))))))</f>
      </c>
      <c r="N10" s="485">
        <f>IF($F10="","",IF($C10="売",CEILING($F10*IF($C10="売",1+$AX$2,1-$AX$2),IF($F10*IF($C10="売",1+$AX$2,1-$AX$2)&lt;=3000,1,IF($F10*IF($C10="売",1+$AX$2,1-$AX$2)&lt;=5000,5,IF($F10*IF($C10="売",1+$AX$2,1-$AX$2)&lt;=30000,10,IF($F10*IF($C10="売",1+$AX$2,1-$AX$2)&lt;=50000,50,IF($F10*IF($C10="売",1+$AX$2,1-$AX$2)&lt;=300000,100,500)))))),FLOOR($F10*IF($C10="売",1+$AX$2,1-$AX$2),IF($F10*IF($C10="売",1+$AX$2,1-$AX$2)&lt;=3000,1,IF($F10*IF($C10="売",1+$AX$2,1-$AX$2)&lt;=5000,5,IF($F10*IF($C10="売",1+$AX$2,1-$AX$2)&lt;=30000,10,IF($F10*IF($C10="売",1+$AX$2,1-$AX$2)&lt;=50000,50,IF($F10*IF($C10="売",1+$AX$2,1-$AX$2)&lt;=300000,100,500))))))))</f>
      </c>
      <c r="O10" s="486" t="str">
        <f>IF(OR($B10="",$F10="",$H10=""),"",IF($S10="✅売却済","―決済済―",IF($C10="売",IF($H10&lt;=$M10,"🟢利確",IF(AND($R10&lt;&gt;"",$H10&gt;=$R10),"🟠TRAIL決済",IF($H10&gt;=$N10,"🔴損切",IF($W10&gt;=$AX$5,"⏱時間決済",IF($H10&gt;=$F10*(1+$AX$2*0.7),"⚠️損切接近","保持継続"))))),IF($H10&gt;=$M10,"🟢利確",IF(AND($R10&lt;&gt;"",$H10&lt;=$R10),"🟠TRAIL決済",IF($H10&lt;=$N10,"🔴損切",IF($W10&gt;=$AX$5,"⏱時間決済",IF($H10&lt;=$F10*(1-$AX$2*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IF($H10&gt;$F10*(1-$AX$2),$N10,CEILING(MIN($N10,IF($Q10="",$N10,$Q10*1.03)),IF($N10&lt;=3000,1,IF($N10&lt;=5000,5,IF($N10&lt;=30000,10,IF($N10&lt;=50000,50,IF($N10&lt;=300000,100,500))))))),IF($H10&lt;$F10*(1+$AX$2),$N10,FLOOR(MAX($N10,IF($P10="",$N10,$P10*0.97)),IF($N10&lt;=3000,1,IF($N10&lt;=5000,5,IF($N10&lt;=30000,10,IF($N10&lt;=50000,50,IF($N10&lt;=300000,100,500))))))))))</f>
      </c>
      <c r="S10" s="585" t="str">
        <f>IF(B10="","",IF(T10&lt;&gt;"","✅売却済",IF(OR(H10="",L10=""),"📌保有中",IF(L10&gt;=0.06,"🟢利確推奨",IF(L10&gt;=0.05,"🟡利確直近",IF(L10&gt;=0.045,"🔵トレーリング検討",IF(L10&gt;-0.03,"📌保有中",IF(L10&gt;-0.04,"⚠️損切注意","🔴損切り"))))))))</f>
        <v>📌保有中</v>
      </c>
      <c r="T10" s="593"/>
      <c r="U10" s="485"/>
      <c r="V10" s="700" t="str">
        <f>IF(OR(F10="",G10="",U10=""),"",IF(C10="売",(F10-U10)*G10,(U10-F10)*G10))</f>
        <v/>
      </c>
      <c r="W10" s="487">
        <f>IF(OR($E10="",$B10=""),"",IF($T10&lt;&gt;"",$T10-$E10,TODAY()-$E10)+1)</f>
        <v>10</v>
      </c>
      <c r="X10" s="484" t="str">
        <f>IF(OR($AH10="",$AH10="保有中"),"",$AH10)</f>
        <v/>
      </c>
      <c r="Y10" s="488">
        <f>IF($B10="","",IF(COUNTIFS($B$4:$B10,$B10,$C$4:$C10,$C10)&gt;1,"⛔重複"&amp;COUNTIFS($B$4:$B10,$B10,$C$4:$C10,$C10)&amp;"回目",""))</f>
      </c>
      <c r="Z10" s="710">
        <v>13</v>
      </c>
      <c r="AA10" s="600" t="s">
        <v>1327</v>
      </c>
      <c r="AB10">
        <f>IF($F10="","",MAX(100,ROUNDDOWN($AX$4/($F10*$AX$2)/100,0)*100))</f>
      </c>
      <c r="AC10">
        <f>IF(OR($F10="",$G10="",$U10=""),"",ROUND($V10-($F10+$U10)*$G10*$AX$6-IF($C10="売",$F10*$G10*$AX$7*$W10/365,0),0))</f>
      </c>
      <c r="AD10" s="608" t="s">
        <v>1322</v>
      </c>
      <c r="AE10" s="624">
        <f>IF($E10="","",WORKDAY($E10,12))</f>
        <v>46247</v>
      </c>
      <c r="AF10" s="626"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26"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0" t="str">
        <f>IF(OR($B10="",$M10=""),"",IF(AND(N($AF10)=0,N($AG10)=0),IF(AND(ISNUMBER($H10),$H10&gt;0,IF($C10="売",$H10&gt;=$N10,$H10&lt;=$N10)),"損切確定",IF(AND(ISNUMBER($H10),$H10&gt;0,IF($C10="売",$H10&lt;=$M10,$H10&gt;=$M10)),"利益確定",IF($AE10&lt;=TODAY(),"日数制限","保有中"))),IF(N($AG10)=0,"利益確定",IF(N($AF10)=0,"損切確定",IF($AG10&lt;=$AF10,"損切確定","利益確定")))))</f>
        <v>保有中</v>
      </c>
      <c r="AI10" s="600" t="str" cm="1">
        <f t="array" ref="AI10">IFERROR(INDEX(始値!$E$6:$BT$305,MATCH(TEXT($B10,"0"),TEXT(銘柄管理!$B$6:$B$305,"0"),0),MATCH($AE10,始値!$E$3:$BT$3,0)),"")</f>
        <v/>
      </c>
      <c r="AJ10" s="905" t="str">
        <f>IF(OR($V10="",$F10="",$G10=""),"",$V10/($F10*$G10))</f>
        <v/>
      </c>
      <c r="AK10" s="629" t="str">
        <f>IF($V10="","",IF($V10&gt;0,"○勝",IF($V10&lt;0,"●負","△引分")))</f>
        <v/>
      </c>
      <c r="AL10" s="488" t="s">
        <v>1343</v>
      </c>
      <c r="AM10" s="610">
        <f>MAX(始値!$E$3:$BT$3)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5" ht="35.4" customHeight="1" thickTop="1">
      <c r="A11" s="619" t="str">
        <f>IF(B11="","",HYPERLINK("https://kabutan.jp/stock/?code="&amp;B11,"株探"))</f>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IF(OR(F11="",G11="",H11=""),"",IF(C11="売",(F11-H11)*G11,(H11-F11)*G11))</f>
        <v>2400</v>
      </c>
      <c r="L11" s="705">
        <f>IF(OR(F11="",H11=""),"",IF(C11="売",(F11-H11)/F11,(H11-F11)/F11))</f>
        <v>9.3385214007782099E-3</v>
      </c>
      <c r="M11" s="485">
        <f>IF($F11="","",IF($C11="売",CEILING($F11*IF($C11="売",1-$AX$3,1+$AX$3),IF($F11*IF($C11="売",1-$AX$3,1+$AX$3)&lt;=3000,1,IF($F11*IF($C11="売",1-$AX$3,1+$AX$3)&lt;=5000,5,IF($F11*IF($C11="売",1-$AX$3,1+$AX$3)&lt;=30000,10,IF($F11*IF($C11="売",1-$AX$3,1+$AX$3)&lt;=50000,50,IF($F11*IF($C11="売",1-$AX$3,1+$AX$3)&lt;=300000,100,500)))))),FLOOR($F11*IF($C11="売",1-$AX$3,1+$AX$3),IF($F11*IF($C11="売",1-$AX$3,1+$AX$3)&lt;=3000,1,IF($F11*IF($C11="売",1-$AX$3,1+$AX$3)&lt;=5000,5,IF($F11*IF($C11="売",1-$AX$3,1+$AX$3)&lt;=30000,10,IF($F11*IF($C11="売",1-$AX$3,1+$AX$3)&lt;=50000,50,IF($F11*IF($C11="売",1-$AX$3,1+$AX$3)&lt;=300000,100,500))))))))</f>
      </c>
      <c r="N11" s="485">
        <f>IF($F11="","",IF($C11="売",CEILING($F11*IF($C11="売",1+$AX$2,1-$AX$2),IF($F11*IF($C11="売",1+$AX$2,1-$AX$2)&lt;=3000,1,IF($F11*IF($C11="売",1+$AX$2,1-$AX$2)&lt;=5000,5,IF($F11*IF($C11="売",1+$AX$2,1-$AX$2)&lt;=30000,10,IF($F11*IF($C11="売",1+$AX$2,1-$AX$2)&lt;=50000,50,IF($F11*IF($C11="売",1+$AX$2,1-$AX$2)&lt;=300000,100,500)))))),FLOOR($F11*IF($C11="売",1+$AX$2,1-$AX$2),IF($F11*IF($C11="売",1+$AX$2,1-$AX$2)&lt;=3000,1,IF($F11*IF($C11="売",1+$AX$2,1-$AX$2)&lt;=5000,5,IF($F11*IF($C11="売",1+$AX$2,1-$AX$2)&lt;=30000,10,IF($F11*IF($C11="売",1+$AX$2,1-$AX$2)&lt;=50000,50,IF($F11*IF($C11="売",1+$AX$2,1-$AX$2)&lt;=300000,100,500))))))))</f>
      </c>
      <c r="O11" s="486" t="str">
        <f>IF(OR($B11="",$F11="",$H11=""),"",IF($S11="✅売却済","―決済済―",IF($C11="売",IF($H11&lt;=$M11,"🟢利確",IF(AND($R11&lt;&gt;"",$H11&gt;=$R11),"🟠TRAIL決済",IF($H11&gt;=$N11,"🔴損切",IF($W11&gt;=$AX$5,"⏱時間決済",IF($H11&gt;=$F11*(1+$AX$2*0.7),"⚠️損切接近","保持継続"))))),IF($H11&gt;=$M11,"🟢利確",IF(AND($R11&lt;&gt;"",$H11&lt;=$R11),"🟠TRAIL決済",IF($H11&lt;=$N11,"🔴損切",IF($W11&gt;=$AX$5,"⏱時間決済",IF($H11&lt;=$F11*(1-$AX$2*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IF($H11&gt;$F11*(1-$AX$2),$N11,CEILING(MIN($N11,IF($Q11="",$N11,$Q11*1.03)),IF($N11&lt;=3000,1,IF($N11&lt;=5000,5,IF($N11&lt;=30000,10,IF($N11&lt;=50000,50,IF($N11&lt;=300000,100,500))))))),IF($H11&lt;$F11*(1+$AX$2),$N11,FLOOR(MAX($N11,IF($P11="",$N11,$P11*0.97)),IF($N11&lt;=3000,1,IF($N11&lt;=5000,5,IF($N11&lt;=30000,10,IF($N11&lt;=50000,50,IF($N11&lt;=300000,100,500))))))))))</f>
      </c>
      <c r="S11" s="585" t="str">
        <f>IF(B11="","",IF(T11&lt;&gt;"","✅売却済",IF(OR(H11="",L11=""),"📌保有中",IF(L11&gt;=0.06,"🟢利確推奨",IF(L11&gt;=0.05,"🟡利確直近",IF(L11&gt;=0.045,"🔵トレーリング検討",IF(L11&gt;-0.03,"📌保有中",IF(L11&gt;-0.04,"⚠️損切注意","🔴損切り"))))))))</f>
        <v>✅売却済</v>
      </c>
      <c r="T11" s="593">
        <v>46232</v>
      </c>
      <c r="U11" s="485">
        <v>2467</v>
      </c>
      <c r="V11" s="700">
        <f>IF(OR(F11="",G11="",U11=""),"",IF(C11="売",(F11-U11)*G11,(U11-F11)*G11))</f>
        <v>-10300</v>
      </c>
      <c r="W11" s="487">
        <f>IF(OR($E11="",$B11=""),"",IF($T11&lt;&gt;"",$T11-$E11,TODAY()-$E11)+1)</f>
        <v>2</v>
      </c>
      <c r="X11" s="484" t="str">
        <f>IF(OR($AH11="",$AH11="保有中"),"",$AH11)</f>
        <v>損切確定</v>
      </c>
      <c r="Y11" s="488">
        <f>IF($B11="","",IF(COUNTIFS($B$4:$B11,$B11,$C$4:$C11,$C11)&gt;1,"⛔重複"&amp;COUNTIFS($B$4:$B11,$B11,$C$4:$C11,$C11)&amp;"回目",""))</f>
      </c>
      <c r="Z11" s="710">
        <v>13</v>
      </c>
      <c r="AA11" s="600" t="s">
        <v>1328</v>
      </c>
      <c r="AB11">
        <f>IF($F11="","",MAX(100,ROUNDDOWN($AX$4/($F11*$AX$2)/100,0)*100))</f>
      </c>
      <c r="AC11">
        <f>IF(OR($F11="",$G11="",$U11=""),"",ROUND($V11-($F11+$U11)*$G11*$AX$6-IF($C11="売",$F11*$G11*$AX$7*$W11/365,0),0))</f>
      </c>
      <c r="AD11" s="608" t="s">
        <v>1322</v>
      </c>
      <c r="AE11" s="624">
        <f>IF($E11="","",WORKDAY($E11,12))</f>
        <v>46247</v>
      </c>
      <c r="AF11" s="626"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26"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0" t="str">
        <f>IF(OR($B11="",$M11=""),"",IF(AND(N($AF11)=0,N($AG11)=0),IF(AND(ISNUMBER($H11),$H11&gt;0,IF($C11="売",$H11&gt;=$N11,$H11&lt;=$N11)),"損切確定",IF(AND(ISNUMBER($H11),$H11&gt;0,IF($C11="売",$H11&lt;=$M11,$H11&gt;=$M11)),"利益確定",IF($AE11&lt;=TODAY(),"日数制限","保有中"))),IF(N($AG11)=0,"利益確定",IF(N($AF11)=0,"損切確定",IF($AG11&lt;=$AF11,"損切確定","利益確定")))))</f>
        <v>損切確定</v>
      </c>
      <c r="AI11" s="600" t="str" cm="1">
        <f t="array" ref="AI11">IFERROR(INDEX(始値!$E$6:$BT$305,MATCH(TEXT($B11,"0"),TEXT(銘柄管理!$B$6:$B$305,"0"),0),MATCH($AE11,始値!$E$3:$BT$3,0)),"")</f>
        <v/>
      </c>
      <c r="AJ11" s="905">
        <f>IF(OR($V11="",$F11="",$G11=""),"",$V11/($F11*$G11))</f>
        <v>-4.0077821011673155E-2</v>
      </c>
      <c r="AK11" s="629" t="str">
        <f>IF($V11="","",IF($V11&gt;0,"○勝",IF($V11&lt;0,"●負","△引分")))</f>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5" ht="35.4" customHeight="1">
      <c r="A12" s="619" t="str">
        <f>IF(B12="","",HYPERLINK("https://kabutan.jp/stock/?code="&amp;B12,"株探"))</f>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IF(OR(F12="",G12="",H12=""),"",IF(C12="売",(F12-H12)*G12,(H12-F12)*G12))</f>
        <v>-86000</v>
      </c>
      <c r="L12" s="705">
        <f>IF(OR(F12="",H12=""),"",IF(C12="売",(F12-H12)/F12,(H12-F12)/F12))</f>
        <v>-0.10201660735468565</v>
      </c>
      <c r="M12" s="485">
        <f>IF($F12="","",IF($C12="売",CEILING($F12*IF($C12="売",1-$AX$3,1+$AX$3),IF($F12*IF($C12="売",1-$AX$3,1+$AX$3)&lt;=3000,1,IF($F12*IF($C12="売",1-$AX$3,1+$AX$3)&lt;=5000,5,IF($F12*IF($C12="売",1-$AX$3,1+$AX$3)&lt;=30000,10,IF($F12*IF($C12="売",1-$AX$3,1+$AX$3)&lt;=50000,50,IF($F12*IF($C12="売",1-$AX$3,1+$AX$3)&lt;=300000,100,500)))))),FLOOR($F12*IF($C12="売",1-$AX$3,1+$AX$3),IF($F12*IF($C12="売",1-$AX$3,1+$AX$3)&lt;=3000,1,IF($F12*IF($C12="売",1-$AX$3,1+$AX$3)&lt;=5000,5,IF($F12*IF($C12="売",1-$AX$3,1+$AX$3)&lt;=30000,10,IF($F12*IF($C12="売",1-$AX$3,1+$AX$3)&lt;=50000,50,IF($F12*IF($C12="売",1-$AX$3,1+$AX$3)&lt;=300000,100,500))))))))</f>
      </c>
      <c r="N12" s="485">
        <f>IF($F12="","",IF($C12="売",CEILING($F12*IF($C12="売",1+$AX$2,1-$AX$2),IF($F12*IF($C12="売",1+$AX$2,1-$AX$2)&lt;=3000,1,IF($F12*IF($C12="売",1+$AX$2,1-$AX$2)&lt;=5000,5,IF($F12*IF($C12="売",1+$AX$2,1-$AX$2)&lt;=30000,10,IF($F12*IF($C12="売",1+$AX$2,1-$AX$2)&lt;=50000,50,IF($F12*IF($C12="売",1+$AX$2,1-$AX$2)&lt;=300000,100,500)))))),FLOOR($F12*IF($C12="売",1+$AX$2,1-$AX$2),IF($F12*IF($C12="売",1+$AX$2,1-$AX$2)&lt;=3000,1,IF($F12*IF($C12="売",1+$AX$2,1-$AX$2)&lt;=5000,5,IF($F12*IF($C12="売",1+$AX$2,1-$AX$2)&lt;=30000,10,IF($F12*IF($C12="売",1+$AX$2,1-$AX$2)&lt;=50000,50,IF($F12*IF($C12="売",1+$AX$2,1-$AX$2)&lt;=300000,100,500))))))))</f>
      </c>
      <c r="O12" s="486" t="str">
        <f>IF(OR($B12="",$F12="",$H12=""),"",IF($S12="✅売却済","―決済済―",IF($C12="売",IF($H12&lt;=$M12,"🟢利確",IF(AND($R12&lt;&gt;"",$H12&gt;=$R12),"🟠TRAIL決済",IF($H12&gt;=$N12,"🔴損切",IF($W12&gt;=$AX$5,"⏱時間決済",IF($H12&gt;=$F12*(1+$AX$2*0.7),"⚠️損切接近","保持継続"))))),IF($H12&gt;=$M12,"🟢利確",IF(AND($R12&lt;&gt;"",$H12&lt;=$R12),"🟠TRAIL決済",IF($H12&lt;=$N12,"🔴損切",IF($W12&gt;=$AX$5,"⏱時間決済",IF($H12&lt;=$F12*(1-$AX$2*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IF($H12&gt;$F12*(1-$AX$2),$N12,CEILING(MIN($N12,IF($Q12="",$N12,$Q12*1.03)),IF($N12&lt;=3000,1,IF($N12&lt;=5000,5,IF($N12&lt;=30000,10,IF($N12&lt;=50000,50,IF($N12&lt;=300000,100,500))))))),IF($H12&lt;$F12*(1+$AX$2),$N12,FLOOR(MAX($N12,IF($P12="",$N12,$P12*0.97)),IF($N12&lt;=3000,1,IF($N12&lt;=5000,5,IF($N12&lt;=30000,10,IF($N12&lt;=50000,50,IF($N12&lt;=300000,100,500))))))))))</f>
      </c>
      <c r="S12" s="585" t="str">
        <f>IF(B12="","",IF(T12&lt;&gt;"","✅売却済",IF(OR(H12="",L12=""),"📌保有中",IF(L12&gt;=0.06,"🟢利確推奨",IF(L12&gt;=0.05,"🟡利確直近",IF(L12&gt;=0.045,"🔵トレーリング検討",IF(L12&gt;-0.03,"📌保有中",IF(L12&gt;-0.04,"⚠️損切注意","🔴損切り"))))))))</f>
        <v>✅売却済</v>
      </c>
      <c r="T12" s="593">
        <v>46232</v>
      </c>
      <c r="U12" s="485">
        <v>7924</v>
      </c>
      <c r="V12" s="700">
        <f>IF(OR(F12="",G12="",U12=""),"",IF(C12="売",(F12-U12)*G12,(U12-F12)*G12))</f>
        <v>50600</v>
      </c>
      <c r="W12" s="487">
        <f>IF(OR($E12="",$B12=""),"",IF($T12&lt;&gt;"",$T12-$E12,TODAY()-$E12)+1)</f>
        <v>2</v>
      </c>
      <c r="X12" s="484" t="str">
        <f>IF(OR($AH12="",$AH12="保有中"),"",$AH12)</f>
        <v>利益確定</v>
      </c>
      <c r="Y12" s="488">
        <f>IF($B12="","",IF(COUNTIFS($B$4:$B12,$B12,$C$4:$C12,$C12)&gt;1,"⛔重複"&amp;COUNTIFS($B$4:$B12,$B12,$C$4:$C12,$C12)&amp;"回目",""))</f>
      </c>
      <c r="Z12" s="710">
        <v>16</v>
      </c>
      <c r="AA12" s="600" t="s">
        <v>1329</v>
      </c>
      <c r="AB12">
        <f>IF($F12="","",MAX(100,ROUNDDOWN($AX$4/($F12*$AX$2)/100,0)*100))</f>
      </c>
      <c r="AC12">
        <f>IF(OR($F12="",$G12="",$U12=""),"",ROUND($V12-($F12+$U12)*$G12*$AX$6-IF($C12="売",$F12*$G12*$AX$7*$W12/365,0),0))</f>
      </c>
      <c r="AD12" s="608" t="s">
        <v>1323</v>
      </c>
      <c r="AE12" s="625">
        <f>IF($E12="","",WORKDAY($E12,12))</f>
        <v>46247</v>
      </c>
      <c r="AF12" s="627"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27"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1" t="str">
        <f>IF(OR($B12="",$M12=""),"",IF(AND(N($AF12)=0,N($AG12)=0),IF(AND(ISNUMBER($H12),$H12&gt;0,IF($C12="売",$H12&gt;=$N12,$H12&lt;=$N12)),"損切確定",IF(AND(ISNUMBER($H12),$H12&gt;0,IF($C12="売",$H12&lt;=$M12,$H12&gt;=$M12)),"利益確定",IF($AE12&lt;=TODAY(),"日数制限","保有中"))),IF(N($AG12)=0,"利益確定",IF(N($AF12)=0,"損切確定",IF($AG12&lt;=$AF12,"損切確定","利益確定")))))</f>
        <v>利益確定</v>
      </c>
      <c r="AI12" s="601" t="str" cm="1">
        <f t="array" ref="AI12">IFERROR(INDEX(始値!$E$6:$BT$305,MATCH(TEXT($B12,"0"),TEXT(銘柄管理!$B$6:$B$305,"0"),0),MATCH($AE12,始値!$E$3:$BT$3,0)),"")</f>
        <v/>
      </c>
      <c r="AJ12" s="905">
        <f>IF(OR($V12="",$F12="",$G12=""),"",$V12/($F12*$G12))</f>
        <v>6.0023724792408063E-2</v>
      </c>
      <c r="AK12" s="629" t="str">
        <f>IF($V12="","",IF($V12&gt;0,"○勝",IF($V12&lt;0,"●負","△引分")))</f>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5" ht="35.4" customHeight="1">
      <c r="A13" s="619" t="str">
        <f>IF(B13="","",HYPERLINK("https://kabutan.jp/stock/?code="&amp;B13,"株探"))</f>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IF(OR(F13="",G13="",H13=""),"",IF(C13="売",(F13-H13)*G13,(H13-F13)*G13))</f>
        <v>-61200</v>
      </c>
      <c r="L13" s="705">
        <f>IF(OR(F13="",H13=""),"",IF(C13="売",(F13-H13)/F13,(H13-F13)/F13))</f>
        <v>-0.12040133779264214</v>
      </c>
      <c r="M13" s="485">
        <f>IF($F13="","",IF($C13="売",CEILING($F13*IF($C13="売",1-$AX$3,1+$AX$3),IF($F13*IF($C13="売",1-$AX$3,1+$AX$3)&lt;=3000,1,IF($F13*IF($C13="売",1-$AX$3,1+$AX$3)&lt;=5000,5,IF($F13*IF($C13="売",1-$AX$3,1+$AX$3)&lt;=30000,10,IF($F13*IF($C13="売",1-$AX$3,1+$AX$3)&lt;=50000,50,IF($F13*IF($C13="売",1-$AX$3,1+$AX$3)&lt;=300000,100,500)))))),FLOOR($F13*IF($C13="売",1-$AX$3,1+$AX$3),IF($F13*IF($C13="売",1-$AX$3,1+$AX$3)&lt;=3000,1,IF($F13*IF($C13="売",1-$AX$3,1+$AX$3)&lt;=5000,5,IF($F13*IF($C13="売",1-$AX$3,1+$AX$3)&lt;=30000,10,IF($F13*IF($C13="売",1-$AX$3,1+$AX$3)&lt;=50000,50,IF($F13*IF($C13="売",1-$AX$3,1+$AX$3)&lt;=300000,100,500))))))))</f>
      </c>
      <c r="N13" s="485">
        <f>IF($F13="","",IF($C13="売",CEILING($F13*IF($C13="売",1+$AX$2,1-$AX$2),IF($F13*IF($C13="売",1+$AX$2,1-$AX$2)&lt;=3000,1,IF($F13*IF($C13="売",1+$AX$2,1-$AX$2)&lt;=5000,5,IF($F13*IF($C13="売",1+$AX$2,1-$AX$2)&lt;=30000,10,IF($F13*IF($C13="売",1+$AX$2,1-$AX$2)&lt;=50000,50,IF($F13*IF($C13="売",1+$AX$2,1-$AX$2)&lt;=300000,100,500)))))),FLOOR($F13*IF($C13="売",1+$AX$2,1-$AX$2),IF($F13*IF($C13="売",1+$AX$2,1-$AX$2)&lt;=3000,1,IF($F13*IF($C13="売",1+$AX$2,1-$AX$2)&lt;=5000,5,IF($F13*IF($C13="売",1+$AX$2,1-$AX$2)&lt;=30000,10,IF($F13*IF($C13="売",1+$AX$2,1-$AX$2)&lt;=50000,50,IF($F13*IF($C13="売",1+$AX$2,1-$AX$2)&lt;=300000,100,500))))))))</f>
      </c>
      <c r="O13" s="486" t="str">
        <f>IF(OR($B13="",$F13="",$H13=""),"",IF($S13="✅売却済","―決済済―",IF($C13="売",IF($H13&lt;=$M13,"🟢利確",IF(AND($R13&lt;&gt;"",$H13&gt;=$R13),"🟠TRAIL決済",IF($H13&gt;=$N13,"🔴損切",IF($W13&gt;=$AX$5,"⏱時間決済",IF($H13&gt;=$F13*(1+$AX$2*0.7),"⚠️損切接近","保持継続"))))),IF($H13&gt;=$M13,"🟢利確",IF(AND($R13&lt;&gt;"",$H13&lt;=$R13),"🟠TRAIL決済",IF($H13&lt;=$N13,"🔴損切",IF($W13&gt;=$AX$5,"⏱時間決済",IF($H13&lt;=$F13*(1-$AX$2*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IF($H13&gt;$F13*(1-$AX$2),$N13,CEILING(MIN($N13,IF($Q13="",$N13,$Q13*1.03)),IF($N13&lt;=3000,1,IF($N13&lt;=5000,5,IF($N13&lt;=30000,10,IF($N13&lt;=50000,50,IF($N13&lt;=300000,100,500))))))),IF($H13&lt;$F13*(1+$AX$2),$N13,FLOOR(MAX($N13,IF($P13="",$N13,$P13*0.97)),IF($N13&lt;=3000,1,IF($N13&lt;=5000,5,IF($N13&lt;=30000,10,IF($N13&lt;=50000,50,IF($N13&lt;=300000,100,500))))))))))</f>
      </c>
      <c r="S13" s="585" t="str">
        <f>IF(B13="","",IF(T13&lt;&gt;"","✅売却済",IF(OR(H13="",L13=""),"📌保有中",IF(L13&gt;=0.06,"🟢利確推奨",IF(L13&gt;=0.05,"🟡利確直近",IF(L13&gt;=0.045,"🔵トレーリング検討",IF(L13&gt;-0.03,"📌保有中",IF(L13&gt;-0.04,"⚠️損切注意","🔴損切り"))))))))</f>
        <v>✅売却済</v>
      </c>
      <c r="T13" s="593">
        <v>46232</v>
      </c>
      <c r="U13" s="485">
        <v>4778</v>
      </c>
      <c r="V13" s="700">
        <f>IF(OR(F13="",G13="",U13=""),"",IF(C13="売",(F13-U13)*G13,(U13-F13)*G13))</f>
        <v>30500</v>
      </c>
      <c r="W13" s="487">
        <f>IF(OR($E13="",$B13=""),"",IF($T13&lt;&gt;"",$T13-$E13,TODAY()-$E13)+1)</f>
        <v>2</v>
      </c>
      <c r="X13" s="484" t="str">
        <f>IF(OR($AH13="",$AH13="保有中"),"",$AH13)</f>
        <v>利益確定</v>
      </c>
      <c r="Y13" s="488">
        <f>IF($B13="","",IF(COUNTIFS($B$4:$B13,$B13,$C$4:$C13,$C13)&gt;1,"⛔重複"&amp;COUNTIFS($B$4:$B13,$B13,$C$4:$C13,$C13)&amp;"回目",""))</f>
      </c>
      <c r="Z13" s="710">
        <v>16</v>
      </c>
      <c r="AA13" s="600" t="s">
        <v>1330</v>
      </c>
      <c r="AB13">
        <f>IF($F13="","",MAX(100,ROUNDDOWN($AX$4/($F13*$AX$2)/100,0)*100))</f>
      </c>
      <c r="AC13">
        <f>IF(OR($F13="",$G13="",$U13=""),"",ROUND($V13-($F13+$U13)*$G13*$AX$6-IF($C13="売",$F13*$G13*$AX$7*$W13/365,0),0))</f>
      </c>
      <c r="AD13" s="608" t="s">
        <v>1323</v>
      </c>
      <c r="AE13" s="625">
        <f>IF($E13="","",WORKDAY($E13,12))</f>
        <v>46247</v>
      </c>
      <c r="AF13" s="627"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27"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1" t="str">
        <f>IF(OR($B13="",$M13=""),"",IF(AND(N($AF13)=0,N($AG13)=0),IF(AND(ISNUMBER($H13),$H13&gt;0,IF($C13="売",$H13&gt;=$N13,$H13&lt;=$N13)),"損切確定",IF(AND(ISNUMBER($H13),$H13&gt;0,IF($C13="売",$H13&lt;=$M13,$H13&gt;=$M13)),"利益確定",IF($AE13&lt;=TODAY(),"日数制限","保有中"))),IF(N($AG13)=0,"利益確定",IF(N($AF13)=0,"損切確定",IF($AG13&lt;=$AF13,"損切確定","利益確定")))))</f>
        <v>利益確定</v>
      </c>
      <c r="AI13" s="601" t="str" cm="1">
        <f t="array" ref="AI13">IFERROR(INDEX(始値!$E$6:$BT$305,MATCH(TEXT($B13,"0"),TEXT(銘柄管理!$B$6:$B$305,"0"),0),MATCH($AE13,始値!$E$3:$BT$3,0)),"")</f>
        <v/>
      </c>
      <c r="AJ13" s="905">
        <f>IF(OR($V13="",$F13="",$G13=""),"",$V13/($F13*$G13))</f>
        <v>6.0003934684241589E-2</v>
      </c>
      <c r="AK13" s="629" t="str">
        <f>IF($V13="","",IF($V13&gt;0,"○勝",IF($V13&lt;0,"●負","△引分")))</f>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5" ht="35.4" customHeight="1" thickBot="1">
      <c r="A14" s="619" t="str">
        <f>IF(B14="","",HYPERLINK("https://kabutan.jp/stock/?code="&amp;B14,"株探"))</f>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IF(OR(F14="",G14="",H14=""),"",IF(C14="売",(F14-H14)*G14,(H14-F14)*G14))</f>
        <v>-25500</v>
      </c>
      <c r="L14" s="705">
        <f>IF(OR(F14="",H14=""),"",IF(C14="売",(F14-H14)/F14,(H14-F14)/F14))</f>
        <v>-7.7039274924471296E-2</v>
      </c>
      <c r="M14" s="485">
        <f>IF($F14="","",IF($C14="売",CEILING($F14*IF($C14="売",1-$AX$3,1+$AX$3),IF($F14*IF($C14="売",1-$AX$3,1+$AX$3)&lt;=3000,1,IF($F14*IF($C14="売",1-$AX$3,1+$AX$3)&lt;=5000,5,IF($F14*IF($C14="売",1-$AX$3,1+$AX$3)&lt;=30000,10,IF($F14*IF($C14="売",1-$AX$3,1+$AX$3)&lt;=50000,50,IF($F14*IF($C14="売",1-$AX$3,1+$AX$3)&lt;=300000,100,500)))))),FLOOR($F14*IF($C14="売",1-$AX$3,1+$AX$3),IF($F14*IF($C14="売",1-$AX$3,1+$AX$3)&lt;=3000,1,IF($F14*IF($C14="売",1-$AX$3,1+$AX$3)&lt;=5000,5,IF($F14*IF($C14="売",1-$AX$3,1+$AX$3)&lt;=30000,10,IF($F14*IF($C14="売",1-$AX$3,1+$AX$3)&lt;=50000,50,IF($F14*IF($C14="売",1-$AX$3,1+$AX$3)&lt;=300000,100,500))))))))</f>
      </c>
      <c r="N14" s="485">
        <f>IF($F14="","",IF($C14="売",CEILING($F14*IF($C14="売",1+$AX$2,1-$AX$2),IF($F14*IF($C14="売",1+$AX$2,1-$AX$2)&lt;=3000,1,IF($F14*IF($C14="売",1+$AX$2,1-$AX$2)&lt;=5000,5,IF($F14*IF($C14="売",1+$AX$2,1-$AX$2)&lt;=30000,10,IF($F14*IF($C14="売",1+$AX$2,1-$AX$2)&lt;=50000,50,IF($F14*IF($C14="売",1+$AX$2,1-$AX$2)&lt;=300000,100,500)))))),FLOOR($F14*IF($C14="売",1+$AX$2,1-$AX$2),IF($F14*IF($C14="売",1+$AX$2,1-$AX$2)&lt;=3000,1,IF($F14*IF($C14="売",1+$AX$2,1-$AX$2)&lt;=5000,5,IF($F14*IF($C14="売",1+$AX$2,1-$AX$2)&lt;=30000,10,IF($F14*IF($C14="売",1+$AX$2,1-$AX$2)&lt;=50000,50,IF($F14*IF($C14="売",1+$AX$2,1-$AX$2)&lt;=300000,100,500))))))))</f>
      </c>
      <c r="O14" s="486" t="str">
        <f>IF(OR($B14="",$F14="",$H14=""),"",IF($S14="✅売却済","―決済済―",IF($C14="売",IF($H14&lt;=$M14,"🟢利確",IF(AND($R14&lt;&gt;"",$H14&gt;=$R14),"🟠TRAIL決済",IF($H14&gt;=$N14,"🔴損切",IF($W14&gt;=$AX$5,"⏱時間決済",IF($H14&gt;=$F14*(1+$AX$2*0.7),"⚠️損切接近","保持継続"))))),IF($H14&gt;=$M14,"🟢利確",IF(AND($R14&lt;&gt;"",$H14&lt;=$R14),"🟠TRAIL決済",IF($H14&lt;=$N14,"🔴損切",IF($W14&gt;=$AX$5,"⏱時間決済",IF($H14&lt;=$F14*(1-$AX$2*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IF($H14&gt;$F14*(1-$AX$2),$N14,CEILING(MIN($N14,IF($Q14="",$N14,$Q14*1.03)),IF($N14&lt;=3000,1,IF($N14&lt;=5000,5,IF($N14&lt;=30000,10,IF($N14&lt;=50000,50,IF($N14&lt;=300000,100,500))))))),IF($H14&lt;$F14*(1+$AX$2),$N14,FLOOR(MAX($N14,IF($P14="",$N14,$P14*0.97)),IF($N14&lt;=3000,1,IF($N14&lt;=5000,5,IF($N14&lt;=30000,10,IF($N14&lt;=50000,50,IF($N14&lt;=300000,100,500))))))))))</f>
      </c>
      <c r="S14" s="585" t="str">
        <f>IF(B14="","",IF(T14&lt;&gt;"","✅売却済",IF(OR(H14="",L14=""),"📌保有中",IF(L14&gt;=0.06,"🟢利確推奨",IF(L14&gt;=0.05,"🟡利確直近",IF(L14&gt;=0.045,"🔵トレーリング検討",IF(L14&gt;-0.03,"📌保有中",IF(L14&gt;-0.04,"⚠️損切注意","🔴損切り"))))))))</f>
        <v>✅売却済</v>
      </c>
      <c r="T14" s="593">
        <v>46233</v>
      </c>
      <c r="U14" s="485">
        <v>3178</v>
      </c>
      <c r="V14" s="700">
        <f>IF(OR(F14="",G14="",U14=""),"",IF(C14="売",(F14-U14)*G14,(U14-F14)*G14))</f>
        <v>-13200</v>
      </c>
      <c r="W14" s="487">
        <f>IF(OR($E14="",$B14=""),"",IF($T14&lt;&gt;"",$T14-$E14,TODAY()-$E14)+1)</f>
        <v>3</v>
      </c>
      <c r="X14" s="484" t="str">
        <f>IF(OR($AH14="",$AH14="保有中"),"",$AH14)</f>
        <v>損切確定</v>
      </c>
      <c r="Y14" s="488">
        <f>IF($B14="","",IF(COUNTIFS($B$4:$B14,$B14,$C$4:$C14,$C14)&gt;1,"⛔重複"&amp;COUNTIFS($B$4:$B14,$B14,$C$4:$C14,$C14)&amp;"回目",""))</f>
      </c>
      <c r="Z14" s="710">
        <v>21</v>
      </c>
      <c r="AA14" s="600" t="s">
        <v>1331</v>
      </c>
      <c r="AB14">
        <f>IF($F14="","",MAX(100,ROUNDDOWN($AX$4/($F14*$AX$2)/100,0)*100))</f>
      </c>
      <c r="AC14">
        <f>IF(OR($F14="",$G14="",$U14=""),"",ROUND($V14-($F14+$U14)*$G14*$AX$6-IF($C14="売",$F14*$G14*$AX$7*$W14/365,0),0))</f>
      </c>
      <c r="AD14" s="608" t="s">
        <v>1324</v>
      </c>
      <c r="AE14" s="625">
        <f>IF($E14="","",WORKDAY($E14,12))</f>
        <v>46247</v>
      </c>
      <c r="AF14" s="627"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27"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1" t="str">
        <f>IF(OR($B14="",$M14=""),"",IF(AND(N($AF14)=0,N($AG14)=0),IF(AND(ISNUMBER($H14),$H14&gt;0,IF($C14="売",$H14&gt;=$N14,$H14&lt;=$N14)),"損切確定",IF(AND(ISNUMBER($H14),$H14&gt;0,IF($C14="売",$H14&lt;=$M14,$H14&gt;=$M14)),"利益確定",IF($AE14&lt;=TODAY(),"日数制限","保有中"))),IF(N($AG14)=0,"利益確定",IF(N($AF14)=0,"損切確定",IF($AG14&lt;=$AF14,"損切確定","利益確定")))))</f>
        <v>損切確定</v>
      </c>
      <c r="AI14" s="601" t="str" cm="1">
        <f t="array" ref="AI14">IFERROR(INDEX(始値!$E$6:$BT$305,MATCH(TEXT($B14,"0"),TEXT(銘柄管理!$B$6:$B$305,"0"),0),MATCH($AE14,始値!$E$3:$BT$3,0)),"")</f>
        <v/>
      </c>
      <c r="AJ14" s="905">
        <f>IF(OR($V14="",$F14="",$G14=""),"",$V14/($F14*$G14))</f>
        <v>-3.9879154078549847E-2</v>
      </c>
      <c r="AK14" s="629" t="str">
        <f>IF($V14="","",IF($V14&gt;0,"○勝",IF($V14&lt;0,"●負","△引分")))</f>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5" ht="35.4" customHeight="1" thickTop="1">
      <c r="A15" s="619" t="str">
        <f>IF(B15="","",HYPERLINK("https://kabutan.jp/stock/?code="&amp;B15,"株探"))</f>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IF(OR(F15="",G15="",H15=""),"",IF(C15="売",(F15-H15)*G15,(H15-F15)*G15))</f>
        <v>-20800</v>
      </c>
      <c r="L15" s="705">
        <f>IF(OR(F15="",H15=""),"",IF(C15="売",(F15-H15)/F15,(H15-F15)/F15))</f>
        <v>-5.2379753210778139E-2</v>
      </c>
      <c r="M15" s="485">
        <f>IF($F15="","",IF($C15="売",CEILING($F15*IF($C15="売",1-$AX$3,1+$AX$3),IF($F15*IF($C15="売",1-$AX$3,1+$AX$3)&lt;=3000,1,IF($F15*IF($C15="売",1-$AX$3,1+$AX$3)&lt;=5000,5,IF($F15*IF($C15="売",1-$AX$3,1+$AX$3)&lt;=30000,10,IF($F15*IF($C15="売",1-$AX$3,1+$AX$3)&lt;=50000,50,IF($F15*IF($C15="売",1-$AX$3,1+$AX$3)&lt;=300000,100,500)))))),FLOOR($F15*IF($C15="売",1-$AX$3,1+$AX$3),IF($F15*IF($C15="売",1-$AX$3,1+$AX$3)&lt;=3000,1,IF($F15*IF($C15="売",1-$AX$3,1+$AX$3)&lt;=5000,5,IF($F15*IF($C15="売",1-$AX$3,1+$AX$3)&lt;=30000,10,IF($F15*IF($C15="売",1-$AX$3,1+$AX$3)&lt;=50000,50,IF($F15*IF($C15="売",1-$AX$3,1+$AX$3)&lt;=300000,100,500))))))))</f>
      </c>
      <c r="N15" s="485">
        <f>IF($F15="","",IF($C15="売",CEILING($F15*IF($C15="売",1+$AX$2,1-$AX$2),IF($F15*IF($C15="売",1+$AX$2,1-$AX$2)&lt;=3000,1,IF($F15*IF($C15="売",1+$AX$2,1-$AX$2)&lt;=5000,5,IF($F15*IF($C15="売",1+$AX$2,1-$AX$2)&lt;=30000,10,IF($F15*IF($C15="売",1+$AX$2,1-$AX$2)&lt;=50000,50,IF($F15*IF($C15="売",1+$AX$2,1-$AX$2)&lt;=300000,100,500)))))),FLOOR($F15*IF($C15="売",1+$AX$2,1-$AX$2),IF($F15*IF($C15="売",1+$AX$2,1-$AX$2)&lt;=3000,1,IF($F15*IF($C15="売",1+$AX$2,1-$AX$2)&lt;=5000,5,IF($F15*IF($C15="売",1+$AX$2,1-$AX$2)&lt;=30000,10,IF($F15*IF($C15="売",1+$AX$2,1-$AX$2)&lt;=50000,50,IF($F15*IF($C15="売",1+$AX$2,1-$AX$2)&lt;=300000,100,500))))))))</f>
      </c>
      <c r="O15" s="486" t="str">
        <f>IF(OR($B15="",$F15="",$H15=""),"",IF($S15="✅売却済","―決済済―",IF($C15="売",IF($H15&lt;=$M15,"🟢利確",IF(AND($R15&lt;&gt;"",$H15&gt;=$R15),"🟠TRAIL決済",IF($H15&gt;=$N15,"🔴損切",IF($W15&gt;=$AX$5,"⏱時間決済",IF($H15&gt;=$F15*(1+$AX$2*0.7),"⚠️損切接近","保持継続"))))),IF($H15&gt;=$M15,"🟢利確",IF(AND($R15&lt;&gt;"",$H15&lt;=$R15),"🟠TRAIL決済",IF($H15&lt;=$N15,"🔴損切",IF($W15&gt;=$AX$5,"⏱時間決済",IF($H15&lt;=$F15*(1-$AX$2*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IF($H15&gt;$F15*(1-$AX$2),$N15,CEILING(MIN($N15,IF($Q15="",$N15,$Q15*1.03)),IF($N15&lt;=3000,1,IF($N15&lt;=5000,5,IF($N15&lt;=30000,10,IF($N15&lt;=50000,50,IF($N15&lt;=300000,100,500))))))),IF($H15&lt;$F15*(1+$AX$2),$N15,FLOOR(MAX($N15,IF($P15="",$N15,$P15*0.97)),IF($N15&lt;=3000,1,IF($N15&lt;=5000,5,IF($N15&lt;=30000,10,IF($N15&lt;=50000,50,IF($N15&lt;=300000,100,500))))))))))</f>
      </c>
      <c r="S15" s="585" t="str">
        <f>IF(B15="","",IF(T15&lt;&gt;"","✅売却済",IF(OR(H15="",L15=""),"📌保有中",IF(L15&gt;=0.06,"🟢利確推奨",IF(L15&gt;=0.05,"🟡利確直近",IF(L15&gt;=0.045,"🔵トレーリング検討",IF(L15&gt;-0.03,"📌保有中",IF(L15&gt;-0.04,"⚠️損切注意","🔴損切り"))))))))</f>
        <v>✅売却済</v>
      </c>
      <c r="T15" s="593">
        <v>46237</v>
      </c>
      <c r="U15" s="485">
        <v>3812</v>
      </c>
      <c r="V15" s="700">
        <f>IF(OR(F15="",G15="",U15=""),"",IF(C15="売",(F15-U15)*G15,(U15-F15)*G15))</f>
        <v>-15900</v>
      </c>
      <c r="W15" s="487">
        <f>IF(OR($E15="",$B15=""),"",IF($T15&lt;&gt;"",$T15-$E15,TODAY()-$E15)+1)</f>
        <v>7</v>
      </c>
      <c r="X15" s="484" t="str">
        <f>IF(OR($AH15="",$AH15="保有中"),"",$AH15)</f>
        <v>損切確定</v>
      </c>
      <c r="Y15" s="488">
        <f>IF($B15="","",IF(COUNTIFS($B$4:$B15,$B15,$C$4:$C15,$C15)&gt;1,"⛔重複"&amp;COUNTIFS($B$4:$B15,$B15,$C$4:$C15,$C15)&amp;"回目",""))</f>
      </c>
      <c r="Z15" s="710">
        <v>20</v>
      </c>
      <c r="AA15" s="600" t="s">
        <v>1332</v>
      </c>
      <c r="AB15">
        <f>IF($F15="","",MAX(100,ROUNDDOWN($AX$4/($F15*$AX$2)/100,0)*100))</f>
      </c>
      <c r="AC15">
        <f>IF(OR($F15="",$G15="",$U15=""),"",ROUND($V15-($F15+$U15)*$G15*$AX$6-IF($C15="売",$F15*$G15*$AX$7*$W15/365,0),0))</f>
      </c>
      <c r="AD15" s="608" t="s">
        <v>1324</v>
      </c>
      <c r="AE15" s="625">
        <f>IF($E15="","",WORKDAY($E15,12))</f>
        <v>46247</v>
      </c>
      <c r="AF15" s="627"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27"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1" t="str">
        <f>IF(OR($B15="",$M15=""),"",IF(AND(N($AF15)=0,N($AG15)=0),IF(AND(ISNUMBER($H15),$H15&gt;0,IF($C15="売",$H15&gt;=$N15,$H15&lt;=$N15)),"損切確定",IF(AND(ISNUMBER($H15),$H15&gt;0,IF($C15="売",$H15&lt;=$M15,$H15&gt;=$M15)),"利益確定",IF($AE15&lt;=TODAY(),"日数制限","保有中"))),IF(N($AG15)=0,"利益確定",IF(N($AF15)=0,"損切確定",IF($AG15&lt;=$AF15,"損切確定","利益確定")))))</f>
        <v>損切確定</v>
      </c>
      <c r="AI15" s="601" t="str" cm="1">
        <f t="array" ref="AI15">IFERROR(INDEX(始値!$E$6:$BT$305,MATCH(TEXT($B15,"0"),TEXT(銘柄管理!$B$6:$B$305,"0"),0),MATCH($AE15,始値!$E$3:$BT$3,0)),"")</f>
        <v/>
      </c>
      <c r="AJ15" s="905">
        <f>IF(OR($V15="",$F15="",$G15=""),"",$V15/($F15*$G15))</f>
        <v>-4.0040292117854447E-2</v>
      </c>
      <c r="AK15" s="629" t="str">
        <f>IF($V15="","",IF($V15&gt;0,"○勝",IF($V15&lt;0,"●負","△引分")))</f>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5" ht="35.4" customHeight="1">
      <c r="A16" s="619" t="str">
        <f>IF(B16="","",HYPERLINK("https://kabutan.jp/stock/?code="&amp;B16,"株探"))</f>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IF(OR(F16="",G16="",H16=""),"",IF(C16="売",(F16-H16)*G16,(H16-F16)*G16))</f>
        <v>-29000</v>
      </c>
      <c r="L16" s="705">
        <f>IF(OR(F16="",H16=""),"",IF(C16="売",(F16-H16)/F16,(H16-F16)/F16))</f>
        <v>-6.8883610451306407E-2</v>
      </c>
      <c r="M16" s="485">
        <f>IF($F16="","",IF($C16="売",CEILING($F16*IF($C16="売",1-$AX$3,1+$AX$3),IF($F16*IF($C16="売",1-$AX$3,1+$AX$3)&lt;=3000,1,IF($F16*IF($C16="売",1-$AX$3,1+$AX$3)&lt;=5000,5,IF($F16*IF($C16="売",1-$AX$3,1+$AX$3)&lt;=30000,10,IF($F16*IF($C16="売",1-$AX$3,1+$AX$3)&lt;=50000,50,IF($F16*IF($C16="売",1-$AX$3,1+$AX$3)&lt;=300000,100,500)))))),FLOOR($F16*IF($C16="売",1-$AX$3,1+$AX$3),IF($F16*IF($C16="売",1-$AX$3,1+$AX$3)&lt;=3000,1,IF($F16*IF($C16="売",1-$AX$3,1+$AX$3)&lt;=5000,5,IF($F16*IF($C16="売",1-$AX$3,1+$AX$3)&lt;=30000,10,IF($F16*IF($C16="売",1-$AX$3,1+$AX$3)&lt;=50000,50,IF($F16*IF($C16="売",1-$AX$3,1+$AX$3)&lt;=300000,100,500))))))))</f>
      </c>
      <c r="N16" s="485">
        <f>IF($F16="","",IF($C16="売",CEILING($F16*IF($C16="売",1+$AX$2,1-$AX$2),IF($F16*IF($C16="売",1+$AX$2,1-$AX$2)&lt;=3000,1,IF($F16*IF($C16="売",1+$AX$2,1-$AX$2)&lt;=5000,5,IF($F16*IF($C16="売",1+$AX$2,1-$AX$2)&lt;=30000,10,IF($F16*IF($C16="売",1+$AX$2,1-$AX$2)&lt;=50000,50,IF($F16*IF($C16="売",1+$AX$2,1-$AX$2)&lt;=300000,100,500)))))),FLOOR($F16*IF($C16="売",1+$AX$2,1-$AX$2),IF($F16*IF($C16="売",1+$AX$2,1-$AX$2)&lt;=3000,1,IF($F16*IF($C16="売",1+$AX$2,1-$AX$2)&lt;=5000,5,IF($F16*IF($C16="売",1+$AX$2,1-$AX$2)&lt;=30000,10,IF($F16*IF($C16="売",1+$AX$2,1-$AX$2)&lt;=50000,50,IF($F16*IF($C16="売",1+$AX$2,1-$AX$2)&lt;=300000,100,500))))))))</f>
      </c>
      <c r="O16" s="486" t="str">
        <f>IF(OR($B16="",$F16="",$H16=""),"",IF($S16="✅売却済","―決済済―",IF($C16="売",IF($H16&lt;=$M16,"🟢利確",IF(AND($R16&lt;&gt;"",$H16&gt;=$R16),"🟠TRAIL決済",IF($H16&gt;=$N16,"🔴損切",IF($W16&gt;=$AX$5,"⏱時間決済",IF($H16&gt;=$F16*(1+$AX$2*0.7),"⚠️損切接近","保持継続"))))),IF($H16&gt;=$M16,"🟢利確",IF(AND($R16&lt;&gt;"",$H16&lt;=$R16),"🟠TRAIL決済",IF($H16&lt;=$N16,"🔴損切",IF($W16&gt;=$AX$5,"⏱時間決済",IF($H16&lt;=$F16*(1-$AX$2*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IF($H16&gt;$F16*(1-$AX$2),$N16,CEILING(MIN($N16,IF($Q16="",$N16,$Q16*1.03)),IF($N16&lt;=3000,1,IF($N16&lt;=5000,5,IF($N16&lt;=30000,10,IF($N16&lt;=50000,50,IF($N16&lt;=300000,100,500))))))),IF($H16&lt;$F16*(1+$AX$2),$N16,FLOOR(MAX($N16,IF($P16="",$N16,$P16*0.97)),IF($N16&lt;=3000,1,IF($N16&lt;=5000,5,IF($N16&lt;=30000,10,IF($N16&lt;=50000,50,IF($N16&lt;=300000,100,500))))))))))</f>
      </c>
      <c r="S16" s="585" t="str">
        <f>IF(B16="","",IF(T16&lt;&gt;"","✅売却済",IF(OR(H16="",L16=""),"📌保有中",IF(L16&gt;=0.06,"🟢利確推奨",IF(L16&gt;=0.05,"🟡利確直近",IF(L16&gt;=0.045,"🔵トレーリング検討",IF(L16&gt;-0.03,"📌保有中",IF(L16&gt;-0.04,"⚠️損切注意","🔴損切り"))))))))</f>
        <v>✅売却済</v>
      </c>
      <c r="T16" s="593">
        <v>46238</v>
      </c>
      <c r="U16" s="485">
        <v>4378</v>
      </c>
      <c r="V16" s="700">
        <f>IF(OR(F16="",G16="",U16=""),"",IF(C16="売",(F16-U16)*G16,(U16-F16)*G16))</f>
        <v>-16800</v>
      </c>
      <c r="W16" s="487">
        <f>IF(OR($E16="",$B16=""),"",IF($T16&lt;&gt;"",$T16-$E16,TODAY()-$E16)+1)</f>
        <v>8</v>
      </c>
      <c r="X16" s="484" t="str">
        <f>IF(OR($AH16="",$AH16="保有中"),"",$AH16)</f>
        <v>損切確定</v>
      </c>
      <c r="Y16" s="488">
        <f>IF($B16="","",IF(COUNTIFS($B$4:$B16,$B16,$C$4:$C16,$C16)&gt;1,"⛔重複"&amp;COUNTIFS($B$4:$B16,$B16,$C$4:$C16,$C16)&amp;"回目",""))</f>
      </c>
      <c r="Z16" s="710">
        <v>14</v>
      </c>
      <c r="AA16" s="600" t="s">
        <v>1333</v>
      </c>
      <c r="AB16">
        <f>IF($F16="","",MAX(100,ROUNDDOWN($AX$4/($F16*$AX$2)/100,0)*100))</f>
      </c>
      <c r="AC16">
        <f>IF(OR($F16="",$G16="",$U16=""),"",ROUND($V16-($F16+$U16)*$G16*$AX$6-IF($C16="売",$F16*$G16*$AX$7*$W16/365,0),0))</f>
      </c>
      <c r="AD16" s="608" t="s">
        <v>1325</v>
      </c>
      <c r="AE16" s="625">
        <f>IF($E16="","",WORKDAY($E16,12))</f>
        <v>46247</v>
      </c>
      <c r="AF16" s="627"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27"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1" t="str">
        <f>IF(OR($B16="",$M16=""),"",IF(AND(N($AF16)=0,N($AG16)=0),IF(AND(ISNUMBER($H16),$H16&gt;0,IF($C16="売",$H16&gt;=$N16,$H16&lt;=$N16)),"損切確定",IF(AND(ISNUMBER($H16),$H16&gt;0,IF($C16="売",$H16&lt;=$M16,$H16&gt;=$M16)),"利益確定",IF($AE16&lt;=TODAY(),"日数制限","保有中"))),IF(N($AG16)=0,"利益確定",IF(N($AF16)=0,"損切確定",IF($AG16&lt;=$AF16,"損切確定","利益確定")))))</f>
        <v>損切確定</v>
      </c>
      <c r="AI16" s="601" t="str" cm="1">
        <f t="array" ref="AI16">IFERROR(INDEX(始値!$E$6:$BT$305,MATCH(TEXT($B16,"0"),TEXT(銘柄管理!$B$6:$B$305,"0"),0),MATCH($AE16,始値!$E$3:$BT$3,0)),"")</f>
        <v/>
      </c>
      <c r="AJ16" s="905">
        <f>IF(OR($V16="",$F16="",$G16=""),"",$V16/($F16*$G16))</f>
        <v>-3.9904988123515436E-2</v>
      </c>
      <c r="AK16" s="629" t="str">
        <f>IF($V16="","",IF($V16&gt;0,"○勝",IF($V16&lt;0,"●負","△引分")))</f>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IF(B17="","",HYPERLINK("https://kabutan.jp/stock/?code="&amp;B17,"株探"))</f>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IF(OR(F17="",G17="",H17=""),"",IF(C17="売",(F17-H17)*G17,(H17-F17)*G17))</f>
        <v>-1900</v>
      </c>
      <c r="L17" s="705">
        <f>IF(OR(F17="",H17=""),"",IF(C17="売",(F17-H17)/F17,(H17-F17)/F17))</f>
        <v>-4.8469387755102039E-2</v>
      </c>
      <c r="M17" s="485">
        <f>IF($F17="","",IF($C17="売",CEILING($F17*IF($C17="売",1-$AX$3,1+$AX$3),IF($F17*IF($C17="売",1-$AX$3,1+$AX$3)&lt;=3000,1,IF($F17*IF($C17="売",1-$AX$3,1+$AX$3)&lt;=5000,5,IF($F17*IF($C17="売",1-$AX$3,1+$AX$3)&lt;=30000,10,IF($F17*IF($C17="売",1-$AX$3,1+$AX$3)&lt;=50000,50,IF($F17*IF($C17="売",1-$AX$3,1+$AX$3)&lt;=300000,100,500)))))),FLOOR($F17*IF($C17="売",1-$AX$3,1+$AX$3),IF($F17*IF($C17="売",1-$AX$3,1+$AX$3)&lt;=3000,1,IF($F17*IF($C17="売",1-$AX$3,1+$AX$3)&lt;=5000,5,IF($F17*IF($C17="売",1-$AX$3,1+$AX$3)&lt;=30000,10,IF($F17*IF($C17="売",1-$AX$3,1+$AX$3)&lt;=50000,50,IF($F17*IF($C17="売",1-$AX$3,1+$AX$3)&lt;=300000,100,500))))))))</f>
      </c>
      <c r="N17" s="485">
        <f>IF($F17="","",IF($C17="売",CEILING($F17*IF($C17="売",1+$AX$2,1-$AX$2),IF($F17*IF($C17="売",1+$AX$2,1-$AX$2)&lt;=3000,1,IF($F17*IF($C17="売",1+$AX$2,1-$AX$2)&lt;=5000,5,IF($F17*IF($C17="売",1+$AX$2,1-$AX$2)&lt;=30000,10,IF($F17*IF($C17="売",1+$AX$2,1-$AX$2)&lt;=50000,50,IF($F17*IF($C17="売",1+$AX$2,1-$AX$2)&lt;=300000,100,500)))))),FLOOR($F17*IF($C17="売",1+$AX$2,1-$AX$2),IF($F17*IF($C17="売",1+$AX$2,1-$AX$2)&lt;=3000,1,IF($F17*IF($C17="売",1+$AX$2,1-$AX$2)&lt;=5000,5,IF($F17*IF($C17="売",1+$AX$2,1-$AX$2)&lt;=30000,10,IF($F17*IF($C17="売",1+$AX$2,1-$AX$2)&lt;=50000,50,IF($F17*IF($C17="売",1+$AX$2,1-$AX$2)&lt;=300000,100,500))))))))</f>
      </c>
      <c r="O17" s="486" t="str">
        <f>IF(OR($B17="",$F17="",$H17=""),"",IF($S17="✅売却済","―決済済―",IF($C17="売",IF($H17&lt;=$M17,"🟢利確",IF(AND($R17&lt;&gt;"",$H17&gt;=$R17),"🟠TRAIL決済",IF($H17&gt;=$N17,"🔴損切",IF($W17&gt;=$AX$5,"⏱時間決済",IF($H17&gt;=$F17*(1+$AX$2*0.7),"⚠️損切接近","保持継続"))))),IF($H17&gt;=$M17,"🟢利確",IF(AND($R17&lt;&gt;"",$H17&lt;=$R17),"🟠TRAIL決済",IF($H17&lt;=$N17,"🔴損切",IF($W17&gt;=$AX$5,"⏱時間決済",IF($H17&lt;=$F17*(1-$AX$2*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IF($H17&gt;$F17*(1-$AX$2),$N17,CEILING(MIN($N17,IF($Q17="",$N17,$Q17*1.03)),IF($N17&lt;=3000,1,IF($N17&lt;=5000,5,IF($N17&lt;=30000,10,IF($N17&lt;=50000,50,IF($N17&lt;=300000,100,500))))))),IF($H17&lt;$F17*(1+$AX$2),$N17,FLOOR(MAX($N17,IF($P17="",$N17,$P17*0.97)),IF($N17&lt;=3000,1,IF($N17&lt;=5000,5,IF($N17&lt;=30000,10,IF($N17&lt;=50000,50,IF($N17&lt;=300000,100,500))))))))))</f>
      </c>
      <c r="S17" s="585" t="str">
        <f>IF(B17="","",IF(T17&lt;&gt;"","✅売却済",IF(OR(H17="",L17=""),"📌保有中",IF(L17&gt;=0.06,"🟢利確推奨",IF(L17&gt;=0.05,"🟡利確直近",IF(L17&gt;=0.045,"🔵トレーリング検討",IF(L17&gt;-0.03,"📌保有中",IF(L17&gt;-0.04,"⚠️損切注意","🔴損切り"))))))))</f>
        <v>✅売却済</v>
      </c>
      <c r="T17" s="593">
        <v>46240</v>
      </c>
      <c r="U17" s="485">
        <v>408</v>
      </c>
      <c r="V17" s="700">
        <f>IF(OR(F17="",G17="",U17=""),"",IF(C17="売",(F17-U17)*G17,(U17-F17)*G17))</f>
        <v>-1600</v>
      </c>
      <c r="W17" s="487">
        <f>IF(OR($E17="",$B17=""),"",IF($T17&lt;&gt;"",$T17-$E17,TODAY()-$E17)+1)</f>
        <v>10</v>
      </c>
      <c r="X17" s="484" t="str">
        <f>IF(OR($AH17="",$AH17="保有中"),"",$AH17)</f>
        <v>損切確定</v>
      </c>
      <c r="Y17" s="488">
        <f>IF($B17="","",IF(COUNTIFS($B$4:$B17,$B17,$C$4:$C17,$C17)&gt;1,"⛔重複"&amp;COUNTIFS($B$4:$B17,$B17,$C$4:$C17,$C17)&amp;"回目",""))</f>
      </c>
      <c r="Z17" s="710">
        <v>14</v>
      </c>
      <c r="AA17" s="600" t="s">
        <v>1334</v>
      </c>
      <c r="AB17">
        <f>IF($F17="","",MAX(100,ROUNDDOWN($AX$4/($F17*$AX$2)/100,0)*100))</f>
      </c>
      <c r="AC17">
        <f>IF(OR($F17="",$G17="",$U17=""),"",ROUND($V17-($F17+$U17)*$G17*$AX$6-IF($C17="売",$F17*$G17*$AX$7*$W17/365,0),0))</f>
      </c>
      <c r="AD17" s="608" t="s">
        <v>1325</v>
      </c>
      <c r="AE17" s="625">
        <f>IF($E17="","",WORKDAY($E17,12))</f>
        <v>46247</v>
      </c>
      <c r="AF17" s="627"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27"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46240</v>
      </c>
      <c r="AH17" s="601" t="str">
        <f>IF(OR($B17="",$M17=""),"",IF(AND(N($AF17)=0,N($AG17)=0),IF(AND(ISNUMBER($H17),$H17&gt;0,IF($C17="売",$H17&gt;=$N17,$H17&lt;=$N17)),"損切確定",IF(AND(ISNUMBER($H17),$H17&gt;0,IF($C17="売",$H17&lt;=$M17,$H17&gt;=$M17)),"利益確定",IF($AE17&lt;=TODAY(),"日数制限","保有中"))),IF(N($AG17)=0,"利益確定",IF(N($AF17)=0,"損切確定",IF($AG17&lt;=$AF17,"損切確定","利益確定")))))</f>
        <v>損切確定</v>
      </c>
      <c r="AI17" s="601" t="str" cm="1">
        <f t="array" ref="AI17">IFERROR(INDEX(始値!$E$6:$BT$305,MATCH(TEXT($B17,"0"),TEXT(銘柄管理!$B$6:$B$305,"0"),0),MATCH($AE17,始値!$E$3:$BT$3,0)),"")</f>
        <v/>
      </c>
      <c r="AJ17" s="905">
        <f>IF(OR($V17="",$F17="",$G17=""),"",$V17/($F17*$G17))</f>
        <v>-4.0816326530612242E-2</v>
      </c>
      <c r="AK17" s="629" t="str">
        <f>IF($V17="","",IF($V17&gt;0,"○勝",IF($V17&lt;0,"●負","△引分")))</f>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IF(B18="","",HYPERLINK("https://kabutan.jp/stock/?code="&amp;B18,"株探"))</f>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IF(OR(F18="",G18="",H18=""),"",IF(C18="売",(F18-H18)*G18,(H18-F18)*G18))</f>
        <v>-81200</v>
      </c>
      <c r="L18" s="705">
        <f>IF(OR(F18="",H18=""),"",IF(C18="売",(F18-H18)/F18,(H18-F18)/F18))</f>
        <v>-0.14630630630630631</v>
      </c>
      <c r="M18" s="485">
        <f>IF($F18="","",IF($C18="売",CEILING($F18*IF($C18="売",1-$AX$3,1+$AX$3),IF($F18*IF($C18="売",1-$AX$3,1+$AX$3)&lt;=3000,1,IF($F18*IF($C18="売",1-$AX$3,1+$AX$3)&lt;=5000,5,IF($F18*IF($C18="売",1-$AX$3,1+$AX$3)&lt;=30000,10,IF($F18*IF($C18="売",1-$AX$3,1+$AX$3)&lt;=50000,50,IF($F18*IF($C18="売",1-$AX$3,1+$AX$3)&lt;=300000,100,500)))))),FLOOR($F18*IF($C18="売",1-$AX$3,1+$AX$3),IF($F18*IF($C18="売",1-$AX$3,1+$AX$3)&lt;=3000,1,IF($F18*IF($C18="売",1-$AX$3,1+$AX$3)&lt;=5000,5,IF($F18*IF($C18="売",1-$AX$3,1+$AX$3)&lt;=30000,10,IF($F18*IF($C18="売",1-$AX$3,1+$AX$3)&lt;=50000,50,IF($F18*IF($C18="売",1-$AX$3,1+$AX$3)&lt;=300000,100,500))))))))</f>
      </c>
      <c r="N18" s="485">
        <f>IF($F18="","",IF($C18="売",CEILING($F18*IF($C18="売",1+$AX$2,1-$AX$2),IF($F18*IF($C18="売",1+$AX$2,1-$AX$2)&lt;=3000,1,IF($F18*IF($C18="売",1+$AX$2,1-$AX$2)&lt;=5000,5,IF($F18*IF($C18="売",1+$AX$2,1-$AX$2)&lt;=30000,10,IF($F18*IF($C18="売",1+$AX$2,1-$AX$2)&lt;=50000,50,IF($F18*IF($C18="売",1+$AX$2,1-$AX$2)&lt;=300000,100,500)))))),FLOOR($F18*IF($C18="売",1+$AX$2,1-$AX$2),IF($F18*IF($C18="売",1+$AX$2,1-$AX$2)&lt;=3000,1,IF($F18*IF($C18="売",1+$AX$2,1-$AX$2)&lt;=5000,5,IF($F18*IF($C18="売",1+$AX$2,1-$AX$2)&lt;=30000,10,IF($F18*IF($C18="売",1+$AX$2,1-$AX$2)&lt;=50000,50,IF($F18*IF($C18="売",1+$AX$2,1-$AX$2)&lt;=300000,100,500))))))))</f>
      </c>
      <c r="O18" s="486" t="str">
        <f>IF(OR($B18="",$F18="",$H18=""),"",IF($S18="✅売却済","―決済済―",IF($C18="売",IF($H18&lt;=$M18,"🟢利確",IF(AND($R18&lt;&gt;"",$H18&gt;=$R18),"🟠TRAIL決済",IF($H18&gt;=$N18,"🔴損切",IF($W18&gt;=$AX$5,"⏱時間決済",IF($H18&gt;=$F18*(1+$AX$2*0.7),"⚠️損切接近","保持継続"))))),IF($H18&gt;=$M18,"🟢利確",IF(AND($R18&lt;&gt;"",$H18&lt;=$R18),"🟠TRAIL決済",IF($H18&lt;=$N18,"🔴損切",IF($W18&gt;=$AX$5,"⏱時間決済",IF($H18&lt;=$F18*(1-$AX$2*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IF($H18&gt;$F18*(1-$AX$2),$N18,CEILING(MIN($N18,IF($Q18="",$N18,$Q18*1.03)),IF($N18&lt;=3000,1,IF($N18&lt;=5000,5,IF($N18&lt;=30000,10,IF($N18&lt;=50000,50,IF($N18&lt;=300000,100,500))))))),IF($H18&lt;$F18*(1+$AX$2),$N18,FLOOR(MAX($N18,IF($P18="",$N18,$P18*0.97)),IF($N18&lt;=3000,1,IF($N18&lt;=5000,5,IF($N18&lt;=30000,10,IF($N18&lt;=50000,50,IF($N18&lt;=300000,100,500))))))))))</f>
      </c>
      <c r="S18" s="585" t="str">
        <f>IF(B18="","",IF(T18&lt;&gt;"","✅売却済",IF(OR(H18="",L18=""),"📌保有中",IF(L18&gt;=0.06,"🟢利確推奨",IF(L18&gt;=0.05,"🟡利確直近",IF(L18&gt;=0.045,"🔵トレーリング検討",IF(L18&gt;-0.03,"📌保有中",IF(L18&gt;-0.04,"⚠️損切注意","🔴損切り"))))))))</f>
        <v>✅売却済</v>
      </c>
      <c r="T18" s="593">
        <v>46234</v>
      </c>
      <c r="U18" s="485">
        <v>5328</v>
      </c>
      <c r="V18" s="700">
        <f>IF(OR(F18="",G18="",U18=""),"",IF(C18="売",(F18-U18)*G18,(U18-F18)*G18))</f>
        <v>-22200</v>
      </c>
      <c r="W18" s="487">
        <f>IF(OR($E18="",$B18=""),"",IF($T18&lt;&gt;"",$T18-$E18,TODAY()-$E18)+1)</f>
        <v>3</v>
      </c>
      <c r="X18" s="484" t="str">
        <f>IF(OR($AH18="",$AH18="保有中"),"",$AH18)</f>
        <v>損切確定</v>
      </c>
      <c r="Y18" s="488">
        <f>IF($B18="","",IF(COUNTIFS($B$4:$B18,$B18,$C$4:$C18,$C18)&gt;1,"⛔重複"&amp;COUNTIFS($B$4:$B18,$B18,$C$4:$C18,$C18)&amp;"回目",""))</f>
      </c>
      <c r="Z18" s="710">
        <v>13</v>
      </c>
      <c r="AA18" s="600" t="s">
        <v>1349</v>
      </c>
      <c r="AB18">
        <f>IF($F18="","",MAX(100,ROUNDDOWN($AX$4/($F18*$AX$2)/100,0)*100))</f>
      </c>
      <c r="AC18">
        <f>IF(OR($F18="",$G18="",$U18=""),"",ROUND($V18-($F18+$U18)*$G18*$AX$6-IF($C18="売",$F18*$G18*$AX$7*$W18/365,0),0))</f>
      </c>
      <c r="AD18" s="616" t="s">
        <v>1322</v>
      </c>
      <c r="AE18" s="625">
        <f>IF($E18="","",WORKDAY($E18,12))</f>
        <v>46248</v>
      </c>
      <c r="AF18" s="627"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27"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1" t="str">
        <f>IF(OR($B18="",$M18=""),"",IF(AND(N($AF18)=0,N($AG18)=0),IF(AND(ISNUMBER($H18),$H18&gt;0,IF($C18="売",$H18&gt;=$N18,$H18&lt;=$N18)),"損切確定",IF(AND(ISNUMBER($H18),$H18&gt;0,IF($C18="売",$H18&lt;=$M18,$H18&gt;=$M18)),"利益確定",IF($AE18&lt;=TODAY(),"日数制限","保有中"))),IF(N($AG18)=0,"利益確定",IF(N($AF18)=0,"損切確定",IF($AG18&lt;=$AF18,"損切確定","利益確定")))))</f>
        <v>損切確定</v>
      </c>
      <c r="AI18" s="601" t="str" cm="1">
        <f t="array" ref="AI18">IFERROR(INDEX(始値!$E$6:$BT$305,MATCH(TEXT($B18,"0"),TEXT(銘柄管理!$B$6:$B$305,"0"),0),MATCH($AE18,始値!$E$3:$BT$3,0)),"")</f>
        <v/>
      </c>
      <c r="AJ18" s="905">
        <f>IF(OR($V18="",$F18="",$G18=""),"",$V18/($F18*$G18))</f>
        <v>-0.04</v>
      </c>
      <c r="AK18" s="629" t="str">
        <f>IF($V18="","",IF($V18&gt;0,"○勝",IF($V18&lt;0,"●負","△引分")))</f>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IF($AM18="","",IF(COUNTIFS($B:$B,$AM18,$E:$E,$AM$11)&gt;0,"✅追記済","→未追記"))</f>
        <v>✅追記済</v>
      </c>
      <c r="BB18" s="600" t="str">
        <f>IF(N(買抽出v13!$C18)=0,"",N(買抽出v13!$Q18)+N(買抽出v13!$L18)/1000-ROW()/1000000)</f>
        <v/>
      </c>
      <c r="BC18" s="600" t="str">
        <f>IF(N(売抽出v13!$C18)=0,"",N(売抽出v13!$Q18)+IFERROR(VALUE(SUBSTITUTE(売抽出v13!$L18,"倍","")),0)/1000-ROW()/1000000)</f>
        <v/>
      </c>
    </row>
    <row r="19" spans="1:55" ht="35.4" customHeight="1">
      <c r="A19" s="619" t="str">
        <f>IF(B19="","",HYPERLINK("https://kabutan.jp/stock/?code="&amp;B19,"株探"))</f>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IF(OR(F19="",G19="",H19=""),"",IF(C19="売",(F19-H19)*G19,(H19-F19)*G19))</f>
        <v>-15000</v>
      </c>
      <c r="L19" s="705">
        <f>IF(OR(F19="",H19=""),"",IF(C19="売",(F19-H19)/F19,(H19-F19)/F19))</f>
        <v>-3.2873109796186718E-2</v>
      </c>
      <c r="M19" s="485">
        <f>IF($F19="","",IF($C19="売",CEILING($F19*IF($C19="売",1-$AX$3,1+$AX$3),IF($F19*IF($C19="売",1-$AX$3,1+$AX$3)&lt;=3000,1,IF($F19*IF($C19="売",1-$AX$3,1+$AX$3)&lt;=5000,5,IF($F19*IF($C19="売",1-$AX$3,1+$AX$3)&lt;=30000,10,IF($F19*IF($C19="売",1-$AX$3,1+$AX$3)&lt;=50000,50,IF($F19*IF($C19="売",1-$AX$3,1+$AX$3)&lt;=300000,100,500)))))),FLOOR($F19*IF($C19="売",1-$AX$3,1+$AX$3),IF($F19*IF($C19="売",1-$AX$3,1+$AX$3)&lt;=3000,1,IF($F19*IF($C19="売",1-$AX$3,1+$AX$3)&lt;=5000,5,IF($F19*IF($C19="売",1-$AX$3,1+$AX$3)&lt;=30000,10,IF($F19*IF($C19="売",1-$AX$3,1+$AX$3)&lt;=50000,50,IF($F19*IF($C19="売",1-$AX$3,1+$AX$3)&lt;=300000,100,500))))))))</f>
      </c>
      <c r="N19" s="485">
        <f>IF($F19="","",IF($C19="売",CEILING($F19*IF($C19="売",1+$AX$2,1-$AX$2),IF($F19*IF($C19="売",1+$AX$2,1-$AX$2)&lt;=3000,1,IF($F19*IF($C19="売",1+$AX$2,1-$AX$2)&lt;=5000,5,IF($F19*IF($C19="売",1+$AX$2,1-$AX$2)&lt;=30000,10,IF($F19*IF($C19="売",1+$AX$2,1-$AX$2)&lt;=50000,50,IF($F19*IF($C19="売",1+$AX$2,1-$AX$2)&lt;=300000,100,500)))))),FLOOR($F19*IF($C19="売",1+$AX$2,1-$AX$2),IF($F19*IF($C19="売",1+$AX$2,1-$AX$2)&lt;=3000,1,IF($F19*IF($C19="売",1+$AX$2,1-$AX$2)&lt;=5000,5,IF($F19*IF($C19="売",1+$AX$2,1-$AX$2)&lt;=30000,10,IF($F19*IF($C19="売",1+$AX$2,1-$AX$2)&lt;=50000,50,IF($F19*IF($C19="売",1+$AX$2,1-$AX$2)&lt;=300000,100,500))))))))</f>
      </c>
      <c r="O19" s="486" t="str">
        <f>IF(OR($B19="",$F19="",$H19=""),"",IF($S19="✅売却済","―決済済―",IF($C19="売",IF($H19&lt;=$M19,"🟢利確",IF(AND($R19&lt;&gt;"",$H19&gt;=$R19),"🟠TRAIL決済",IF($H19&gt;=$N19,"🔴損切",IF($W19&gt;=$AX$5,"⏱時間決済",IF($H19&gt;=$F19*(1+$AX$2*0.7),"⚠️損切接近","保持継続"))))),IF($H19&gt;=$M19,"🟢利確",IF(AND($R19&lt;&gt;"",$H19&lt;=$R19),"🟠TRAIL決済",IF($H19&lt;=$N19,"🔴損切",IF($W19&gt;=$AX$5,"⏱時間決済",IF($H19&lt;=$F19*(1-$AX$2*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IF($H19&gt;$F19*(1-$AX$2),$N19,CEILING(MIN($N19,IF($Q19="",$N19,$Q19*1.03)),IF($N19&lt;=3000,1,IF($N19&lt;=5000,5,IF($N19&lt;=30000,10,IF($N19&lt;=50000,50,IF($N19&lt;=300000,100,500))))))),IF($H19&lt;$F19*(1+$AX$2),$N19,FLOOR(MAX($N19,IF($P19="",$N19,$P19*0.97)),IF($N19&lt;=3000,1,IF($N19&lt;=5000,5,IF($N19&lt;=30000,10,IF($N19&lt;=50000,50,IF($N19&lt;=300000,100,500))))))))))</f>
      </c>
      <c r="S19" s="585" t="str">
        <f>IF(B19="","",IF(T19&lt;&gt;"","✅売却済",IF(OR(H19="",L19=""),"📌保有中",IF(L19&gt;=0.06,"🟢利確推奨",IF(L19&gt;=0.05,"🟡利確直近",IF(L19&gt;=0.045,"🔵トレーリング検討",IF(L19&gt;-0.03,"📌保有中",IF(L19&gt;-0.04,"⚠️損切注意","🔴損切り"))))))))</f>
        <v>✅売却済</v>
      </c>
      <c r="T19" s="593">
        <v>46238</v>
      </c>
      <c r="U19" s="485">
        <v>4380</v>
      </c>
      <c r="V19" s="700">
        <f>IF(OR(F19="",G19="",U19=""),"",IF(C19="売",(F19-U19)*G19,(U19-F19)*G19))</f>
        <v>-18300</v>
      </c>
      <c r="W19" s="487">
        <f>IF(OR($E19="",$B19=""),"",IF($T19&lt;&gt;"",$T19-$E19,TODAY()-$E19)+1)</f>
        <v>7</v>
      </c>
      <c r="X19" s="484" t="str">
        <f>IF(OR($AH19="",$AH19="保有中"),"",$AH19)</f>
        <v>損切確定</v>
      </c>
      <c r="Y19" s="488">
        <f>IF($B19="","",IF(COUNTIFS($B$4:$B19,$B19,$C$4:$C19,$C19)&gt;1,"⛔重複"&amp;COUNTIFS($B$4:$B19,$B19,$C$4:$C19,$C19)&amp;"回目",""))</f>
      </c>
      <c r="Z19" s="710">
        <v>11</v>
      </c>
      <c r="AA19" s="600" t="s">
        <v>1350</v>
      </c>
      <c r="AB19">
        <f>IF($F19="","",MAX(100,ROUNDDOWN($AX$4/($F19*$AX$2)/100,0)*100))</f>
      </c>
      <c r="AC19">
        <f>IF(OR($F19="",$G19="",$U19=""),"",ROUND($V19-($F19+$U19)*$G19*$AX$6-IF($C19="売",$F19*$G19*$AX$7*$W19/365,0),0))</f>
      </c>
      <c r="AD19" s="616" t="s">
        <v>1322</v>
      </c>
      <c r="AE19" s="625">
        <f>IF($E19="","",WORKDAY($E19,12))</f>
        <v>46248</v>
      </c>
      <c r="AF19" s="627"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27"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1" t="str">
        <f>IF(OR($B19="",$M19=""),"",IF(AND(N($AF19)=0,N($AG19)=0),IF(AND(ISNUMBER($H19),$H19&gt;0,IF($C19="売",$H19&gt;=$N19,$H19&lt;=$N19)),"損切確定",IF(AND(ISNUMBER($H19),$H19&gt;0,IF($C19="売",$H19&lt;=$M19,$H19&gt;=$M19)),"利益確定",IF($AE19&lt;=TODAY(),"日数制限","保有中"))),IF(N($AG19)=0,"利益確定",IF(N($AF19)=0,"損切確定",IF($AG19&lt;=$AF19,"損切確定","利益確定")))))</f>
        <v>損切確定</v>
      </c>
      <c r="AI19" s="601" t="str" cm="1">
        <f t="array" ref="AI19">IFERROR(INDEX(始値!$E$6:$BT$305,MATCH(TEXT($B19,"0"),TEXT(銘柄管理!$B$6:$B$305,"0"),0),MATCH($AE19,始値!$E$3:$BT$3,0)),"")</f>
        <v/>
      </c>
      <c r="AJ19" s="905">
        <f>IF(OR($V19="",$F19="",$G19=""),"",$V19/($F19*$G19))</f>
        <v>-4.0105193951347796E-2</v>
      </c>
      <c r="AK19" s="629" t="str">
        <f>IF($V19="","",IF($V19&gt;0,"○勝",IF($V19&lt;0,"●負","△引分")))</f>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IF($AM19="","",IF(COUNTIFS($B:$B,$AM19,$E:$E,$AM$11)&gt;0,"✅追記済","→未追記"))</f>
        <v>✅追記済</v>
      </c>
      <c r="BB19" s="600" t="str">
        <f>IF(N(買抽出v13!$C19)=0,"",N(買抽出v13!$Q19)+N(買抽出v13!$L19)/1000-ROW()/1000000)</f>
        <v/>
      </c>
      <c r="BC19" s="600" t="str">
        <f>IF(N(売抽出v13!$C19)=0,"",N(売抽出v13!$Q19)+IFERROR(VALUE(SUBSTITUTE(売抽出v13!$L19,"倍","")),0)/1000-ROW()/1000000)</f>
        <v/>
      </c>
    </row>
    <row r="20" spans="1:55" ht="35.4" customHeight="1">
      <c r="A20" s="619" t="str">
        <f>IF(B20="","",HYPERLINK("https://kabutan.jp/stock/?code="&amp;B20,"株探"))</f>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IF(OR(F20="",G20="",H20=""),"",IF(C20="売",(F20-H20)*G20,(H20-F20)*G20))</f>
        <v>-170000</v>
      </c>
      <c r="L20" s="705">
        <f>IF(OR(F20="",H20=""),"",IF(C20="売",(F20-H20)/F20,(H20-F20)/F20))</f>
        <v>-0.31021897810218979</v>
      </c>
      <c r="M20" s="485">
        <f>IF($F20="","",IF($C20="売",CEILING($F20*IF($C20="売",1-$AX$3,1+$AX$3),IF($F20*IF($C20="売",1-$AX$3,1+$AX$3)&lt;=3000,1,IF($F20*IF($C20="売",1-$AX$3,1+$AX$3)&lt;=5000,5,IF($F20*IF($C20="売",1-$AX$3,1+$AX$3)&lt;=30000,10,IF($F20*IF($C20="売",1-$AX$3,1+$AX$3)&lt;=50000,50,IF($F20*IF($C20="売",1-$AX$3,1+$AX$3)&lt;=300000,100,500)))))),FLOOR($F20*IF($C20="売",1-$AX$3,1+$AX$3),IF($F20*IF($C20="売",1-$AX$3,1+$AX$3)&lt;=3000,1,IF($F20*IF($C20="売",1-$AX$3,1+$AX$3)&lt;=5000,5,IF($F20*IF($C20="売",1-$AX$3,1+$AX$3)&lt;=30000,10,IF($F20*IF($C20="売",1-$AX$3,1+$AX$3)&lt;=50000,50,IF($F20*IF($C20="売",1-$AX$3,1+$AX$3)&lt;=300000,100,500))))))))</f>
      </c>
      <c r="N20" s="485">
        <f>IF($F20="","",IF($C20="売",CEILING($F20*IF($C20="売",1+$AX$2,1-$AX$2),IF($F20*IF($C20="売",1+$AX$2,1-$AX$2)&lt;=3000,1,IF($F20*IF($C20="売",1+$AX$2,1-$AX$2)&lt;=5000,5,IF($F20*IF($C20="売",1+$AX$2,1-$AX$2)&lt;=30000,10,IF($F20*IF($C20="売",1+$AX$2,1-$AX$2)&lt;=50000,50,IF($F20*IF($C20="売",1+$AX$2,1-$AX$2)&lt;=300000,100,500)))))),FLOOR($F20*IF($C20="売",1+$AX$2,1-$AX$2),IF($F20*IF($C20="売",1+$AX$2,1-$AX$2)&lt;=3000,1,IF($F20*IF($C20="売",1+$AX$2,1-$AX$2)&lt;=5000,5,IF($F20*IF($C20="売",1+$AX$2,1-$AX$2)&lt;=30000,10,IF($F20*IF($C20="売",1+$AX$2,1-$AX$2)&lt;=50000,50,IF($F20*IF($C20="売",1+$AX$2,1-$AX$2)&lt;=300000,100,500))))))))</f>
      </c>
      <c r="O20" s="486" t="str">
        <f>IF(OR($B20="",$F20="",$H20=""),"",IF($S20="✅売却済","―決済済―",IF($C20="売",IF($H20&lt;=$M20,"🟢利確",IF(AND($R20&lt;&gt;"",$H20&gt;=$R20),"🟠TRAIL決済",IF($H20&gt;=$N20,"🔴損切",IF($W20&gt;=$AX$5,"⏱時間決済",IF($H20&gt;=$F20*(1+$AX$2*0.7),"⚠️損切接近","保持継続"))))),IF($H20&gt;=$M20,"🟢利確",IF(AND($R20&lt;&gt;"",$H20&lt;=$R20),"🟠TRAIL決済",IF($H20&lt;=$N20,"🔴損切",IF($W20&gt;=$AX$5,"⏱時間決済",IF($H20&lt;=$F20*(1-$AX$2*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IF($H20&gt;$F20*(1-$AX$2),$N20,CEILING(MIN($N20,IF($Q20="",$N20,$Q20*1.03)),IF($N20&lt;=3000,1,IF($N20&lt;=5000,5,IF($N20&lt;=30000,10,IF($N20&lt;=50000,50,IF($N20&lt;=300000,100,500))))))),IF($H20&lt;$F20*(1+$AX$2),$N20,FLOOR(MAX($N20,IF($P20="",$N20,$P20*0.97)),IF($N20&lt;=3000,1,IF($N20&lt;=5000,5,IF($N20&lt;=30000,10,IF($N20&lt;=50000,50,IF($N20&lt;=300000,100,500))))))))))</f>
      </c>
      <c r="S20" s="585" t="str">
        <f>IF(B20="","",IF(T20&lt;&gt;"","✅売却済",IF(OR(H20="",L20=""),"📌保有中",IF(L20&gt;=0.06,"🟢利確推奨",IF(L20&gt;=0.05,"🟡利確直近",IF(L20&gt;=0.045,"🔵トレーリング検討",IF(L20&gt;-0.03,"📌保有中",IF(L20&gt;-0.04,"⚠️損切注意","🔴損切り"))))))))</f>
        <v>✅売却済</v>
      </c>
      <c r="T20" s="593">
        <v>46233</v>
      </c>
      <c r="U20" s="485">
        <v>5699</v>
      </c>
      <c r="V20" s="700">
        <f>IF(OR(F20="",G20="",U20=""),"",IF(C20="売",(F20-U20)*G20,(U20-F20)*G20))</f>
        <v>-21900</v>
      </c>
      <c r="W20" s="487">
        <f>IF(OR($E20="",$B20=""),"",IF($T20&lt;&gt;"",$T20-$E20,TODAY()-$E20)+1)</f>
        <v>2</v>
      </c>
      <c r="X20" s="484" t="str">
        <f>IF(OR($AH20="",$AH20="保有中"),"",$AH20)</f>
        <v>損切確定</v>
      </c>
      <c r="Y20" s="488">
        <f>IF($B20="","",IF(COUNTIFS($B$4:$B20,$B20,$C$4:$C20,$C20)&gt;1,"⛔重複"&amp;COUNTIFS($B$4:$B20,$B20,$C$4:$C20,$C20)&amp;"回目",""))</f>
      </c>
      <c r="Z20" s="710">
        <v>19</v>
      </c>
      <c r="AA20" s="600" t="s">
        <v>1351</v>
      </c>
      <c r="AB20">
        <f>IF($F20="","",MAX(100,ROUNDDOWN($AX$4/($F20*$AX$2)/100,0)*100))</f>
      </c>
      <c r="AC20">
        <f>IF(OR($F20="",$G20="",$U20=""),"",ROUND($V20-($F20+$U20)*$G20*$AX$6-IF($C20="売",$F20*$G20*$AX$7*$W20/365,0),0))</f>
      </c>
      <c r="AD20" s="616" t="s">
        <v>1323</v>
      </c>
      <c r="AE20" s="625">
        <f>IF($E20="","",WORKDAY($E20,12))</f>
        <v>46248</v>
      </c>
      <c r="AF20" s="627"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27"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1" t="str">
        <f>IF(OR($B20="",$M20=""),"",IF(AND(N($AF20)=0,N($AG20)=0),IF(AND(ISNUMBER($H20),$H20&gt;0,IF($C20="売",$H20&gt;=$N20,$H20&lt;=$N20)),"損切確定",IF(AND(ISNUMBER($H20),$H20&gt;0,IF($C20="売",$H20&lt;=$M20,$H20&gt;=$M20)),"利益確定",IF($AE20&lt;=TODAY(),"日数制限","保有中"))),IF(N($AG20)=0,"利益確定",IF(N($AF20)=0,"損切確定",IF($AG20&lt;=$AF20,"損切確定","利益確定")))))</f>
        <v>損切確定</v>
      </c>
      <c r="AI20" s="601" t="str" cm="1">
        <f t="array" ref="AI20">IFERROR(INDEX(始値!$E$6:$BT$305,MATCH(TEXT($B20,"0"),TEXT(銘柄管理!$B$6:$B$305,"0"),0),MATCH($AE20,始値!$E$3:$BT$3,0)),"")</f>
        <v/>
      </c>
      <c r="AJ20" s="905">
        <f>IF(OR($V20="",$F20="",$G20=""),"",$V20/($F20*$G20))</f>
        <v>-3.9963503649635038E-2</v>
      </c>
      <c r="AK20" s="629" t="str">
        <f>IF($V20="","",IF($V20&gt;0,"○勝",IF($V20&lt;0,"●負","△引分")))</f>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IF($AM20="","",IF(COUNTIFS($B:$B,$AM20,$E:$E,$AM$11)&gt;0,"✅追記済","→未追記"))</f>
        <v>✅追記済</v>
      </c>
      <c r="BB20" s="600" t="str">
        <f>IF(N(買抽出v13!$C20)=0,"",N(買抽出v13!$Q20)+N(買抽出v13!$L20)/1000-ROW()/1000000)</f>
        <v/>
      </c>
      <c r="BC20" s="600" t="str">
        <f>IF(N(売抽出v13!$C20)=0,"",N(売抽出v13!$Q20)+IFERROR(VALUE(SUBSTITUTE(売抽出v13!$L20,"倍","")),0)/1000-ROW()/1000000)</f>
        <v/>
      </c>
    </row>
    <row r="21" spans="1:55" ht="35.4" customHeight="1">
      <c r="A21" s="619" t="str">
        <f>IF(B21="","",HYPERLINK("https://kabutan.jp/stock/?code="&amp;B21,"株探"))</f>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IF(OR(F21="",G21="",H21=""),"",IF(C21="売",(F21-H21)*G21,(H21-F21)*G21))</f>
        <v/>
      </c>
      <c r="L21" s="705" t="str">
        <f>IF(OR(F21="",H21=""),"",IF(C21="売",(F21-H21)/F21,(H21-F21)/F21))</f>
        <v/>
      </c>
      <c r="M21" s="485" t="str">
        <f>IF($F21="","",IF($C21="売",CEILING($F21*IF($C21="売",1-$AX$3,1+$AX$3),IF($F21*IF($C21="売",1-$AX$3,1+$AX$3)&lt;=3000,1,IF($F21*IF($C21="売",1-$AX$3,1+$AX$3)&lt;=5000,5,IF($F21*IF($C21="売",1-$AX$3,1+$AX$3)&lt;=30000,10,IF($F21*IF($C21="売",1-$AX$3,1+$AX$3)&lt;=50000,50,IF($F21*IF($C21="売",1-$AX$3,1+$AX$3)&lt;=300000,100,500)))))),FLOOR($F21*IF($C21="売",1-$AX$3,1+$AX$3),IF($F21*IF($C21="売",1-$AX$3,1+$AX$3)&lt;=3000,1,IF($F21*IF($C21="売",1-$AX$3,1+$AX$3)&lt;=5000,5,IF($F21*IF($C21="売",1-$AX$3,1+$AX$3)&lt;=30000,10,IF($F21*IF($C21="売",1-$AX$3,1+$AX$3)&lt;=50000,50,IF($F21*IF($C21="売",1-$AX$3,1+$AX$3)&lt;=300000,100,500))))))))</f>
      </c>
      <c r="N21" s="485" t="str">
        <f>IF($F21="","",IF($C21="売",CEILING($F21*IF($C21="売",1+$AX$2,1-$AX$2),IF($F21*IF($C21="売",1+$AX$2,1-$AX$2)&lt;=3000,1,IF($F21*IF($C21="売",1+$AX$2,1-$AX$2)&lt;=5000,5,IF($F21*IF($C21="売",1+$AX$2,1-$AX$2)&lt;=30000,10,IF($F21*IF($C21="売",1+$AX$2,1-$AX$2)&lt;=50000,50,IF($F21*IF($C21="売",1+$AX$2,1-$AX$2)&lt;=300000,100,500)))))),FLOOR($F21*IF($C21="売",1+$AX$2,1-$AX$2),IF($F21*IF($C21="売",1+$AX$2,1-$AX$2)&lt;=3000,1,IF($F21*IF($C21="売",1+$AX$2,1-$AX$2)&lt;=5000,5,IF($F21*IF($C21="売",1+$AX$2,1-$AX$2)&lt;=30000,10,IF($F21*IF($C21="売",1+$AX$2,1-$AX$2)&lt;=50000,50,IF($F21*IF($C21="売",1+$AX$2,1-$AX$2)&lt;=300000,100,500))))))))</f>
      </c>
      <c r="O21" s="486" t="str">
        <f>IF(OR($B21="",$F21="",$H21=""),"",IF($S21="✅売却済","―決済済―",IF($C21="売",IF($H21&lt;=$M21,"🟢利確",IF(AND($R21&lt;&gt;"",$H21&gt;=$R21),"🟠TRAIL決済",IF($H21&gt;=$N21,"🔴損切",IF($W21&gt;=$AX$5,"⏱時間決済",IF($H21&gt;=$F21*(1+$AX$2*0.7),"⚠️損切接近","保持継続"))))),IF($H21&gt;=$M21,"🟢利確",IF(AND($R21&lt;&gt;"",$H21&lt;=$R21),"🟠TRAIL決済",IF($H21&lt;=$N21,"🔴損切",IF($W21&gt;=$AX$5,"⏱時間決済",IF($H21&lt;=$F21*(1-$AX$2*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IF($H21&gt;$F21*(1-$AX$2),$N21,CEILING(MIN($N21,IF($Q21="",$N21,$Q21*1.03)),IF($N21&lt;=3000,1,IF($N21&lt;=5000,5,IF($N21&lt;=30000,10,IF($N21&lt;=50000,50,IF($N21&lt;=300000,100,500))))))),IF($H21&lt;$F21*(1+$AX$2),$N21,FLOOR(MAX($N21,IF($P21="",$N21,$P21*0.97)),IF($N21&lt;=3000,1,IF($N21&lt;=5000,5,IF($N21&lt;=30000,10,IF($N21&lt;=50000,50,IF($N21&lt;=300000,100,500))))))))))</f>
      </c>
      <c r="S21" s="585" t="str">
        <f>IF(B21="","",IF(T21&lt;&gt;"","✅売却済",IF(OR(H21="",L21=""),"📌保有中",IF(L21&gt;=0.06,"🟢利確推奨",IF(L21&gt;=0.05,"🟡利確直近",IF(L21&gt;=0.045,"🔵トレーリング検討",IF(L21&gt;-0.03,"📌保有中",IF(L21&gt;-0.04,"⚠️損切注意","🔴損切り"))))))))</f>
        <v>📌保有中</v>
      </c>
      <c r="T21" s="593"/>
      <c r="U21" s="485"/>
      <c r="V21" s="700" t="str">
        <f>IF(OR(F21="",G21="",U21=""),"",IF(C21="売",(F21-U21)*G21,(U21-F21)*G21))</f>
        <v/>
      </c>
      <c r="W21" s="487">
        <f>IF(OR($E21="",$B21=""),"",IF($T21&lt;&gt;"",$T21-$E21,TODAY()-$E21)+1)</f>
        <v>9</v>
      </c>
      <c r="X21" s="484" t="str">
        <f>IF(OR($AH21="",$AH21="保有中"),"",$AH21)</f>
        <v/>
      </c>
      <c r="Y21" s="488">
        <f>IF($B21="","",IF(COUNTIFS($B$4:$B21,$B21,$C$4:$C21,$C21)&gt;1,"⛔重複"&amp;COUNTIFS($B$4:$B21,$B21,$C$4:$C21,$C21)&amp;"回目",""))</f>
      </c>
      <c r="Z21" s="710">
        <v>19</v>
      </c>
      <c r="AA21" s="600" t="s">
        <v>1352</v>
      </c>
      <c r="AB21">
        <f>IF($F21="","",MAX(100,ROUNDDOWN($AX$4/($F21*$AX$2)/100,0)*100))</f>
      </c>
      <c r="AC21">
        <f>IF(OR($F21="",$G21="",$U21=""),"",ROUND($V21-($F21+$U21)*$G21*$AX$6-IF($C21="売",$F21*$G21*$AX$7*$W21/365,0),0))</f>
      </c>
      <c r="AD21" s="616" t="s">
        <v>1323</v>
      </c>
      <c r="AE21" s="625">
        <f>IF($E21="","",WORKDAY($E21,12))</f>
        <v>46248</v>
      </c>
      <c r="AF21" s="627"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27"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1" t="str">
        <f>IF(OR($B21="",$M21=""),"",IF(AND(N($AF21)=0,N($AG21)=0),IF(AND(ISNUMBER($H21),$H21&gt;0,IF($C21="売",$H21&gt;=$N21,$H21&lt;=$N21)),"損切確定",IF(AND(ISNUMBER($H21),$H21&gt;0,IF($C21="売",$H21&lt;=$M21,$H21&gt;=$M21)),"利益確定",IF($AE21&lt;=TODAY(),"日数制限","保有中"))),IF(N($AG21)=0,"利益確定",IF(N($AF21)=0,"損切確定",IF($AG21&lt;=$AF21,"損切確定","利益確定")))))</f>
        <v/>
      </c>
      <c r="AI21" s="601" t="str" cm="1">
        <f t="array" ref="AI21">IFERROR(INDEX(始値!$E$6:$BT$305,MATCH(TEXT($B21,"0"),TEXT(銘柄管理!$B$6:$B$305,"0"),0),MATCH($AE21,始値!$E$3:$BT$3,0)),"")</f>
        <v/>
      </c>
      <c r="AJ21" s="905" t="str">
        <f>IF(OR($V21="",$F21="",$G21=""),"",$V21/($F21*$G21))</f>
        <v/>
      </c>
      <c r="AK21" s="629" t="str">
        <f>IF($V21="","",IF($V21&gt;0,"○勝",IF($V21&lt;0,"●負","△引分")))</f>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IF($AM21="","",IF(COUNTIFS($B:$B,$AM21,$E:$E,$AM$11)&gt;0,"✅追記済","→未追記"))</f>
        <v>✅追記済</v>
      </c>
      <c r="BB21" s="600" t="str">
        <f>IF(N(買抽出v13!$C21)=0,"",N(買抽出v13!$Q21)+N(買抽出v13!$L21)/1000-ROW()/1000000)</f>
        <v/>
      </c>
      <c r="BC21" s="600" t="str">
        <f>IF(N(売抽出v13!$C21)=0,"",N(売抽出v13!$Q21)+IFERROR(VALUE(SUBSTITUTE(売抽出v13!$L21,"倍","")),0)/1000-ROW()/1000000)</f>
        <v/>
      </c>
    </row>
    <row r="22" spans="1:55" ht="35.4" customHeight="1">
      <c r="A22" s="619" t="str">
        <f>IF(B22="","",HYPERLINK("https://kabutan.jp/stock/?code="&amp;B22,"株探"))</f>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IF(OR(F22="",G22="",H22=""),"",IF(C22="売",(F22-H22)*G22,(H22-F22)*G22))</f>
        <v>-43300</v>
      </c>
      <c r="L22" s="705">
        <f>IF(OR(F22="",H22=""),"",IF(C22="売",(F22-H22)/F22,(H22-F22)/F22))</f>
        <v>-9.3722943722943722E-2</v>
      </c>
      <c r="M22" s="485">
        <f>IF($F22="","",IF($C22="売",CEILING($F22*IF($C22="売",1-$AX$3,1+$AX$3),IF($F22*IF($C22="売",1-$AX$3,1+$AX$3)&lt;=3000,1,IF($F22*IF($C22="売",1-$AX$3,1+$AX$3)&lt;=5000,5,IF($F22*IF($C22="売",1-$AX$3,1+$AX$3)&lt;=30000,10,IF($F22*IF($C22="売",1-$AX$3,1+$AX$3)&lt;=50000,50,IF($F22*IF($C22="売",1-$AX$3,1+$AX$3)&lt;=300000,100,500)))))),FLOOR($F22*IF($C22="売",1-$AX$3,1+$AX$3),IF($F22*IF($C22="売",1-$AX$3,1+$AX$3)&lt;=3000,1,IF($F22*IF($C22="売",1-$AX$3,1+$AX$3)&lt;=5000,5,IF($F22*IF($C22="売",1-$AX$3,1+$AX$3)&lt;=30000,10,IF($F22*IF($C22="売",1-$AX$3,1+$AX$3)&lt;=50000,50,IF($F22*IF($C22="売",1-$AX$3,1+$AX$3)&lt;=300000,100,500))))))))</f>
      </c>
      <c r="N22" s="485">
        <f>IF($F22="","",IF($C22="売",CEILING($F22*IF($C22="売",1+$AX$2,1-$AX$2),IF($F22*IF($C22="売",1+$AX$2,1-$AX$2)&lt;=3000,1,IF($F22*IF($C22="売",1+$AX$2,1-$AX$2)&lt;=5000,5,IF($F22*IF($C22="売",1+$AX$2,1-$AX$2)&lt;=30000,10,IF($F22*IF($C22="売",1+$AX$2,1-$AX$2)&lt;=50000,50,IF($F22*IF($C22="売",1+$AX$2,1-$AX$2)&lt;=300000,100,500)))))),FLOOR($F22*IF($C22="売",1+$AX$2,1-$AX$2),IF($F22*IF($C22="売",1+$AX$2,1-$AX$2)&lt;=3000,1,IF($F22*IF($C22="売",1+$AX$2,1-$AX$2)&lt;=5000,5,IF($F22*IF($C22="売",1+$AX$2,1-$AX$2)&lt;=30000,10,IF($F22*IF($C22="売",1+$AX$2,1-$AX$2)&lt;=50000,50,IF($F22*IF($C22="売",1+$AX$2,1-$AX$2)&lt;=300000,100,500))))))))</f>
      </c>
      <c r="O22" s="486" t="str">
        <f>IF(OR($B22="",$F22="",$H22=""),"",IF($S22="✅売却済","―決済済―",IF($C22="売",IF($H22&lt;=$M22,"🟢利確",IF(AND($R22&lt;&gt;"",$H22&gt;=$R22),"🟠TRAIL決済",IF($H22&gt;=$N22,"🔴損切",IF($W22&gt;=$AX$5,"⏱時間決済",IF($H22&gt;=$F22*(1+$AX$2*0.7),"⚠️損切接近","保持継続"))))),IF($H22&gt;=$M22,"🟢利確",IF(AND($R22&lt;&gt;"",$H22&lt;=$R22),"🟠TRAIL決済",IF($H22&lt;=$N22,"🔴損切",IF($W22&gt;=$AX$5,"⏱時間決済",IF($H22&lt;=$F22*(1-$AX$2*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IF($H22&gt;$F22*(1-$AX$2),$N22,CEILING(MIN($N22,IF($Q22="",$N22,$Q22*1.03)),IF($N22&lt;=3000,1,IF($N22&lt;=5000,5,IF($N22&lt;=30000,10,IF($N22&lt;=50000,50,IF($N22&lt;=300000,100,500))))))),IF($H22&lt;$F22*(1+$AX$2),$N22,FLOOR(MAX($N22,IF($P22="",$N22,$P22*0.97)),IF($N22&lt;=3000,1,IF($N22&lt;=5000,5,IF($N22&lt;=30000,10,IF($N22&lt;=50000,50,IF($N22&lt;=300000,100,500))))))))))</f>
      </c>
      <c r="S22" s="585" t="str">
        <f>IF(B22="","",IF(T22&lt;&gt;"","✅売却済",IF(OR(H22="",L22=""),"📌保有中",IF(L22&gt;=0.06,"🟢利確推奨",IF(L22&gt;=0.05,"🟡利確直近",IF(L22&gt;=0.045,"🔵トレーリング検討",IF(L22&gt;-0.03,"📌保有中",IF(L22&gt;-0.04,"⚠️損切注意","🔴損切り"))))))))</f>
        <v>✅売却済</v>
      </c>
      <c r="T22" s="593">
        <v>46234</v>
      </c>
      <c r="U22" s="485">
        <v>4435</v>
      </c>
      <c r="V22" s="700">
        <f>IF(OR(F22="",G22="",U22=""),"",IF(C22="売",(F22-U22)*G22,(U22-F22)*G22))</f>
        <v>-18500</v>
      </c>
      <c r="W22" s="487">
        <f>IF(OR($E22="",$B22=""),"",IF($T22&lt;&gt;"",$T22-$E22,TODAY()-$E22)+1)</f>
        <v>3</v>
      </c>
      <c r="X22" s="484" t="str">
        <f>IF(OR($AH22="",$AH22="保有中"),"",$AH22)</f>
        <v>損切確定</v>
      </c>
      <c r="Y22" s="488">
        <f>IF($B22="","",IF(COUNTIFS($B$4:$B22,$B22,$C$4:$C22,$C22)&gt;1,"⛔重複"&amp;COUNTIFS($B$4:$B22,$B22,$C$4:$C22,$C22)&amp;"回目",""))</f>
      </c>
      <c r="Z22" s="710">
        <v>21</v>
      </c>
      <c r="AA22" s="600" t="s">
        <v>1353</v>
      </c>
      <c r="AB22">
        <f>IF($F22="","",MAX(100,ROUNDDOWN($AX$4/($F22*$AX$2)/100,0)*100))</f>
      </c>
      <c r="AC22">
        <f>IF(OR($F22="",$G22="",$U22=""),"",ROUND($V22-($F22+$U22)*$G22*$AX$6-IF($C22="売",$F22*$G22*$AX$7*$W22/365,0),0))</f>
      </c>
      <c r="AD22" s="616" t="s">
        <v>1324</v>
      </c>
      <c r="AE22" s="625">
        <f>IF($E22="","",WORKDAY($E22,12))</f>
        <v>46248</v>
      </c>
      <c r="AF22" s="627"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27"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1" t="str">
        <f>IF(OR($B22="",$M22=""),"",IF(AND(N($AF22)=0,N($AG22)=0),IF(AND(ISNUMBER($H22),$H22&gt;0,IF($C22="売",$H22&gt;=$N22,$H22&lt;=$N22)),"損切確定",IF(AND(ISNUMBER($H22),$H22&gt;0,IF($C22="売",$H22&lt;=$M22,$H22&gt;=$M22)),"利益確定",IF($AE22&lt;=TODAY(),"日数制限","保有中"))),IF(N($AG22)=0,"利益確定",IF(N($AF22)=0,"損切確定",IF($AG22&lt;=$AF22,"損切確定","利益確定")))))</f>
        <v>損切確定</v>
      </c>
      <c r="AI22" s="601" t="str" cm="1">
        <f t="array" ref="AI22">IFERROR(INDEX(始値!$E$6:$BT$305,MATCH(TEXT($B22,"0"),TEXT(銘柄管理!$B$6:$B$305,"0"),0),MATCH($AE22,始値!$E$3:$BT$3,0)),"")</f>
        <v/>
      </c>
      <c r="AJ22" s="905">
        <f>IF(OR($V22="",$F22="",$G22=""),"",$V22/($F22*$G22))</f>
        <v>-4.004329004329004E-2</v>
      </c>
      <c r="AK22" s="629" t="str">
        <f>IF($V22="","",IF($V22&gt;0,"○勝",IF($V22&lt;0,"●負","△引分")))</f>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IF($AM22="","",IF(COUNTIFS($B:$B,$AM22,$E:$E,$AM$11)&gt;0,"✅追記済","→未追記"))</f>
        <v>✅追記済</v>
      </c>
      <c r="BB22" s="600" t="str">
        <f>IF(N(買抽出v13!$C22)=0,"",N(買抽出v13!$Q22)+N(買抽出v13!$L22)/1000-ROW()/1000000)</f>
        <v/>
      </c>
      <c r="BC22" s="600" t="str">
        <f>IF(N(売抽出v13!$C22)=0,"",N(売抽出v13!$Q22)+IFERROR(VALUE(SUBSTITUTE(売抽出v13!$L22,"倍","")),0)/1000-ROW()/1000000)</f>
        <v/>
      </c>
    </row>
    <row r="23" spans="1:55" ht="35.4" customHeight="1">
      <c r="A23" s="619" t="str">
        <f>IF(B23="","",HYPERLINK("https://kabutan.jp/stock/?code="&amp;B23,"株探"))</f>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IF(OR(F23="",G23="",H23=""),"",IF(C23="売",(F23-H23)*G23,(H23-F23)*G23))</f>
        <v>-23500</v>
      </c>
      <c r="L23" s="705">
        <f>IF(OR(F23="",H23=""),"",IF(C23="売",(F23-H23)/F23,(H23-F23)/F23))</f>
        <v>-7.1428571428571425E-2</v>
      </c>
      <c r="M23" s="485">
        <f>IF($F23="","",IF($C23="売",CEILING($F23*IF($C23="売",1-$AX$3,1+$AX$3),IF($F23*IF($C23="売",1-$AX$3,1+$AX$3)&lt;=3000,1,IF($F23*IF($C23="売",1-$AX$3,1+$AX$3)&lt;=5000,5,IF($F23*IF($C23="売",1-$AX$3,1+$AX$3)&lt;=30000,10,IF($F23*IF($C23="売",1-$AX$3,1+$AX$3)&lt;=50000,50,IF($F23*IF($C23="売",1-$AX$3,1+$AX$3)&lt;=300000,100,500)))))),FLOOR($F23*IF($C23="売",1-$AX$3,1+$AX$3),IF($F23*IF($C23="売",1-$AX$3,1+$AX$3)&lt;=3000,1,IF($F23*IF($C23="売",1-$AX$3,1+$AX$3)&lt;=5000,5,IF($F23*IF($C23="売",1-$AX$3,1+$AX$3)&lt;=30000,10,IF($F23*IF($C23="売",1-$AX$3,1+$AX$3)&lt;=50000,50,IF($F23*IF($C23="売",1-$AX$3,1+$AX$3)&lt;=300000,100,500))))))))</f>
      </c>
      <c r="N23" s="485">
        <f>IF($F23="","",IF($C23="売",CEILING($F23*IF($C23="売",1+$AX$2,1-$AX$2),IF($F23*IF($C23="売",1+$AX$2,1-$AX$2)&lt;=3000,1,IF($F23*IF($C23="売",1+$AX$2,1-$AX$2)&lt;=5000,5,IF($F23*IF($C23="売",1+$AX$2,1-$AX$2)&lt;=30000,10,IF($F23*IF($C23="売",1+$AX$2,1-$AX$2)&lt;=50000,50,IF($F23*IF($C23="売",1+$AX$2,1-$AX$2)&lt;=300000,100,500)))))),FLOOR($F23*IF($C23="売",1+$AX$2,1-$AX$2),IF($F23*IF($C23="売",1+$AX$2,1-$AX$2)&lt;=3000,1,IF($F23*IF($C23="売",1+$AX$2,1-$AX$2)&lt;=5000,5,IF($F23*IF($C23="売",1+$AX$2,1-$AX$2)&lt;=30000,10,IF($F23*IF($C23="売",1+$AX$2,1-$AX$2)&lt;=50000,50,IF($F23*IF($C23="売",1+$AX$2,1-$AX$2)&lt;=300000,100,500))))))))</f>
      </c>
      <c r="O23" s="486" t="str">
        <f>IF(OR($B23="",$F23="",$H23=""),"",IF($S23="✅売却済","―決済済―",IF($C23="売",IF($H23&lt;=$M23,"🟢利確",IF(AND($R23&lt;&gt;"",$H23&gt;=$R23),"🟠TRAIL決済",IF($H23&gt;=$N23,"🔴損切",IF($W23&gt;=$AX$5,"⏱時間決済",IF($H23&gt;=$F23*(1+$AX$2*0.7),"⚠️損切接近","保持継続"))))),IF($H23&gt;=$M23,"🟢利確",IF(AND($R23&lt;&gt;"",$H23&lt;=$R23),"🟠TRAIL決済",IF($H23&lt;=$N23,"🔴損切",IF($W23&gt;=$AX$5,"⏱時間決済",IF($H23&lt;=$F23*(1-$AX$2*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IF($H23&gt;$F23*(1-$AX$2),$N23,CEILING(MIN($N23,IF($Q23="",$N23,$Q23*1.03)),IF($N23&lt;=3000,1,IF($N23&lt;=5000,5,IF($N23&lt;=30000,10,IF($N23&lt;=50000,50,IF($N23&lt;=300000,100,500))))))),IF($H23&lt;$F23*(1+$AX$2),$N23,FLOOR(MAX($N23,IF($P23="",$N23,$P23*0.97)),IF($N23&lt;=3000,1,IF($N23&lt;=5000,5,IF($N23&lt;=30000,10,IF($N23&lt;=50000,50,IF($N23&lt;=300000,100,500))))))))))</f>
      </c>
      <c r="S23" s="585" t="str">
        <f>IF(B23="","",IF(T23&lt;&gt;"","✅売却済",IF(OR(H23="",L23=""),"📌保有中",IF(L23&gt;=0.06,"🟢利確推奨",IF(L23&gt;=0.05,"🟡利確直近",IF(L23&gt;=0.045,"🔵トレーリング検討",IF(L23&gt;-0.03,"📌保有中",IF(L23&gt;-0.04,"⚠️損切注意","🔴損切り"))))))))</f>
        <v>✅売却済</v>
      </c>
      <c r="T23" s="593">
        <v>46233</v>
      </c>
      <c r="U23" s="485">
        <v>3158</v>
      </c>
      <c r="V23" s="700">
        <f>IF(OR(F23="",G23="",U23=""),"",IF(C23="売",(F23-U23)*G23,(U23-F23)*G23))</f>
        <v>-13200</v>
      </c>
      <c r="W23" s="487">
        <f>IF(OR($E23="",$B23=""),"",IF($T23&lt;&gt;"",$T23-$E23,TODAY()-$E23)+1)</f>
        <v>2</v>
      </c>
      <c r="X23" s="484" t="str">
        <f>IF(OR($AH23="",$AH23="保有中"),"",$AH23)</f>
        <v>損切確定</v>
      </c>
      <c r="Y23" s="488">
        <f>IF($B23="","",IF(COUNTIFS($B$4:$B23,$B23,$C$4:$C23,$C23)&gt;1,"⛔重複"&amp;COUNTIFS($B$4:$B23,$B23,$C$4:$C23,$C23)&amp;"回目",""))</f>
      </c>
      <c r="Z23" s="710">
        <v>21</v>
      </c>
      <c r="AA23" s="600" t="s">
        <v>1331</v>
      </c>
      <c r="AB23">
        <f>IF($F23="","",MAX(100,ROUNDDOWN($AX$4/($F23*$AX$2)/100,0)*100))</f>
      </c>
      <c r="AC23">
        <f>IF(OR($F23="",$G23="",$U23=""),"",ROUND($V23-($F23+$U23)*$G23*$AX$6-IF($C23="売",$F23*$G23*$AX$7*$W23/365,0),0))</f>
      </c>
      <c r="AD23" s="616" t="s">
        <v>1324</v>
      </c>
      <c r="AE23" s="625">
        <f>IF($E23="","",WORKDAY($E23,12))</f>
        <v>46248</v>
      </c>
      <c r="AF23" s="627"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27"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1" t="str">
        <f>IF(OR($B23="",$M23=""),"",IF(AND(N($AF23)=0,N($AG23)=0),IF(AND(ISNUMBER($H23),$H23&gt;0,IF($C23="売",$H23&gt;=$N23,$H23&lt;=$N23)),"損切確定",IF(AND(ISNUMBER($H23),$H23&gt;0,IF($C23="売",$H23&lt;=$M23,$H23&gt;=$M23)),"利益確定",IF($AE23&lt;=TODAY(),"日数制限","保有中"))),IF(N($AG23)=0,"利益確定",IF(N($AF23)=0,"損切確定",IF($AG23&lt;=$AF23,"損切確定","利益確定")))))</f>
        <v>損切確定</v>
      </c>
      <c r="AI23" s="601" t="str" cm="1">
        <f t="array" ref="AI23">IFERROR(INDEX(始値!$E$6:$BT$305,MATCH(TEXT($B23,"0"),TEXT(銘柄管理!$B$6:$B$305,"0"),0),MATCH($AE23,始値!$E$3:$BT$3,0)),"")</f>
        <v/>
      </c>
      <c r="AJ23" s="905">
        <f>IF(OR($V23="",$F23="",$G23=""),"",$V23/($F23*$G23))</f>
        <v>-4.0121580547112463E-2</v>
      </c>
      <c r="AK23" s="629" t="str">
        <f>IF($V23="","",IF($V23&gt;0,"○勝",IF($V23&lt;0,"●負","△引分")))</f>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IF($AM23="","",IF(COUNTIFS($B:$B,$AM23,$E:$E,$AM$11)&gt;0,"✅追記済","→未追記"))</f>
        <v>✅追記済</v>
      </c>
      <c r="BB23" s="600" t="str">
        <f>IF(N(買抽出v13!$C23)=0,"",N(買抽出v13!$Q23)+N(買抽出v13!$L23)/1000-ROW()/1000000)</f>
        <v/>
      </c>
      <c r="BC23" s="600" t="str">
        <f>IF(N(売抽出v13!$C23)=0,"",N(売抽出v13!$Q23)+IFERROR(VALUE(SUBSTITUTE(売抽出v13!$L23,"倍","")),0)/1000-ROW()/1000000)</f>
        <v/>
      </c>
    </row>
    <row r="24" spans="1:55" ht="35.4" customHeight="1">
      <c r="A24" s="619" t="str">
        <f>IF(B24="","",HYPERLINK("https://kabutan.jp/stock/?code="&amp;B24,"株探"))</f>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IF(OR(F24="",G24="",H24=""),"",IF(C24="売",(F24-H24)*G24,(H24-F24)*G24))</f>
        <v>-251000</v>
      </c>
      <c r="L24" s="705">
        <f>IF(OR(F24="",H24=""),"",IF(C24="売",(F24-H24)/F24,(H24-F24)/F24))</f>
        <v>-0.21600688468158347</v>
      </c>
      <c r="M24" s="485">
        <f>IF($F24="","",IF($C24="売",CEILING($F24*IF($C24="売",1-$AX$3,1+$AX$3),IF($F24*IF($C24="売",1-$AX$3,1+$AX$3)&lt;=3000,1,IF($F24*IF($C24="売",1-$AX$3,1+$AX$3)&lt;=5000,5,IF($F24*IF($C24="売",1-$AX$3,1+$AX$3)&lt;=30000,10,IF($F24*IF($C24="売",1-$AX$3,1+$AX$3)&lt;=50000,50,IF($F24*IF($C24="売",1-$AX$3,1+$AX$3)&lt;=300000,100,500)))))),FLOOR($F24*IF($C24="売",1-$AX$3,1+$AX$3),IF($F24*IF($C24="売",1-$AX$3,1+$AX$3)&lt;=3000,1,IF($F24*IF($C24="売",1-$AX$3,1+$AX$3)&lt;=5000,5,IF($F24*IF($C24="売",1-$AX$3,1+$AX$3)&lt;=30000,10,IF($F24*IF($C24="売",1-$AX$3,1+$AX$3)&lt;=50000,50,IF($F24*IF($C24="売",1-$AX$3,1+$AX$3)&lt;=300000,100,500))))))))</f>
      </c>
      <c r="N24" s="485">
        <f>IF($F24="","",IF($C24="売",CEILING($F24*IF($C24="売",1+$AX$2,1-$AX$2),IF($F24*IF($C24="売",1+$AX$2,1-$AX$2)&lt;=3000,1,IF($F24*IF($C24="売",1+$AX$2,1-$AX$2)&lt;=5000,5,IF($F24*IF($C24="売",1+$AX$2,1-$AX$2)&lt;=30000,10,IF($F24*IF($C24="売",1+$AX$2,1-$AX$2)&lt;=50000,50,IF($F24*IF($C24="売",1+$AX$2,1-$AX$2)&lt;=300000,100,500)))))),FLOOR($F24*IF($C24="売",1+$AX$2,1-$AX$2),IF($F24*IF($C24="売",1+$AX$2,1-$AX$2)&lt;=3000,1,IF($F24*IF($C24="売",1+$AX$2,1-$AX$2)&lt;=5000,5,IF($F24*IF($C24="売",1+$AX$2,1-$AX$2)&lt;=30000,10,IF($F24*IF($C24="売",1+$AX$2,1-$AX$2)&lt;=50000,50,IF($F24*IF($C24="売",1+$AX$2,1-$AX$2)&lt;=300000,100,500))))))))</f>
      </c>
      <c r="O24" s="486" t="str">
        <f>IF(OR($B24="",$F24="",$H24=""),"",IF($S24="✅売却済","―決済済―",IF($C24="売",IF($H24&lt;=$M24,"🟢利確",IF(AND($R24&lt;&gt;"",$H24&gt;=$R24),"🟠TRAIL決済",IF($H24&gt;=$N24,"🔴損切",IF($W24&gt;=$AX$5,"⏱時間決済",IF($H24&gt;=$F24*(1+$AX$2*0.7),"⚠️損切接近","保持継続"))))),IF($H24&gt;=$M24,"🟢利確",IF(AND($R24&lt;&gt;"",$H24&lt;=$R24),"🟠TRAIL決済",IF($H24&lt;=$N24,"🔴損切",IF($W24&gt;=$AX$5,"⏱時間決済",IF($H24&lt;=$F24*(1-$AX$2*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IF($H24&gt;$F24*(1-$AX$2),$N24,CEILING(MIN($N24,IF($Q24="",$N24,$Q24*1.03)),IF($N24&lt;=3000,1,IF($N24&lt;=5000,5,IF($N24&lt;=30000,10,IF($N24&lt;=50000,50,IF($N24&lt;=300000,100,500))))))),IF($H24&lt;$F24*(1+$AX$2),$N24,FLOOR(MAX($N24,IF($P24="",$N24,$P24*0.97)),IF($N24&lt;=3000,1,IF($N24&lt;=5000,5,IF($N24&lt;=30000,10,IF($N24&lt;=50000,50,IF($N24&lt;=300000,100,500))))))))))</f>
      </c>
      <c r="S24" s="585" t="str">
        <f>IF(B24="","",IF(T24&lt;&gt;"","✅売却済",IF(OR(H24="",L24=""),"📌保有中",IF(L24&gt;=0.06,"🟢利確推奨",IF(L24&gt;=0.05,"🟡利確直近",IF(L24&gt;=0.045,"🔵トレーリング検討",IF(L24&gt;-0.03,"📌保有中",IF(L24&gt;-0.04,"⚠️損切注意","🔴損切り"))))))))</f>
        <v>✅売却済</v>
      </c>
      <c r="T24" s="593">
        <v>46233</v>
      </c>
      <c r="U24" s="485">
        <v>12085</v>
      </c>
      <c r="V24" s="700">
        <f>IF(OR(F24="",G24="",U24=""),"",IF(C24="売",(F24-U24)*G24,(U24-F24)*G24))</f>
        <v>-46500</v>
      </c>
      <c r="W24" s="487">
        <f>IF(OR($E24="",$B24=""),"",IF($T24&lt;&gt;"",$T24-$E24,TODAY()-$E24)+1)</f>
        <v>2</v>
      </c>
      <c r="X24" s="484" t="str">
        <f>IF(OR($AH24="",$AH24="保有中"),"",$AH24)</f>
        <v>損切確定</v>
      </c>
      <c r="Y24" s="488">
        <f>IF($B24="","",IF(COUNTIFS($B$4:$B24,$B24,$C$4:$C24,$C24)&gt;1,"⛔重複"&amp;COUNTIFS($B$4:$B24,$B24,$C$4:$C24,$C24)&amp;"回目",""))</f>
      </c>
      <c r="Z24" s="710">
        <v>21</v>
      </c>
      <c r="AA24" s="600" t="s">
        <v>1354</v>
      </c>
      <c r="AB24">
        <f>IF($F24="","",MAX(100,ROUNDDOWN($AX$4/($F24*$AX$2)/100,0)*100))</f>
      </c>
      <c r="AC24">
        <f>IF(OR($F24="",$G24="",$U24=""),"",ROUND($V24-($F24+$U24)*$G24*$AX$6-IF($C24="売",$F24*$G24*$AX$7*$W24/365,0),0))</f>
      </c>
      <c r="AD24" s="608" t="s">
        <v>1325</v>
      </c>
      <c r="AE24" s="624">
        <f>IF($E24="","",WORKDAY($E24,12))</f>
        <v>46248</v>
      </c>
      <c r="AF24" s="626"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26"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0" t="str">
        <f>IF(OR($B24="",$M24=""),"",IF(AND(N($AF24)=0,N($AG24)=0),IF(AND(ISNUMBER($H24),$H24&gt;0,IF($C24="売",$H24&gt;=$N24,$H24&lt;=$N24)),"損切確定",IF(AND(ISNUMBER($H24),$H24&gt;0,IF($C24="売",$H24&lt;=$M24,$H24&gt;=$M24)),"利益確定",IF($AE24&lt;=TODAY(),"日数制限","保有中"))),IF(N($AG24)=0,"利益確定",IF(N($AF24)=0,"損切確定",IF($AG24&lt;=$AF24,"損切確定","利益確定")))))</f>
        <v>損切確定</v>
      </c>
      <c r="AI24" s="600" t="str" cm="1">
        <f t="array" ref="AI24">IFERROR(INDEX(始値!$E$6:$BT$305,MATCH(TEXT($B24,"0"),TEXT(銘柄管理!$B$6:$B$305,"0"),0),MATCH($AE24,始値!$E$3:$BT$3,0)),"")</f>
        <v/>
      </c>
      <c r="AJ24" s="905">
        <f>IF(OR($V24="",$F24="",$G24=""),"",$V24/($F24*$G24))</f>
        <v>-4.0017211703958694E-2</v>
      </c>
      <c r="AK24" s="629" t="str">
        <f>IF($V24="","",IF($V24&gt;0,"○勝",IF($V24&lt;0,"●負","△引分")))</f>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IF($AM24="","",IF(COUNTIFS($B:$B,$AM24,$E:$E,$AM$11)&gt;0,"✅追記済","→未追記"))</f>
        <v>✅追記済</v>
      </c>
      <c r="BB24" s="600" t="str">
        <f>IF(N(買抽出v13!$C24)=0,"",N(買抽出v13!$Q24)+N(買抽出v13!$L24)/1000-ROW()/1000000)</f>
        <v/>
      </c>
      <c r="BC24" s="600" t="str">
        <f>IF(N(売抽出v13!$C24)=0,"",N(売抽出v13!$Q24)+IFERROR(VALUE(SUBSTITUTE(売抽出v13!$L24,"倍","")),0)/1000-ROW()/1000000)</f>
        <v/>
      </c>
    </row>
    <row r="25" spans="1:55" ht="35.4" customHeight="1">
      <c r="A25" s="619" t="str">
        <f>IF(B25="","",HYPERLINK("https://kabutan.jp/stock/?code="&amp;B25,"株探"))</f>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IF(OR(F25="",G25="",H25=""),"",IF(C25="売",(F25-H25)*G25,(H25-F25)*G25))</f>
        <v>-45500</v>
      </c>
      <c r="L25" s="705">
        <f>IF(OR(F25="",H25=""),"",IF(C25="売",(F25-H25)/F25,(H25-F25)/F25))</f>
        <v>-7.9656862745098034E-2</v>
      </c>
      <c r="M25" s="485">
        <f>IF($F25="","",IF($C25="売",CEILING($F25*IF($C25="売",1-$AX$3,1+$AX$3),IF($F25*IF($C25="売",1-$AX$3,1+$AX$3)&lt;=3000,1,IF($F25*IF($C25="売",1-$AX$3,1+$AX$3)&lt;=5000,5,IF($F25*IF($C25="売",1-$AX$3,1+$AX$3)&lt;=30000,10,IF($F25*IF($C25="売",1-$AX$3,1+$AX$3)&lt;=50000,50,IF($F25*IF($C25="売",1-$AX$3,1+$AX$3)&lt;=300000,100,500)))))),FLOOR($F25*IF($C25="売",1-$AX$3,1+$AX$3),IF($F25*IF($C25="売",1-$AX$3,1+$AX$3)&lt;=3000,1,IF($F25*IF($C25="売",1-$AX$3,1+$AX$3)&lt;=5000,5,IF($F25*IF($C25="売",1-$AX$3,1+$AX$3)&lt;=30000,10,IF($F25*IF($C25="売",1-$AX$3,1+$AX$3)&lt;=50000,50,IF($F25*IF($C25="売",1-$AX$3,1+$AX$3)&lt;=300000,100,500))))))))</f>
      </c>
      <c r="N25" s="485">
        <f>IF($F25="","",IF($C25="売",CEILING($F25*IF($C25="売",1+$AX$2,1-$AX$2),IF($F25*IF($C25="売",1+$AX$2,1-$AX$2)&lt;=3000,1,IF($F25*IF($C25="売",1+$AX$2,1-$AX$2)&lt;=5000,5,IF($F25*IF($C25="売",1+$AX$2,1-$AX$2)&lt;=30000,10,IF($F25*IF($C25="売",1+$AX$2,1-$AX$2)&lt;=50000,50,IF($F25*IF($C25="売",1+$AX$2,1-$AX$2)&lt;=300000,100,500)))))),FLOOR($F25*IF($C25="売",1+$AX$2,1-$AX$2),IF($F25*IF($C25="売",1+$AX$2,1-$AX$2)&lt;=3000,1,IF($F25*IF($C25="売",1+$AX$2,1-$AX$2)&lt;=5000,5,IF($F25*IF($C25="売",1+$AX$2,1-$AX$2)&lt;=30000,10,IF($F25*IF($C25="売",1+$AX$2,1-$AX$2)&lt;=50000,50,IF($F25*IF($C25="売",1+$AX$2,1-$AX$2)&lt;=300000,100,500))))))))</f>
      </c>
      <c r="O25" s="486" t="str">
        <f>IF(OR($B25="",$F25="",$H25=""),"",IF($S25="✅売却済","―決済済―",IF($C25="売",IF($H25&lt;=$M25,"🟢利確",IF(AND($R25&lt;&gt;"",$H25&gt;=$R25),"🟠TRAIL決済",IF($H25&gt;=$N25,"🔴損切",IF($W25&gt;=$AX$5,"⏱時間決済",IF($H25&gt;=$F25*(1+$AX$2*0.7),"⚠️損切接近","保持継続"))))),IF($H25&gt;=$M25,"🟢利確",IF(AND($R25&lt;&gt;"",$H25&lt;=$R25),"🟠TRAIL決済",IF($H25&lt;=$N25,"🔴損切",IF($W25&gt;=$AX$5,"⏱時間決済",IF($H25&lt;=$F25*(1-$AX$2*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IF($H25&gt;$F25*(1-$AX$2),$N25,CEILING(MIN($N25,IF($Q25="",$N25,$Q25*1.03)),IF($N25&lt;=3000,1,IF($N25&lt;=5000,5,IF($N25&lt;=30000,10,IF($N25&lt;=50000,50,IF($N25&lt;=300000,100,500))))))),IF($H25&lt;$F25*(1+$AX$2),$N25,FLOOR(MAX($N25,IF($P25="",$N25,$P25*0.97)),IF($N25&lt;=3000,1,IF($N25&lt;=5000,5,IF($N25&lt;=30000,10,IF($N25&lt;=50000,50,IF($N25&lt;=300000,100,500))))))))))</f>
      </c>
      <c r="S25" s="585" t="str">
        <f>IF(B25="","",IF(T25&lt;&gt;"","✅売却済",IF(OR(H25="",L25=""),"📌保有中",IF(L25&gt;=0.06,"🟢利確推奨",IF(L25&gt;=0.05,"🟡利確直近",IF(L25&gt;=0.045,"🔵トレーリング検討",IF(L25&gt;-0.03,"📌保有中",IF(L25&gt;-0.04,"⚠️損切注意","🔴損切り"))))))))</f>
        <v>✅売却済</v>
      </c>
      <c r="T25" s="593">
        <v>46234</v>
      </c>
      <c r="U25" s="485">
        <v>5940</v>
      </c>
      <c r="V25" s="700">
        <f>IF(OR(F25="",G25="",U25=""),"",IF(C25="売",(F25-U25)*G25,(U25-F25)*G25))</f>
        <v>-22800</v>
      </c>
      <c r="W25" s="487">
        <f>IF(OR($E25="",$B25=""),"",IF($T25&lt;&gt;"",$T25-$E25,TODAY()-$E25)+1)</f>
        <v>3</v>
      </c>
      <c r="X25" s="484" t="str">
        <f>IF(OR($AH25="",$AH25="保有中"),"",$AH25)</f>
        <v>損切確定</v>
      </c>
      <c r="Y25" s="488">
        <f>IF($B25="","",IF(COUNTIFS($B$4:$B25,$B25,$C$4:$C25,$C25)&gt;1,"⛔重複"&amp;COUNTIFS($B$4:$B25,$B25,$C$4:$C25,$C25)&amp;"回目",""))</f>
      </c>
      <c r="Z25" s="710">
        <v>21</v>
      </c>
      <c r="AA25" s="600" t="s">
        <v>1355</v>
      </c>
      <c r="AB25">
        <f>IF($F25="","",MAX(100,ROUNDDOWN($AX$4/($F25*$AX$2)/100,0)*100))</f>
      </c>
      <c r="AC25">
        <f>IF(OR($F25="",$G25="",$U25=""),"",ROUND($V25-($F25+$U25)*$G25*$AX$6-IF($C25="売",$F25*$G25*$AX$7*$W25/365,0),0))</f>
      </c>
      <c r="AD25" s="608" t="s">
        <v>1325</v>
      </c>
      <c r="AE25" s="624">
        <f>IF($E25="","",WORKDAY($E25,12))</f>
        <v>46248</v>
      </c>
      <c r="AF25" s="626"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26"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0" t="str">
        <f>IF(OR($B25="",$M25=""),"",IF(AND(N($AF25)=0,N($AG25)=0),IF(AND(ISNUMBER($H25),$H25&gt;0,IF($C25="売",$H25&gt;=$N25,$H25&lt;=$N25)),"損切確定",IF(AND(ISNUMBER($H25),$H25&gt;0,IF($C25="売",$H25&lt;=$M25,$H25&gt;=$M25)),"利益確定",IF($AE25&lt;=TODAY(),"日数制限","保有中"))),IF(N($AG25)=0,"利益確定",IF(N($AF25)=0,"損切確定",IF($AG25&lt;=$AF25,"損切確定","利益確定")))))</f>
        <v>損切確定</v>
      </c>
      <c r="AI25" s="600" t="str" cm="1">
        <f t="array" ref="AI25">IFERROR(INDEX(始値!$E$6:$BT$305,MATCH(TEXT($B25,"0"),TEXT(銘柄管理!$B$6:$B$305,"0"),0),MATCH($AE25,始値!$E$3:$BT$3,0)),"")</f>
        <v/>
      </c>
      <c r="AJ25" s="905">
        <f>IF(OR($V25="",$F25="",$G25=""),"",$V25/($F25*$G25))</f>
        <v>-3.9915966386554619E-2</v>
      </c>
      <c r="AK25" s="629" t="str">
        <f>IF($V25="","",IF($V25&gt;0,"○勝",IF($V25&lt;0,"●負","△引分")))</f>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IF(B26="","",HYPERLINK("https://kabutan.jp/stock/?code="&amp;B26,"株探"))</f>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IF(OR(F26="",G26="",H26=""),"",IF(C26="売",(F26-H26)*G26,(H26-F26)*G26))</f>
        <v>-3650</v>
      </c>
      <c r="L26" s="705">
        <f>IF(OR(F26="",H26=""),"",IF(C26="売",(F26-H26)/F26,(H26-F26)/F26))</f>
        <v>-2.4931693989071038E-2</v>
      </c>
      <c r="M26" s="485">
        <f>IF($F26="","",IF($C26="売",CEILING($F26*IF($C26="売",1-$AX$3,1+$AX$3),IF($F26*IF($C26="売",1-$AX$3,1+$AX$3)&lt;=3000,1,IF($F26*IF($C26="売",1-$AX$3,1+$AX$3)&lt;=5000,5,IF($F26*IF($C26="売",1-$AX$3,1+$AX$3)&lt;=30000,10,IF($F26*IF($C26="売",1-$AX$3,1+$AX$3)&lt;=50000,50,IF($F26*IF($C26="売",1-$AX$3,1+$AX$3)&lt;=300000,100,500)))))),FLOOR($F26*IF($C26="売",1-$AX$3,1+$AX$3),IF($F26*IF($C26="売",1-$AX$3,1+$AX$3)&lt;=3000,1,IF($F26*IF($C26="売",1-$AX$3,1+$AX$3)&lt;=5000,5,IF($F26*IF($C26="売",1-$AX$3,1+$AX$3)&lt;=30000,10,IF($F26*IF($C26="売",1-$AX$3,1+$AX$3)&lt;=50000,50,IF($F26*IF($C26="売",1-$AX$3,1+$AX$3)&lt;=300000,100,500))))))))</f>
      </c>
      <c r="N26" s="485">
        <f>IF($F26="","",IF($C26="売",CEILING($F26*IF($C26="売",1+$AX$2,1-$AX$2),IF($F26*IF($C26="売",1+$AX$2,1-$AX$2)&lt;=3000,1,IF($F26*IF($C26="売",1+$AX$2,1-$AX$2)&lt;=5000,5,IF($F26*IF($C26="売",1+$AX$2,1-$AX$2)&lt;=30000,10,IF($F26*IF($C26="売",1+$AX$2,1-$AX$2)&lt;=50000,50,IF($F26*IF($C26="売",1+$AX$2,1-$AX$2)&lt;=300000,100,500)))))),FLOOR($F26*IF($C26="売",1+$AX$2,1-$AX$2),IF($F26*IF($C26="売",1+$AX$2,1-$AX$2)&lt;=3000,1,IF($F26*IF($C26="売",1+$AX$2,1-$AX$2)&lt;=5000,5,IF($F26*IF($C26="売",1+$AX$2,1-$AX$2)&lt;=30000,10,IF($F26*IF($C26="売",1+$AX$2,1-$AX$2)&lt;=50000,50,IF($F26*IF($C26="売",1+$AX$2,1-$AX$2)&lt;=300000,100,500))))))))</f>
      </c>
      <c r="O26" s="486" t="str">
        <f>IF(OR($B26="",$F26="",$H26=""),"",IF($S26="✅売却済","―決済済―",IF($C26="売",IF($H26&lt;=$M26,"🟢利確",IF(AND($R26&lt;&gt;"",$H26&gt;=$R26),"🟠TRAIL決済",IF($H26&gt;=$N26,"🔴損切",IF($W26&gt;=$AX$5,"⏱時間決済",IF($H26&gt;=$F26*(1+$AX$2*0.7),"⚠️損切接近","保持継続"))))),IF($H26&gt;=$M26,"🟢利確",IF(AND($R26&lt;&gt;"",$H26&lt;=$R26),"🟠TRAIL決済",IF($H26&lt;=$N26,"🔴損切",IF($W26&gt;=$AX$5,"⏱時間決済",IF($H26&lt;=$F26*(1-$AX$2*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IF($H26&gt;$F26*(1-$AX$2),$N26,CEILING(MIN($N26,IF($Q26="",$N26,$Q26*1.03)),IF($N26&lt;=3000,1,IF($N26&lt;=5000,5,IF($N26&lt;=30000,10,IF($N26&lt;=50000,50,IF($N26&lt;=300000,100,500))))))),IF($H26&lt;$F26*(1+$AX$2),$N26,FLOOR(MAX($N26,IF($P26="",$N26,$P26*0.97)),IF($N26&lt;=3000,1,IF($N26&lt;=5000,5,IF($N26&lt;=30000,10,IF($N26&lt;=50000,50,IF($N26&lt;=300000,100,500))))))))))</f>
      </c>
      <c r="S26" s="585" t="str">
        <f>IF(B26="","",IF(T26&lt;&gt;"","✅売却済",IF(OR(H26="",L26=""),"📌保有中",IF(L26&gt;=0.06,"🟢利確推奨",IF(L26&gt;=0.05,"🟡利確直近",IF(L26&gt;=0.045,"🔵トレーリング検討",IF(L26&gt;-0.03,"📌保有中",IF(L26&gt;-0.04,"⚠️損切注意","🔴損切り"))))))))</f>
        <v>✅売却済</v>
      </c>
      <c r="T26" s="593">
        <v>46237</v>
      </c>
      <c r="U26" s="485">
        <v>1405</v>
      </c>
      <c r="V26" s="700">
        <f>IF(OR(F26="",G26="",U26=""),"",IF(C26="売",(F26-U26)*G26,(U26-F26)*G26))</f>
        <v>-5900</v>
      </c>
      <c r="W26" s="487">
        <f>IF(OR($E26="",$B26=""),"",IF($T26&lt;&gt;"",$T26-$E26,TODAY()-$E26)+1)</f>
        <v>5</v>
      </c>
      <c r="X26" s="484" t="str">
        <f>IF(OR($AH26="",$AH26="保有中"),"",$AH26)</f>
        <v>損切確定</v>
      </c>
      <c r="Y26" s="488">
        <f>IF($B26="","",IF(COUNTIFS($B$4:$B26,$B26,$C$4:$C26,$C26)&gt;1,"⛔重複"&amp;COUNTIFS($B$4:$B26,$B26,$C$4:$C26,$C26)&amp;"回目",""))</f>
      </c>
      <c r="Z26" s="710">
        <v>16</v>
      </c>
      <c r="AA26" s="600" t="s">
        <v>1356</v>
      </c>
      <c r="AB26">
        <f>IF($F26="","",MAX(100,ROUNDDOWN($AX$4/($F26*$AX$2)/100,0)*100))</f>
      </c>
      <c r="AC26">
        <f>IF(OR($F26="",$G26="",$U26=""),"",ROUND($V26-($F26+$U26)*$G26*$AX$6-IF($C26="売",$F26*$G26*$AX$7*$W26/365,0),0))</f>
      </c>
      <c r="AD26" s="608" t="s">
        <v>1322</v>
      </c>
      <c r="AE26" s="624">
        <f>IF($E26="","",WORKDAY($E26,12))</f>
        <v>46251</v>
      </c>
      <c r="AF26" s="626"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26"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0" t="str">
        <f>IF(OR($B26="",$M26=""),"",IF(AND(N($AF26)=0,N($AG26)=0),IF(AND(ISNUMBER($H26),$H26&gt;0,IF($C26="売",$H26&gt;=$N26,$H26&lt;=$N26)),"損切確定",IF(AND(ISNUMBER($H26),$H26&gt;0,IF($C26="売",$H26&lt;=$M26,$H26&gt;=$M26)),"利益確定",IF($AE26&lt;=TODAY(),"日数制限","保有中"))),IF(N($AG26)=0,"利益確定",IF(N($AF26)=0,"損切確定",IF($AG26&lt;=$AF26,"損切確定","利益確定")))))</f>
        <v>損切確定</v>
      </c>
      <c r="AI26" s="600" t="str" cm="1">
        <f t="array" ref="AI26">IFERROR(INDEX(始値!$E$6:$BT$305,MATCH(TEXT($B26,"0"),TEXT(銘柄管理!$B$6:$B$305,"0"),0),MATCH($AE26,始値!$E$3:$BT$3,0)),"")</f>
        <v/>
      </c>
      <c r="AJ26" s="905">
        <f ca="1">IF(OR($V26="",$F26="",$G26=""),"",$V26/($F26*$G26))</f>
        <v>-4.0300546448087435E-2</v>
      </c>
      <c r="AK26" s="629" t="str">
        <f>IF($V26="","",IF($V26&gt;0,"○勝",IF($V26&lt;0,"●負","△引分")))</f>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IF(B27="","",HYPERLINK("https://kabutan.jp/stock/?code="&amp;B27,"株探"))</f>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IF(OR(F27="",G27="",H27=""),"",IF(C27="売",(F27-H27)*G27,(H27-F27)*G27))</f>
        <v>-20900</v>
      </c>
      <c r="L27" s="705">
        <f>IF(OR(F27="",H27=""),"",IF(C27="売",(F27-H27)/F27,(H27-F27)/F27))</f>
        <v>-4.2653061224489794E-2</v>
      </c>
      <c r="M27" s="485">
        <f>IF($F27="","",IF($C27="売",CEILING($F27*IF($C27="売",1-$AX$3,1+$AX$3),IF($F27*IF($C27="売",1-$AX$3,1+$AX$3)&lt;=3000,1,IF($F27*IF($C27="売",1-$AX$3,1+$AX$3)&lt;=5000,5,IF($F27*IF($C27="売",1-$AX$3,1+$AX$3)&lt;=30000,10,IF($F27*IF($C27="売",1-$AX$3,1+$AX$3)&lt;=50000,50,IF($F27*IF($C27="売",1-$AX$3,1+$AX$3)&lt;=300000,100,500)))))),FLOOR($F27*IF($C27="売",1-$AX$3,1+$AX$3),IF($F27*IF($C27="売",1-$AX$3,1+$AX$3)&lt;=3000,1,IF($F27*IF($C27="売",1-$AX$3,1+$AX$3)&lt;=5000,5,IF($F27*IF($C27="売",1-$AX$3,1+$AX$3)&lt;=30000,10,IF($F27*IF($C27="売",1-$AX$3,1+$AX$3)&lt;=50000,50,IF($F27*IF($C27="売",1-$AX$3,1+$AX$3)&lt;=300000,100,500))))))))</f>
      </c>
      <c r="N27" s="485">
        <f>IF($F27="","",IF($C27="売",CEILING($F27*IF($C27="売",1+$AX$2,1-$AX$2),IF($F27*IF($C27="売",1+$AX$2,1-$AX$2)&lt;=3000,1,IF($F27*IF($C27="売",1+$AX$2,1-$AX$2)&lt;=5000,5,IF($F27*IF($C27="売",1+$AX$2,1-$AX$2)&lt;=30000,10,IF($F27*IF($C27="売",1+$AX$2,1-$AX$2)&lt;=50000,50,IF($F27*IF($C27="売",1+$AX$2,1-$AX$2)&lt;=300000,100,500)))))),FLOOR($F27*IF($C27="売",1+$AX$2,1-$AX$2),IF($F27*IF($C27="売",1+$AX$2,1-$AX$2)&lt;=3000,1,IF($F27*IF($C27="売",1+$AX$2,1-$AX$2)&lt;=5000,5,IF($F27*IF($C27="売",1+$AX$2,1-$AX$2)&lt;=30000,10,IF($F27*IF($C27="売",1+$AX$2,1-$AX$2)&lt;=50000,50,IF($F27*IF($C27="売",1+$AX$2,1-$AX$2)&lt;=300000,100,500))))))))</f>
      </c>
      <c r="O27" s="486" t="str">
        <f>IF(OR($B27="",$F27="",$H27=""),"",IF($S27="✅売却済","―決済済―",IF($C27="売",IF($H27&lt;=$M27,"🟢利確",IF(AND($R27&lt;&gt;"",$H27&gt;=$R27),"🟠TRAIL決済",IF($H27&gt;=$N27,"🔴損切",IF($W27&gt;=$AX$5,"⏱時間決済",IF($H27&gt;=$F27*(1+$AX$2*0.7),"⚠️損切接近","保持継続"))))),IF($H27&gt;=$M27,"🟢利確",IF(AND($R27&lt;&gt;"",$H27&lt;=$R27),"🟠TRAIL決済",IF($H27&lt;=$N27,"🔴損切",IF($W27&gt;=$AX$5,"⏱時間決済",IF($H27&lt;=$F27*(1-$AX$2*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IF($H27&gt;$F27*(1-$AX$2),$N27,CEILING(MIN($N27,IF($Q27="",$N27,$Q27*1.03)),IF($N27&lt;=3000,1,IF($N27&lt;=5000,5,IF($N27&lt;=30000,10,IF($N27&lt;=50000,50,IF($N27&lt;=300000,100,500))))))),IF($H27&lt;$F27*(1+$AX$2),$N27,FLOOR(MAX($N27,IF($P27="",$N27,$P27*0.97)),IF($N27&lt;=3000,1,IF($N27&lt;=5000,5,IF($N27&lt;=30000,10,IF($N27&lt;=50000,50,IF($N27&lt;=300000,100,500))))))))))</f>
      </c>
      <c r="S27" s="585" t="str">
        <f>IF(B27="","",IF(T27&lt;&gt;"","✅売却済",IF(OR(H27="",L27=""),"📌保有中",IF(L27&gt;=0.06,"🟢利確推奨",IF(L27&gt;=0.05,"🟡利確直近",IF(L27&gt;=0.045,"🔵トレーリング検討",IF(L27&gt;-0.03,"📌保有中",IF(L27&gt;-0.04,"⚠️損切注意","🔴損切り"))))))))</f>
        <v>✅売却済</v>
      </c>
      <c r="T27" s="593">
        <v>46237</v>
      </c>
      <c r="U27" s="485">
        <v>4704</v>
      </c>
      <c r="V27" s="700">
        <f>IF(OR(F27="",G27="",U27=""),"",IF(C27="売",(F27-U27)*G27,(U27-F27)*G27))</f>
        <v>-19600</v>
      </c>
      <c r="W27" s="487">
        <f>IF(OR($E27="",$B27=""),"",IF($T27&lt;&gt;"",$T27-$E27,TODAY()-$E27)+1)</f>
        <v>5</v>
      </c>
      <c r="X27" s="484" t="str">
        <f>IF(OR($AH27="",$AH27="保有中"),"",$AH27)</f>
        <v>損切確定</v>
      </c>
      <c r="Y27" s="488">
        <f>IF($B27="","",IF(COUNTIFS($B$4:$B27,$B27,$C$4:$C27,$C27)&gt;1,"⛔重複"&amp;COUNTIFS($B$4:$B27,$B27,$C$4:$C27,$C27)&amp;"回目",""))</f>
      </c>
      <c r="Z27" s="710">
        <v>16</v>
      </c>
      <c r="AA27" s="600" t="s">
        <v>1357</v>
      </c>
      <c r="AB27">
        <f>IF($F27="","",MAX(100,ROUNDDOWN($AX$4/($F27*$AX$2)/100,0)*100))</f>
      </c>
      <c r="AC27">
        <f>IF(OR($F27="",$G27="",$U27=""),"",ROUND($V27-($F27+$U27)*$G27*$AX$6-IF($C27="売",$F27*$G27*$AX$7*$W27/365,0),0))</f>
      </c>
      <c r="AD27" s="608" t="s">
        <v>1322</v>
      </c>
      <c r="AE27" s="624">
        <f>IF($E27="","",WORKDAY($E27,12))</f>
        <v>46251</v>
      </c>
      <c r="AF27" s="626"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26"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0" t="str">
        <f>IF(OR($B27="",$M27=""),"",IF(AND(N($AF27)=0,N($AG27)=0),IF(AND(ISNUMBER($H27),$H27&gt;0,IF($C27="売",$H27&gt;=$N27,$H27&lt;=$N27)),"損切確定",IF(AND(ISNUMBER($H27),$H27&gt;0,IF($C27="売",$H27&lt;=$M27,$H27&gt;=$M27)),"利益確定",IF($AE27&lt;=TODAY(),"日数制限","保有中"))),IF(N($AG27)=0,"利益確定",IF(N($AF27)=0,"損切確定",IF($AG27&lt;=$AF27,"損切確定","利益確定")))))</f>
        <v>損切確定</v>
      </c>
      <c r="AI27" s="600" t="str" cm="1">
        <f t="array" ref="AI27">IFERROR(INDEX(始値!$E$6:$BT$305,MATCH(TEXT($B27,"0"),TEXT(銘柄管理!$B$6:$B$305,"0"),0),MATCH($AE27,始値!$E$3:$BT$3,0)),"")</f>
        <v/>
      </c>
      <c r="AJ27" s="905">
        <f>IF(OR($V27="",$F27="",$G27=""),"",$V27/($F27*$G27))</f>
        <v>-0.04</v>
      </c>
      <c r="AK27" s="629" t="str">
        <f>IF($V27="","",IF($V27&gt;0,"○勝",IF($V27&lt;0,"●負","△引分")))</f>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IF(B28="","",HYPERLINK("https://kabutan.jp/stock/?code="&amp;B28,"株探"))</f>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IF(OR(F28="",G28="",H28=""),"",IF(C28="売",(F28-H28)*G28,(H28-F28)*G28))</f>
        <v>-17300</v>
      </c>
      <c r="L28" s="706">
        <f>IF(OR(F28="",H28=""),"",IF(C28="売",(F28-H28)/F28,(H28-F28)/F28))</f>
        <v>-9.897025171624714E-2</v>
      </c>
      <c r="M28" s="491">
        <f>IF($F28="","",IF($C28="売",CEILING($F28*IF($C28="売",1-$AX$3,1+$AX$3),IF($F28*IF($C28="売",1-$AX$3,1+$AX$3)&lt;=3000,1,IF($F28*IF($C28="売",1-$AX$3,1+$AX$3)&lt;=5000,5,IF($F28*IF($C28="売",1-$AX$3,1+$AX$3)&lt;=30000,10,IF($F28*IF($C28="売",1-$AX$3,1+$AX$3)&lt;=50000,50,IF($F28*IF($C28="売",1-$AX$3,1+$AX$3)&lt;=300000,100,500)))))),FLOOR($F28*IF($C28="売",1-$AX$3,1+$AX$3),IF($F28*IF($C28="売",1-$AX$3,1+$AX$3)&lt;=3000,1,IF($F28*IF($C28="売",1-$AX$3,1+$AX$3)&lt;=5000,5,IF($F28*IF($C28="売",1-$AX$3,1+$AX$3)&lt;=30000,10,IF($F28*IF($C28="売",1-$AX$3,1+$AX$3)&lt;=50000,50,IF($F28*IF($C28="売",1-$AX$3,1+$AX$3)&lt;=300000,100,500))))))))</f>
      </c>
      <c r="N28" s="491">
        <f>IF($F28="","",IF($C28="売",CEILING($F28*IF($C28="売",1+$AX$2,1-$AX$2),IF($F28*IF($C28="売",1+$AX$2,1-$AX$2)&lt;=3000,1,IF($F28*IF($C28="売",1+$AX$2,1-$AX$2)&lt;=5000,5,IF($F28*IF($C28="売",1+$AX$2,1-$AX$2)&lt;=30000,10,IF($F28*IF($C28="売",1+$AX$2,1-$AX$2)&lt;=50000,50,IF($F28*IF($C28="売",1+$AX$2,1-$AX$2)&lt;=300000,100,500)))))),FLOOR($F28*IF($C28="売",1+$AX$2,1-$AX$2),IF($F28*IF($C28="売",1+$AX$2,1-$AX$2)&lt;=3000,1,IF($F28*IF($C28="売",1+$AX$2,1-$AX$2)&lt;=5000,5,IF($F28*IF($C28="売",1+$AX$2,1-$AX$2)&lt;=30000,10,IF($F28*IF($C28="売",1+$AX$2,1-$AX$2)&lt;=50000,50,IF($F28*IF($C28="売",1+$AX$2,1-$AX$2)&lt;=300000,100,500))))))))</f>
      </c>
      <c r="O28" s="492" t="str">
        <f>IF(OR($B28="",$F28="",$H28=""),"",IF($S28="✅売却済","―決済済―",IF($C28="売",IF($H28&lt;=$M28,"🟢利確",IF(AND($R28&lt;&gt;"",$H28&gt;=$R28),"🟠TRAIL決済",IF($H28&gt;=$N28,"🔴損切",IF($W28&gt;=$AX$5,"⏱時間決済",IF($H28&gt;=$F28*(1+$AX$2*0.7),"⚠️損切接近","保持継続"))))),IF($H28&gt;=$M28,"🟢利確",IF(AND($R28&lt;&gt;"",$H28&lt;=$R28),"🟠TRAIL決済",IF($H28&lt;=$N28,"🔴損切",IF($W28&gt;=$AX$5,"⏱時間決済",IF($H28&lt;=$F28*(1-$AX$2*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IF($H28&gt;$F28*(1-$AX$2),$N28,CEILING(MIN($N28,IF($Q28="",$N28,$Q28*1.03)),IF($N28&lt;=3000,1,IF($N28&lt;=5000,5,IF($N28&lt;=30000,10,IF($N28&lt;=50000,50,IF($N28&lt;=300000,100,500))))))),IF($H28&lt;$F28*(1+$AX$2),$N28,FLOOR(MAX($N28,IF($P28="",$N28,$P28*0.97)),IF($N28&lt;=3000,1,IF($N28&lt;=5000,5,IF($N28&lt;=30000,10,IF($N28&lt;=50000,50,IF($N28&lt;=300000,100,500))))))))))</f>
      </c>
      <c r="S28" s="586" t="str">
        <f>IF(B28="","",IF(T28&lt;&gt;"","✅売却済",IF(OR(H28="",L28=""),"📌保有中",IF(L28&gt;=0.06,"🟢利確推奨",IF(L28&gt;=0.05,"🟡利確直近",IF(L28&gt;=0.045,"🔵トレーリング検討",IF(L28&gt;-0.03,"📌保有中",IF(L28&gt;-0.04,"⚠️損切注意","🔴損切り"))))))))</f>
        <v>✅売却済</v>
      </c>
      <c r="T28" s="594">
        <v>46237</v>
      </c>
      <c r="U28" s="491">
        <v>1818</v>
      </c>
      <c r="V28" s="701">
        <f>IF(OR(F28="",G28="",U28=""),"",IF(C28="売",(F28-U28)*G28,(U28-F28)*G28))</f>
        <v>-7000</v>
      </c>
      <c r="W28" s="493">
        <f>IF(OR($E28="",$B28=""),"",IF($T28&lt;&gt;"",$T28-$E28,TODAY()-$E28)+1)</f>
        <v>5</v>
      </c>
      <c r="X28" s="489" t="str">
        <f>IF(OR($AH28="",$AH28="保有中"),"",$AH28)</f>
        <v>損切確定</v>
      </c>
      <c r="Y28" s="488">
        <f>IF($B28="","",IF(COUNTIFS($B$4:$B28,$B28,$C$4:$C28,$C28)&gt;1,"⛔重複"&amp;COUNTIFS($B$4:$B28,$B28,$C$4:$C28,$C28)&amp;"回目",""))</f>
      </c>
      <c r="Z28" s="710">
        <v>21</v>
      </c>
      <c r="AA28" s="600" t="s">
        <v>1358</v>
      </c>
      <c r="AB28">
        <f>IF($F28="","",MAX(100,ROUNDDOWN($AX$4/($F28*$AX$2)/100,0)*100))</f>
      </c>
      <c r="AC28">
        <f>IF(OR($F28="",$G28="",$U28=""),"",ROUND($V28-($F28+$U28)*$G28*$AX$6-IF($C28="売",$F28*$G28*$AX$7*$W28/365,0),0))</f>
      </c>
      <c r="AD28" s="608" t="s">
        <v>1323</v>
      </c>
      <c r="AE28" s="624">
        <f>IF($E28="","",WORKDAY($E28,12))</f>
        <v>46251</v>
      </c>
      <c r="AF28" s="626"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26"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0" t="str">
        <f>IF(OR($B28="",$M28=""),"",IF(AND(N($AF28)=0,N($AG28)=0),IF(AND(ISNUMBER($H28),$H28&gt;0,IF($C28="売",$H28&gt;=$N28,$H28&lt;=$N28)),"損切確定",IF(AND(ISNUMBER($H28),$H28&gt;0,IF($C28="売",$H28&lt;=$M28,$H28&gt;=$M28)),"利益確定",IF($AE28&lt;=TODAY(),"日数制限","保有中"))),IF(N($AG28)=0,"利益確定",IF(N($AF28)=0,"損切確定",IF($AG28&lt;=$AF28,"損切確定","利益確定")))))</f>
        <v>損切確定</v>
      </c>
      <c r="AI28" s="600" t="str" cm="1">
        <f t="array" ref="AI28">IFERROR(INDEX(始値!$E$6:$BT$305,MATCH(TEXT($B28,"0"),TEXT(銘柄管理!$B$6:$B$305,"0"),0),MATCH($AE28,始値!$E$3:$BT$3,0)),"")</f>
        <v/>
      </c>
      <c r="AJ28" s="905">
        <f>IF(OR($V28="",$F28="",$G28=""),"",$V28/($F28*$G28))</f>
        <v>-4.0045766590389019E-2</v>
      </c>
      <c r="AK28" s="629" t="str">
        <f>IF($V28="","",IF($V28&gt;0,"○勝",IF($V28&lt;0,"●負","△引分")))</f>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IF(B29="","",HYPERLINK("https://kabutan.jp/stock/?code="&amp;B29,"株探"))</f>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IF(OR(F29="",G29="",H29=""),"",IF(C29="売",(F29-H29)*G29,(H29-F29)*G29))</f>
        <v>-55000</v>
      </c>
      <c r="L29" s="706">
        <f>IF(OR(F29="",H29=""),"",IF(C29="売",(F29-H29)/F29,(H29-F29)/F29))</f>
        <v>-8.2956259426847659E-2</v>
      </c>
      <c r="M29" s="491">
        <f>IF($F29="","",IF($C29="売",CEILING($F29*IF($C29="売",1-$AX$3,1+$AX$3),IF($F29*IF($C29="売",1-$AX$3,1+$AX$3)&lt;=3000,1,IF($F29*IF($C29="売",1-$AX$3,1+$AX$3)&lt;=5000,5,IF($F29*IF($C29="売",1-$AX$3,1+$AX$3)&lt;=30000,10,IF($F29*IF($C29="売",1-$AX$3,1+$AX$3)&lt;=50000,50,IF($F29*IF($C29="売",1-$AX$3,1+$AX$3)&lt;=300000,100,500)))))),FLOOR($F29*IF($C29="売",1-$AX$3,1+$AX$3),IF($F29*IF($C29="売",1-$AX$3,1+$AX$3)&lt;=3000,1,IF($F29*IF($C29="売",1-$AX$3,1+$AX$3)&lt;=5000,5,IF($F29*IF($C29="売",1-$AX$3,1+$AX$3)&lt;=30000,10,IF($F29*IF($C29="売",1-$AX$3,1+$AX$3)&lt;=50000,50,IF($F29*IF($C29="売",1-$AX$3,1+$AX$3)&lt;=300000,100,500))))))))</f>
      </c>
      <c r="N29" s="491">
        <f>IF($F29="","",IF($C29="売",CEILING($F29*IF($C29="売",1+$AX$2,1-$AX$2),IF($F29*IF($C29="売",1+$AX$2,1-$AX$2)&lt;=3000,1,IF($F29*IF($C29="売",1+$AX$2,1-$AX$2)&lt;=5000,5,IF($F29*IF($C29="売",1+$AX$2,1-$AX$2)&lt;=30000,10,IF($F29*IF($C29="売",1+$AX$2,1-$AX$2)&lt;=50000,50,IF($F29*IF($C29="売",1+$AX$2,1-$AX$2)&lt;=300000,100,500)))))),FLOOR($F29*IF($C29="売",1+$AX$2,1-$AX$2),IF($F29*IF($C29="売",1+$AX$2,1-$AX$2)&lt;=3000,1,IF($F29*IF($C29="売",1+$AX$2,1-$AX$2)&lt;=5000,5,IF($F29*IF($C29="売",1+$AX$2,1-$AX$2)&lt;=30000,10,IF($F29*IF($C29="売",1+$AX$2,1-$AX$2)&lt;=50000,50,IF($F29*IF($C29="売",1+$AX$2,1-$AX$2)&lt;=300000,100,500))))))))</f>
      </c>
      <c r="O29" s="492" t="str">
        <f>IF(OR($B29="",$F29="",$H29=""),"",IF($S29="✅売却済","―決済済―",IF($C29="売",IF($H29&lt;=$M29,"🟢利確",IF(AND($R29&lt;&gt;"",$H29&gt;=$R29),"🟠TRAIL決済",IF($H29&gt;=$N29,"🔴損切",IF($W29&gt;=$AX$5,"⏱時間決済",IF($H29&gt;=$F29*(1+$AX$2*0.7),"⚠️損切接近","保持継続"))))),IF($H29&gt;=$M29,"🟢利確",IF(AND($R29&lt;&gt;"",$H29&lt;=$R29),"🟠TRAIL決済",IF($H29&lt;=$N29,"🔴損切",IF($W29&gt;=$AX$5,"⏱時間決済",IF($H29&lt;=$F29*(1-$AX$2*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IF($H29&gt;$F29*(1-$AX$2),$N29,CEILING(MIN($N29,IF($Q29="",$N29,$Q29*1.03)),IF($N29&lt;=3000,1,IF($N29&lt;=5000,5,IF($N29&lt;=30000,10,IF($N29&lt;=50000,50,IF($N29&lt;=300000,100,500))))))),IF($H29&lt;$F29*(1+$AX$2),$N29,FLOOR(MAX($N29,IF($P29="",$N29,$P29*0.97)),IF($N29&lt;=3000,1,IF($N29&lt;=5000,5,IF($N29&lt;=30000,10,IF($N29&lt;=50000,50,IF($N29&lt;=300000,100,500))))))))))</f>
      </c>
      <c r="S29" s="586" t="str">
        <f>IF(B29="","",IF(T29&lt;&gt;"","✅売却済",IF(OR(H29="",L29=""),"📌保有中",IF(L29&gt;=0.06,"🟢利確推奨",IF(L29&gt;=0.05,"🟡利確直近",IF(L29&gt;=0.045,"🔵トレーリング検討",IF(L29&gt;-0.03,"📌保有中",IF(L29&gt;-0.04,"⚠️損切注意","🔴損切り"))))))))</f>
        <v>✅売却済</v>
      </c>
      <c r="T29" s="594">
        <v>46237</v>
      </c>
      <c r="U29" s="491">
        <v>6895</v>
      </c>
      <c r="V29" s="701">
        <f>IF(OR(F29="",G29="",U29=""),"",IF(C29="売",(F29-U29)*G29,(U29-F29)*G29))</f>
        <v>-26500</v>
      </c>
      <c r="W29" s="493">
        <f>IF(OR($E29="",$B29=""),"",IF($T29&lt;&gt;"",$T29-$E29,TODAY()-$E29)+1)</f>
        <v>5</v>
      </c>
      <c r="X29" s="489" t="str">
        <f>IF(OR($AH29="",$AH29="保有中"),"",$AH29)</f>
        <v>損切確定</v>
      </c>
      <c r="Y29" s="488">
        <f>IF($B29="","",IF(COUNTIFS($B$4:$B29,$B29,$C$4:$C29,$C29)&gt;1,"⛔重複"&amp;COUNTIFS($B$4:$B29,$B29,$C$4:$C29,$C29)&amp;"回目",""))</f>
      </c>
      <c r="Z29" s="710">
        <v>21</v>
      </c>
      <c r="AA29" s="600" t="s">
        <v>1359</v>
      </c>
      <c r="AB29">
        <f>IF($F29="","",MAX(100,ROUNDDOWN($AX$4/($F29*$AX$2)/100,0)*100))</f>
      </c>
      <c r="AC29">
        <f>IF(OR($F29="",$G29="",$U29=""),"",ROUND($V29-($F29+$U29)*$G29*$AX$6-IF($C29="売",$F29*$G29*$AX$7*$W29/365,0),0))</f>
      </c>
      <c r="AD29" s="608" t="s">
        <v>1323</v>
      </c>
      <c r="AE29" s="624">
        <f>IF($E29="","",WORKDAY($E29,12))</f>
        <v>46251</v>
      </c>
      <c r="AF29" s="626"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26"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0" t="str">
        <f>IF(OR($B29="",$M29=""),"",IF(AND(N($AF29)=0,N($AG29)=0),IF(AND(ISNUMBER($H29),$H29&gt;0,IF($C29="売",$H29&gt;=$N29,$H29&lt;=$N29)),"損切確定",IF(AND(ISNUMBER($H29),$H29&gt;0,IF($C29="売",$H29&lt;=$M29,$H29&gt;=$M29)),"利益確定",IF($AE29&lt;=TODAY(),"日数制限","保有中"))),IF(N($AG29)=0,"利益確定",IF(N($AF29)=0,"損切確定",IF($AG29&lt;=$AF29,"損切確定","利益確定")))))</f>
        <v>損切確定</v>
      </c>
      <c r="AI29" s="600" t="str" cm="1">
        <f t="array" ref="AI29">IFERROR(INDEX(始値!$E$6:$BT$305,MATCH(TEXT($B29,"0"),TEXT(銘柄管理!$B$6:$B$305,"0"),0),MATCH($AE29,始値!$E$3:$BT$3,0)),"")</f>
        <v/>
      </c>
      <c r="AJ29" s="905">
        <f>IF(OR($V29="",$F29="",$G29=""),"",$V29/($F29*$G29))</f>
        <v>-3.9969834087481143E-2</v>
      </c>
      <c r="AK29" s="629" t="str">
        <f>IF($V29="","",IF($V29&gt;0,"○勝",IF($V29&lt;0,"●負","△引分")))</f>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IF(B30="","",HYPERLINK("https://kabutan.jp/stock/?code="&amp;B30,"株探"))</f>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IF(OR(F30="",G30="",H30=""),"",IF(C30="売",(F30-H30)*G30,(H30-F30)*G30))</f>
        <v>-16400</v>
      </c>
      <c r="L30" s="706">
        <f>IF(OR(F30="",H30=""),"",IF(C30="売",(F30-H30)/F30,(H30-F30)/F30))</f>
        <v>-3.7692484486324986E-2</v>
      </c>
      <c r="M30" s="491">
        <f>IF($F30="","",IF($C30="売",CEILING($F30*IF($C30="売",1-$AX$3,1+$AX$3),IF($F30*IF($C30="売",1-$AX$3,1+$AX$3)&lt;=3000,1,IF($F30*IF($C30="売",1-$AX$3,1+$AX$3)&lt;=5000,5,IF($F30*IF($C30="売",1-$AX$3,1+$AX$3)&lt;=30000,10,IF($F30*IF($C30="売",1-$AX$3,1+$AX$3)&lt;=50000,50,IF($F30*IF($C30="売",1-$AX$3,1+$AX$3)&lt;=300000,100,500)))))),FLOOR($F30*IF($C30="売",1-$AX$3,1+$AX$3),IF($F30*IF($C30="売",1-$AX$3,1+$AX$3)&lt;=3000,1,IF($F30*IF($C30="売",1-$AX$3,1+$AX$3)&lt;=5000,5,IF($F30*IF($C30="売",1-$AX$3,1+$AX$3)&lt;=30000,10,IF($F30*IF($C30="売",1-$AX$3,1+$AX$3)&lt;=50000,50,IF($F30*IF($C30="売",1-$AX$3,1+$AX$3)&lt;=300000,100,500))))))))</f>
      </c>
      <c r="N30" s="491">
        <f>IF($F30="","",IF($C30="売",CEILING($F30*IF($C30="売",1+$AX$2,1-$AX$2),IF($F30*IF($C30="売",1+$AX$2,1-$AX$2)&lt;=3000,1,IF($F30*IF($C30="売",1+$AX$2,1-$AX$2)&lt;=5000,5,IF($F30*IF($C30="売",1+$AX$2,1-$AX$2)&lt;=30000,10,IF($F30*IF($C30="売",1+$AX$2,1-$AX$2)&lt;=50000,50,IF($F30*IF($C30="売",1+$AX$2,1-$AX$2)&lt;=300000,100,500)))))),FLOOR($F30*IF($C30="売",1+$AX$2,1-$AX$2),IF($F30*IF($C30="売",1+$AX$2,1-$AX$2)&lt;=3000,1,IF($F30*IF($C30="売",1+$AX$2,1-$AX$2)&lt;=5000,5,IF($F30*IF($C30="売",1+$AX$2,1-$AX$2)&lt;=30000,10,IF($F30*IF($C30="売",1+$AX$2,1-$AX$2)&lt;=50000,50,IF($F30*IF($C30="売",1+$AX$2,1-$AX$2)&lt;=300000,100,500))))))))</f>
      </c>
      <c r="O30" s="492" t="str">
        <f>IF(OR($B30="",$F30="",$H30=""),"",IF($S30="✅売却済","―決済済―",IF($C30="売",IF($H30&lt;=$M30,"🟢利確",IF(AND($R30&lt;&gt;"",$H30&gt;=$R30),"🟠TRAIL決済",IF($H30&gt;=$N30,"🔴損切",IF($W30&gt;=$AX$5,"⏱時間決済",IF($H30&gt;=$F30*(1+$AX$2*0.7),"⚠️損切接近","保持継続"))))),IF($H30&gt;=$M30,"🟢利確",IF(AND($R30&lt;&gt;"",$H30&lt;=$R30),"🟠TRAIL決済",IF($H30&lt;=$N30,"🔴損切",IF($W30&gt;=$AX$5,"⏱時間決済",IF($H30&lt;=$F30*(1-$AX$2*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IF($H30&gt;$F30*(1-$AX$2),$N30,CEILING(MIN($N30,IF($Q30="",$N30,$Q30*1.03)),IF($N30&lt;=3000,1,IF($N30&lt;=5000,5,IF($N30&lt;=30000,10,IF($N30&lt;=50000,50,IF($N30&lt;=300000,100,500))))))),IF($H30&lt;$F30*(1+$AX$2),$N30,FLOOR(MAX($N30,IF($P30="",$N30,$P30*0.97)),IF($N30&lt;=3000,1,IF($N30&lt;=5000,5,IF($N30&lt;=30000,10,IF($N30&lt;=50000,50,IF($N30&lt;=300000,100,500))))))))))</f>
      </c>
      <c r="S30" s="586" t="str">
        <f>IF(B30="","",IF(T30&lt;&gt;"","✅売却済",IF(OR(H30="",L30=""),"📌保有中",IF(L30&gt;=0.06,"🟢利確推奨",IF(L30&gt;=0.05,"🟡利確直近",IF(L30&gt;=0.045,"🔵トレーリング検討",IF(L30&gt;-0.03,"📌保有中",IF(L30&gt;-0.04,"⚠️損切注意","🔴損切り"))))))))</f>
        <v>✅売却済</v>
      </c>
      <c r="T30" s="594">
        <v>46238</v>
      </c>
      <c r="U30" s="491">
        <v>4177</v>
      </c>
      <c r="V30" s="701">
        <f>IF(OR(F30="",G30="",U30=""),"",IF(C30="売",(F30-U30)*G30,(U30-F30)*G30))</f>
        <v>-17400</v>
      </c>
      <c r="W30" s="493">
        <f>IF(OR($E30="",$B30=""),"",IF($T30&lt;&gt;"",$T30-$E30,TODAY()-$E30)+1)</f>
        <v>6</v>
      </c>
      <c r="X30" s="489" t="str">
        <f>IF(OR($AH30="",$AH30="保有中"),"",$AH30)</f>
        <v>損切確定</v>
      </c>
      <c r="Y30" s="488">
        <f>IF($B30="","",IF(COUNTIFS($B$4:$B30,$B30,$C$4:$C30,$C30)&gt;1,"⛔重複"&amp;COUNTIFS($B$4:$B30,$B30,$C$4:$C30,$C30)&amp;"回目",""))</f>
      </c>
      <c r="Z30" s="710">
        <v>21</v>
      </c>
      <c r="AA30" s="600" t="s">
        <v>1353</v>
      </c>
      <c r="AB30">
        <f>IF($F30="","",MAX(100,ROUNDDOWN($AX$4/($F30*$AX$2)/100,0)*100))</f>
      </c>
      <c r="AC30">
        <f>IF(OR($F30="",$G30="",$U30=""),"",ROUND($V30-($F30+$U30)*$G30*$AX$6-IF($C30="売",$F30*$G30*$AX$7*$W30/365,0),0))</f>
      </c>
      <c r="AD30" s="608" t="s">
        <v>1324</v>
      </c>
      <c r="AE30" s="624">
        <f>IF($E30="","",WORKDAY($E30,12))</f>
        <v>46251</v>
      </c>
      <c r="AF30" s="626"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26"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0" t="str">
        <f>IF(OR($B30="",$M30=""),"",IF(AND(N($AF30)=0,N($AG30)=0),IF(AND(ISNUMBER($H30),$H30&gt;0,IF($C30="売",$H30&gt;=$N30,$H30&lt;=$N30)),"損切確定",IF(AND(ISNUMBER($H30),$H30&gt;0,IF($C30="売",$H30&lt;=$M30,$H30&gt;=$M30)),"利益確定",IF($AE30&lt;=TODAY(),"日数制限","保有中"))),IF(N($AG30)=0,"利益確定",IF(N($AF30)=0,"損切確定",IF($AG30&lt;=$AF30,"損切確定","利益確定")))))</f>
        <v>損切確定</v>
      </c>
      <c r="AI30" s="600" t="str" cm="1">
        <f t="array" ref="AI30">IFERROR(INDEX(始値!$E$6:$BT$305,MATCH(TEXT($B30,"0"),TEXT(銘柄管理!$B$6:$B$305,"0"),0),MATCH($AE30,始値!$E$3:$BT$3,0)),"")</f>
        <v/>
      </c>
      <c r="AJ30" s="905">
        <f>IF(OR($V30="",$F30="",$G30=""),"",$V30/($F30*$G30))</f>
        <v>-3.9990806711100897E-2</v>
      </c>
      <c r="AK30" s="629" t="str">
        <f>IF($V30="","",IF($V30&gt;0,"○勝",IF($V30&lt;0,"●負","△引分")))</f>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IF(B31="","",HYPERLINK("https://kabutan.jp/stock/?code="&amp;B31,"株探"))</f>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IF(OR(F31="",G31="",H31=""),"",IF(C31="売",(F31-H31)*G31,(H31-F31)*G31))</f>
        <v>3000</v>
      </c>
      <c r="L31" s="706">
        <f>IF(OR(F31="",H31=""),"",IF(C31="売",(F31-H31)/F31,(H31-F31)/F31))</f>
        <v>9.9173553719008271E-3</v>
      </c>
      <c r="M31" s="491">
        <f>IF($F31="","",IF($C31="売",CEILING($F31*IF($C31="売",1-$AX$3,1+$AX$3),IF($F31*IF($C31="売",1-$AX$3,1+$AX$3)&lt;=3000,1,IF($F31*IF($C31="売",1-$AX$3,1+$AX$3)&lt;=5000,5,IF($F31*IF($C31="売",1-$AX$3,1+$AX$3)&lt;=30000,10,IF($F31*IF($C31="売",1-$AX$3,1+$AX$3)&lt;=50000,50,IF($F31*IF($C31="売",1-$AX$3,1+$AX$3)&lt;=300000,100,500)))))),FLOOR($F31*IF($C31="売",1-$AX$3,1+$AX$3),IF($F31*IF($C31="売",1-$AX$3,1+$AX$3)&lt;=3000,1,IF($F31*IF($C31="売",1-$AX$3,1+$AX$3)&lt;=5000,5,IF($F31*IF($C31="売",1-$AX$3,1+$AX$3)&lt;=30000,10,IF($F31*IF($C31="売",1-$AX$3,1+$AX$3)&lt;=50000,50,IF($F31*IF($C31="売",1-$AX$3,1+$AX$3)&lt;=300000,100,500))))))))</f>
      </c>
      <c r="N31" s="491">
        <f>IF($F31="","",IF($C31="売",CEILING($F31*IF($C31="売",1+$AX$2,1-$AX$2),IF($F31*IF($C31="売",1+$AX$2,1-$AX$2)&lt;=3000,1,IF($F31*IF($C31="売",1+$AX$2,1-$AX$2)&lt;=5000,5,IF($F31*IF($C31="売",1+$AX$2,1-$AX$2)&lt;=30000,10,IF($F31*IF($C31="売",1+$AX$2,1-$AX$2)&lt;=50000,50,IF($F31*IF($C31="売",1+$AX$2,1-$AX$2)&lt;=300000,100,500)))))),FLOOR($F31*IF($C31="売",1+$AX$2,1-$AX$2),IF($F31*IF($C31="売",1+$AX$2,1-$AX$2)&lt;=3000,1,IF($F31*IF($C31="売",1+$AX$2,1-$AX$2)&lt;=5000,5,IF($F31*IF($C31="売",1+$AX$2,1-$AX$2)&lt;=30000,10,IF($F31*IF($C31="売",1+$AX$2,1-$AX$2)&lt;=50000,50,IF($F31*IF($C31="売",1+$AX$2,1-$AX$2)&lt;=300000,100,500))))))))</f>
      </c>
      <c r="O31" s="492" t="str">
        <f>IF(OR($B31="",$F31="",$H31=""),"",IF($S31="✅売却済","―決済済―",IF($C31="売",IF($H31&lt;=$M31,"🟢利確",IF(AND($R31&lt;&gt;"",$H31&gt;=$R31),"🟠TRAIL決済",IF($H31&gt;=$N31,"🔴損切",IF($W31&gt;=$AX$5,"⏱時間決済",IF($H31&gt;=$F31*(1+$AX$2*0.7),"⚠️損切接近","保持継続"))))),IF($H31&gt;=$M31,"🟢利確",IF(AND($R31&lt;&gt;"",$H31&lt;=$R31),"🟠TRAIL決済",IF($H31&lt;=$N31,"🔴損切",IF($W31&gt;=$AX$5,"⏱時間決済",IF($H31&lt;=$F31*(1-$AX$2*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IF($H31&gt;$F31*(1-$AX$2),$N31,CEILING(MIN($N31,IF($Q31="",$N31,$Q31*1.03)),IF($N31&lt;=3000,1,IF($N31&lt;=5000,5,IF($N31&lt;=30000,10,IF($N31&lt;=50000,50,IF($N31&lt;=300000,100,500))))))),IF($H31&lt;$F31*(1+$AX$2),$N31,FLOOR(MAX($N31,IF($P31="",$N31,$P31*0.97)),IF($N31&lt;=3000,1,IF($N31&lt;=5000,5,IF($N31&lt;=30000,10,IF($N31&lt;=50000,50,IF($N31&lt;=300000,100,500))))))))))</f>
      </c>
      <c r="S31" s="586" t="str">
        <f>IF(B31="","",IF(T31&lt;&gt;"","✅売却済",IF(OR(H31="",L31=""),"📌保有中",IF(L31&gt;=0.06,"🟢利確推奨",IF(L31&gt;=0.05,"🟡利確直近",IF(L31&gt;=0.045,"🔵トレーリング検討",IF(L31&gt;-0.03,"📌保有中",IF(L31&gt;-0.04,"⚠️損切注意","🔴損切り"))))))))</f>
        <v>📌保有中</v>
      </c>
      <c r="T31" s="594"/>
      <c r="U31" s="491"/>
      <c r="V31" s="701" t="str">
        <f>IF(OR(F31="",G31="",U31=""),"",IF(C31="売",(F31-U31)*G31,(U31-F31)*G31))</f>
        <v/>
      </c>
      <c r="W31" s="493">
        <f>IF(OR($E31="",$B31=""),"",IF($T31&lt;&gt;"",$T31-$E31,TODAY()-$E31)+1)</f>
        <v>8</v>
      </c>
      <c r="X31" s="489" t="str">
        <f>IF(OR($AH31="",$AH31="保有中"),"",$AH31)</f>
        <v/>
      </c>
      <c r="Y31" s="488">
        <f>IF($B31="","",IF(COUNTIFS($B$4:$B31,$B31,$C$4:$C31,$C31)&gt;1,"⛔重複"&amp;COUNTIFS($B$4:$B31,$B31,$C$4:$C31,$C31)&amp;"回目",""))</f>
      </c>
      <c r="Z31" s="710">
        <v>21</v>
      </c>
      <c r="AA31" s="600" t="s">
        <v>1331</v>
      </c>
      <c r="AB31">
        <f>IF($F31="","",MAX(100,ROUNDDOWN($AX$4/($F31*$AX$2)/100,0)*100))</f>
      </c>
      <c r="AC31">
        <f>IF(OR($F31="",$G31="",$U31=""),"",ROUND($V31-($F31+$U31)*$G31*$AX$6-IF($C31="売",$F31*$G31*$AX$7*$W31/365,0),0))</f>
      </c>
      <c r="AD31" s="608" t="s">
        <v>1324</v>
      </c>
      <c r="AE31" s="624">
        <f>IF($E31="","",WORKDAY($E31,12))</f>
        <v>46251</v>
      </c>
      <c r="AF31" s="626"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26"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0" t="str">
        <f>IF(OR($B31="",$M31=""),"",IF(AND(N($AF31)=0,N($AG31)=0),IF(AND(ISNUMBER($H31),$H31&gt;0,IF($C31="売",$H31&gt;=$N31,$H31&lt;=$N31)),"損切確定",IF(AND(ISNUMBER($H31),$H31&gt;0,IF($C31="売",$H31&lt;=$M31,$H31&gt;=$M31)),"利益確定",IF($AE31&lt;=TODAY(),"日数制限","保有中"))),IF(N($AG31)=0,"利益確定",IF(N($AF31)=0,"損切確定",IF($AG31&lt;=$AF31,"損切確定","利益確定")))))</f>
        <v>保有中</v>
      </c>
      <c r="AI31" s="600" t="str" cm="1">
        <f t="array" ref="AI31">IFERROR(INDEX(始値!$E$6:$BT$305,MATCH(TEXT($B31,"0"),TEXT(銘柄管理!$B$6:$B$305,"0"),0),MATCH($AE31,始値!$E$3:$BT$3,0)),"")</f>
        <v/>
      </c>
      <c r="AJ31" s="905" t="str">
        <f>IF(OR($V31="",$F31="",$G31=""),"",$V31/($F31*$G31))</f>
        <v/>
      </c>
      <c r="AK31" s="629" t="str">
        <f>IF($V31="","",IF($V31&gt;0,"○勝",IF($V31&lt;0,"●負","△引分")))</f>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IF(B32="","",HYPERLINK("https://kabutan.jp/stock/?code="&amp;B32,"株探"))</f>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IF(OR(F32="",G32="",H32=""),"",IF(C32="売",(F32-H32)*G32,(H32-F32)*G32))</f>
        <v>-63000</v>
      </c>
      <c r="L32" s="706">
        <f>IF(OR(F32="",H32=""),"",IF(C32="売",(F32-H32)/F32,(H32-F32)/F32))</f>
        <v>-4.6666666666666669E-2</v>
      </c>
      <c r="M32" s="491">
        <f>IF($F32="","",IF($C32="売",CEILING($F32*IF($C32="売",1-$AX$3,1+$AX$3),IF($F32*IF($C32="売",1-$AX$3,1+$AX$3)&lt;=3000,1,IF($F32*IF($C32="売",1-$AX$3,1+$AX$3)&lt;=5000,5,IF($F32*IF($C32="売",1-$AX$3,1+$AX$3)&lt;=30000,10,IF($F32*IF($C32="売",1-$AX$3,1+$AX$3)&lt;=50000,50,IF($F32*IF($C32="売",1-$AX$3,1+$AX$3)&lt;=300000,100,500)))))),FLOOR($F32*IF($C32="売",1-$AX$3,1+$AX$3),IF($F32*IF($C32="売",1-$AX$3,1+$AX$3)&lt;=3000,1,IF($F32*IF($C32="売",1-$AX$3,1+$AX$3)&lt;=5000,5,IF($F32*IF($C32="売",1-$AX$3,1+$AX$3)&lt;=30000,10,IF($F32*IF($C32="売",1-$AX$3,1+$AX$3)&lt;=50000,50,IF($F32*IF($C32="売",1-$AX$3,1+$AX$3)&lt;=300000,100,500))))))))</f>
      </c>
      <c r="N32" s="491">
        <f>IF($F32="","",IF($C32="売",CEILING($F32*IF($C32="売",1+$AX$2,1-$AX$2),IF($F32*IF($C32="売",1+$AX$2,1-$AX$2)&lt;=3000,1,IF($F32*IF($C32="売",1+$AX$2,1-$AX$2)&lt;=5000,5,IF($F32*IF($C32="売",1+$AX$2,1-$AX$2)&lt;=30000,10,IF($F32*IF($C32="売",1+$AX$2,1-$AX$2)&lt;=50000,50,IF($F32*IF($C32="売",1+$AX$2,1-$AX$2)&lt;=300000,100,500)))))),FLOOR($F32*IF($C32="売",1+$AX$2,1-$AX$2),IF($F32*IF($C32="売",1+$AX$2,1-$AX$2)&lt;=3000,1,IF($F32*IF($C32="売",1+$AX$2,1-$AX$2)&lt;=5000,5,IF($F32*IF($C32="売",1+$AX$2,1-$AX$2)&lt;=30000,10,IF($F32*IF($C32="売",1+$AX$2,1-$AX$2)&lt;=50000,50,IF($F32*IF($C32="売",1+$AX$2,1-$AX$2)&lt;=300000,100,500))))))))</f>
      </c>
      <c r="O32" s="492" t="str">
        <f>IF(OR($B32="",$F32="",$H32=""),"",IF($S32="✅売却済","―決済済―",IF($C32="売",IF($H32&lt;=$M32,"🟢利確",IF(AND($R32&lt;&gt;"",$H32&gt;=$R32),"🟠TRAIL決済",IF($H32&gt;=$N32,"🔴損切",IF($W32&gt;=$AX$5,"⏱時間決済",IF($H32&gt;=$F32*(1+$AX$2*0.7),"⚠️損切接近","保持継続"))))),IF($H32&gt;=$M32,"🟢利確",IF(AND($R32&lt;&gt;"",$H32&lt;=$R32),"🟠TRAIL決済",IF($H32&lt;=$N32,"🔴損切",IF($W32&gt;=$AX$5,"⏱時間決済",IF($H32&lt;=$F32*(1-$AX$2*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IF($H32&gt;$F32*(1-$AX$2),$N32,CEILING(MIN($N32,IF($Q32="",$N32,$Q32*1.03)),IF($N32&lt;=3000,1,IF($N32&lt;=5000,5,IF($N32&lt;=30000,10,IF($N32&lt;=50000,50,IF($N32&lt;=300000,100,500))))))),IF($H32&lt;$F32*(1+$AX$2),$N32,FLOOR(MAX($N32,IF($P32="",$N32,$P32*0.97)),IF($N32&lt;=3000,1,IF($N32&lt;=5000,5,IF($N32&lt;=30000,10,IF($N32&lt;=50000,50,IF($N32&lt;=300000,100,500))))))))))</f>
      </c>
      <c r="S32" s="586" t="str">
        <f>IF(B32="","",IF(T32&lt;&gt;"","✅売却済",IF(OR(H32="",L32=""),"📌保有中",IF(L32&gt;=0.06,"🟢利確推奨",IF(L32&gt;=0.05,"🟡利確直近",IF(L32&gt;=0.045,"🔵トレーリング検討",IF(L32&gt;-0.03,"📌保有中",IF(L32&gt;-0.04,"⚠️損切注意","🔴損切り"))))))))</f>
        <v>✅売却済</v>
      </c>
      <c r="T32" s="594">
        <v>46238</v>
      </c>
      <c r="U32" s="491">
        <v>14040</v>
      </c>
      <c r="V32" s="701">
        <f>IF(OR(F32="",G32="",U32=""),"",IF(C32="売",(F32-U32)*G32,(U32-F32)*G32))</f>
        <v>-54000</v>
      </c>
      <c r="W32" s="493">
        <f>IF(OR($E32="",$B32=""),"",IF($T32&lt;&gt;"",$T32-$E32,TODAY()-$E32)+1)</f>
        <v>6</v>
      </c>
      <c r="X32" s="489" t="str">
        <f>IF(OR($AH32="",$AH32="保有中"),"",$AH32)</f>
        <v>損切確定</v>
      </c>
      <c r="Y32" s="488">
        <f>IF($B32="","",IF(COUNTIFS($B$4:$B32,$B32,$C$4:$C32,$C32)&gt;1,"⛔重複"&amp;COUNTIFS($B$4:$B32,$B32,$C$4:$C32,$C32)&amp;"回目",""))</f>
      </c>
      <c r="Z32" s="710">
        <v>21</v>
      </c>
      <c r="AA32" s="600" t="s">
        <v>1354</v>
      </c>
      <c r="AB32">
        <f>IF($F32="","",MAX(100,ROUNDDOWN($AX$4/($F32*$AX$2)/100,0)*100))</f>
      </c>
      <c r="AC32">
        <f>IF(OR($F32="",$G32="",$U32=""),"",ROUND($V32-($F32+$U32)*$G32*$AX$6-IF($C32="売",$F32*$G32*$AX$7*$W32/365,0),0))</f>
      </c>
      <c r="AD32" s="608" t="s">
        <v>1325</v>
      </c>
      <c r="AE32" s="624">
        <f>IF($E32="","",WORKDAY($E32,12))</f>
        <v>46251</v>
      </c>
      <c r="AF32" s="626"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26"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0" t="str">
        <f>IF(OR($B32="",$M32=""),"",IF(AND(N($AF32)=0,N($AG32)=0),IF(AND(ISNUMBER($H32),$H32&gt;0,IF($C32="売",$H32&gt;=$N32,$H32&lt;=$N32)),"損切確定",IF(AND(ISNUMBER($H32),$H32&gt;0,IF($C32="売",$H32&lt;=$M32,$H32&gt;=$M32)),"利益確定",IF($AE32&lt;=TODAY(),"日数制限","保有中"))),IF(N($AG32)=0,"利益確定",IF(N($AF32)=0,"損切確定",IF($AG32&lt;=$AF32,"損切確定","利益確定")))))</f>
        <v>損切確定</v>
      </c>
      <c r="AI32" s="600" t="str" cm="1">
        <f t="array" ref="AI32">IFERROR(INDEX(始値!$E$6:$BT$305,MATCH(TEXT($B32,"0"),TEXT(銘柄管理!$B$6:$B$305,"0"),0),MATCH($AE32,始値!$E$3:$BT$3,0)),"")</f>
        <v/>
      </c>
      <c r="AJ32" s="905">
        <f>IF(OR($V32="",$F32="",$G32=""),"",$V32/($F32*$G32))</f>
        <v>-0.04</v>
      </c>
      <c r="AK32" s="629" t="str">
        <f>IF($V32="","",IF($V32&gt;0,"○勝",IF($V32&lt;0,"●負","△引分")))</f>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IF(B33="","",HYPERLINK("https://kabutan.jp/stock/?code="&amp;B33,"株探"))</f>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IF(OR(F33="",G33="",H33=""),"",IF(C33="売",(F33-H33)*G33,(H33-F33)*G33))</f>
        <v>-26200</v>
      </c>
      <c r="L33" s="706">
        <f>IF(OR(F33="",H33=""),"",IF(C33="売",(F33-H33)/F33,(H33-F33)/F33))</f>
        <v>-0.11022297013041649</v>
      </c>
      <c r="M33" s="491">
        <f>IF($F33="","",IF($C33="売",CEILING($F33*IF($C33="売",1-$AX$3,1+$AX$3),IF($F33*IF($C33="売",1-$AX$3,1+$AX$3)&lt;=3000,1,IF($F33*IF($C33="売",1-$AX$3,1+$AX$3)&lt;=5000,5,IF($F33*IF($C33="売",1-$AX$3,1+$AX$3)&lt;=30000,10,IF($F33*IF($C33="売",1-$AX$3,1+$AX$3)&lt;=50000,50,IF($F33*IF($C33="売",1-$AX$3,1+$AX$3)&lt;=300000,100,500)))))),FLOOR($F33*IF($C33="売",1-$AX$3,1+$AX$3),IF($F33*IF($C33="売",1-$AX$3,1+$AX$3)&lt;=3000,1,IF($F33*IF($C33="売",1-$AX$3,1+$AX$3)&lt;=5000,5,IF($F33*IF($C33="売",1-$AX$3,1+$AX$3)&lt;=30000,10,IF($F33*IF($C33="売",1-$AX$3,1+$AX$3)&lt;=50000,50,IF($F33*IF($C33="売",1-$AX$3,1+$AX$3)&lt;=300000,100,500))))))))</f>
      </c>
      <c r="N33" s="491">
        <f>IF($F33="","",IF($C33="売",CEILING($F33*IF($C33="売",1+$AX$2,1-$AX$2),IF($F33*IF($C33="売",1+$AX$2,1-$AX$2)&lt;=3000,1,IF($F33*IF($C33="売",1+$AX$2,1-$AX$2)&lt;=5000,5,IF($F33*IF($C33="売",1+$AX$2,1-$AX$2)&lt;=30000,10,IF($F33*IF($C33="売",1+$AX$2,1-$AX$2)&lt;=50000,50,IF($F33*IF($C33="売",1+$AX$2,1-$AX$2)&lt;=300000,100,500)))))),FLOOR($F33*IF($C33="売",1+$AX$2,1-$AX$2),IF($F33*IF($C33="売",1+$AX$2,1-$AX$2)&lt;=3000,1,IF($F33*IF($C33="売",1+$AX$2,1-$AX$2)&lt;=5000,5,IF($F33*IF($C33="売",1+$AX$2,1-$AX$2)&lt;=30000,10,IF($F33*IF($C33="売",1+$AX$2,1-$AX$2)&lt;=50000,50,IF($F33*IF($C33="売",1+$AX$2,1-$AX$2)&lt;=300000,100,500))))))))</f>
      </c>
      <c r="O33" s="492" t="str">
        <f>IF(OR($B33="",$F33="",$H33=""),"",IF($S33="✅売却済","―決済済―",IF($C33="売",IF($H33&lt;=$M33,"🟢利確",IF(AND($R33&lt;&gt;"",$H33&gt;=$R33),"🟠TRAIL決済",IF($H33&gt;=$N33,"🔴損切",IF($W33&gt;=$AX$5,"⏱時間決済",IF($H33&gt;=$F33*(1+$AX$2*0.7),"⚠️損切接近","保持継続"))))),IF($H33&gt;=$M33,"🟢利確",IF(AND($R33&lt;&gt;"",$H33&lt;=$R33),"🟠TRAIL決済",IF($H33&lt;=$N33,"🔴損切",IF($W33&gt;=$AX$5,"⏱時間決済",IF($H33&lt;=$F33*(1-$AX$2*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IF($H33&gt;$F33*(1-$AX$2),$N33,CEILING(MIN($N33,IF($Q33="",$N33,$Q33*1.03)),IF($N33&lt;=3000,1,IF($N33&lt;=5000,5,IF($N33&lt;=30000,10,IF($N33&lt;=50000,50,IF($N33&lt;=300000,100,500))))))),IF($H33&lt;$F33*(1+$AX$2),$N33,FLOOR(MAX($N33,IF($P33="",$N33,$P33*0.97)),IF($N33&lt;=3000,1,IF($N33&lt;=5000,5,IF($N33&lt;=30000,10,IF($N33&lt;=50000,50,IF($N33&lt;=300000,100,500))))))))))</f>
      </c>
      <c r="S33" s="586" t="str">
        <f>IF(B33="","",IF(T33&lt;&gt;"","✅売却済",IF(OR(H33="",L33=""),"📌保有中",IF(L33&gt;=0.06,"🟢利確推奨",IF(L33&gt;=0.05,"🟡利確直近",IF(L33&gt;=0.045,"🔵トレーリング検討",IF(L33&gt;-0.03,"📌保有中",IF(L33&gt;-0.04,"⚠️損切注意","🔴損切り"))))))))</f>
        <v>✅売却済</v>
      </c>
      <c r="T33" s="594">
        <v>46238</v>
      </c>
      <c r="U33" s="491">
        <v>2472</v>
      </c>
      <c r="V33" s="701">
        <f>IF(OR(F33="",G33="",U33=""),"",IF(C33="売",(F33-U33)*G33,(U33-F33)*G33))</f>
        <v>-9500</v>
      </c>
      <c r="W33" s="493">
        <f>IF(OR($E33="",$B33=""),"",IF($T33&lt;&gt;"",$T33-$E33,TODAY()-$E33)+1)</f>
        <v>6</v>
      </c>
      <c r="X33" s="489" t="str">
        <f>IF(OR($AH33="",$AH33="保有中"),"",$AH33)</f>
        <v>損切確定</v>
      </c>
      <c r="Y33" s="488">
        <f>IF($B33="","",IF(COUNTIFS($B$4:$B33,$B33,$C$4:$C33,$C33)&gt;1,"⛔重複"&amp;COUNTIFS($B$4:$B33,$B33,$C$4:$C33,$C33)&amp;"回目",""))</f>
      </c>
      <c r="Z33" s="710">
        <v>18</v>
      </c>
      <c r="AA33" s="600" t="s">
        <v>1360</v>
      </c>
      <c r="AB33">
        <f>IF($F33="","",MAX(100,ROUNDDOWN($AX$4/($F33*$AX$2)/100,0)*100))</f>
      </c>
      <c r="AC33">
        <f>IF(OR($F33="",$G33="",$U33=""),"",ROUND($V33-($F33+$U33)*$G33*$AX$6-IF($C33="売",$F33*$G33*$AX$7*$W33/365,0),0))</f>
      </c>
      <c r="AD33" s="608" t="s">
        <v>1325</v>
      </c>
      <c r="AE33" s="624">
        <f>IF($E33="","",WORKDAY($E33,12))</f>
        <v>46251</v>
      </c>
      <c r="AF33" s="626"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26"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0" t="str">
        <f>IF(OR($B33="",$M33=""),"",IF(AND(N($AF33)=0,N($AG33)=0),IF(AND(ISNUMBER($H33),$H33&gt;0,IF($C33="売",$H33&gt;=$N33,$H33&lt;=$N33)),"損切確定",IF(AND(ISNUMBER($H33),$H33&gt;0,IF($C33="売",$H33&lt;=$M33,$H33&gt;=$M33)),"利益確定",IF($AE33&lt;=TODAY(),"日数制限","保有中"))),IF(N($AG33)=0,"利益確定",IF(N($AF33)=0,"損切確定",IF($AG33&lt;=$AF33,"損切確定","利益確定")))))</f>
        <v>損切確定</v>
      </c>
      <c r="AI33" s="600" t="str" cm="1">
        <f t="array" ref="AI33">IFERROR(INDEX(始値!$E$6:$BT$305,MATCH(TEXT($B33,"0"),TEXT(銘柄管理!$B$6:$B$305,"0"),0),MATCH($AE33,始値!$E$3:$BT$3,0)),"")</f>
        <v/>
      </c>
      <c r="AJ33" s="905">
        <f>IF(OR($V33="",$F33="",$G33=""),"",$V33/($F33*$G33))</f>
        <v>-3.9966344131257887E-2</v>
      </c>
      <c r="AK33" s="629" t="str">
        <f>IF($V33="","",IF($V33&gt;0,"○勝",IF($V33&lt;0,"●負","△引分")))</f>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IF(B34="","",HYPERLINK("https://kabutan.jp/stock/?code="&amp;B34,"株探"))</f>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BT$3,0)=1,1,MATCH($E34,始値!$E$3:$BT$3,0)+1)),_xlpm.v,INDEX(始値!$C$6:$B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IF(OR(F34="",G34="",H34=""),"",IF(C34="売",(F34-H34)*G34,(H34-F34)*G34))</f>
        <v>-400</v>
      </c>
      <c r="L34" s="706">
        <f>IF(OR(F34="",H34=""),"",IF(C34="売",(F34-H34)/F34,(H34-F34)/F34))</f>
        <v>-4.0444893832153692E-3</v>
      </c>
      <c r="M34" s="491">
        <f>IF($F34="","",IF($C34="売",CEILING($F34*IF($C34="売",1-$AX$3,1+$AX$3),IF($F34*IF($C34="売",1-$AX$3,1+$AX$3)&lt;=3000,1,IF($F34*IF($C34="売",1-$AX$3,1+$AX$3)&lt;=5000,5,IF($F34*IF($C34="売",1-$AX$3,1+$AX$3)&lt;=30000,10,IF($F34*IF($C34="売",1-$AX$3,1+$AX$3)&lt;=50000,50,IF($F34*IF($C34="売",1-$AX$3,1+$AX$3)&lt;=300000,100,500)))))),FLOOR($F34*IF($C34="売",1-$AX$3,1+$AX$3),IF($F34*IF($C34="売",1-$AX$3,1+$AX$3)&lt;=3000,1,IF($F34*IF($C34="売",1-$AX$3,1+$AX$3)&lt;=5000,5,IF($F34*IF($C34="売",1-$AX$3,1+$AX$3)&lt;=30000,10,IF($F34*IF($C34="売",1-$AX$3,1+$AX$3)&lt;=50000,50,IF($F34*IF($C34="売",1-$AX$3,1+$AX$3)&lt;=300000,100,500))))))))</f>
      </c>
      <c r="N34" s="491">
        <f>IF($F34="","",IF($C34="売",CEILING($F34*IF($C34="売",1+$AX$2,1-$AX$2),IF($F34*IF($C34="売",1+$AX$2,1-$AX$2)&lt;=3000,1,IF($F34*IF($C34="売",1+$AX$2,1-$AX$2)&lt;=5000,5,IF($F34*IF($C34="売",1+$AX$2,1-$AX$2)&lt;=30000,10,IF($F34*IF($C34="売",1+$AX$2,1-$AX$2)&lt;=50000,50,IF($F34*IF($C34="売",1+$AX$2,1-$AX$2)&lt;=300000,100,500)))))),FLOOR($F34*IF($C34="売",1+$AX$2,1-$AX$2),IF($F34*IF($C34="売",1+$AX$2,1-$AX$2)&lt;=3000,1,IF($F34*IF($C34="売",1+$AX$2,1-$AX$2)&lt;=5000,5,IF($F34*IF($C34="売",1+$AX$2,1-$AX$2)&lt;=30000,10,IF($F34*IF($C34="売",1+$AX$2,1-$AX$2)&lt;=50000,50,IF($F34*IF($C34="売",1+$AX$2,1-$AX$2)&lt;=300000,100,500))))))))</f>
      </c>
      <c r="O34" s="492" t="str">
        <f>IF(OR($B34="",$F34="",$H34=""),"",IF($S34="✅売却済","―決済済―",IF($C34="売",IF($H34&lt;=$M34,"🟢利確",IF(AND($R34&lt;&gt;"",$H34&gt;=$R34),"🟠TRAIL決済",IF($H34&gt;=$N34,"🔴損切",IF($W34&gt;=$AX$5,"⏱時間決済",IF($H34&gt;=$F34*(1+$AX$2*0.7),"⚠️損切接近","保持継続"))))),IF($H34&gt;=$M34,"🟢利確",IF(AND($R34&lt;&gt;"",$H34&lt;=$R34),"🟠TRAIL決済",IF($H34&lt;=$N34,"🔴損切",IF($W34&gt;=$AX$5,"⏱時間決済",IF($H34&lt;=$F34*(1-$AX$2*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IF($H34&gt;$F34*(1-$AX$2),$N34,CEILING(MIN($N34,IF($Q34="",$N34,$Q34*1.03)),IF($N34&lt;=3000,1,IF($N34&lt;=5000,5,IF($N34&lt;=30000,10,IF($N34&lt;=50000,50,IF($N34&lt;=300000,100,500))))))),IF($H34&lt;$F34*(1+$AX$2),$N34,FLOOR(MAX($N34,IF($P34="",$N34,$P34*0.97)),IF($N34&lt;=3000,1,IF($N34&lt;=5000,5,IF($N34&lt;=30000,10,IF($N34&lt;=50000,50,IF($N34&lt;=300000,100,500))))))))))</f>
      </c>
      <c r="S34" s="586" t="str">
        <f>IF(B34="","",IF(T34&lt;&gt;"","✅売却済",IF(OR(H34="",L34=""),"📌保有中",IF(L34&gt;=0.06,"🟢利確推奨",IF(L34&gt;=0.05,"🟡利確直近",IF(L34&gt;=0.045,"🔵トレーリング検討",IF(L34&gt;-0.03,"📌保有中",IF(L34&gt;-0.04,"⚠️損切注意","🔴損切り"))))))))</f>
        <v>📌保有中</v>
      </c>
      <c r="T34" s="594"/>
      <c r="U34" s="491"/>
      <c r="V34" s="701" t="str">
        <f>IF(OR(F34="",G34="",U34=""),"",IF(C34="売",(F34-U34)*G34,(U34-F34)*G34))</f>
        <v/>
      </c>
      <c r="W34" s="493">
        <f>IF(OR($E34="",$B34=""),"",IF($T34&lt;&gt;"",$T34-$E34,TODAY()-$E34)+1)</f>
        <v>8</v>
      </c>
      <c r="X34" s="489" t="str">
        <f>IF(OR($AH34="",$AH34="保有中"),"",$AH34)</f>
        <v/>
      </c>
      <c r="Y34" s="488">
        <f>IF($B34="","",IF(COUNTIFS($B$4:$B34,$B34,$C$4:$C34,$C34)&gt;1,"⛔重複"&amp;COUNTIFS($B$4:$B34,$B34,$C$4:$C34,$C34)&amp;"回目",""))</f>
      </c>
      <c r="Z34" s="710">
        <v>18</v>
      </c>
      <c r="AB34">
        <f>IF($F34="","",MAX(100,ROUNDDOWN($AX$4/($F34*$AX$2)/100,0)*100))</f>
      </c>
      <c r="AC34">
        <f>IF(OR($F34="",$G34="",$U34=""),"",ROUND($V34-($F34+$U34)*$G34*$AX$6-IF($C34="売",$F34*$G34*$AX$7*$W34/365,0),0))</f>
      </c>
      <c r="AD34" s="608" t="s">
        <v>1324</v>
      </c>
      <c r="AE34" s="624">
        <f>IF($E34="","",WORKDAY($E34,12))</f>
        <v>46251</v>
      </c>
      <c r="AF34" s="626"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26"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0" t="str">
        <f>IF(OR($B34="",$M34=""),"",IF(AND(N($AF34)=0,N($AG34)=0),IF(AND(ISNUMBER($H34),$H34&gt;0,IF($C34="売",$H34&gt;=$N34,$H34&lt;=$N34)),"損切確定",IF(AND(ISNUMBER($H34),$H34&gt;0,IF($C34="売",$H34&lt;=$M34,$H34&gt;=$M34)),"利益確定",IF($AE34&lt;=TODAY(),"日数制限","保有中"))),IF(N($AG34)=0,"利益確定",IF(N($AF34)=0,"損切確定",IF($AG34&lt;=$AF34,"損切確定","利益確定")))))</f>
        <v>保有中</v>
      </c>
      <c r="AI34" s="600" t="str" cm="1">
        <f t="array" ref="AI34">IFERROR(INDEX(始値!$E$6:$BT$305,MATCH(TEXT($B34,"0"),TEXT(銘柄管理!$B$6:$B$305,"0"),0),MATCH($AE34,始値!$E$3:$BT$3,0)),"")</f>
        <v/>
      </c>
      <c r="AJ34" s="905" t="str">
        <f>IF(OR($V34="",$F34="",$G34=""),"",$V34/($F34*$G34))</f>
        <v/>
      </c>
      <c r="AK34" s="629" t="str">
        <f>IF($V34="","",IF($V34&gt;0,"○勝",IF($V34&lt;0,"●負","△引分")))</f>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IF(B35="","",HYPERLINK("https://kabutan.jp/stock/?code="&amp;B35,"株探"))</f>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BT$3,0)=1,1,MATCH($E35,始値!$E$3:$BT$3,0)+1)),_xlpm.v,INDEX(始値!$C$6:$B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IF(OR(F35="",G35="",H35=""),"",IF(C35="売",(F35-H35)*G35,(H35-F35)*G35))</f>
        <v>16000</v>
      </c>
      <c r="L35" s="706">
        <f>IF(OR(F35="",H35=""),"",IF(C35="売",(F35-H35)/F35,(H35-F35)/F35))</f>
        <v>4.7477744807121663E-2</v>
      </c>
      <c r="M35" s="491">
        <f>IF($F35="","",IF($C35="売",CEILING($F35*IF($C35="売",1-$AX$3,1+$AX$3),IF($F35*IF($C35="売",1-$AX$3,1+$AX$3)&lt;=3000,1,IF($F35*IF($C35="売",1-$AX$3,1+$AX$3)&lt;=5000,5,IF($F35*IF($C35="売",1-$AX$3,1+$AX$3)&lt;=30000,10,IF($F35*IF($C35="売",1-$AX$3,1+$AX$3)&lt;=50000,50,IF($F35*IF($C35="売",1-$AX$3,1+$AX$3)&lt;=300000,100,500)))))),FLOOR($F35*IF($C35="売",1-$AX$3,1+$AX$3),IF($F35*IF($C35="売",1-$AX$3,1+$AX$3)&lt;=3000,1,IF($F35*IF($C35="売",1-$AX$3,1+$AX$3)&lt;=5000,5,IF($F35*IF($C35="売",1-$AX$3,1+$AX$3)&lt;=30000,10,IF($F35*IF($C35="売",1-$AX$3,1+$AX$3)&lt;=50000,50,IF($F35*IF($C35="売",1-$AX$3,1+$AX$3)&lt;=300000,100,500))))))))</f>
      </c>
      <c r="N35" s="491">
        <f>IF($F35="","",IF($C35="売",CEILING($F35*IF($C35="売",1+$AX$2,1-$AX$2),IF($F35*IF($C35="売",1+$AX$2,1-$AX$2)&lt;=3000,1,IF($F35*IF($C35="売",1+$AX$2,1-$AX$2)&lt;=5000,5,IF($F35*IF($C35="売",1+$AX$2,1-$AX$2)&lt;=30000,10,IF($F35*IF($C35="売",1+$AX$2,1-$AX$2)&lt;=50000,50,IF($F35*IF($C35="売",1+$AX$2,1-$AX$2)&lt;=300000,100,500)))))),FLOOR($F35*IF($C35="売",1+$AX$2,1-$AX$2),IF($F35*IF($C35="売",1+$AX$2,1-$AX$2)&lt;=3000,1,IF($F35*IF($C35="売",1+$AX$2,1-$AX$2)&lt;=5000,5,IF($F35*IF($C35="売",1+$AX$2,1-$AX$2)&lt;=30000,10,IF($F35*IF($C35="売",1+$AX$2,1-$AX$2)&lt;=50000,50,IF($F35*IF($C35="売",1+$AX$2,1-$AX$2)&lt;=300000,100,500))))))))</f>
      </c>
      <c r="O35" s="492" t="str">
        <f>IF(OR($B35="",$F35="",$H35=""),"",IF($S35="✅売却済","―決済済―",IF($C35="売",IF($H35&lt;=$M35,"🟢利確",IF(AND($R35&lt;&gt;"",$H35&gt;=$R35),"🟠TRAIL決済",IF($H35&gt;=$N35,"🔴損切",IF($W35&gt;=$AX$5,"⏱時間決済",IF($H35&gt;=$F35*(1+$AX$2*0.7),"⚠️損切接近","保持継続"))))),IF($H35&gt;=$M35,"🟢利確",IF(AND($R35&lt;&gt;"",$H35&lt;=$R35),"🟠TRAIL決済",IF($H35&lt;=$N35,"🔴損切",IF($W35&gt;=$AX$5,"⏱時間決済",IF($H35&lt;=$F35*(1-$AX$2*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IF($H35&gt;$F35*(1-$AX$2),$N35,CEILING(MIN($N35,IF($Q35="",$N35,$Q35*1.03)),IF($N35&lt;=3000,1,IF($N35&lt;=5000,5,IF($N35&lt;=30000,10,IF($N35&lt;=50000,50,IF($N35&lt;=300000,100,500))))))),IF($H35&lt;$F35*(1+$AX$2),$N35,FLOOR(MAX($N35,IF($P35="",$N35,$P35*0.97)),IF($N35&lt;=3000,1,IF($N35&lt;=5000,5,IF($N35&lt;=30000,10,IF($N35&lt;=50000,50,IF($N35&lt;=300000,100,500))))))))))</f>
      </c>
      <c r="S35" s="586" t="str">
        <f>IF(B35="","",IF(T35&lt;&gt;"","✅売却済",IF(OR(H35="",L35=""),"📌保有中",IF(L35&gt;=0.06,"🟢利確推奨",IF(L35&gt;=0.05,"🟡利確直近",IF(L35&gt;=0.045,"🔵トレーリング検討",IF(L35&gt;-0.03,"📌保有中",IF(L35&gt;-0.04,"⚠️損切注意","🔴損切り"))))))))</f>
        <v>✅売却済</v>
      </c>
      <c r="T35" s="594">
        <v>46238</v>
      </c>
      <c r="U35" s="491">
        <v>3572</v>
      </c>
      <c r="V35" s="701">
        <f>IF(OR(F35="",G35="",U35=""),"",IF(C35="売",(F35-U35)*G35,(U35-F35)*G35))</f>
        <v>20200</v>
      </c>
      <c r="W35" s="493">
        <f>IF(OR($E35="",$B35=""),"",IF($T35&lt;&gt;"",$T35-$E35,TODAY()-$E35)+1)</f>
        <v>6</v>
      </c>
      <c r="X35" s="489" t="str">
        <f>IF(OR($AH35="",$AH35="保有中"),"",$AH35)</f>
        <v>利益確定</v>
      </c>
      <c r="Y35" s="488">
        <f>IF($B35="","",IF(COUNTIFS($B$4:$B35,$B35,$C$4:$C35,$C35)&gt;1,"⛔重複"&amp;COUNTIFS($B$4:$B35,$B35,$C$4:$C35,$C35)&amp;"回目",""))</f>
      </c>
      <c r="Z35" s="710">
        <v>15</v>
      </c>
      <c r="AB35">
        <f>IF($F35="","",MAX(100,ROUNDDOWN($AX$4/($F35*$AX$2)/100,0)*100))</f>
      </c>
      <c r="AC35">
        <f>IF(OR($F35="",$G35="",$U35=""),"",ROUND($V35-($F35+$U35)*$G35*$AX$6-IF($C35="売",$F35*$G35*$AX$7*$W35/365,0),0))</f>
      </c>
      <c r="AD35" s="608" t="s">
        <v>1324</v>
      </c>
      <c r="AE35" s="624">
        <f>IF($E35="","",WORKDAY($E35,12))</f>
        <v>46251</v>
      </c>
      <c r="AF35" s="626"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26"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0" t="str">
        <f>IF(OR($B35="",$M35=""),"",IF(AND(N($AF35)=0,N($AG35)=0),IF(AND(ISNUMBER($H35),$H35&gt;0,IF($C35="売",$H35&gt;=$N35,$H35&lt;=$N35)),"損切確定",IF(AND(ISNUMBER($H35),$H35&gt;0,IF($C35="売",$H35&lt;=$M35,$H35&gt;=$M35)),"利益確定",IF($AE35&lt;=TODAY(),"日数制限","保有中"))),IF(N($AG35)=0,"利益確定",IF(N($AF35)=0,"損切確定",IF($AG35&lt;=$AF35,"損切確定","利益確定")))))</f>
        <v>利益確定</v>
      </c>
      <c r="AI35" s="600" t="str" cm="1">
        <f t="array" ref="AI35">IFERROR(INDEX(始値!$E$6:$BT$305,MATCH(TEXT($B35,"0"),TEXT(銘柄管理!$B$6:$B$305,"0"),0),MATCH($AE35,始値!$E$3:$BT$3,0)),"")</f>
        <v/>
      </c>
      <c r="AJ35" s="905">
        <f>IF(OR($V35="",$F35="",$G35=""),"",$V35/($F35*$G35))</f>
        <v>5.9940652818991101E-2</v>
      </c>
      <c r="AK35" s="629" t="str">
        <f>IF($V35="","",IF($V35&gt;0,"○勝",IF($V35&lt;0,"●負","△引分")))</f>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IF(B36="","",HYPERLINK("https://kabutan.jp/stock/?code="&amp;B36,"株探"))</f>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BT$3,0)=1,1,MATCH($E36,始値!$E$3:$BT$3,0)+1)),_xlpm.v,INDEX(始値!$C$6:$B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IF(OR(F36="",G36="",H36=""),"",IF(C36="売",(F36-H36)*G36,(H36-F36)*G36))</f>
        <v>-28500</v>
      </c>
      <c r="L36" s="706">
        <f>IF(OR(F36="",H36=""),"",IF(C36="売",(F36-H36)/F36,(H36-F36)/F36))</f>
        <v>-0.13902439024390245</v>
      </c>
      <c r="M36" s="491">
        <f>IF($F36="","",IF($C36="売",CEILING($F36*IF($C36="売",1-$AX$3,1+$AX$3),IF($F36*IF($C36="売",1-$AX$3,1+$AX$3)&lt;=3000,1,IF($F36*IF($C36="売",1-$AX$3,1+$AX$3)&lt;=5000,5,IF($F36*IF($C36="売",1-$AX$3,1+$AX$3)&lt;=30000,10,IF($F36*IF($C36="売",1-$AX$3,1+$AX$3)&lt;=50000,50,IF($F36*IF($C36="売",1-$AX$3,1+$AX$3)&lt;=300000,100,500)))))),FLOOR($F36*IF($C36="売",1-$AX$3,1+$AX$3),IF($F36*IF($C36="売",1-$AX$3,1+$AX$3)&lt;=3000,1,IF($F36*IF($C36="売",1-$AX$3,1+$AX$3)&lt;=5000,5,IF($F36*IF($C36="売",1-$AX$3,1+$AX$3)&lt;=30000,10,IF($F36*IF($C36="売",1-$AX$3,1+$AX$3)&lt;=50000,50,IF($F36*IF($C36="売",1-$AX$3,1+$AX$3)&lt;=300000,100,500))))))))</f>
      </c>
      <c r="N36" s="491">
        <f>IF($F36="","",IF($C36="売",CEILING($F36*IF($C36="売",1+$AX$2,1-$AX$2),IF($F36*IF($C36="売",1+$AX$2,1-$AX$2)&lt;=3000,1,IF($F36*IF($C36="売",1+$AX$2,1-$AX$2)&lt;=5000,5,IF($F36*IF($C36="売",1+$AX$2,1-$AX$2)&lt;=30000,10,IF($F36*IF($C36="売",1+$AX$2,1-$AX$2)&lt;=50000,50,IF($F36*IF($C36="売",1+$AX$2,1-$AX$2)&lt;=300000,100,500)))))),FLOOR($F36*IF($C36="売",1+$AX$2,1-$AX$2),IF($F36*IF($C36="売",1+$AX$2,1-$AX$2)&lt;=3000,1,IF($F36*IF($C36="売",1+$AX$2,1-$AX$2)&lt;=5000,5,IF($F36*IF($C36="売",1+$AX$2,1-$AX$2)&lt;=30000,10,IF($F36*IF($C36="売",1+$AX$2,1-$AX$2)&lt;=50000,50,IF($F36*IF($C36="売",1+$AX$2,1-$AX$2)&lt;=300000,100,500))))))))</f>
      </c>
      <c r="O36" s="492" t="str">
        <f>IF(OR($B36="",$F36="",$H36=""),"",IF($S36="✅売却済","―決済済―",IF($C36="売",IF($H36&lt;=$M36,"🟢利確",IF(AND($R36&lt;&gt;"",$H36&gt;=$R36),"🟠TRAIL決済",IF($H36&gt;=$N36,"🔴損切",IF($W36&gt;=$AX$5,"⏱時間決済",IF($H36&gt;=$F36*(1+$AX$2*0.7),"⚠️損切接近","保持継続"))))),IF($H36&gt;=$M36,"🟢利確",IF(AND($R36&lt;&gt;"",$H36&lt;=$R36),"🟠TRAIL決済",IF($H36&lt;=$N36,"🔴損切",IF($W36&gt;=$AX$5,"⏱時間決済",IF($H36&lt;=$F36*(1-$AX$2*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IF($H36&gt;$F36*(1-$AX$2),$N36,CEILING(MIN($N36,IF($Q36="",$N36,$Q36*1.03)),IF($N36&lt;=3000,1,IF($N36&lt;=5000,5,IF($N36&lt;=30000,10,IF($N36&lt;=50000,50,IF($N36&lt;=300000,100,500))))))),IF($H36&lt;$F36*(1+$AX$2),$N36,FLOOR(MAX($N36,IF($P36="",$N36,$P36*0.97)),IF($N36&lt;=3000,1,IF($N36&lt;=5000,5,IF($N36&lt;=30000,10,IF($N36&lt;=50000,50,IF($N36&lt;=300000,100,500))))))))))</f>
      </c>
      <c r="S36" s="586" t="str">
        <f>IF(B36="","",IF(T36&lt;&gt;"","✅売却済",IF(OR(H36="",L36=""),"📌保有中",IF(L36&gt;=0.06,"🟢利確推奨",IF(L36&gt;=0.05,"🟡利確直近",IF(L36&gt;=0.045,"🔵トレーリング検討",IF(L36&gt;-0.03,"📌保有中",IF(L36&gt;-0.04,"⚠️損切注意","🔴損切り"))))))))</f>
        <v>✅売却済</v>
      </c>
      <c r="T36" s="594">
        <v>46238</v>
      </c>
      <c r="U36" s="491">
        <v>2132</v>
      </c>
      <c r="V36" s="701">
        <f>IF(OR(F36="",G36="",U36=""),"",IF(C36="売",(F36-U36)*G36,(U36-F36)*G36))</f>
        <v>-8200</v>
      </c>
      <c r="W36" s="493">
        <f>IF(OR($E36="",$B36=""),"",IF($T36&lt;&gt;"",$T36-$E36,TODAY()-$E36)+1)</f>
        <v>6</v>
      </c>
      <c r="X36" s="489" t="str">
        <f>IF(OR($AH36="",$AH36="保有中"),"",$AH36)</f>
        <v>損切確定</v>
      </c>
      <c r="Y36" s="488">
        <f>IF($B36="","",IF(COUNTIFS($B$4:$B36,$B36,$C$4:$C36,$C36)&gt;1,"⛔重複"&amp;COUNTIFS($B$4:$B36,$B36,$C$4:$C36,$C36)&amp;"回目",""))</f>
      </c>
      <c r="Z36" s="710">
        <v>22</v>
      </c>
      <c r="AB36">
        <f>IF($F36="","",MAX(100,ROUNDDOWN($AX$4/($F36*$AX$2)/100,0)*100))</f>
      </c>
      <c r="AC36">
        <f>IF(OR($F36="",$G36="",$U36=""),"",ROUND($V36-($F36+$U36)*$G36*$AX$6-IF($C36="売",$F36*$G36*$AX$7*$W36/365,0),0))</f>
      </c>
      <c r="AD36" s="608" t="s">
        <v>1325</v>
      </c>
      <c r="AE36" s="624">
        <f>IF($E36="","",WORKDAY($E36,12))</f>
        <v>46251</v>
      </c>
      <c r="AF36" s="626"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26"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0" t="str">
        <f>IF(OR($B36="",$M36=""),"",IF(AND(N($AF36)=0,N($AG36)=0),IF(AND(ISNUMBER($H36),$H36&gt;0,IF($C36="売",$H36&gt;=$N36,$H36&lt;=$N36)),"損切確定",IF(AND(ISNUMBER($H36),$H36&gt;0,IF($C36="売",$H36&lt;=$M36,$H36&gt;=$M36)),"利益確定",IF($AE36&lt;=TODAY(),"日数制限","保有中"))),IF(N($AG36)=0,"利益確定",IF(N($AF36)=0,"損切確定",IF($AG36&lt;=$AF36,"損切確定","利益確定")))))</f>
        <v>損切確定</v>
      </c>
      <c r="AI36" s="600" t="str" cm="1">
        <f t="array" ref="AI36">IFERROR(INDEX(始値!$E$6:$BT$305,MATCH(TEXT($B36,"0"),TEXT(銘柄管理!$B$6:$B$305,"0"),0),MATCH($AE36,始値!$E$3:$BT$3,0)),"")</f>
        <v/>
      </c>
      <c r="AJ36" s="905">
        <f>IF(OR($V36="",$F36="",$G36=""),"",$V36/($F36*$G36))</f>
        <v>-0.04</v>
      </c>
      <c r="AK36" s="629" t="str">
        <f>IF($V36="","",IF($V36&gt;0,"○勝",IF($V36&lt;0,"●負","△引分")))</f>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IF(B37="","",HYPERLINK("https://kabutan.jp/stock/?code="&amp;B37,"株探"))</f>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BT$3,0)=1,1,MATCH($E37,始値!$E$3:$BT$3,0)+1)),_xlpm.v,INDEX(始値!$C$6:$B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IF(OR(F37="",G37="",H37=""),"",IF(C37="売",(F37-H37)*G37,(H37-F37)*G37))</f>
        <v>5300</v>
      </c>
      <c r="L37" s="706">
        <f>IF(OR(F37="",H37=""),"",IF(C37="売",(F37-H37)/F37,(H37-F37)/F37))</f>
        <v>4.6840477242598322E-2</v>
      </c>
      <c r="M37" s="491">
        <f>IF($F37="","",IF($C37="売",CEILING($F37*IF($C37="売",1-$AX$3,1+$AX$3),IF($F37*IF($C37="売",1-$AX$3,1+$AX$3)&lt;=3000,1,IF($F37*IF($C37="売",1-$AX$3,1+$AX$3)&lt;=5000,5,IF($F37*IF($C37="売",1-$AX$3,1+$AX$3)&lt;=30000,10,IF($F37*IF($C37="売",1-$AX$3,1+$AX$3)&lt;=50000,50,IF($F37*IF($C37="売",1-$AX$3,1+$AX$3)&lt;=300000,100,500)))))),FLOOR($F37*IF($C37="売",1-$AX$3,1+$AX$3),IF($F37*IF($C37="売",1-$AX$3,1+$AX$3)&lt;=3000,1,IF($F37*IF($C37="売",1-$AX$3,1+$AX$3)&lt;=5000,5,IF($F37*IF($C37="売",1-$AX$3,1+$AX$3)&lt;=30000,10,IF($F37*IF($C37="売",1-$AX$3,1+$AX$3)&lt;=50000,50,IF($F37*IF($C37="売",1-$AX$3,1+$AX$3)&lt;=300000,100,500))))))))</f>
      </c>
      <c r="N37" s="491">
        <f>IF($F37="","",IF($C37="売",CEILING($F37*IF($C37="売",1+$AX$2,1-$AX$2),IF($F37*IF($C37="売",1+$AX$2,1-$AX$2)&lt;=3000,1,IF($F37*IF($C37="売",1+$AX$2,1-$AX$2)&lt;=5000,5,IF($F37*IF($C37="売",1+$AX$2,1-$AX$2)&lt;=30000,10,IF($F37*IF($C37="売",1+$AX$2,1-$AX$2)&lt;=50000,50,IF($F37*IF($C37="売",1+$AX$2,1-$AX$2)&lt;=300000,100,500)))))),FLOOR($F37*IF($C37="売",1+$AX$2,1-$AX$2),IF($F37*IF($C37="売",1+$AX$2,1-$AX$2)&lt;=3000,1,IF($F37*IF($C37="売",1+$AX$2,1-$AX$2)&lt;=5000,5,IF($F37*IF($C37="売",1+$AX$2,1-$AX$2)&lt;=30000,10,IF($F37*IF($C37="売",1+$AX$2,1-$AX$2)&lt;=50000,50,IF($F37*IF($C37="売",1+$AX$2,1-$AX$2)&lt;=300000,100,500))))))))</f>
      </c>
      <c r="O37" s="492" t="str">
        <f>IF(OR($B37="",$F37="",$H37=""),"",IF($S37="✅売却済","―決済済―",IF($C37="売",IF($H37&lt;=$M37,"🟢利確",IF(AND($R37&lt;&gt;"",$H37&gt;=$R37),"🟠TRAIL決済",IF($H37&gt;=$N37,"🔴損切",IF($W37&gt;=$AX$5,"⏱時間決済",IF($H37&gt;=$F37*(1+$AX$2*0.7),"⚠️損切接近","保持継続"))))),IF($H37&gt;=$M37,"🟢利確",IF(AND($R37&lt;&gt;"",$H37&lt;=$R37),"🟠TRAIL決済",IF($H37&lt;=$N37,"🔴損切",IF($W37&gt;=$AX$5,"⏱時間決済",IF($H37&lt;=$F37*(1-$AX$2*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IF($H37&gt;$F37*(1-$AX$2),$N37,CEILING(MIN($N37,IF($Q37="",$N37,$Q37*1.03)),IF($N37&lt;=3000,1,IF($N37&lt;=5000,5,IF($N37&lt;=30000,10,IF($N37&lt;=50000,50,IF($N37&lt;=300000,100,500))))))),IF($H37&lt;$F37*(1+$AX$2),$N37,FLOOR(MAX($N37,IF($P37="",$N37,$P37*0.97)),IF($N37&lt;=3000,1,IF($N37&lt;=5000,5,IF($N37&lt;=30000,10,IF($N37&lt;=50000,50,IF($N37&lt;=300000,100,500))))))))))</f>
      </c>
      <c r="S37" s="586" t="str">
        <f>IF(B37="","",IF(T37&lt;&gt;"","✅売却済",IF(OR(H37="",L37=""),"📌保有中",IF(L37&gt;=0.06,"🟢利確推奨",IF(L37&gt;=0.05,"🟡利確直近",IF(L37&gt;=0.045,"🔵トレーリング検討",IF(L37&gt;-0.03,"📌保有中",IF(L37&gt;-0.04,"⚠️損切注意","🔴損切り"))))))))</f>
        <v>🔵トレーリング検討</v>
      </c>
      <c r="T37" s="594"/>
      <c r="U37" s="491"/>
      <c r="V37" s="701" t="str">
        <f>IF(OR(F37="",G37="",U37=""),"",IF(C37="売",(F37-U37)*G37,(U37-F37)*G37))</f>
        <v/>
      </c>
      <c r="W37" s="493">
        <f>IF(OR($E37="",$B37=""),"",IF($T37&lt;&gt;"",$T37-$E37,TODAY()-$E37)+1)</f>
        <v>4</v>
      </c>
      <c r="X37" s="489" t="str">
        <f>IF(OR($AH37="",$AH37="保有中"),"",$AH37)</f>
        <v/>
      </c>
      <c r="Y37" s="488">
        <f>IF($B37="","",IF(COUNTIFS($B$4:$B37,$B37,$C$4:$C37,$C37)&gt;1,"⛔重複"&amp;COUNTIFS($B$4:$B37,$B37,$C$4:$C37,$C37)&amp;"回目",""))</f>
      </c>
      <c r="Z37" s="710">
        <v>17</v>
      </c>
      <c r="AB37">
        <f>IF($F37="","",MAX(100,ROUNDDOWN($AX$4/($F37*$AX$2)/100,0)*100))</f>
      </c>
      <c r="AC37">
        <f>IF(OR($F37="",$G37="",$U37=""),"",ROUND($V37-($F37+$U37)*$G37*$AX$6-IF($C37="売",$F37*$G37*$AX$7*$W37/365,0),0))</f>
      </c>
      <c r="AD37" s="608" t="s">
        <v>1322</v>
      </c>
      <c r="AE37" s="624">
        <f>IF($E37="","",WORKDAY($E37,12))</f>
        <v>46253</v>
      </c>
      <c r="AF37" s="626"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26"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0" t="str">
        <f>IF(OR($B37="",$M37=""),"",IF(AND(N($AF37)=0,N($AG37)=0),IF(AND(ISNUMBER($H37),$H37&gt;0,IF($C37="売",$H37&gt;=$N37,$H37&lt;=$N37)),"損切確定",IF(AND(ISNUMBER($H37),$H37&gt;0,IF($C37="売",$H37&lt;=$M37,$H37&gt;=$M37)),"利益確定",IF($AE37&lt;=TODAY(),"日数制限","保有中"))),IF(N($AG37)=0,"利益確定",IF(N($AF37)=0,"損切確定",IF($AG37&lt;=$AF37,"損切確定","利益確定")))))</f>
        <v>保有中</v>
      </c>
      <c r="AI37" s="600" t="str" cm="1">
        <f t="array" ref="AI37">IFERROR(INDEX(始値!$E$6:$BT$305,MATCH(TEXT($B37,"0"),TEXT(銘柄管理!$B$6:$B$305,"0"),0),MATCH($AE37,始値!$E$3:$BT$3,0)),"")</f>
        <v/>
      </c>
      <c r="AJ37" s="905" t="str">
        <f>IF(OR($V37="",$F37="",$G37=""),"",$V37/($F37*$G37))</f>
        <v/>
      </c>
      <c r="AK37" s="629" t="str">
        <f>IF($V37="","",IF($V37&gt;0,"○勝",IF($V37&lt;0,"●負","△引分")))</f>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IF(B38="","",HYPERLINK("https://kabutan.jp/stock/?code="&amp;B38,"株探"))</f>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BT$3,0)=1,1,MATCH($E38,始値!$E$3:$BT$3,0)+1)),_xlpm.v,INDEX(始値!$C$6:$B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IF(OR(F38="",G38="",H38=""),"",IF(C38="売",(F38-H38)*G38,(H38-F38)*G38))</f>
        <v>13000</v>
      </c>
      <c r="L38" s="706">
        <f>IF(OR(F38="",H38=""),"",IF(C38="売",(F38-H38)/F38,(H38-F38)/F38))</f>
        <v>1.8840579710144929E-2</v>
      </c>
      <c r="M38" s="491">
        <f>IF($F38="","",IF($C38="売",CEILING($F38*IF($C38="売",1-$AX$3,1+$AX$3),IF($F38*IF($C38="売",1-$AX$3,1+$AX$3)&lt;=3000,1,IF($F38*IF($C38="売",1-$AX$3,1+$AX$3)&lt;=5000,5,IF($F38*IF($C38="売",1-$AX$3,1+$AX$3)&lt;=30000,10,IF($F38*IF($C38="売",1-$AX$3,1+$AX$3)&lt;=50000,50,IF($F38*IF($C38="売",1-$AX$3,1+$AX$3)&lt;=300000,100,500)))))),FLOOR($F38*IF($C38="売",1-$AX$3,1+$AX$3),IF($F38*IF($C38="売",1-$AX$3,1+$AX$3)&lt;=3000,1,IF($F38*IF($C38="売",1-$AX$3,1+$AX$3)&lt;=5000,5,IF($F38*IF($C38="売",1-$AX$3,1+$AX$3)&lt;=30000,10,IF($F38*IF($C38="売",1-$AX$3,1+$AX$3)&lt;=50000,50,IF($F38*IF($C38="売",1-$AX$3,1+$AX$3)&lt;=300000,100,500))))))))</f>
      </c>
      <c r="N38" s="491">
        <f>IF($F38="","",IF($C38="売",CEILING($F38*IF($C38="売",1+$AX$2,1-$AX$2),IF($F38*IF($C38="売",1+$AX$2,1-$AX$2)&lt;=3000,1,IF($F38*IF($C38="売",1+$AX$2,1-$AX$2)&lt;=5000,5,IF($F38*IF($C38="売",1+$AX$2,1-$AX$2)&lt;=30000,10,IF($F38*IF($C38="売",1+$AX$2,1-$AX$2)&lt;=50000,50,IF($F38*IF($C38="売",1+$AX$2,1-$AX$2)&lt;=300000,100,500)))))),FLOOR($F38*IF($C38="売",1+$AX$2,1-$AX$2),IF($F38*IF($C38="売",1+$AX$2,1-$AX$2)&lt;=3000,1,IF($F38*IF($C38="売",1+$AX$2,1-$AX$2)&lt;=5000,5,IF($F38*IF($C38="売",1+$AX$2,1-$AX$2)&lt;=30000,10,IF($F38*IF($C38="売",1+$AX$2,1-$AX$2)&lt;=50000,50,IF($F38*IF($C38="売",1+$AX$2,1-$AX$2)&lt;=300000,100,500))))))))</f>
      </c>
      <c r="O38" s="492" t="str">
        <f>IF(OR($B38="",$F38="",$H38=""),"",IF($S38="✅売却済","―決済済―",IF($C38="売",IF($H38&lt;=$M38,"🟢利確",IF(AND($R38&lt;&gt;"",$H38&gt;=$R38),"🟠TRAIL決済",IF($H38&gt;=$N38,"🔴損切",IF($W38&gt;=$AX$5,"⏱時間決済",IF($H38&gt;=$F38*(1+$AX$2*0.7),"⚠️損切接近","保持継続"))))),IF($H38&gt;=$M38,"🟢利確",IF(AND($R38&lt;&gt;"",$H38&lt;=$R38),"🟠TRAIL決済",IF($H38&lt;=$N38,"🔴損切",IF($W38&gt;=$AX$5,"⏱時間決済",IF($H38&lt;=$F38*(1-$AX$2*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IF($H38&gt;$F38*(1-$AX$2),$N38,CEILING(MIN($N38,IF($Q38="",$N38,$Q38*1.03)),IF($N38&lt;=3000,1,IF($N38&lt;=5000,5,IF($N38&lt;=30000,10,IF($N38&lt;=50000,50,IF($N38&lt;=300000,100,500))))))),IF($H38&lt;$F38*(1+$AX$2),$N38,FLOOR(MAX($N38,IF($P38="",$N38,$P38*0.97)),IF($N38&lt;=3000,1,IF($N38&lt;=5000,5,IF($N38&lt;=30000,10,IF($N38&lt;=50000,50,IF($N38&lt;=300000,100,500))))))))))</f>
      </c>
      <c r="S38" s="586" t="str">
        <f>IF(B38="","",IF(T38&lt;&gt;"","✅売却済",IF(OR(H38="",L38=""),"📌保有中",IF(L38&gt;=0.06,"🟢利確推奨",IF(L38&gt;=0.05,"🟡利確直近",IF(L38&gt;=0.045,"🔵トレーリング検討",IF(L38&gt;-0.03,"📌保有中",IF(L38&gt;-0.04,"⚠️損切注意","🔴損切り"))))))))</f>
        <v>📌保有中</v>
      </c>
      <c r="T38" s="594"/>
      <c r="U38" s="491"/>
      <c r="V38" s="701" t="str">
        <f>IF(OR(F38="",G38="",U38=""),"",IF(C38="売",(F38-U38)*G38,(U38-F38)*G38))</f>
        <v/>
      </c>
      <c r="W38" s="493">
        <f>IF(OR($E38="",$B38=""),"",IF($T38&lt;&gt;"",$T38-$E38,TODAY()-$E38)+1)</f>
        <v>4</v>
      </c>
      <c r="X38" s="489" t="str">
        <f>IF(OR($AH38="",$AH38="保有中"),"",$AH38)</f>
        <v/>
      </c>
      <c r="Y38" s="488">
        <f>IF($B38="","",IF(COUNTIFS($B$4:$B38,$B38,$C$4:$C38,$C38)&gt;1,"⛔重複"&amp;COUNTIFS($B$4:$B38,$B38,$C$4:$C38,$C38)&amp;"回目",""))</f>
      </c>
      <c r="Z38" s="710">
        <v>17</v>
      </c>
      <c r="AB38">
        <f>IF($F38="","",MAX(100,ROUNDDOWN($AX$4/($F38*$AX$2)/100,0)*100))</f>
      </c>
      <c r="AC38">
        <f>IF(OR($F38="",$G38="",$U38=""),"",ROUND($V38-($F38+$U38)*$G38*$AX$6-IF($C38="売",$F38*$G38*$AX$7*$W38/365,0),0))</f>
      </c>
      <c r="AD38" s="608" t="s">
        <v>1322</v>
      </c>
      <c r="AE38" s="624">
        <f>IF($E38="","",WORKDAY($E38,12))</f>
        <v>46253</v>
      </c>
      <c r="AF38" s="626"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26"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0" t="str">
        <f>IF(OR($B38="",$M38=""),"",IF(AND(N($AF38)=0,N($AG38)=0),IF(AND(ISNUMBER($H38),$H38&gt;0,IF($C38="売",$H38&gt;=$N38,$H38&lt;=$N38)),"損切確定",IF(AND(ISNUMBER($H38),$H38&gt;0,IF($C38="売",$H38&lt;=$M38,$H38&gt;=$M38)),"利益確定",IF($AE38&lt;=TODAY(),"日数制限","保有中"))),IF(N($AG38)=0,"利益確定",IF(N($AF38)=0,"損切確定",IF($AG38&lt;=$AF38,"損切確定","利益確定")))))</f>
        <v>保有中</v>
      </c>
      <c r="AI38" s="600" t="str" cm="1">
        <f t="array" ref="AI38">IFERROR(INDEX(始値!$E$6:$BT$305,MATCH(TEXT($B38,"0"),TEXT(銘柄管理!$B$6:$B$305,"0"),0),MATCH($AE38,始値!$E$3:$BT$3,0)),"")</f>
        <v/>
      </c>
      <c r="AJ38" s="905" t="str">
        <f>IF(OR($V38="",$F38="",$G38=""),"",$V38/($F38*$G38))</f>
        <v/>
      </c>
      <c r="AK38" s="629" t="str">
        <f>IF($V38="","",IF($V38&gt;0,"○勝",IF($V38&lt;0,"●負","△引分")))</f>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IF(B39="","",HYPERLINK("https://kabutan.jp/stock/?code="&amp;B39,"株探"))</f>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BT$3,0)=1,1,MATCH($E39,始値!$E$3:$BT$3,0)+1)),_xlpm.v,INDEX(始値!$C$6:$B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IF(OR(F39="",G39="",H39=""),"",IF(C39="売",(F39-H39)*G39,(H39-F39)*G39))</f>
        <v>-30900</v>
      </c>
      <c r="L39" s="706">
        <f>IF(OR(F39="",H39=""),"",IF(C39="売",(F39-H39)/F39,(H39-F39)/F39))</f>
        <v>-5.7941121320082507E-2</v>
      </c>
      <c r="M39" s="491">
        <f>IF($F39="","",IF($C39="売",CEILING($F39*IF($C39="売",1-$AX$3,1+$AX$3),IF($F39*IF($C39="売",1-$AX$3,1+$AX$3)&lt;=3000,1,IF($F39*IF($C39="売",1-$AX$3,1+$AX$3)&lt;=5000,5,IF($F39*IF($C39="売",1-$AX$3,1+$AX$3)&lt;=30000,10,IF($F39*IF($C39="売",1-$AX$3,1+$AX$3)&lt;=50000,50,IF($F39*IF($C39="売",1-$AX$3,1+$AX$3)&lt;=300000,100,500)))))),FLOOR($F39*IF($C39="売",1-$AX$3,1+$AX$3),IF($F39*IF($C39="売",1-$AX$3,1+$AX$3)&lt;=3000,1,IF($F39*IF($C39="売",1-$AX$3,1+$AX$3)&lt;=5000,5,IF($F39*IF($C39="売",1-$AX$3,1+$AX$3)&lt;=30000,10,IF($F39*IF($C39="売",1-$AX$3,1+$AX$3)&lt;=50000,50,IF($F39*IF($C39="売",1-$AX$3,1+$AX$3)&lt;=300000,100,500))))))))</f>
      </c>
      <c r="N39" s="491">
        <f>IF($F39="","",IF($C39="売",CEILING($F39*IF($C39="売",1+$AX$2,1-$AX$2),IF($F39*IF($C39="売",1+$AX$2,1-$AX$2)&lt;=3000,1,IF($F39*IF($C39="売",1+$AX$2,1-$AX$2)&lt;=5000,5,IF($F39*IF($C39="売",1+$AX$2,1-$AX$2)&lt;=30000,10,IF($F39*IF($C39="売",1+$AX$2,1-$AX$2)&lt;=50000,50,IF($F39*IF($C39="売",1+$AX$2,1-$AX$2)&lt;=300000,100,500)))))),FLOOR($F39*IF($C39="売",1+$AX$2,1-$AX$2),IF($F39*IF($C39="売",1+$AX$2,1-$AX$2)&lt;=3000,1,IF($F39*IF($C39="売",1+$AX$2,1-$AX$2)&lt;=5000,5,IF($F39*IF($C39="売",1+$AX$2,1-$AX$2)&lt;=30000,10,IF($F39*IF($C39="売",1+$AX$2,1-$AX$2)&lt;=50000,50,IF($F39*IF($C39="売",1+$AX$2,1-$AX$2)&lt;=300000,100,500))))))))</f>
      </c>
      <c r="O39" s="492" t="str">
        <f>IF(OR($B39="",$F39="",$H39=""),"",IF($S39="✅売却済","―決済済―",IF($C39="売",IF($H39&lt;=$M39,"🟢利確",IF(AND($R39&lt;&gt;"",$H39&gt;=$R39),"🟠TRAIL決済",IF($H39&gt;=$N39,"🔴損切",IF($W39&gt;=$AX$5,"⏱時間決済",IF($H39&gt;=$F39*(1+$AX$2*0.7),"⚠️損切接近","保持継続"))))),IF($H39&gt;=$M39,"🟢利確",IF(AND($R39&lt;&gt;"",$H39&lt;=$R39),"🟠TRAIL決済",IF($H39&lt;=$N39,"🔴損切",IF($W39&gt;=$AX$5,"⏱時間決済",IF($H39&lt;=$F39*(1-$AX$2*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IF($H39&gt;$F39*(1-$AX$2),$N39,CEILING(MIN($N39,IF($Q39="",$N39,$Q39*1.03)),IF($N39&lt;=3000,1,IF($N39&lt;=5000,5,IF($N39&lt;=30000,10,IF($N39&lt;=50000,50,IF($N39&lt;=300000,100,500))))))),IF($H39&lt;$F39*(1+$AX$2),$N39,FLOOR(MAX($N39,IF($P39="",$N39,$P39*0.97)),IF($N39&lt;=3000,1,IF($N39&lt;=5000,5,IF($N39&lt;=30000,10,IF($N39&lt;=50000,50,IF($N39&lt;=300000,100,500))))))))))</f>
      </c>
      <c r="S39" s="586" t="str">
        <f>IF(B39="","",IF(T39&lt;&gt;"","✅売却済",IF(OR(H39="",L39=""),"📌保有中",IF(L39&gt;=0.06,"🟢利確推奨",IF(L39&gt;=0.05,"🟡利確直近",IF(L39&gt;=0.045,"🔵トレーリング検討",IF(L39&gt;-0.03,"📌保有中",IF(L39&gt;-0.04,"⚠️損切注意","🔴損切り"))))))))</f>
        <v>✅売却済</v>
      </c>
      <c r="T39" s="594">
        <v>46239</v>
      </c>
      <c r="U39" s="491">
        <v>5546</v>
      </c>
      <c r="V39" s="701">
        <f>IF(OR(F39="",G39="",U39=""),"",IF(C39="売",(F39-U39)*G39,(U39-F39)*G39))</f>
        <v>-21300</v>
      </c>
      <c r="W39" s="493">
        <f>IF(OR($E39="",$B39=""),"",IF($T39&lt;&gt;"",$T39-$E39,TODAY()-$E39)+1)</f>
        <v>3</v>
      </c>
      <c r="X39" s="489" t="str">
        <f>IF(OR($AH39="",$AH39="保有中"),"",$AH39)</f>
        <v>損切確定</v>
      </c>
      <c r="Y39" s="488">
        <f>IF($B39="","",IF(COUNTIFS($B$4:$B39,$B39,$C$4:$C39,$C39)&gt;1,"⛔重複"&amp;COUNTIFS($B$4:$B39,$B39,$C$4:$C39,$C39)&amp;"回目",""))</f>
      </c>
      <c r="Z39" s="710">
        <v>16</v>
      </c>
      <c r="AB39">
        <f>IF($F39="","",MAX(100,ROUNDDOWN($AX$4/($F39*$AX$2)/100,0)*100))</f>
      </c>
      <c r="AC39">
        <f>IF(OR($F39="",$G39="",$U39=""),"",ROUND($V39-($F39+$U39)*$G39*$AX$6-IF($C39="売",$F39*$G39*$AX$7*$W39/365,0),0))</f>
      </c>
      <c r="AD39" s="608" t="s">
        <v>1323</v>
      </c>
      <c r="AE39" s="624">
        <f>IF($E39="","",WORKDAY($E39,12))</f>
        <v>46253</v>
      </c>
      <c r="AF39" s="626"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26"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46239</v>
      </c>
      <c r="AH39" s="600" t="str">
        <f>IF(OR($B39="",$M39=""),"",IF(AND(N($AF39)=0,N($AG39)=0),IF(AND(ISNUMBER($H39),$H39&gt;0,IF($C39="売",$H39&gt;=$N39,$H39&lt;=$N39)),"損切確定",IF(AND(ISNUMBER($H39),$H39&gt;0,IF($C39="売",$H39&lt;=$M39,$H39&gt;=$M39)),"利益確定",IF($AE39&lt;=TODAY(),"日数制限","保有中"))),IF(N($AG39)=0,"利益確定",IF(N($AF39)=0,"損切確定",IF($AG39&lt;=$AF39,"損切確定","利益確定")))))</f>
        <v>損切確定</v>
      </c>
      <c r="AI39" s="600" t="str" cm="1">
        <f t="array" ref="AI39">IFERROR(INDEX(始値!$E$6:$BT$305,MATCH(TEXT($B39,"0"),TEXT(銘柄管理!$B$6:$B$305,"0"),0),MATCH($AE39,始値!$E$3:$BT$3,0)),"")</f>
        <v/>
      </c>
      <c r="AJ39" s="905">
        <f>IF(OR($V39="",$F39="",$G39=""),"",$V39/($F39*$G39))</f>
        <v>-3.9939996249765609E-2</v>
      </c>
      <c r="AK39" s="629" t="str">
        <f>IF($V39="","",IF($V39&gt;0,"○勝",IF($V39&lt;0,"●負","△引分")))</f>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IF(B40="","",HYPERLINK("https://kabutan.jp/stock/?code="&amp;B40,"株探"))</f>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BT$3,0)=1,1,MATCH($E40,始値!$E$3:$BT$3,0)+1)),_xlpm.v,INDEX(始値!$C$6:$B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IF(OR(F40="",G40="",H40=""),"",IF(C40="売",(F40-H40)*G40,(H40-F40)*G40))</f>
        <v>-45000</v>
      </c>
      <c r="L40" s="706">
        <f>IF(OR(F40="",H40=""),"",IF(C40="売",(F40-H40)/F40,(H40-F40)/F40))</f>
        <v>-0.15517241379310345</v>
      </c>
      <c r="M40" s="491">
        <f>IF($F40="","",IF($C40="売",CEILING($F40*IF($C40="売",1-$AX$3,1+$AX$3),IF($F40*IF($C40="売",1-$AX$3,1+$AX$3)&lt;=3000,1,IF($F40*IF($C40="売",1-$AX$3,1+$AX$3)&lt;=5000,5,IF($F40*IF($C40="売",1-$AX$3,1+$AX$3)&lt;=30000,10,IF($F40*IF($C40="売",1-$AX$3,1+$AX$3)&lt;=50000,50,IF($F40*IF($C40="売",1-$AX$3,1+$AX$3)&lt;=300000,100,500)))))),FLOOR($F40*IF($C40="売",1-$AX$3,1+$AX$3),IF($F40*IF($C40="売",1-$AX$3,1+$AX$3)&lt;=3000,1,IF($F40*IF($C40="売",1-$AX$3,1+$AX$3)&lt;=5000,5,IF($F40*IF($C40="売",1-$AX$3,1+$AX$3)&lt;=30000,10,IF($F40*IF($C40="売",1-$AX$3,1+$AX$3)&lt;=50000,50,IF($F40*IF($C40="売",1-$AX$3,1+$AX$3)&lt;=300000,100,500))))))))</f>
      </c>
      <c r="N40" s="491">
        <f>IF($F40="","",IF($C40="売",CEILING($F40*IF($C40="売",1+$AX$2,1-$AX$2),IF($F40*IF($C40="売",1+$AX$2,1-$AX$2)&lt;=3000,1,IF($F40*IF($C40="売",1+$AX$2,1-$AX$2)&lt;=5000,5,IF($F40*IF($C40="売",1+$AX$2,1-$AX$2)&lt;=30000,10,IF($F40*IF($C40="売",1+$AX$2,1-$AX$2)&lt;=50000,50,IF($F40*IF($C40="売",1+$AX$2,1-$AX$2)&lt;=300000,100,500)))))),FLOOR($F40*IF($C40="売",1+$AX$2,1-$AX$2),IF($F40*IF($C40="売",1+$AX$2,1-$AX$2)&lt;=3000,1,IF($F40*IF($C40="売",1+$AX$2,1-$AX$2)&lt;=5000,5,IF($F40*IF($C40="売",1+$AX$2,1-$AX$2)&lt;=30000,10,IF($F40*IF($C40="売",1+$AX$2,1-$AX$2)&lt;=50000,50,IF($F40*IF($C40="売",1+$AX$2,1-$AX$2)&lt;=300000,100,500))))))))</f>
      </c>
      <c r="O40" s="492" t="str">
        <f>IF(OR($B40="",$F40="",$H40=""),"",IF($S40="✅売却済","―決済済―",IF($C40="売",IF($H40&lt;=$M40,"🟢利確",IF(AND($R40&lt;&gt;"",$H40&gt;=$R40),"🟠TRAIL決済",IF($H40&gt;=$N40,"🔴損切",IF($W40&gt;=$AX$5,"⏱時間決済",IF($H40&gt;=$F40*(1+$AX$2*0.7),"⚠️損切接近","保持継続"))))),IF($H40&gt;=$M40,"🟢利確",IF(AND($R40&lt;&gt;"",$H40&lt;=$R40),"🟠TRAIL決済",IF($H40&lt;=$N40,"🔴損切",IF($W40&gt;=$AX$5,"⏱時間決済",IF($H40&lt;=$F40*(1-$AX$2*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IF($H40&gt;$F40*(1-$AX$2),$N40,CEILING(MIN($N40,IF($Q40="",$N40,$Q40*1.03)),IF($N40&lt;=3000,1,IF($N40&lt;=5000,5,IF($N40&lt;=30000,10,IF($N40&lt;=50000,50,IF($N40&lt;=300000,100,500))))))),IF($H40&lt;$F40*(1+$AX$2),$N40,FLOOR(MAX($N40,IF($P40="",$N40,$P40*0.97)),IF($N40&lt;=3000,1,IF($N40&lt;=5000,5,IF($N40&lt;=30000,10,IF($N40&lt;=50000,50,IF($N40&lt;=300000,100,500))))))))))</f>
      </c>
      <c r="S40" s="586" t="str">
        <f>IF(B40="","",IF(T40&lt;&gt;"","✅売却済",IF(OR(H40="",L40=""),"📌保有中",IF(L40&gt;=0.06,"🟢利確推奨",IF(L40&gt;=0.05,"🟡利確直近",IF(L40&gt;=0.045,"🔵トレーリング検討",IF(L40&gt;-0.03,"📌保有中",IF(L40&gt;-0.04,"⚠️損切注意","🔴損切り"))))))))</f>
        <v>✅売却済</v>
      </c>
      <c r="T40" s="594">
        <v>46238</v>
      </c>
      <c r="U40" s="491">
        <v>3016</v>
      </c>
      <c r="V40" s="701">
        <f>IF(OR(F40="",G40="",U40=""),"",IF(C40="売",(F40-U40)*G40,(U40-F40)*G40))</f>
        <v>-11600</v>
      </c>
      <c r="W40" s="493">
        <f>IF(OR($E40="",$B40=""),"",IF($T40&lt;&gt;"",$T40-$E40,TODAY()-$E40)+1)</f>
        <v>2</v>
      </c>
      <c r="X40" s="489" t="str">
        <f>IF(OR($AH40="",$AH40="保有中"),"",$AH40)</f>
        <v>損切確定</v>
      </c>
      <c r="Y40" s="488">
        <f>IF($B40="","",IF(COUNTIFS($B$4:$B40,$B40,$C$4:$C40,$C40)&gt;1,"⛔重複"&amp;COUNTIFS($B$4:$B40,$B40,$C$4:$C40,$C40)&amp;"回目",""))</f>
      </c>
      <c r="Z40" s="710">
        <v>16</v>
      </c>
      <c r="AB40">
        <f>IF($F40="","",MAX(100,ROUNDDOWN($AX$4/($F40*$AX$2)/100,0)*100))</f>
      </c>
      <c r="AC40">
        <f>IF(OR($F40="",$G40="",$U40=""),"",ROUND($V40-($F40+$U40)*$G40*$AX$6-IF($C40="売",$F40*$G40*$AX$7*$W40/365,0),0))</f>
      </c>
      <c r="AD40" s="608" t="s">
        <v>1323</v>
      </c>
      <c r="AE40" s="624">
        <f>IF($E40="","",WORKDAY($E40,12))</f>
        <v>46253</v>
      </c>
      <c r="AF40" s="626"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26"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0" t="str">
        <f>IF(OR($B40="",$M40=""),"",IF(AND(N($AF40)=0,N($AG40)=0),IF(AND(ISNUMBER($H40),$H40&gt;0,IF($C40="売",$H40&gt;=$N40,$H40&lt;=$N40)),"損切確定",IF(AND(ISNUMBER($H40),$H40&gt;0,IF($C40="売",$H40&lt;=$M40,$H40&gt;=$M40)),"利益確定",IF($AE40&lt;=TODAY(),"日数制限","保有中"))),IF(N($AG40)=0,"利益確定",IF(N($AF40)=0,"損切確定",IF($AG40&lt;=$AF40,"損切確定","利益確定")))))</f>
        <v>損切確定</v>
      </c>
      <c r="AI40" s="600" t="str" cm="1">
        <f t="array" ref="AI40">IFERROR(INDEX(始値!$E$6:$BT$305,MATCH(TEXT($B40,"0"),TEXT(銘柄管理!$B$6:$B$305,"0"),0),MATCH($AE40,始値!$E$3:$BT$3,0)),"")</f>
        <v/>
      </c>
      <c r="AJ40" s="905">
        <f>IF(OR($V40="",$F40="",$G40=""),"",$V40/($F40*$G40))</f>
        <v>-0.04</v>
      </c>
      <c r="AK40" s="629" t="str">
        <f>IF($V40="","",IF($V40&gt;0,"○勝",IF($V40&lt;0,"●負","△引分")))</f>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IF(B41="","",HYPERLINK("https://kabutan.jp/stock/?code="&amp;B41,"株探"))</f>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BT$3,0)=1,1,MATCH($E41,始値!$E$3:$BT$3,0)+1)),_xlpm.v,INDEX(始値!$C$6:$B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IF(OR(F41="",G41="",H41=""),"",IF(C41="売",(F41-H41)*G41,(H41-F41)*G41))</f>
        <v>-10400</v>
      </c>
      <c r="L41" s="706">
        <f>IF(OR(F41="",H41=""),"",IF(C41="売",(F41-H41)/F41,(H41-F41)/F41))</f>
        <v>-3.4009156311314584E-2</v>
      </c>
      <c r="M41" s="491">
        <f>IF($F41="","",IF($C41="売",CEILING($F41*IF($C41="売",1-$AX$3,1+$AX$3),IF($F41*IF($C41="売",1-$AX$3,1+$AX$3)&lt;=3000,1,IF($F41*IF($C41="売",1-$AX$3,1+$AX$3)&lt;=5000,5,IF($F41*IF($C41="売",1-$AX$3,1+$AX$3)&lt;=30000,10,IF($F41*IF($C41="売",1-$AX$3,1+$AX$3)&lt;=50000,50,IF($F41*IF($C41="売",1-$AX$3,1+$AX$3)&lt;=300000,100,500)))))),FLOOR($F41*IF($C41="売",1-$AX$3,1+$AX$3),IF($F41*IF($C41="売",1-$AX$3,1+$AX$3)&lt;=3000,1,IF($F41*IF($C41="売",1-$AX$3,1+$AX$3)&lt;=5000,5,IF($F41*IF($C41="売",1-$AX$3,1+$AX$3)&lt;=30000,10,IF($F41*IF($C41="売",1-$AX$3,1+$AX$3)&lt;=50000,50,IF($F41*IF($C41="売",1-$AX$3,1+$AX$3)&lt;=300000,100,500))))))))</f>
      </c>
      <c r="N41" s="491">
        <f>IF($F41="","",IF($C41="売",CEILING($F41*IF($C41="売",1+$AX$2,1-$AX$2),IF($F41*IF($C41="売",1+$AX$2,1-$AX$2)&lt;=3000,1,IF($F41*IF($C41="売",1+$AX$2,1-$AX$2)&lt;=5000,5,IF($F41*IF($C41="売",1+$AX$2,1-$AX$2)&lt;=30000,10,IF($F41*IF($C41="売",1+$AX$2,1-$AX$2)&lt;=50000,50,IF($F41*IF($C41="売",1+$AX$2,1-$AX$2)&lt;=300000,100,500)))))),FLOOR($F41*IF($C41="売",1+$AX$2,1-$AX$2),IF($F41*IF($C41="売",1+$AX$2,1-$AX$2)&lt;=3000,1,IF($F41*IF($C41="売",1+$AX$2,1-$AX$2)&lt;=5000,5,IF($F41*IF($C41="売",1+$AX$2,1-$AX$2)&lt;=30000,10,IF($F41*IF($C41="売",1+$AX$2,1-$AX$2)&lt;=50000,50,IF($F41*IF($C41="売",1+$AX$2,1-$AX$2)&lt;=300000,100,500))))))))</f>
      </c>
      <c r="O41" s="492" t="str">
        <f>IF(OR($B41="",$F41="",$H41=""),"",IF($S41="✅売却済","―決済済―",IF($C41="売",IF($H41&lt;=$M41,"🟢利確",IF(AND($R41&lt;&gt;"",$H41&gt;=$R41),"🟠TRAIL決済",IF($H41&gt;=$N41,"🔴損切",IF($W41&gt;=$AX$5,"⏱時間決済",IF($H41&gt;=$F41*(1+$AX$2*0.7),"⚠️損切接近","保持継続"))))),IF($H41&gt;=$M41,"🟢利確",IF(AND($R41&lt;&gt;"",$H41&lt;=$R41),"🟠TRAIL決済",IF($H41&lt;=$N41,"🔴損切",IF($W41&gt;=$AX$5,"⏱時間決済",IF($H41&lt;=$F41*(1-$AX$2*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IF($H41&gt;$F41*(1-$AX$2),$N41,CEILING(MIN($N41,IF($Q41="",$N41,$Q41*1.03)),IF($N41&lt;=3000,1,IF($N41&lt;=5000,5,IF($N41&lt;=30000,10,IF($N41&lt;=50000,50,IF($N41&lt;=300000,100,500))))))),IF($H41&lt;$F41*(1+$AX$2),$N41,FLOOR(MAX($N41,IF($P41="",$N41,$P41*0.97)),IF($N41&lt;=3000,1,IF($N41&lt;=5000,5,IF($N41&lt;=30000,10,IF($N41&lt;=50000,50,IF($N41&lt;=300000,100,500))))))))))</f>
      </c>
      <c r="S41" s="586" t="str">
        <f>IF(B41="","",IF(T41&lt;&gt;"","✅売却済",IF(OR(H41="",L41=""),"📌保有中",IF(L41&gt;=0.06,"🟢利確推奨",IF(L41&gt;=0.05,"🟡利確直近",IF(L41&gt;=0.045,"🔵トレーリング検討",IF(L41&gt;-0.03,"📌保有中",IF(L41&gt;-0.04,"⚠️損切注意","🔴損切り"))))))))</f>
        <v>✅売却済</v>
      </c>
      <c r="T41" s="594">
        <v>46238</v>
      </c>
      <c r="U41" s="491">
        <v>2936</v>
      </c>
      <c r="V41" s="701">
        <f>IF(OR(F41="",G41="",U41=""),"",IF(C41="売",(F41-U41)*G41,(U41-F41)*G41))</f>
        <v>-12200</v>
      </c>
      <c r="W41" s="493">
        <f>IF(OR($E41="",$B41=""),"",IF($T41&lt;&gt;"",$T41-$E41,TODAY()-$E41)+1)</f>
        <v>2</v>
      </c>
      <c r="X41" s="489" t="str">
        <f>IF(OR($AH41="",$AH41="保有中"),"",$AH41)</f>
        <v>損切確定</v>
      </c>
      <c r="Y41" s="488">
        <f>IF($B41="","",IF(COUNTIFS($B$4:$B41,$B41,$C$4:$C41,$C41)&gt;1,"⛔重複"&amp;COUNTIFS($B$4:$B41,$B41,$C$4:$C41,$C41)&amp;"回目",""))</f>
      </c>
      <c r="Z41" s="710">
        <v>15</v>
      </c>
      <c r="AB41">
        <f>IF($F41="","",MAX(100,ROUNDDOWN($AX$4/($F41*$AX$2)/100,0)*100))</f>
      </c>
      <c r="AC41">
        <f>IF(OR($F41="",$G41="",$U41=""),"",ROUND($V41-($F41+$U41)*$G41*$AX$6-IF($C41="売",$F41*$G41*$AX$7*$W41/365,0),0))</f>
      </c>
      <c r="AD41" s="608" t="s">
        <v>1324</v>
      </c>
      <c r="AE41" s="624">
        <f>IF($E41="","",WORKDAY($E41,12))</f>
        <v>46253</v>
      </c>
      <c r="AF41" s="626"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26"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0" t="str">
        <f>IF(OR($B41="",$M41=""),"",IF(AND(N($AF41)=0,N($AG41)=0),IF(AND(ISNUMBER($H41),$H41&gt;0,IF($C41="売",$H41&gt;=$N41,$H41&lt;=$N41)),"損切確定",IF(AND(ISNUMBER($H41),$H41&gt;0,IF($C41="売",$H41&lt;=$M41,$H41&gt;=$M41)),"利益確定",IF($AE41&lt;=TODAY(),"日数制限","保有中"))),IF(N($AG41)=0,"利益確定",IF(N($AF41)=0,"損切確定",IF($AG41&lt;=$AF41,"損切確定","利益確定")))))</f>
        <v>損切確定</v>
      </c>
      <c r="AI41" s="600" t="str" cm="1">
        <f t="array" ref="AI41">IFERROR(INDEX(始値!$E$6:$BT$305,MATCH(TEXT($B41,"0"),TEXT(銘柄管理!$B$6:$B$305,"0"),0),MATCH($AE41,始値!$E$3:$BT$3,0)),"")</f>
        <v/>
      </c>
      <c r="AJ41" s="905">
        <f>IF(OR($V41="",$F41="",$G41=""),"",$V41/($F41*$G41))</f>
        <v>-3.9895356442119029E-2</v>
      </c>
      <c r="AK41" s="629" t="str">
        <f>IF($V41="","",IF($V41&gt;0,"○勝",IF($V41&lt;0,"●負","△引分")))</f>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IF(B42="","",HYPERLINK("https://kabutan.jp/stock/?code="&amp;B42,"株探"))</f>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BT$3,0)=1,1,MATCH($E42,始値!$E$3:$BT$3,0)+1)),_xlpm.v,INDEX(始値!$C$6:$B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IF(OR(F42="",G42="",H42=""),"",IF(C42="売",(F42-H42)*G42,(H42-F42)*G42))</f>
        <v>127700</v>
      </c>
      <c r="L42" s="706">
        <f>IF(OR(F42="",H42=""),"",IF(C42="売",(F42-H42)/F42,(H42-F42)/F42))</f>
        <v>0.16348738957879913</v>
      </c>
      <c r="M42" s="491">
        <f>IF($F42="","",IF($C42="売",CEILING($F42*IF($C42="売",1-$AX$3,1+$AX$3),IF($F42*IF($C42="売",1-$AX$3,1+$AX$3)&lt;=3000,1,IF($F42*IF($C42="売",1-$AX$3,1+$AX$3)&lt;=5000,5,IF($F42*IF($C42="売",1-$AX$3,1+$AX$3)&lt;=30000,10,IF($F42*IF($C42="売",1-$AX$3,1+$AX$3)&lt;=50000,50,IF($F42*IF($C42="売",1-$AX$3,1+$AX$3)&lt;=300000,100,500)))))),FLOOR($F42*IF($C42="売",1-$AX$3,1+$AX$3),IF($F42*IF($C42="売",1-$AX$3,1+$AX$3)&lt;=3000,1,IF($F42*IF($C42="売",1-$AX$3,1+$AX$3)&lt;=5000,5,IF($F42*IF($C42="売",1-$AX$3,1+$AX$3)&lt;=30000,10,IF($F42*IF($C42="売",1-$AX$3,1+$AX$3)&lt;=50000,50,IF($F42*IF($C42="売",1-$AX$3,1+$AX$3)&lt;=300000,100,500))))))))</f>
      </c>
      <c r="N42" s="491">
        <f>IF($F42="","",IF($C42="売",CEILING($F42*IF($C42="売",1+$AX$2,1-$AX$2),IF($F42*IF($C42="売",1+$AX$2,1-$AX$2)&lt;=3000,1,IF($F42*IF($C42="売",1+$AX$2,1-$AX$2)&lt;=5000,5,IF($F42*IF($C42="売",1+$AX$2,1-$AX$2)&lt;=30000,10,IF($F42*IF($C42="売",1+$AX$2,1-$AX$2)&lt;=50000,50,IF($F42*IF($C42="売",1+$AX$2,1-$AX$2)&lt;=300000,100,500)))))),FLOOR($F42*IF($C42="売",1+$AX$2,1-$AX$2),IF($F42*IF($C42="売",1+$AX$2,1-$AX$2)&lt;=3000,1,IF($F42*IF($C42="売",1+$AX$2,1-$AX$2)&lt;=5000,5,IF($F42*IF($C42="売",1+$AX$2,1-$AX$2)&lt;=30000,10,IF($F42*IF($C42="売",1+$AX$2,1-$AX$2)&lt;=50000,50,IF($F42*IF($C42="売",1+$AX$2,1-$AX$2)&lt;=300000,100,500))))))))</f>
      </c>
      <c r="O42" s="492" t="str">
        <f>IF(OR($B42="",$F42="",$H42=""),"",IF($S42="✅売却済","―決済済―",IF($C42="売",IF($H42&lt;=$M42,"🟢利確",IF(AND($R42&lt;&gt;"",$H42&gt;=$R42),"🟠TRAIL決済",IF($H42&gt;=$N42,"🔴損切",IF($W42&gt;=$AX$5,"⏱時間決済",IF($H42&gt;=$F42*(1+$AX$2*0.7),"⚠️損切接近","保持継続"))))),IF($H42&gt;=$M42,"🟢利確",IF(AND($R42&lt;&gt;"",$H42&lt;=$R42),"🟠TRAIL決済",IF($H42&lt;=$N42,"🔴損切",IF($W42&gt;=$AX$5,"⏱時間決済",IF($H42&lt;=$F42*(1-$AX$2*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IF($H42&gt;$F42*(1-$AX$2),$N42,CEILING(MIN($N42,IF($Q42="",$N42,$Q42*1.03)),IF($N42&lt;=3000,1,IF($N42&lt;=5000,5,IF($N42&lt;=30000,10,IF($N42&lt;=50000,50,IF($N42&lt;=300000,100,500))))))),IF($H42&lt;$F42*(1+$AX$2),$N42,FLOOR(MAX($N42,IF($P42="",$N42,$P42*0.97)),IF($N42&lt;=3000,1,IF($N42&lt;=5000,5,IF($N42&lt;=30000,10,IF($N42&lt;=50000,50,IF($N42&lt;=300000,100,500))))))))))</f>
      </c>
      <c r="S42" s="586" t="str">
        <f>IF(B42="","",IF(T42&lt;&gt;"","✅売却済",IF(OR(H42="",L42=""),"📌保有中",IF(L42&gt;=0.06,"🟢利確推奨",IF(L42&gt;=0.05,"🟡利確直近",IF(L42&gt;=0.045,"🔵トレーリング検討",IF(L42&gt;-0.03,"📌保有中",IF(L42&gt;-0.04,"⚠️損切注意","🔴損切り"))))))))</f>
        <v>✅売却済</v>
      </c>
      <c r="T42" s="594">
        <v>46239</v>
      </c>
      <c r="U42" s="491">
        <v>8280</v>
      </c>
      <c r="V42" s="701">
        <f>IF(OR(F42="",G42="",U42=""),"",IF(C42="売",(F42-U42)*G42,(U42-F42)*G42))</f>
        <v>46900</v>
      </c>
      <c r="W42" s="493">
        <f>IF(OR($E42="",$B42=""),"",IF($T42&lt;&gt;"",$T42-$E42,TODAY()-$E42)+1)</f>
        <v>3</v>
      </c>
      <c r="X42" s="489" t="str">
        <f>IF(OR($AH42="",$AH42="保有中"),"",$AH42)</f>
        <v>利益確定</v>
      </c>
      <c r="Y42" s="488">
        <f>IF($B42="","",IF(COUNTIFS($B$4:$B42,$B42,$C$4:$C42,$C42)&gt;1,"⛔重複"&amp;COUNTIFS($B$4:$B42,$B42,$C$4:$C42,$C42)&amp;"回目",""))</f>
      </c>
      <c r="Z42" s="710">
        <v>13</v>
      </c>
      <c r="AB42">
        <f>IF($F42="","",MAX(100,ROUNDDOWN($AX$4/($F42*$AX$2)/100,0)*100))</f>
      </c>
      <c r="AC42">
        <f>IF(OR($F42="",$G42="",$U42=""),"",ROUND($V42-($F42+$U42)*$G42*$AX$6-IF($C42="売",$F42*$G42*$AX$7*$W42/365,0),0))</f>
      </c>
      <c r="AD42" s="608" t="s">
        <v>1324</v>
      </c>
      <c r="AE42" s="624">
        <f>IF($E42="","",WORKDAY($E42,12))</f>
        <v>46253</v>
      </c>
      <c r="AF42" s="626"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46239</v>
      </c>
      <c r="AG42" s="626"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0" t="str">
        <f>IF(OR($B42="",$M42=""),"",IF(AND(N($AF42)=0,N($AG42)=0),IF(AND(ISNUMBER($H42),$H42&gt;0,IF($C42="売",$H42&gt;=$N42,$H42&lt;=$N42)),"損切確定",IF(AND(ISNUMBER($H42),$H42&gt;0,IF($C42="売",$H42&lt;=$M42,$H42&gt;=$M42)),"利益確定",IF($AE42&lt;=TODAY(),"日数制限","保有中"))),IF(N($AG42)=0,"利益確定",IF(N($AF42)=0,"損切確定",IF($AG42&lt;=$AF42,"損切確定","利益確定")))))</f>
        <v>利益確定</v>
      </c>
      <c r="AI42" s="600" t="str" cm="1">
        <f t="array" ref="AI42">IFERROR(INDEX(始値!$E$6:$BT$305,MATCH(TEXT($B42,"0"),TEXT(銘柄管理!$B$6:$B$305,"0"),0),MATCH($AE42,始値!$E$3:$BT$3,0)),"")</f>
        <v/>
      </c>
      <c r="AJ42" s="905">
        <f>IF(OR($V42="",$F42="",$G42=""),"",$V42/($F42*$G42))</f>
        <v>6.0043528357444628E-2</v>
      </c>
      <c r="AK42" s="629" t="str">
        <f>IF($V42="","",IF($V42&gt;0,"○勝",IF($V42&lt;0,"●負","△引分")))</f>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IF(B43="","",HYPERLINK("https://kabutan.jp/stock/?code="&amp;B43,"株探"))</f>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BT$3,0)=1,1,MATCH($E43,始値!$E$3:$BT$3,0)+1)),_xlpm.v,INDEX(始値!$C$6:$B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IF(OR(F43="",G43="",H43=""),"",IF(C43="売",(F43-H43)*G43,(H43-F43)*G43))</f>
        <v>2000</v>
      </c>
      <c r="L43" s="706">
        <f>IF(OR(F43="",H43=""),"",IF(C43="売",(F43-H43)/F43,(H43-F43)/F43))</f>
        <v>6.1443932411674347E-3</v>
      </c>
      <c r="M43" s="491">
        <f>IF($F43="","",IF($C43="売",CEILING($F43*IF($C43="売",1-$AX$3,1+$AX$3),IF($F43*IF($C43="売",1-$AX$3,1+$AX$3)&lt;=3000,1,IF($F43*IF($C43="売",1-$AX$3,1+$AX$3)&lt;=5000,5,IF($F43*IF($C43="売",1-$AX$3,1+$AX$3)&lt;=30000,10,IF($F43*IF($C43="売",1-$AX$3,1+$AX$3)&lt;=50000,50,IF($F43*IF($C43="売",1-$AX$3,1+$AX$3)&lt;=300000,100,500)))))),FLOOR($F43*IF($C43="売",1-$AX$3,1+$AX$3),IF($F43*IF($C43="売",1-$AX$3,1+$AX$3)&lt;=3000,1,IF($F43*IF($C43="売",1-$AX$3,1+$AX$3)&lt;=5000,5,IF($F43*IF($C43="売",1-$AX$3,1+$AX$3)&lt;=30000,10,IF($F43*IF($C43="売",1-$AX$3,1+$AX$3)&lt;=50000,50,IF($F43*IF($C43="売",1-$AX$3,1+$AX$3)&lt;=300000,100,500))))))))</f>
      </c>
      <c r="N43" s="491">
        <f>IF($F43="","",IF($C43="売",CEILING($F43*IF($C43="売",1+$AX$2,1-$AX$2),IF($F43*IF($C43="売",1+$AX$2,1-$AX$2)&lt;=3000,1,IF($F43*IF($C43="売",1+$AX$2,1-$AX$2)&lt;=5000,5,IF($F43*IF($C43="売",1+$AX$2,1-$AX$2)&lt;=30000,10,IF($F43*IF($C43="売",1+$AX$2,1-$AX$2)&lt;=50000,50,IF($F43*IF($C43="売",1+$AX$2,1-$AX$2)&lt;=300000,100,500)))))),FLOOR($F43*IF($C43="売",1+$AX$2,1-$AX$2),IF($F43*IF($C43="売",1+$AX$2,1-$AX$2)&lt;=3000,1,IF($F43*IF($C43="売",1+$AX$2,1-$AX$2)&lt;=5000,5,IF($F43*IF($C43="売",1+$AX$2,1-$AX$2)&lt;=30000,10,IF($F43*IF($C43="売",1+$AX$2,1-$AX$2)&lt;=50000,50,IF($F43*IF($C43="売",1+$AX$2,1-$AX$2)&lt;=300000,100,500))))))))</f>
      </c>
      <c r="O43" s="492" t="str">
        <f>IF(OR($B43="",$F43="",$H43=""),"",IF($S43="✅売却済","―決済済―",IF($C43="売",IF($H43&lt;=$M43,"🟢利確",IF(AND($R43&lt;&gt;"",$H43&gt;=$R43),"🟠TRAIL決済",IF($H43&gt;=$N43,"🔴損切",IF($W43&gt;=$AX$5,"⏱時間決済",IF($H43&gt;=$F43*(1+$AX$2*0.7),"⚠️損切接近","保持継続"))))),IF($H43&gt;=$M43,"🟢利確",IF(AND($R43&lt;&gt;"",$H43&lt;=$R43),"🟠TRAIL決済",IF($H43&lt;=$N43,"🔴損切",IF($W43&gt;=$AX$5,"⏱時間決済",IF($H43&lt;=$F43*(1-$AX$2*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IF($H43&gt;$F43*(1-$AX$2),$N43,CEILING(MIN($N43,IF($Q43="",$N43,$Q43*1.03)),IF($N43&lt;=3000,1,IF($N43&lt;=5000,5,IF($N43&lt;=30000,10,IF($N43&lt;=50000,50,IF($N43&lt;=300000,100,500))))))),IF($H43&lt;$F43*(1+$AX$2),$N43,FLOOR(MAX($N43,IF($P43="",$N43,$P43*0.97)),IF($N43&lt;=3000,1,IF($N43&lt;=5000,5,IF($N43&lt;=30000,10,IF($N43&lt;=50000,50,IF($N43&lt;=300000,100,500))))))))))</f>
      </c>
      <c r="S43" s="586" t="str">
        <f>IF(B43="","",IF(T43&lt;&gt;"","✅売却済",IF(OR(H43="",L43=""),"📌保有中",IF(L43&gt;=0.06,"🟢利確推奨",IF(L43&gt;=0.05,"🟡利確直近",IF(L43&gt;=0.045,"🔵トレーリング検討",IF(L43&gt;-0.03,"📌保有中",IF(L43&gt;-0.04,"⚠️損切注意","🔴損切り"))))))))</f>
        <v>📌保有中</v>
      </c>
      <c r="T43" s="594"/>
      <c r="U43" s="491"/>
      <c r="V43" s="701" t="str">
        <f>IF(OR(F43="",G43="",U43=""),"",IF(C43="売",(F43-U43)*G43,(U43-F43)*G43))</f>
        <v/>
      </c>
      <c r="W43" s="493">
        <f>IF(OR($E43="",$B43=""),"",IF($T43&lt;&gt;"",$T43-$E43,TODAY()-$E43)+1)</f>
        <v>4</v>
      </c>
      <c r="X43" s="489" t="str">
        <f>IF(OR($AH43="",$AH43="保有中"),"",$AH43)</f>
        <v/>
      </c>
      <c r="Y43" s="488">
        <f>IF($B43="","",IF(COUNTIFS($B$4:$B43,$B43,$C$4:$C43,$C43)&gt;1,"⛔重複"&amp;COUNTIFS($B$4:$B43,$B43,$C$4:$C43,$C43)&amp;"回目",""))</f>
      </c>
      <c r="Z43" s="710">
        <v>17</v>
      </c>
      <c r="AB43">
        <f>IF($F43="","",MAX(100,ROUNDDOWN($AX$4/($F43*$AX$2)/100,0)*100))</f>
      </c>
      <c r="AC43">
        <f>IF(OR($F43="",$G43="",$U43=""),"",ROUND($V43-($F43+$U43)*$G43*$AX$6-IF($C43="売",$F43*$G43*$AX$7*$W43/365,0),0))</f>
      </c>
      <c r="AD43" s="608" t="s">
        <v>1325</v>
      </c>
      <c r="AE43" s="624">
        <f>IF($E43="","",WORKDAY($E43,12))</f>
        <v>46253</v>
      </c>
      <c r="AF43" s="626"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26"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0" t="str">
        <f>IF(OR($B43="",$M43=""),"",IF(AND(N($AF43)=0,N($AG43)=0),IF(AND(ISNUMBER($H43),$H43&gt;0,IF($C43="売",$H43&gt;=$N43,$H43&lt;=$N43)),"損切確定",IF(AND(ISNUMBER($H43),$H43&gt;0,IF($C43="売",$H43&lt;=$M43,$H43&gt;=$M43)),"利益確定",IF($AE43&lt;=TODAY(),"日数制限","保有中"))),IF(N($AG43)=0,"利益確定",IF(N($AF43)=0,"損切確定",IF($AG43&lt;=$AF43,"損切確定","利益確定")))))</f>
        <v>保有中</v>
      </c>
      <c r="AI43" s="600" t="str" cm="1">
        <f t="array" ref="AI43">IFERROR(INDEX(始値!$E$6:$BT$305,MATCH(TEXT($B43,"0"),TEXT(銘柄管理!$B$6:$B$305,"0"),0),MATCH($AE43,始値!$E$3:$BT$3,0)),"")</f>
        <v/>
      </c>
      <c r="AJ43" s="905" t="str">
        <f>IF(OR($V43="",$F43="",$G43=""),"",$V43/($F43*$G43))</f>
        <v/>
      </c>
      <c r="AK43" s="629" t="str">
        <f>IF($V43="","",IF($V43&gt;0,"○勝",IF($V43&lt;0,"●負","△引分")))</f>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IF(B44="","",HYPERLINK("https://kabutan.jp/stock/?code="&amp;B44,"株探"))</f>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BT$3,0)=1,1,MATCH($E44,始値!$E$3:$BT$3,0)+1)),_xlpm.v,INDEX(始値!$C$6:$B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IF(OR(F44="",G44="",H44=""),"",IF(C44="売",(F44-H44)*G44,(H44-F44)*G44))</f>
        <v>2800</v>
      </c>
      <c r="L44" s="706">
        <f>IF(OR(F44="",H44=""),"",IF(C44="売",(F44-H44)/F44,(H44-F44)/F44))</f>
        <v>7.2388831437435368E-3</v>
      </c>
      <c r="M44" s="491">
        <f>IF($F44="","",IF($C44="売",CEILING($F44*IF($C44="売",1-$AX$3,1+$AX$3),IF($F44*IF($C44="売",1-$AX$3,1+$AX$3)&lt;=3000,1,IF($F44*IF($C44="売",1-$AX$3,1+$AX$3)&lt;=5000,5,IF($F44*IF($C44="売",1-$AX$3,1+$AX$3)&lt;=30000,10,IF($F44*IF($C44="売",1-$AX$3,1+$AX$3)&lt;=50000,50,IF($F44*IF($C44="売",1-$AX$3,1+$AX$3)&lt;=300000,100,500)))))),FLOOR($F44*IF($C44="売",1-$AX$3,1+$AX$3),IF($F44*IF($C44="売",1-$AX$3,1+$AX$3)&lt;=3000,1,IF($F44*IF($C44="売",1-$AX$3,1+$AX$3)&lt;=5000,5,IF($F44*IF($C44="売",1-$AX$3,1+$AX$3)&lt;=30000,10,IF($F44*IF($C44="売",1-$AX$3,1+$AX$3)&lt;=50000,50,IF($F44*IF($C44="売",1-$AX$3,1+$AX$3)&lt;=300000,100,500))))))))</f>
      </c>
      <c r="N44" s="491">
        <f>IF($F44="","",IF($C44="売",CEILING($F44*IF($C44="売",1+$AX$2,1-$AX$2),IF($F44*IF($C44="売",1+$AX$2,1-$AX$2)&lt;=3000,1,IF($F44*IF($C44="売",1+$AX$2,1-$AX$2)&lt;=5000,5,IF($F44*IF($C44="売",1+$AX$2,1-$AX$2)&lt;=30000,10,IF($F44*IF($C44="売",1+$AX$2,1-$AX$2)&lt;=50000,50,IF($F44*IF($C44="売",1+$AX$2,1-$AX$2)&lt;=300000,100,500)))))),FLOOR($F44*IF($C44="売",1+$AX$2,1-$AX$2),IF($F44*IF($C44="売",1+$AX$2,1-$AX$2)&lt;=3000,1,IF($F44*IF($C44="売",1+$AX$2,1-$AX$2)&lt;=5000,5,IF($F44*IF($C44="売",1+$AX$2,1-$AX$2)&lt;=30000,10,IF($F44*IF($C44="売",1+$AX$2,1-$AX$2)&lt;=50000,50,IF($F44*IF($C44="売",1+$AX$2,1-$AX$2)&lt;=300000,100,500))))))))</f>
      </c>
      <c r="O44" s="492" t="str">
        <f>IF(OR($B44="",$F44="",$H44=""),"",IF($S44="✅売却済","―決済済―",IF($C44="売",IF($H44&lt;=$M44,"🟢利確",IF(AND($R44&lt;&gt;"",$H44&gt;=$R44),"🟠TRAIL決済",IF($H44&gt;=$N44,"🔴損切",IF($W44&gt;=$AX$5,"⏱時間決済",IF($H44&gt;=$F44*(1+$AX$2*0.7),"⚠️損切接近","保持継続"))))),IF($H44&gt;=$M44,"🟢利確",IF(AND($R44&lt;&gt;"",$H44&lt;=$R44),"🟠TRAIL決済",IF($H44&lt;=$N44,"🔴損切",IF($W44&gt;=$AX$5,"⏱時間決済",IF($H44&lt;=$F44*(1-$AX$2*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IF($H44&gt;$F44*(1-$AX$2),$N44,CEILING(MIN($N44,IF($Q44="",$N44,$Q44*1.03)),IF($N44&lt;=3000,1,IF($N44&lt;=5000,5,IF($N44&lt;=30000,10,IF($N44&lt;=50000,50,IF($N44&lt;=300000,100,500))))))),IF($H44&lt;$F44*(1+$AX$2),$N44,FLOOR(MAX($N44,IF($P44="",$N44,$P44*0.97)),IF($N44&lt;=3000,1,IF($N44&lt;=5000,5,IF($N44&lt;=30000,10,IF($N44&lt;=50000,50,IF($N44&lt;=300000,100,500))))))))))</f>
      </c>
      <c r="S44" s="586" t="str">
        <f>IF(B44="","",IF(T44&lt;&gt;"","✅売却済",IF(OR(H44="",L44=""),"📌保有中",IF(L44&gt;=0.06,"🟢利確推奨",IF(L44&gt;=0.05,"🟡利確直近",IF(L44&gt;=0.045,"🔵トレーリング検討",IF(L44&gt;-0.03,"📌保有中",IF(L44&gt;-0.04,"⚠️損切注意","🔴損切り"))))))))</f>
        <v>📌保有中</v>
      </c>
      <c r="T44" s="594"/>
      <c r="U44" s="491"/>
      <c r="V44" s="701" t="str">
        <f>IF(OR(F44="",G44="",U44=""),"",IF(C44="売",(F44-U44)*G44,(U44-F44)*G44))</f>
        <v/>
      </c>
      <c r="W44" s="493">
        <f>IF(OR($E44="",$B44=""),"",IF($T44&lt;&gt;"",$T44-$E44,TODAY()-$E44)+1)</f>
        <v>3</v>
      </c>
      <c r="X44" s="489" t="str">
        <f>IF(OR($AH44="",$AH44="保有中"),"",$AH44)</f>
        <v/>
      </c>
      <c r="Y44" s="488">
        <f>IF($B44="","",IF(COUNTIFS($B$4:$B44,$B44,$C$4:$C44,$C44)&gt;1,"⛔重複"&amp;COUNTIFS($B$4:$B44,$B44,$C$4:$C44,$C44)&amp;"回目",""))</f>
      </c>
      <c r="Z44" s="710">
        <v>14</v>
      </c>
      <c r="AB44">
        <f>IF($F44="","",MAX(100,ROUNDDOWN($AX$4/($F44*$AX$2)/100,0)*100))</f>
      </c>
      <c r="AC44">
        <f>IF(OR($F44="",$G44="",$U44=""),"",ROUND($V44-($F44+$U44)*$G44*$AX$6-IF($C44="売",$F44*$G44*$AX$7*$W44/365,0),0))</f>
      </c>
      <c r="AD44" s="608" t="s">
        <v>1324</v>
      </c>
      <c r="AE44" s="624">
        <f>IF($E44="","",WORKDAY($E44,12))</f>
        <v>46254</v>
      </c>
      <c r="AF44" s="626"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26"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0" t="str">
        <f>IF(OR($B44="",$M44=""),"",IF(AND(N($AF44)=0,N($AG44)=0),IF(AND(ISNUMBER($H44),$H44&gt;0,IF($C44="売",$H44&gt;=$N44,$H44&lt;=$N44)),"損切確定",IF(AND(ISNUMBER($H44),$H44&gt;0,IF($C44="売",$H44&lt;=$M44,$H44&gt;=$M44)),"利益確定",IF($AE44&lt;=TODAY(),"日数制限","保有中"))),IF(N($AG44)=0,"利益確定",IF(N($AF44)=0,"損切確定",IF($AG44&lt;=$AF44,"損切確定","利益確定")))))</f>
        <v>保有中</v>
      </c>
      <c r="AI44" s="600" t="str" cm="1">
        <f t="array" ref="AI44">IFERROR(INDEX(始値!$E$6:$BT$305,MATCH(TEXT($B44,"0"),TEXT(銘柄管理!$B$6:$B$305,"0"),0),MATCH($AE44,始値!$E$3:$BT$3,0)),"")</f>
        <v/>
      </c>
      <c r="AJ44" s="905" t="str">
        <f>IF(OR($V44="",$F44="",$G44=""),"",$V44/($F44*$G44))</f>
        <v/>
      </c>
      <c r="AK44" s="629" t="str">
        <f>IF($V44="","",IF($V44&gt;0,"○勝",IF($V44&lt;0,"●負","△引分")))</f>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IF(B45="","",HYPERLINK("https://kabutan.jp/stock/?code="&amp;B45,"株探"))</f>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BT$3,0)=1,1,MATCH($E45,始値!$E$3:$BT$3,0)+1)),_xlpm.v,INDEX(始値!$C$6:$B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IF(OR(F45="",G45="",H45=""),"",IF(C45="売",(F45-H45)*G45,(H45-F45)*G45))</f>
        <v>-4000</v>
      </c>
      <c r="L45" s="706">
        <f>IF(OR(F45="",H45=""),"",IF(C45="売",(F45-H45)/F45,(H45-F45)/F45))</f>
        <v>-1.7256255392579811E-2</v>
      </c>
      <c r="M45" s="491">
        <f>IF($F45="","",IF($C45="売",CEILING($F45*IF($C45="売",1-$AX$3,1+$AX$3),IF($F45*IF($C45="売",1-$AX$3,1+$AX$3)&lt;=3000,1,IF($F45*IF($C45="売",1-$AX$3,1+$AX$3)&lt;=5000,5,IF($F45*IF($C45="売",1-$AX$3,1+$AX$3)&lt;=30000,10,IF($F45*IF($C45="売",1-$AX$3,1+$AX$3)&lt;=50000,50,IF($F45*IF($C45="売",1-$AX$3,1+$AX$3)&lt;=300000,100,500)))))),FLOOR($F45*IF($C45="売",1-$AX$3,1+$AX$3),IF($F45*IF($C45="売",1-$AX$3,1+$AX$3)&lt;=3000,1,IF($F45*IF($C45="売",1-$AX$3,1+$AX$3)&lt;=5000,5,IF($F45*IF($C45="売",1-$AX$3,1+$AX$3)&lt;=30000,10,IF($F45*IF($C45="売",1-$AX$3,1+$AX$3)&lt;=50000,50,IF($F45*IF($C45="売",1-$AX$3,1+$AX$3)&lt;=300000,100,500))))))))</f>
      </c>
      <c r="N45" s="491">
        <f>IF($F45="","",IF($C45="売",CEILING($F45*IF($C45="売",1+$AX$2,1-$AX$2),IF($F45*IF($C45="売",1+$AX$2,1-$AX$2)&lt;=3000,1,IF($F45*IF($C45="売",1+$AX$2,1-$AX$2)&lt;=5000,5,IF($F45*IF($C45="売",1+$AX$2,1-$AX$2)&lt;=30000,10,IF($F45*IF($C45="売",1+$AX$2,1-$AX$2)&lt;=50000,50,IF($F45*IF($C45="売",1+$AX$2,1-$AX$2)&lt;=300000,100,500)))))),FLOOR($F45*IF($C45="売",1+$AX$2,1-$AX$2),IF($F45*IF($C45="売",1+$AX$2,1-$AX$2)&lt;=3000,1,IF($F45*IF($C45="売",1+$AX$2,1-$AX$2)&lt;=5000,5,IF($F45*IF($C45="売",1+$AX$2,1-$AX$2)&lt;=30000,10,IF($F45*IF($C45="売",1+$AX$2,1-$AX$2)&lt;=50000,50,IF($F45*IF($C45="売",1+$AX$2,1-$AX$2)&lt;=300000,100,500))))))))</f>
      </c>
      <c r="O45" s="492" t="str">
        <f>IF(OR($B45="",$F45="",$H45=""),"",IF($S45="✅売却済","―決済済―",IF($C45="売",IF($H45&lt;=$M45,"🟢利確",IF(AND($R45&lt;&gt;"",$H45&gt;=$R45),"🟠TRAIL決済",IF($H45&gt;=$N45,"🔴損切",IF($W45&gt;=$AX$5,"⏱時間決済",IF($H45&gt;=$F45*(1+$AX$2*0.7),"⚠️損切接近","保持継続"))))),IF($H45&gt;=$M45,"🟢利確",IF(AND($R45&lt;&gt;"",$H45&lt;=$R45),"🟠TRAIL決済",IF($H45&lt;=$N45,"🔴損切",IF($W45&gt;=$AX$5,"⏱時間決済",IF($H45&lt;=$F45*(1-$AX$2*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IF($H45&gt;$F45*(1-$AX$2),$N45,CEILING(MIN($N45,IF($Q45="",$N45,$Q45*1.03)),IF($N45&lt;=3000,1,IF($N45&lt;=5000,5,IF($N45&lt;=30000,10,IF($N45&lt;=50000,50,IF($N45&lt;=300000,100,500))))))),IF($H45&lt;$F45*(1+$AX$2),$N45,FLOOR(MAX($N45,IF($P45="",$N45,$P45*0.97)),IF($N45&lt;=3000,1,IF($N45&lt;=5000,5,IF($N45&lt;=30000,10,IF($N45&lt;=50000,50,IF($N45&lt;=300000,100,500))))))))))</f>
      </c>
      <c r="S45" s="586" t="str">
        <f>IF(B45="","",IF(T45&lt;&gt;"","✅売却済",IF(OR(H45="",L45=""),"📌保有中",IF(L45&gt;=0.06,"🟢利確推奨",IF(L45&gt;=0.05,"🟡利確直近",IF(L45&gt;=0.045,"🔵トレーリング検討",IF(L45&gt;-0.03,"📌保有中",IF(L45&gt;-0.04,"⚠️損切注意","🔴損切り"))))))))</f>
        <v>✅売却済</v>
      </c>
      <c r="T45" s="594">
        <v>46240</v>
      </c>
      <c r="U45" s="491">
        <v>2411</v>
      </c>
      <c r="V45" s="701">
        <f>IF(OR(F45="",G45="",U45=""),"",IF(C45="売",(F45-U45)*G45,(U45-F45)*G45))</f>
        <v>-9300</v>
      </c>
      <c r="W45" s="493">
        <f>IF(OR($E45="",$B45=""),"",IF($T45&lt;&gt;"",$T45-$E45,TODAY()-$E45)+1)</f>
        <v>3</v>
      </c>
      <c r="X45" s="489" t="str">
        <f>IF(OR($AH45="",$AH45="保有中"),"",$AH45)</f>
        <v>損切確定</v>
      </c>
      <c r="Y45" s="488">
        <f>IF($B45="","",IF(COUNTIFS($B$4:$B45,$B45,$C$4:$C45,$C45)&gt;1,"⛔重複"&amp;COUNTIFS($B$4:$B45,$B45,$C$4:$C45,$C45)&amp;"回目",""))</f>
      </c>
      <c r="Z45" s="710">
        <v>12</v>
      </c>
      <c r="AB45">
        <f>IF($F45="","",MAX(100,ROUNDDOWN($AX$4/($F45*$AX$2)/100,0)*100))</f>
      </c>
      <c r="AC45">
        <f>IF(OR($F45="",$G45="",$U45=""),"",ROUND($V45-($F45+$U45)*$G45*$AX$6-IF($C45="売",$F45*$G45*$AX$7*$W45/365,0),0))</f>
      </c>
      <c r="AD45" s="608" t="s">
        <v>1325</v>
      </c>
      <c r="AE45" s="624">
        <f>IF($E45="","",WORKDAY($E45,12))</f>
        <v>46254</v>
      </c>
      <c r="AF45" s="626"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26"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46240</v>
      </c>
      <c r="AH45" s="600" t="str">
        <f>IF(OR($B45="",$M45=""),"",IF(AND(N($AF45)=0,N($AG45)=0),IF(AND(ISNUMBER($H45),$H45&gt;0,IF($C45="売",$H45&gt;=$N45,$H45&lt;=$N45)),"損切確定",IF(AND(ISNUMBER($H45),$H45&gt;0,IF($C45="売",$H45&lt;=$M45,$H45&gt;=$M45)),"利益確定",IF($AE45&lt;=TODAY(),"日数制限","保有中"))),IF(N($AG45)=0,"利益確定",IF(N($AF45)=0,"損切確定",IF($AG45&lt;=$AF45,"損切確定","利益確定")))))</f>
        <v>損切確定</v>
      </c>
      <c r="AI45" s="600" t="str" cm="1">
        <f t="array" ref="AI45">IFERROR(INDEX(始値!$E$6:$BT$305,MATCH(TEXT($B45,"0"),TEXT(銘柄管理!$B$6:$B$305,"0"),0),MATCH($AE45,始値!$E$3:$BT$3,0)),"")</f>
        <v/>
      </c>
      <c r="AJ45" s="905">
        <f>IF(OR($V45="",$F45="",$G45=""),"",$V45/($F45*$G45))</f>
        <v>-4.0120793787748056E-2</v>
      </c>
      <c r="AK45" s="629" t="str">
        <f>IF($V45="","",IF($V45&gt;0,"○勝",IF($V45&lt;0,"●負","△引分")))</f>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IF(B46="","",HYPERLINK("https://kabutan.jp/stock/?code="&amp;B46,"株探"))</f>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BT$3,0)=1,1,MATCH($E46,始値!$E$3:$BT$3,0)+1)),_xlpm.v,INDEX(始値!$C$6:$B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IF(OR(F46="",G46="",H46=""),"",IF(C46="売",(F46-H46)*G46,(H46-F46)*G46))</f>
        <v>5700</v>
      </c>
      <c r="L46" s="706">
        <f>IF(OR(F46="",H46=""),"",IF(C46="売",(F46-H46)/F46,(H46-F46)/F46))</f>
        <v>8.7868043779867431E-3</v>
      </c>
      <c r="M46" s="491">
        <f>IF($F46="","",IF($C46="売",CEILING($F46*IF($C46="売",1-$AX$3,1+$AX$3),IF($F46*IF($C46="売",1-$AX$3,1+$AX$3)&lt;=3000,1,IF($F46*IF($C46="売",1-$AX$3,1+$AX$3)&lt;=5000,5,IF($F46*IF($C46="売",1-$AX$3,1+$AX$3)&lt;=30000,10,IF($F46*IF($C46="売",1-$AX$3,1+$AX$3)&lt;=50000,50,IF($F46*IF($C46="売",1-$AX$3,1+$AX$3)&lt;=300000,100,500)))))),FLOOR($F46*IF($C46="売",1-$AX$3,1+$AX$3),IF($F46*IF($C46="売",1-$AX$3,1+$AX$3)&lt;=3000,1,IF($F46*IF($C46="売",1-$AX$3,1+$AX$3)&lt;=5000,5,IF($F46*IF($C46="売",1-$AX$3,1+$AX$3)&lt;=30000,10,IF($F46*IF($C46="売",1-$AX$3,1+$AX$3)&lt;=50000,50,IF($F46*IF($C46="売",1-$AX$3,1+$AX$3)&lt;=300000,100,500))))))))</f>
      </c>
      <c r="N46" s="491">
        <f>IF($F46="","",IF($C46="売",CEILING($F46*IF($C46="売",1+$AX$2,1-$AX$2),IF($F46*IF($C46="売",1+$AX$2,1-$AX$2)&lt;=3000,1,IF($F46*IF($C46="売",1+$AX$2,1-$AX$2)&lt;=5000,5,IF($F46*IF($C46="売",1+$AX$2,1-$AX$2)&lt;=30000,10,IF($F46*IF($C46="売",1+$AX$2,1-$AX$2)&lt;=50000,50,IF($F46*IF($C46="売",1+$AX$2,1-$AX$2)&lt;=300000,100,500)))))),FLOOR($F46*IF($C46="売",1+$AX$2,1-$AX$2),IF($F46*IF($C46="売",1+$AX$2,1-$AX$2)&lt;=3000,1,IF($F46*IF($C46="売",1+$AX$2,1-$AX$2)&lt;=5000,5,IF($F46*IF($C46="売",1+$AX$2,1-$AX$2)&lt;=30000,10,IF($F46*IF($C46="売",1+$AX$2,1-$AX$2)&lt;=50000,50,IF($F46*IF($C46="売",1+$AX$2,1-$AX$2)&lt;=300000,100,500))))))))</f>
      </c>
      <c r="O46" s="492" t="str">
        <f>IF(OR($B46="",$F46="",$H46=""),"",IF($S46="✅売却済","―決済済―",IF($C46="売",IF($H46&lt;=$M46,"🟢利確",IF(AND($R46&lt;&gt;"",$H46&gt;=$R46),"🟠TRAIL決済",IF($H46&gt;=$N46,"🔴損切",IF($W46&gt;=$AX$5,"⏱時間決済",IF($H46&gt;=$F46*(1+$AX$2*0.7),"⚠️損切接近","保持継続"))))),IF($H46&gt;=$M46,"🟢利確",IF(AND($R46&lt;&gt;"",$H46&lt;=$R46),"🟠TRAIL決済",IF($H46&lt;=$N46,"🔴損切",IF($W46&gt;=$AX$5,"⏱時間決済",IF($H46&lt;=$F46*(1-$AX$2*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IF($H46&gt;$F46*(1-$AX$2),$N46,CEILING(MIN($N46,IF($Q46="",$N46,$Q46*1.03)),IF($N46&lt;=3000,1,IF($N46&lt;=5000,5,IF($N46&lt;=30000,10,IF($N46&lt;=50000,50,IF($N46&lt;=300000,100,500))))))),IF($H46&lt;$F46*(1+$AX$2),$N46,FLOOR(MAX($N46,IF($P46="",$N46,$P46*0.97)),IF($N46&lt;=3000,1,IF($N46&lt;=5000,5,IF($N46&lt;=30000,10,IF($N46&lt;=50000,50,IF($N46&lt;=300000,100,500))))))))))</f>
      </c>
      <c r="S46" s="586" t="str">
        <f>IF(B46="","",IF(T46&lt;&gt;"","✅売却済",IF(OR(H46="",L46=""),"📌保有中",IF(L46&gt;=0.06,"🟢利確推奨",IF(L46&gt;=0.05,"🟡利確直近",IF(L46&gt;=0.045,"🔵トレーリング検討",IF(L46&gt;-0.03,"📌保有中",IF(L46&gt;-0.04,"⚠️損切注意","🔴損切り"))))))))</f>
        <v>📌保有中</v>
      </c>
      <c r="T46" s="594"/>
      <c r="U46" s="491"/>
      <c r="V46" s="701" t="str">
        <f>IF(OR(F46="",G46="",U46=""),"",IF(C46="売",(F46-U46)*G46,(U46-F46)*G46))</f>
        <v/>
      </c>
      <c r="W46" s="493">
        <f>IF(OR($E46="",$B46=""),"",IF($T46&lt;&gt;"",$T46-$E46,TODAY()-$E46)+1)</f>
        <v>3</v>
      </c>
      <c r="X46" s="489" t="str">
        <f>IF(OR($AH46="",$AH46="保有中"),"",$AH46)</f>
        <v/>
      </c>
      <c r="Y46" s="488">
        <f>IF($B46="","",IF(COUNTIFS($B$4:$B46,$B46,$C$4:$C46,$C46)&gt;1,"⛔重複"&amp;COUNTIFS($B$4:$B46,$B46,$C$4:$C46,$C46)&amp;"回目",""))</f>
      </c>
      <c r="Z46" s="710">
        <v>11</v>
      </c>
      <c r="AB46">
        <f>IF($F46="","",MAX(100,ROUNDDOWN($AX$4/($F46*$AX$2)/100,0)*100))</f>
      </c>
      <c r="AC46">
        <f>IF(OR($F46="",$G46="",$U46=""),"",ROUND($V46-($F46+$U46)*$G46*$AX$6-IF($C46="売",$F46*$G46*$AX$7*$W46/365,0),0))</f>
      </c>
      <c r="AD46" s="608" t="s">
        <v>1325</v>
      </c>
      <c r="AE46" s="624">
        <f>IF($E46="","",WORKDAY($E46,12))</f>
        <v>46254</v>
      </c>
      <c r="AF46" s="626"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26"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0" t="str">
        <f>IF(OR($B46="",$M46=""),"",IF(AND(N($AF46)=0,N($AG46)=0),IF(AND(ISNUMBER($H46),$H46&gt;0,IF($C46="売",$H46&gt;=$N46,$H46&lt;=$N46)),"損切確定",IF(AND(ISNUMBER($H46),$H46&gt;0,IF($C46="売",$H46&lt;=$M46,$H46&gt;=$M46)),"利益確定",IF($AE46&lt;=TODAY(),"日数制限","保有中"))),IF(N($AG46)=0,"利益確定",IF(N($AF46)=0,"損切確定",IF($AG46&lt;=$AF46,"損切確定","利益確定")))))</f>
        <v>保有中</v>
      </c>
      <c r="AI46" s="600" t="str" cm="1">
        <f t="array" ref="AI46">IFERROR(INDEX(始値!$E$6:$BT$305,MATCH(TEXT($B46,"0"),TEXT(銘柄管理!$B$6:$B$305,"0"),0),MATCH($AE46,始値!$E$3:$BT$3,0)),"")</f>
        <v/>
      </c>
      <c r="AJ46" s="905" t="str">
        <f>IF(OR($V46="",$F46="",$G46=""),"",$V46/($F46*$G46))</f>
        <v/>
      </c>
      <c r="AK46" s="629" t="str">
        <f>IF($V46="","",IF($V46&gt;0,"○勝",IF($V46&lt;0,"●負","△引分")))</f>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IF(B47="","",HYPERLINK("https://kabutan.jp/stock/?code="&amp;B47,"株探"))</f>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BT$3,0)=1,1,MATCH($E47,始値!$E$3:$BT$3,0)+1)),_xlpm.v,INDEX(始値!$C$6:$B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IF(OR(F47="",G47="",H47=""),"",IF(C47="売",(F47-H47)*G47,(H47-F47)*G47))</f>
        <v>8400</v>
      </c>
      <c r="L47" s="706">
        <f>IF(OR(F47="",H47=""),"",IF(C47="売",(F47-H47)/F47,(H47-F47)/F47))</f>
        <v>1.5996952961340696E-2</v>
      </c>
      <c r="M47" s="491">
        <f>IF($F47="","",IF($C47="売",CEILING($F47*IF($C47="売",1-$AX$3,1+$AX$3),IF($F47*IF($C47="売",1-$AX$3,1+$AX$3)&lt;=3000,1,IF($F47*IF($C47="売",1-$AX$3,1+$AX$3)&lt;=5000,5,IF($F47*IF($C47="売",1-$AX$3,1+$AX$3)&lt;=30000,10,IF($F47*IF($C47="売",1-$AX$3,1+$AX$3)&lt;=50000,50,IF($F47*IF($C47="売",1-$AX$3,1+$AX$3)&lt;=300000,100,500)))))),FLOOR($F47*IF($C47="売",1-$AX$3,1+$AX$3),IF($F47*IF($C47="売",1-$AX$3,1+$AX$3)&lt;=3000,1,IF($F47*IF($C47="売",1-$AX$3,1+$AX$3)&lt;=5000,5,IF($F47*IF($C47="売",1-$AX$3,1+$AX$3)&lt;=30000,10,IF($F47*IF($C47="売",1-$AX$3,1+$AX$3)&lt;=50000,50,IF($F47*IF($C47="売",1-$AX$3,1+$AX$3)&lt;=300000,100,500))))))))</f>
      </c>
      <c r="N47" s="491">
        <f>IF($F47="","",IF($C47="売",CEILING($F47*IF($C47="売",1+$AX$2,1-$AX$2),IF($F47*IF($C47="売",1+$AX$2,1-$AX$2)&lt;=3000,1,IF($F47*IF($C47="売",1+$AX$2,1-$AX$2)&lt;=5000,5,IF($F47*IF($C47="売",1+$AX$2,1-$AX$2)&lt;=30000,10,IF($F47*IF($C47="売",1+$AX$2,1-$AX$2)&lt;=50000,50,IF($F47*IF($C47="売",1+$AX$2,1-$AX$2)&lt;=300000,100,500)))))),FLOOR($F47*IF($C47="売",1+$AX$2,1-$AX$2),IF($F47*IF($C47="売",1+$AX$2,1-$AX$2)&lt;=3000,1,IF($F47*IF($C47="売",1+$AX$2,1-$AX$2)&lt;=5000,5,IF($F47*IF($C47="売",1+$AX$2,1-$AX$2)&lt;=30000,10,IF($F47*IF($C47="売",1+$AX$2,1-$AX$2)&lt;=50000,50,IF($F47*IF($C47="売",1+$AX$2,1-$AX$2)&lt;=300000,100,500))))))))</f>
      </c>
      <c r="O47" s="492" t="str">
        <f>IF(OR($B47="",$F47="",$H47=""),"",IF($S47="✅売却済","―決済済―",IF($C47="売",IF($H47&lt;=$M47,"🟢利確",IF(AND($R47&lt;&gt;"",$H47&gt;=$R47),"🟠TRAIL決済",IF($H47&gt;=$N47,"🔴損切",IF($W47&gt;=$AX$5,"⏱時間決済",IF($H47&gt;=$F47*(1+$AX$2*0.7),"⚠️損切接近","保持継続"))))),IF($H47&gt;=$M47,"🟢利確",IF(AND($R47&lt;&gt;"",$H47&lt;=$R47),"🟠TRAIL決済",IF($H47&lt;=$N47,"🔴損切",IF($W47&gt;=$AX$5,"⏱時間決済",IF($H47&lt;=$F47*(1-$AX$2*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IF($H47&gt;$F47*(1-$AX$2),$N47,CEILING(MIN($N47,IF($Q47="",$N47,$Q47*1.03)),IF($N47&lt;=3000,1,IF($N47&lt;=5000,5,IF($N47&lt;=30000,10,IF($N47&lt;=50000,50,IF($N47&lt;=300000,100,500))))))),IF($H47&lt;$F47*(1+$AX$2),$N47,FLOOR(MAX($N47,IF($P47="",$N47,$P47*0.97)),IF($N47&lt;=3000,1,IF($N47&lt;=5000,5,IF($N47&lt;=30000,10,IF($N47&lt;=50000,50,IF($N47&lt;=300000,100,500))))))))))</f>
      </c>
      <c r="S47" s="586" t="str">
        <f>IF(B47="","",IF(T47&lt;&gt;"","✅売却済",IF(OR(H47="",L47=""),"📌保有中",IF(L47&gt;=0.06,"🟢利確推奨",IF(L47&gt;=0.05,"🟡利確直近",IF(L47&gt;=0.045,"🔵トレーリング検討",IF(L47&gt;-0.03,"📌保有中",IF(L47&gt;-0.04,"⚠️損切注意","🔴損切り"))))))))</f>
        <v>📌保有中</v>
      </c>
      <c r="T47" s="594"/>
      <c r="U47" s="491"/>
      <c r="V47" s="701" t="str">
        <f>IF(OR(F47="",G47="",U47=""),"",IF(C47="売",(F47-U47)*G47,(U47-F47)*G47))</f>
        <v/>
      </c>
      <c r="W47" s="493">
        <f>IF(OR($E47="",$B47=""),"",IF($T47&lt;&gt;"",$T47-$E47,TODAY()-$E47)+1)</f>
        <v>2</v>
      </c>
      <c r="X47" s="489" t="str">
        <f>IF(OR($AH47="",$AH47="保有中"),"",$AH47)</f>
        <v/>
      </c>
      <c r="Y47" s="488">
        <f>IF($B47="","",IF(COUNTIFS($B$4:$B47,$B47,$C$4:$C47,$C47)&gt;1,"⛔重複"&amp;COUNTIFS($B$4:$B47,$B47,$C$4:$C47,$C47)&amp;"回目",""))</f>
      </c>
      <c r="Z47" s="710">
        <v>13</v>
      </c>
      <c r="AB47">
        <f>IF($F47="","",MAX(100,ROUNDDOWN($AX$4/($F47*$AX$2)/100,0)*100))</f>
      </c>
      <c r="AC47">
        <f>IF(OR($F47="",$G47="",$U47=""),"",ROUND($V47-($F47+$U47)*$G47*$AX$6-IF($C47="売",$F47*$G47*$AX$7*$W47/365,0),0))</f>
      </c>
      <c r="AD47" s="608" t="s">
        <v>1322</v>
      </c>
      <c r="AE47" s="624">
        <f>IF($E47="","",WORKDAY($E47,12))</f>
        <v>46255</v>
      </c>
      <c r="AF47" s="626"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0</v>
      </c>
      <c r="AG47" s="626"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0</v>
      </c>
      <c r="AH47" s="600" t="str">
        <f>IF(OR($B47="",$M47=""),"",IF(AND(N($AF47)=0,N($AG47)=0),IF(AND(ISNUMBER($H47),$H47&gt;0,IF($C47="売",$H47&gt;=$N47,$H47&lt;=$N47)),"損切確定",IF(AND(ISNUMBER($H47),$H47&gt;0,IF($C47="売",$H47&lt;=$M47,$H47&gt;=$M47)),"利益確定",IF($AE47&lt;=TODAY(),"日数制限","保有中"))),IF(N($AG47)=0,"利益確定",IF(N($AF47)=0,"損切確定",IF($AG47&lt;=$AF47,"損切確定","利益確定")))))</f>
        <v>保有中</v>
      </c>
      <c r="AI47" s="600" t="str" cm="1">
        <f t="array" ref="AI47">IFERROR(INDEX(始値!$E$6:$BT$305,MATCH(TEXT($B47,"0"),TEXT(銘柄管理!$B$6:$B$305,"0"),0),MATCH($AE47,始値!$E$3:$BT$3,0)),"")</f>
        <v/>
      </c>
      <c r="AJ47" s="905" t="str">
        <f>IF(OR($V47="",$F47="",$G47=""),"",$V47/($F47*$G47))</f>
        <v/>
      </c>
      <c r="AK47" s="629" t="str">
        <f>IF($V47="","",IF($V47&gt;0,"○勝",IF($V47&lt;0,"●負","△引分")))</f>
        <v/>
      </c>
      <c r="BB47" s="600" t="str">
        <f>IF(N(買抽出v13!$C47)=0,"",N(買抽出v13!$Q47)+N(買抽出v13!$L47)/1000-ROW()/1000000)</f>
        <v/>
      </c>
      <c r="BC47" s="600" t="str">
        <f>IF(N(売抽出v13!$C47)=0,"",N(売抽出v13!$Q47)+IFERROR(VALUE(SUBSTITUTE(売抽出v13!$L47,"倍","")),0)/1000-ROW()/1000000)</f>
        <v/>
      </c>
    </row>
    <row r="48" spans="1:55" ht="35.4" customHeight="1">
      <c r="A48" s="619" t="str">
        <f>IF(B48="","",HYPERLINK("https://kabutan.jp/stock/?code="&amp;B48,"株探"))</f>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BT$3,0)=1,1,MATCH($E48,始値!$E$3:$BT$3,0)+1)),_xlpm.v,INDEX(始値!$C$6:$B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IF(OR(F48="",G48="",H48=""),"",IF(C48="売",(F48-H48)*G48,(H48-F48)*G48))</f>
        <v>-10800</v>
      </c>
      <c r="L48" s="706">
        <f>IF(OR(F48="",H48=""),"",IF(C48="売",(F48-H48)/F48,(H48-F48)/F48))</f>
        <v>-4.5957446808510639E-2</v>
      </c>
      <c r="M48" s="491">
        <f>IF($F48="","",IF($C48="売",CEILING($F48*IF($C48="売",1-$AX$3,1+$AX$3),IF($F48*IF($C48="売",1-$AX$3,1+$AX$3)&lt;=3000,1,IF($F48*IF($C48="売",1-$AX$3,1+$AX$3)&lt;=5000,5,IF($F48*IF($C48="売",1-$AX$3,1+$AX$3)&lt;=30000,10,IF($F48*IF($C48="売",1-$AX$3,1+$AX$3)&lt;=50000,50,IF($F48*IF($C48="売",1-$AX$3,1+$AX$3)&lt;=300000,100,500)))))),FLOOR($F48*IF($C48="売",1-$AX$3,1+$AX$3),IF($F48*IF($C48="売",1-$AX$3,1+$AX$3)&lt;=3000,1,IF($F48*IF($C48="売",1-$AX$3,1+$AX$3)&lt;=5000,5,IF($F48*IF($C48="売",1-$AX$3,1+$AX$3)&lt;=30000,10,IF($F48*IF($C48="売",1-$AX$3,1+$AX$3)&lt;=50000,50,IF($F48*IF($C48="売",1-$AX$3,1+$AX$3)&lt;=300000,100,500))))))))</f>
      </c>
      <c r="N48" s="491">
        <f>IF($F48="","",IF($C48="売",CEILING($F48*IF($C48="売",1+$AX$2,1-$AX$2),IF($F48*IF($C48="売",1+$AX$2,1-$AX$2)&lt;=3000,1,IF($F48*IF($C48="売",1+$AX$2,1-$AX$2)&lt;=5000,5,IF($F48*IF($C48="売",1+$AX$2,1-$AX$2)&lt;=30000,10,IF($F48*IF($C48="売",1+$AX$2,1-$AX$2)&lt;=50000,50,IF($F48*IF($C48="売",1+$AX$2,1-$AX$2)&lt;=300000,100,500)))))),FLOOR($F48*IF($C48="売",1+$AX$2,1-$AX$2),IF($F48*IF($C48="売",1+$AX$2,1-$AX$2)&lt;=3000,1,IF($F48*IF($C48="売",1+$AX$2,1-$AX$2)&lt;=5000,5,IF($F48*IF($C48="売",1+$AX$2,1-$AX$2)&lt;=30000,10,IF($F48*IF($C48="売",1+$AX$2,1-$AX$2)&lt;=50000,50,IF($F48*IF($C48="売",1+$AX$2,1-$AX$2)&lt;=300000,100,500))))))))</f>
      </c>
      <c r="O48" s="492" t="str">
        <f>IF(OR($B48="",$F48="",$H48=""),"",IF($S48="✅売却済","―決済済―",IF($C48="売",IF($H48&lt;=$M48,"🟢利確",IF(AND($R48&lt;&gt;"",$H48&gt;=$R48),"🟠TRAIL決済",IF($H48&gt;=$N48,"🔴損切",IF($W48&gt;=$AX$5,"⏱時間決済",IF($H48&gt;=$F48*(1+$AX$2*0.7),"⚠️損切接近","保持継続"))))),IF($H48&gt;=$M48,"🟢利確",IF(AND($R48&lt;&gt;"",$H48&lt;=$R48),"🟠TRAIL決済",IF($H48&lt;=$N48,"🔴損切",IF($W48&gt;=$AX$5,"⏱時間決済",IF($H48&lt;=$F48*(1-$AX$2*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IF($H48&gt;$F48*(1-$AX$2),$N48,CEILING(MIN($N48,IF($Q48="",$N48,$Q48*1.03)),IF($N48&lt;=3000,1,IF($N48&lt;=5000,5,IF($N48&lt;=30000,10,IF($N48&lt;=50000,50,IF($N48&lt;=300000,100,500))))))),IF($H48&lt;$F48*(1+$AX$2),$N48,FLOOR(MAX($N48,IF($P48="",$N48,$P48*0.97)),IF($N48&lt;=3000,1,IF($N48&lt;=5000,5,IF($N48&lt;=30000,10,IF($N48&lt;=50000,50,IF($N48&lt;=300000,100,500))))))))))</f>
      </c>
      <c r="S48" s="586" t="str">
        <f>IF(B48="","",IF(T48&lt;&gt;"","✅売却済",IF(OR(H48="",L48=""),"📌保有中",IF(L48&gt;=0.06,"🟢利確推奨",IF(L48&gt;=0.05,"🟡利確直近",IF(L48&gt;=0.045,"🔵トレーリング検討",IF(L48&gt;-0.03,"📌保有中",IF(L48&gt;-0.04,"⚠️損切注意","🔴損切り"))))))))</f>
        <v>✅売却済</v>
      </c>
      <c r="T48" s="594">
        <v>46240</v>
      </c>
      <c r="U48" s="491">
        <v>2256</v>
      </c>
      <c r="V48" s="701">
        <f>IF(OR(F48="",G48="",U48=""),"",IF(C48="売",(F48-U48)*G48,(U48-F48)*G48))</f>
        <v>-9400</v>
      </c>
      <c r="W48" s="493">
        <f>IF(OR($E48="",$B48=""),"",IF($T48&lt;&gt;"",$T48-$E48,TODAY()-$E48)+1)</f>
        <v>2</v>
      </c>
      <c r="X48" s="489" t="str">
        <f>IF(OR($AH48="",$AH48="保有中"),"",$AH48)</f>
        <v>損切確定</v>
      </c>
      <c r="Y48" s="488">
        <f>IF($B48="","",IF(COUNTIFS($B$4:$B48,$B48,$C$4:$C48,$C48)&gt;1,"⛔重複"&amp;COUNTIFS($B$4:$B48,$B48,$C$4:$C48,$C48)&amp;"回目",""))</f>
      </c>
      <c r="Z48" s="710">
        <v>12</v>
      </c>
      <c r="AB48">
        <f>IF($F48="","",MAX(100,ROUNDDOWN($AX$4/($F48*$AX$2)/100,0)*100))</f>
      </c>
      <c r="AC48">
        <f>IF(OR($F48="",$G48="",$U48=""),"",ROUND($V48-($F48+$U48)*$G48*$AX$6-IF($C48="売",$F48*$G48*$AX$7*$W48/365,0),0))</f>
      </c>
      <c r="AD48" s="608" t="s">
        <v>1322</v>
      </c>
      <c r="AE48" s="624">
        <f>IF($E48="","",WORKDAY($E48,12))</f>
        <v>46255</v>
      </c>
      <c r="AF48" s="626"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0</v>
      </c>
      <c r="AG48" s="626"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46240</v>
      </c>
      <c r="AH48" s="600" t="str">
        <f>IF(OR($B48="",$M48=""),"",IF(AND(N($AF48)=0,N($AG48)=0),IF(AND(ISNUMBER($H48),$H48&gt;0,IF($C48="売",$H48&gt;=$N48,$H48&lt;=$N48)),"損切確定",IF(AND(ISNUMBER($H48),$H48&gt;0,IF($C48="売",$H48&lt;=$M48,$H48&gt;=$M48)),"利益確定",IF($AE48&lt;=TODAY(),"日数制限","保有中"))),IF(N($AG48)=0,"利益確定",IF(N($AF48)=0,"損切確定",IF($AG48&lt;=$AF48,"損切確定","利益確定")))))</f>
        <v>損切確定</v>
      </c>
      <c r="AI48" s="600" t="str" cm="1">
        <f t="array" ref="AI48">IFERROR(INDEX(始値!$E$6:$BT$305,MATCH(TEXT($B48,"0"),TEXT(銘柄管理!$B$6:$B$305,"0"),0),MATCH($AE48,始値!$E$3:$BT$3,0)),"")</f>
        <v/>
      </c>
      <c r="AJ48" s="905">
        <f>IF(OR($V48="",$F48="",$G48=""),"",$V48/($F48*$G48))</f>
        <v>-0.04</v>
      </c>
      <c r="AK48" s="629" t="str">
        <f>IF($V48="","",IF($V48&gt;0,"○勝",IF($V48&lt;0,"●負","△引分")))</f>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IF(B49="","",HYPERLINK("https://kabutan.jp/stock/?code="&amp;B49,"株探"))</f>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BT$3,0)=1,1,MATCH($E49,始値!$E$3:$BT$3,0)+1)),_xlpm.v,INDEX(始値!$C$6:$B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IF(OR(F49="",G49="",H49=""),"",IF(C49="売",(F49-H49)*G49,(H49-F49)*G49))</f>
        <v>5500</v>
      </c>
      <c r="L49" s="706">
        <f>IF(OR(F49="",H49=""),"",IF(C49="売",(F49-H49)/F49,(H49-F49)/F49))</f>
        <v>1.7454776261504285E-2</v>
      </c>
      <c r="M49" s="491">
        <f>IF($F49="","",IF($C49="売",CEILING($F49*IF($C49="売",1-$AX$3,1+$AX$3),IF($F49*IF($C49="売",1-$AX$3,1+$AX$3)&lt;=3000,1,IF($F49*IF($C49="売",1-$AX$3,1+$AX$3)&lt;=5000,5,IF($F49*IF($C49="売",1-$AX$3,1+$AX$3)&lt;=30000,10,IF($F49*IF($C49="売",1-$AX$3,1+$AX$3)&lt;=50000,50,IF($F49*IF($C49="売",1-$AX$3,1+$AX$3)&lt;=300000,100,500)))))),FLOOR($F49*IF($C49="売",1-$AX$3,1+$AX$3),IF($F49*IF($C49="売",1-$AX$3,1+$AX$3)&lt;=3000,1,IF($F49*IF($C49="売",1-$AX$3,1+$AX$3)&lt;=5000,5,IF($F49*IF($C49="売",1-$AX$3,1+$AX$3)&lt;=30000,10,IF($F49*IF($C49="売",1-$AX$3,1+$AX$3)&lt;=50000,50,IF($F49*IF($C49="売",1-$AX$3,1+$AX$3)&lt;=300000,100,500))))))))</f>
      </c>
      <c r="N49" s="491">
        <f>IF($F49="","",IF($C49="売",CEILING($F49*IF($C49="売",1+$AX$2,1-$AX$2),IF($F49*IF($C49="売",1+$AX$2,1-$AX$2)&lt;=3000,1,IF($F49*IF($C49="売",1+$AX$2,1-$AX$2)&lt;=5000,5,IF($F49*IF($C49="売",1+$AX$2,1-$AX$2)&lt;=30000,10,IF($F49*IF($C49="売",1+$AX$2,1-$AX$2)&lt;=50000,50,IF($F49*IF($C49="売",1+$AX$2,1-$AX$2)&lt;=300000,100,500)))))),FLOOR($F49*IF($C49="売",1+$AX$2,1-$AX$2),IF($F49*IF($C49="売",1+$AX$2,1-$AX$2)&lt;=3000,1,IF($F49*IF($C49="売",1+$AX$2,1-$AX$2)&lt;=5000,5,IF($F49*IF($C49="売",1+$AX$2,1-$AX$2)&lt;=30000,10,IF($F49*IF($C49="売",1+$AX$2,1-$AX$2)&lt;=50000,50,IF($F49*IF($C49="売",1+$AX$2,1-$AX$2)&lt;=300000,100,500))))))))</f>
      </c>
      <c r="O49" s="492" t="str">
        <f>IF(OR($B49="",$F49="",$H49=""),"",IF($S49="✅売却済","―決済済―",IF($C49="売",IF($H49&lt;=$M49,"🟢利確",IF(AND($R49&lt;&gt;"",$H49&gt;=$R49),"🟠TRAIL決済",IF($H49&gt;=$N49,"🔴損切",IF($W49&gt;=$AX$5,"⏱時間決済",IF($H49&gt;=$F49*(1+$AX$2*0.7),"⚠️損切接近","保持継続"))))),IF($H49&gt;=$M49,"🟢利確",IF(AND($R49&lt;&gt;"",$H49&lt;=$R49),"🟠TRAIL決済",IF($H49&lt;=$N49,"🔴損切",IF($W49&gt;=$AX$5,"⏱時間決済",IF($H49&lt;=$F49*(1-$AX$2*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IF($H49&gt;$F49*(1-$AX$2),$N49,CEILING(MIN($N49,IF($Q49="",$N49,$Q49*1.03)),IF($N49&lt;=3000,1,IF($N49&lt;=5000,5,IF($N49&lt;=30000,10,IF($N49&lt;=50000,50,IF($N49&lt;=300000,100,500))))))),IF($H49&lt;$F49*(1+$AX$2),$N49,FLOOR(MAX($N49,IF($P49="",$N49,$P49*0.97)),IF($N49&lt;=3000,1,IF($N49&lt;=5000,5,IF($N49&lt;=30000,10,IF($N49&lt;=50000,50,IF($N49&lt;=300000,100,500))))))))))</f>
      </c>
      <c r="S49" s="586" t="str">
        <f>IF(B49="","",IF(T49&lt;&gt;"","✅売却済",IF(OR(H49="",L49=""),"📌保有中",IF(L49&gt;=0.06,"🟢利確推奨",IF(L49&gt;=0.05,"🟡利確直近",IF(L49&gt;=0.045,"🔵トレーリング検討",IF(L49&gt;-0.03,"📌保有中",IF(L49&gt;-0.04,"⚠️損切注意","🔴損切り"))))))))</f>
        <v>📌保有中</v>
      </c>
      <c r="T49" s="594"/>
      <c r="U49" s="491"/>
      <c r="V49" s="701" t="str">
        <f>IF(OR(F49="",G49="",U49=""),"",IF(C49="売",(F49-U49)*G49,(U49-F49)*G49))</f>
        <v/>
      </c>
      <c r="W49" s="493">
        <f>IF(OR($E49="",$B49=""),"",IF($T49&lt;&gt;"",$T49-$E49,TODAY()-$E49)+1)</f>
        <v>2</v>
      </c>
      <c r="X49" s="489" t="str">
        <f>IF(OR($AH49="",$AH49="保有中"),"",$AH49)</f>
        <v/>
      </c>
      <c r="Y49" s="488">
        <f>IF($B49="","",IF(COUNTIFS($B$4:$B49,$B49,$C$4:$C49,$C49)&gt;1,"⛔重複"&amp;COUNTIFS($B$4:$B49,$B49,$C$4:$C49,$C49)&amp;"回目",""))</f>
      </c>
      <c r="Z49" s="710">
        <v>17</v>
      </c>
      <c r="AB49">
        <f>IF($F49="","",MAX(100,ROUNDDOWN($AX$4/($F49*$AX$2)/100,0)*100))</f>
      </c>
      <c r="AC49">
        <f>IF(OR($F49="",$G49="",$U49=""),"",ROUND($V49-($F49+$U49)*$G49*$AX$6-IF($C49="売",$F49*$G49*$AX$7*$W49/365,0),0))</f>
      </c>
      <c r="AD49" s="608" t="s">
        <v>1323</v>
      </c>
      <c r="AE49" s="624">
        <f>IF($E49="","",WORKDAY($E49,12))</f>
        <v>46255</v>
      </c>
      <c r="AF49" s="626"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0</v>
      </c>
      <c r="AG49" s="626"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0</v>
      </c>
      <c r="AH49" s="600" t="str">
        <f>IF(OR($B49="",$M49=""),"",IF(AND(N($AF49)=0,N($AG49)=0),IF(AND(ISNUMBER($H49),$H49&gt;0,IF($C49="売",$H49&gt;=$N49,$H49&lt;=$N49)),"損切確定",IF(AND(ISNUMBER($H49),$H49&gt;0,IF($C49="売",$H49&lt;=$M49,$H49&gt;=$M49)),"利益確定",IF($AE49&lt;=TODAY(),"日数制限","保有中"))),IF(N($AG49)=0,"利益確定",IF(N($AF49)=0,"損切確定",IF($AG49&lt;=$AF49,"損切確定","利益確定")))))</f>
        <v>保有中</v>
      </c>
      <c r="AI49" s="600" t="str" cm="1">
        <f t="array" ref="AI49">IFERROR(INDEX(始値!$E$6:$BT$305,MATCH(TEXT($B49,"0"),TEXT(銘柄管理!$B$6:$B$305,"0"),0),MATCH($AE49,始値!$E$3:$BT$3,0)),"")</f>
        <v/>
      </c>
      <c r="AJ49" s="905" t="str">
        <f>IF(OR($V49="",$F49="",$G49=""),"",$V49/($F49*$G49))</f>
        <v/>
      </c>
      <c r="AK49" s="629" t="str">
        <f>IF($V49="","",IF($V49&gt;0,"○勝",IF($V49&lt;0,"●負","△引分")))</f>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IF(B50="","",HYPERLINK("https://kabutan.jp/stock/?code="&amp;B50,"株探"))</f>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BT$3,0)=1,1,MATCH($E50,始値!$E$3:$BT$3,0)+1)),_xlpm.v,INDEX(始値!$C$6:$B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IF(OR(F50="",G50="",H50=""),"",IF(C50="売",(F50-H50)*G50,(H50-F50)*G50))</f>
        <v>-5200</v>
      </c>
      <c r="L50" s="706">
        <f>IF(OR(F50="",H50=""),"",IF(C50="売",(F50-H50)/F50,(H50-F50)/F50))</f>
        <v>-1.2839506172839505E-2</v>
      </c>
      <c r="M50" s="491">
        <f>IF($F50="","",IF($C50="売",CEILING($F50*IF($C50="売",1-$AX$3,1+$AX$3),IF($F50*IF($C50="売",1-$AX$3,1+$AX$3)&lt;=3000,1,IF($F50*IF($C50="売",1-$AX$3,1+$AX$3)&lt;=5000,5,IF($F50*IF($C50="売",1-$AX$3,1+$AX$3)&lt;=30000,10,IF($F50*IF($C50="売",1-$AX$3,1+$AX$3)&lt;=50000,50,IF($F50*IF($C50="売",1-$AX$3,1+$AX$3)&lt;=300000,100,500)))))),FLOOR($F50*IF($C50="売",1-$AX$3,1+$AX$3),IF($F50*IF($C50="売",1-$AX$3,1+$AX$3)&lt;=3000,1,IF($F50*IF($C50="売",1-$AX$3,1+$AX$3)&lt;=5000,5,IF($F50*IF($C50="売",1-$AX$3,1+$AX$3)&lt;=30000,10,IF($F50*IF($C50="売",1-$AX$3,1+$AX$3)&lt;=50000,50,IF($F50*IF($C50="売",1-$AX$3,1+$AX$3)&lt;=300000,100,500))))))))</f>
      </c>
      <c r="N50" s="491">
        <f>IF($F50="","",IF($C50="売",CEILING($F50*IF($C50="売",1+$AX$2,1-$AX$2),IF($F50*IF($C50="売",1+$AX$2,1-$AX$2)&lt;=3000,1,IF($F50*IF($C50="売",1+$AX$2,1-$AX$2)&lt;=5000,5,IF($F50*IF($C50="売",1+$AX$2,1-$AX$2)&lt;=30000,10,IF($F50*IF($C50="売",1+$AX$2,1-$AX$2)&lt;=50000,50,IF($F50*IF($C50="売",1+$AX$2,1-$AX$2)&lt;=300000,100,500)))))),FLOOR($F50*IF($C50="売",1+$AX$2,1-$AX$2),IF($F50*IF($C50="売",1+$AX$2,1-$AX$2)&lt;=3000,1,IF($F50*IF($C50="売",1+$AX$2,1-$AX$2)&lt;=5000,5,IF($F50*IF($C50="売",1+$AX$2,1-$AX$2)&lt;=30000,10,IF($F50*IF($C50="売",1+$AX$2,1-$AX$2)&lt;=50000,50,IF($F50*IF($C50="売",1+$AX$2,1-$AX$2)&lt;=300000,100,500))))))))</f>
      </c>
      <c r="O50" s="492" t="str">
        <f>IF(OR($B50="",$F50="",$H50=""),"",IF($S50="✅売却済","―決済済―",IF($C50="売",IF($H50&lt;=$M50,"🟢利確",IF(AND($R50&lt;&gt;"",$H50&gt;=$R50),"🟠TRAIL決済",IF($H50&gt;=$N50,"🔴損切",IF($W50&gt;=$AX$5,"⏱時間決済",IF($H50&gt;=$F50*(1+$AX$2*0.7),"⚠️損切接近","保持継続"))))),IF($H50&gt;=$M50,"🟢利確",IF(AND($R50&lt;&gt;"",$H50&lt;=$R50),"🟠TRAIL決済",IF($H50&lt;=$N50,"🔴損切",IF($W50&gt;=$AX$5,"⏱時間決済",IF($H50&lt;=$F50*(1-$AX$2*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IF($H50&gt;$F50*(1-$AX$2),$N50,CEILING(MIN($N50,IF($Q50="",$N50,$Q50*1.03)),IF($N50&lt;=3000,1,IF($N50&lt;=5000,5,IF($N50&lt;=30000,10,IF($N50&lt;=50000,50,IF($N50&lt;=300000,100,500))))))),IF($H50&lt;$F50*(1+$AX$2),$N50,FLOOR(MAX($N50,IF($P50="",$N50,$P50*0.97)),IF($N50&lt;=3000,1,IF($N50&lt;=5000,5,IF($N50&lt;=30000,10,IF($N50&lt;=50000,50,IF($N50&lt;=300000,100,500))))))))))</f>
      </c>
      <c r="S50" s="586" t="str">
        <f>IF(B50="","",IF(T50&lt;&gt;"","✅売却済",IF(OR(H50="",L50=""),"📌保有中",IF(L50&gt;=0.06,"🟢利確推奨",IF(L50&gt;=0.05,"🟡利確直近",IF(L50&gt;=0.045,"🔵トレーリング検討",IF(L50&gt;-0.03,"📌保有中",IF(L50&gt;-0.04,"⚠️損切注意","🔴損切り"))))))))</f>
        <v>📌保有中</v>
      </c>
      <c r="T50" s="594"/>
      <c r="U50" s="491"/>
      <c r="V50" s="701" t="str">
        <f>IF(OR(F50="",G50="",U50=""),"",IF(C50="売",(F50-U50)*G50,(U50-F50)*G50))</f>
        <v/>
      </c>
      <c r="W50" s="493">
        <f>IF(OR($E50="",$B50=""),"",IF($T50&lt;&gt;"",$T50-$E50,TODAY()-$E50)+1)</f>
        <v>2</v>
      </c>
      <c r="X50" s="489" t="str">
        <f>IF(OR($AH50="",$AH50="保有中"),"",$AH50)</f>
        <v/>
      </c>
      <c r="Y50" s="488">
        <f>IF($B50="","",IF(COUNTIFS($B$4:$B50,$B50,$C$4:$C50,$C50)&gt;1,"⛔重複"&amp;COUNTIFS($B$4:$B50,$B50,$C$4:$C50,$C50)&amp;"回目",""))</f>
      </c>
      <c r="Z50" s="710">
        <v>21</v>
      </c>
      <c r="AB50">
        <f>IF($F50="","",MAX(100,ROUNDDOWN($AX$4/($F50*$AX$2)/100,0)*100))</f>
      </c>
      <c r="AC50">
        <f>IF(OR($F50="",$G50="",$U50=""),"",ROUND($V50-($F50+$U50)*$G50*$AX$6-IF($C50="売",$F50*$G50*$AX$7*$W50/365,0),0))</f>
      </c>
      <c r="AD50" s="608" t="s">
        <v>1324</v>
      </c>
      <c r="AE50" s="624">
        <f>IF($E50="","",WORKDAY($E50,12))</f>
        <v>46255</v>
      </c>
      <c r="AF50" s="626"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0</v>
      </c>
      <c r="AG50" s="626"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0</v>
      </c>
      <c r="AH50" s="600" t="str">
        <f>IF(OR($B50="",$M50=""),"",IF(AND(N($AF50)=0,N($AG50)=0),IF(AND(ISNUMBER($H50),$H50&gt;0,IF($C50="売",$H50&gt;=$N50,$H50&lt;=$N50)),"損切確定",IF(AND(ISNUMBER($H50),$H50&gt;0,IF($C50="売",$H50&lt;=$M50,$H50&gt;=$M50)),"利益確定",IF($AE50&lt;=TODAY(),"日数制限","保有中"))),IF(N($AG50)=0,"利益確定",IF(N($AF50)=0,"損切確定",IF($AG50&lt;=$AF50,"損切確定","利益確定")))))</f>
        <v>保有中</v>
      </c>
      <c r="AI50" s="600" t="str" cm="1">
        <f t="array" ref="AI50">IFERROR(INDEX(始値!$E$6:$BT$305,MATCH(TEXT($B50,"0"),TEXT(銘柄管理!$B$6:$B$305,"0"),0),MATCH($AE50,始値!$E$3:$BT$3,0)),"")</f>
        <v/>
      </c>
      <c r="AJ50" s="905" t="str">
        <f>IF(OR($V50="",$F50="",$G50=""),"",$V50/($F50*$G50))</f>
        <v/>
      </c>
      <c r="AK50" s="629" t="str">
        <f>IF($V50="","",IF($V50&gt;0,"○勝",IF($V50&lt;0,"●負","△引分")))</f>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IF(B51="","",HYPERLINK("https://kabutan.jp/stock/?code="&amp;B51,"株探"))</f>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BT$3,0)=1,1,MATCH($E51,始値!$E$3:$BT$3,0)+1)),_xlpm.v,INDEX(始値!$C$6:$B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IF(OR(F51="",G51="",H51=""),"",IF(C51="売",(F51-H51)*G51,(H51-F51)*G51))</f>
        <v>-7500</v>
      </c>
      <c r="L51" s="706">
        <f>IF(OR(F51="",H51=""),"",IF(C51="売",(F51-H51)/F51,(H51-F51)/F51))</f>
        <v>-1.3132551216949746E-2</v>
      </c>
      <c r="M51" s="491">
        <f>IF($F51="","",IF($C51="売",CEILING($F51*IF($C51="売",1-$AX$3,1+$AX$3),IF($F51*IF($C51="売",1-$AX$3,1+$AX$3)&lt;=3000,1,IF($F51*IF($C51="売",1-$AX$3,1+$AX$3)&lt;=5000,5,IF($F51*IF($C51="売",1-$AX$3,1+$AX$3)&lt;=30000,10,IF($F51*IF($C51="売",1-$AX$3,1+$AX$3)&lt;=50000,50,IF($F51*IF($C51="売",1-$AX$3,1+$AX$3)&lt;=300000,100,500)))))),FLOOR($F51*IF($C51="売",1-$AX$3,1+$AX$3),IF($F51*IF($C51="売",1-$AX$3,1+$AX$3)&lt;=3000,1,IF($F51*IF($C51="売",1-$AX$3,1+$AX$3)&lt;=5000,5,IF($F51*IF($C51="売",1-$AX$3,1+$AX$3)&lt;=30000,10,IF($F51*IF($C51="売",1-$AX$3,1+$AX$3)&lt;=50000,50,IF($F51*IF($C51="売",1-$AX$3,1+$AX$3)&lt;=300000,100,500))))))))</f>
      </c>
      <c r="N51" s="491">
        <f>IF($F51="","",IF($C51="売",CEILING($F51*IF($C51="売",1+$AX$2,1-$AX$2),IF($F51*IF($C51="売",1+$AX$2,1-$AX$2)&lt;=3000,1,IF($F51*IF($C51="売",1+$AX$2,1-$AX$2)&lt;=5000,5,IF($F51*IF($C51="売",1+$AX$2,1-$AX$2)&lt;=30000,10,IF($F51*IF($C51="売",1+$AX$2,1-$AX$2)&lt;=50000,50,IF($F51*IF($C51="売",1+$AX$2,1-$AX$2)&lt;=300000,100,500)))))),FLOOR($F51*IF($C51="売",1+$AX$2,1-$AX$2),IF($F51*IF($C51="売",1+$AX$2,1-$AX$2)&lt;=3000,1,IF($F51*IF($C51="売",1+$AX$2,1-$AX$2)&lt;=5000,5,IF($F51*IF($C51="売",1+$AX$2,1-$AX$2)&lt;=30000,10,IF($F51*IF($C51="売",1+$AX$2,1-$AX$2)&lt;=50000,50,IF($F51*IF($C51="売",1+$AX$2,1-$AX$2)&lt;=300000,100,500))))))))</f>
      </c>
      <c r="O51" s="492" t="str">
        <f>IF(OR($B51="",$F51="",$H51=""),"",IF($S51="✅売却済","―決済済―",IF($C51="売",IF($H51&lt;=$M51,"🟢利確",IF(AND($R51&lt;&gt;"",$H51&gt;=$R51),"🟠TRAIL決済",IF($H51&gt;=$N51,"🔴損切",IF($W51&gt;=$AX$5,"⏱時間決済",IF($H51&gt;=$F51*(1+$AX$2*0.7),"⚠️損切接近","保持継続"))))),IF($H51&gt;=$M51,"🟢利確",IF(AND($R51&lt;&gt;"",$H51&lt;=$R51),"🟠TRAIL決済",IF($H51&lt;=$N51,"🔴損切",IF($W51&gt;=$AX$5,"⏱時間決済",IF($H51&lt;=$F51*(1-$AX$2*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IF($H51&gt;$F51*(1-$AX$2),$N51,CEILING(MIN($N51,IF($Q51="",$N51,$Q51*1.03)),IF($N51&lt;=3000,1,IF($N51&lt;=5000,5,IF($N51&lt;=30000,10,IF($N51&lt;=50000,50,IF($N51&lt;=300000,100,500))))))),IF($H51&lt;$F51*(1+$AX$2),$N51,FLOOR(MAX($N51,IF($P51="",$N51,$P51*0.97)),IF($N51&lt;=3000,1,IF($N51&lt;=5000,5,IF($N51&lt;=30000,10,IF($N51&lt;=50000,50,IF($N51&lt;=300000,100,500))))))))))</f>
      </c>
      <c r="S51" s="586" t="str">
        <f>IF(B51="","",IF(T51&lt;&gt;"","✅売却済",IF(OR(H51="",L51=""),"📌保有中",IF(L51&gt;=0.06,"🟢利確推奨",IF(L51&gt;=0.05,"🟡利確直近",IF(L51&gt;=0.045,"🔵トレーリング検討",IF(L51&gt;-0.03,"📌保有中",IF(L51&gt;-0.04,"⚠️損切注意","🔴損切り"))))))))</f>
        <v>📌保有中</v>
      </c>
      <c r="T51" s="594"/>
      <c r="U51" s="491"/>
      <c r="V51" s="701" t="str">
        <f>IF(OR(F51="",G51="",U51=""),"",IF(C51="売",(F51-U51)*G51,(U51-F51)*G51))</f>
        <v/>
      </c>
      <c r="W51" s="493">
        <f>IF(OR($E51="",$B51=""),"",IF($T51&lt;&gt;"",$T51-$E51,TODAY()-$E51)+1)</f>
        <v>2</v>
      </c>
      <c r="X51" s="489" t="str">
        <f>IF(OR($AH51="",$AH51="保有中"),"",$AH51)</f>
        <v/>
      </c>
      <c r="Y51" s="488">
        <f>IF($B51="","",IF(COUNTIFS($B$4:$B51,$B51,$C$4:$C51,$C51)&gt;1,"⛔重複"&amp;COUNTIFS($B$4:$B51,$B51,$C$4:$C51,$C51)&amp;"回目",""))</f>
      </c>
      <c r="Z51" s="710">
        <v>14</v>
      </c>
      <c r="AB51">
        <f>IF($F51="","",MAX(100,ROUNDDOWN($AX$4/($F51*$AX$2)/100,0)*100))</f>
      </c>
      <c r="AC51">
        <f>IF(OR($F51="",$G51="",$U51=""),"",ROUND($V51-($F51+$U51)*$G51*$AX$6-IF($C51="売",$F51*$G51*$AX$7*$W51/365,0),0))</f>
      </c>
      <c r="AD51" s="608" t="s">
        <v>1325</v>
      </c>
      <c r="AE51" s="624">
        <f>IF($E51="","",WORKDAY($E51,12))</f>
        <v>46255</v>
      </c>
      <c r="AF51" s="626"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0</v>
      </c>
      <c r="AG51" s="626"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0</v>
      </c>
      <c r="AH51" s="600" t="str">
        <f>IF(OR($B51="",$M51=""),"",IF(AND(N($AF51)=0,N($AG51)=0),IF(AND(ISNUMBER($H51),$H51&gt;0,IF($C51="売",$H51&gt;=$N51,$H51&lt;=$N51)),"損切確定",IF(AND(ISNUMBER($H51),$H51&gt;0,IF($C51="売",$H51&lt;=$M51,$H51&gt;=$M51)),"利益確定",IF($AE51&lt;=TODAY(),"日数制限","保有中"))),IF(N($AG51)=0,"利益確定",IF(N($AF51)=0,"損切確定",IF($AG51&lt;=$AF51,"損切確定","利益確定")))))</f>
        <v>保有中</v>
      </c>
      <c r="AI51" s="600" t="str" cm="1">
        <f t="array" ref="AI51">IFERROR(INDEX(始値!$E$6:$BT$305,MATCH(TEXT($B51,"0"),TEXT(銘柄管理!$B$6:$B$305,"0"),0),MATCH($AE51,始値!$E$3:$BT$3,0)),"")</f>
        <v/>
      </c>
      <c r="AJ51" s="905" t="str">
        <f>IF(OR($V51="",$F51="",$G51=""),"",$V51/($F51*$G51))</f>
        <v/>
      </c>
      <c r="AK51" s="629" t="str">
        <f>IF($V51="","",IF($V51&gt;0,"○勝",IF($V51&lt;0,"●負","△引分")))</f>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IF(B52="","",HYPERLINK("https://kabutan.jp/stock/?code="&amp;B52,"株探"))</f>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BT$3,0)=1,1,MATCH($E52,始値!$E$3:$BT$3,0)+1)),_xlpm.v,INDEX(始値!$C$6:$B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IF(OR(F52="",G52="",H52=""),"",IF(C52="売",(F52-H52)*G52,(H52-F52)*G52))</f>
        <v>900</v>
      </c>
      <c r="L52" s="706">
        <f>IF(OR(F52="",H52=""),"",IF(C52="売",(F52-H52)/F52,(H52-F52)/F52))</f>
        <v>9.6359743040685224E-3</v>
      </c>
      <c r="M52" s="491">
        <f>IF($F52="","",IF($C52="売",CEILING($F52*IF($C52="売",1-$AX$3,1+$AX$3),IF($F52*IF($C52="売",1-$AX$3,1+$AX$3)&lt;=3000,1,IF($F52*IF($C52="売",1-$AX$3,1+$AX$3)&lt;=5000,5,IF($F52*IF($C52="売",1-$AX$3,1+$AX$3)&lt;=30000,10,IF($F52*IF($C52="売",1-$AX$3,1+$AX$3)&lt;=50000,50,IF($F52*IF($C52="売",1-$AX$3,1+$AX$3)&lt;=300000,100,500)))))),FLOOR($F52*IF($C52="売",1-$AX$3,1+$AX$3),IF($F52*IF($C52="売",1-$AX$3,1+$AX$3)&lt;=3000,1,IF($F52*IF($C52="売",1-$AX$3,1+$AX$3)&lt;=5000,5,IF($F52*IF($C52="売",1-$AX$3,1+$AX$3)&lt;=30000,10,IF($F52*IF($C52="売",1-$AX$3,1+$AX$3)&lt;=50000,50,IF($F52*IF($C52="売",1-$AX$3,1+$AX$3)&lt;=300000,100,500))))))))</f>
      </c>
      <c r="N52" s="491">
        <f>IF($F52="","",IF($C52="売",CEILING($F52*IF($C52="売",1+$AX$2,1-$AX$2),IF($F52*IF($C52="売",1+$AX$2,1-$AX$2)&lt;=3000,1,IF($F52*IF($C52="売",1+$AX$2,1-$AX$2)&lt;=5000,5,IF($F52*IF($C52="売",1+$AX$2,1-$AX$2)&lt;=30000,10,IF($F52*IF($C52="売",1+$AX$2,1-$AX$2)&lt;=50000,50,IF($F52*IF($C52="売",1+$AX$2,1-$AX$2)&lt;=300000,100,500)))))),FLOOR($F52*IF($C52="売",1+$AX$2,1-$AX$2),IF($F52*IF($C52="売",1+$AX$2,1-$AX$2)&lt;=3000,1,IF($F52*IF($C52="売",1+$AX$2,1-$AX$2)&lt;=5000,5,IF($F52*IF($C52="売",1+$AX$2,1-$AX$2)&lt;=30000,10,IF($F52*IF($C52="売",1+$AX$2,1-$AX$2)&lt;=50000,50,IF($F52*IF($C52="売",1+$AX$2,1-$AX$2)&lt;=300000,100,500))))))))</f>
      </c>
      <c r="O52" s="492" t="str">
        <f>IF(OR($B52="",$F52="",$H52=""),"",IF($S52="✅売却済","―決済済―",IF($C52="売",IF($H52&lt;=$M52,"🟢利確",IF(AND($R52&lt;&gt;"",$H52&gt;=$R52),"🟠TRAIL決済",IF($H52&gt;=$N52,"🔴損切",IF($W52&gt;=$AX$5,"⏱時間決済",IF($H52&gt;=$F52*(1+$AX$2*0.7),"⚠️損切接近","保持継続"))))),IF($H52&gt;=$M52,"🟢利確",IF(AND($R52&lt;&gt;"",$H52&lt;=$R52),"🟠TRAIL決済",IF($H52&lt;=$N52,"🔴損切",IF($W52&gt;=$AX$5,"⏱時間決済",IF($H52&lt;=$F52*(1-$AX$2*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IF($H52&gt;$F52*(1-$AX$2),$N52,CEILING(MIN($N52,IF($Q52="",$N52,$Q52*1.03)),IF($N52&lt;=3000,1,IF($N52&lt;=5000,5,IF($N52&lt;=30000,10,IF($N52&lt;=50000,50,IF($N52&lt;=300000,100,500))))))),IF($H52&lt;$F52*(1+$AX$2),$N52,FLOOR(MAX($N52,IF($P52="",$N52,$P52*0.97)),IF($N52&lt;=3000,1,IF($N52&lt;=5000,5,IF($N52&lt;=30000,10,IF($N52&lt;=50000,50,IF($N52&lt;=300000,100,500))))))))))</f>
      </c>
      <c r="S52" s="586" t="str">
        <f>IF(B52="","",IF(T52&lt;&gt;"","✅売却済",IF(OR(H52="",L52=""),"📌保有中",IF(L52&gt;=0.06,"🟢利確推奨",IF(L52&gt;=0.05,"🟡利確直近",IF(L52&gt;=0.045,"🔵トレーリング検討",IF(L52&gt;-0.03,"📌保有中",IF(L52&gt;-0.04,"⚠️損切注意","🔴損切り"))))))))</f>
        <v>📌保有中</v>
      </c>
      <c r="T52" s="594"/>
      <c r="U52" s="491"/>
      <c r="V52" s="701" t="str">
        <f>IF(OR(F52="",G52="",U52=""),"",IF(C52="売",(F52-U52)*G52,(U52-F52)*G52))</f>
        <v/>
      </c>
      <c r="W52" s="493">
        <f>IF(OR($E52="",$B52=""),"",IF($T52&lt;&gt;"",$T52-$E52,TODAY()-$E52)+1)</f>
        <v>2</v>
      </c>
      <c r="X52" s="489" t="str">
        <f>IF(OR($AH52="",$AH52="保有中"),"",$AH52)</f>
        <v/>
      </c>
      <c r="Y52" s="488">
        <f>IF($B52="","",IF(COUNTIFS($B$4:$B52,$B52,$C$4:$C52,$C52)&gt;1,"⛔重複"&amp;COUNTIFS($B$4:$B52,$B52,$C$4:$C52,$C52)&amp;"回目",""))</f>
      </c>
      <c r="Z52" s="710">
        <v>12</v>
      </c>
      <c r="AB52">
        <f>IF($F52="","",MAX(100,ROUNDDOWN($AX$4/($F52*$AX$2)/100,0)*100))</f>
      </c>
      <c r="AC52">
        <f>IF(OR($F52="",$G52="",$U52=""),"",ROUND($V52-($F52+$U52)*$G52*$AX$6-IF($C52="売",$F52*$G52*$AX$7*$W52/365,0),0))</f>
      </c>
      <c r="AD52" s="608" t="s">
        <v>1325</v>
      </c>
      <c r="AE52" s="624">
        <f>IF($E52="","",WORKDAY($E52,12))</f>
        <v>46255</v>
      </c>
      <c r="AF52" s="626"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0</v>
      </c>
      <c r="AG52" s="626"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0</v>
      </c>
      <c r="AH52" s="600" t="str">
        <f>IF(OR($B52="",$M52=""),"",IF(AND(N($AF52)=0,N($AG52)=0),IF(AND(ISNUMBER($H52),$H52&gt;0,IF($C52="売",$H52&gt;=$N52,$H52&lt;=$N52)),"損切確定",IF(AND(ISNUMBER($H52),$H52&gt;0,IF($C52="売",$H52&lt;=$M52,$H52&gt;=$M52)),"利益確定",IF($AE52&lt;=TODAY(),"日数制限","保有中"))),IF(N($AG52)=0,"利益確定",IF(N($AF52)=0,"損切確定",IF($AG52&lt;=$AF52,"損切確定","利益確定")))))</f>
        <v>保有中</v>
      </c>
      <c r="AI52" s="600" t="str" cm="1">
        <f t="array" ref="AI52">IFERROR(INDEX(始値!$E$6:$BT$305,MATCH(TEXT($B52,"0"),TEXT(銘柄管理!$B$6:$B$305,"0"),0),MATCH($AE52,始値!$E$3:$BT$3,0)),"")</f>
        <v/>
      </c>
      <c r="AJ52" s="905" t="str">
        <f>IF(OR($V52="",$F52="",$G52=""),"",$V52/($F52*$G52))</f>
        <v/>
      </c>
      <c r="AK52" s="629" t="str">
        <f>IF($V52="","",IF($V52&gt;0,"○勝",IF($V52&lt;0,"●負","△引分")))</f>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IF(B53="","",HYPERLINK("https://kabutan.jp/stock/?code="&amp;B53,"株探"))</f>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BT$3,0)=1,1,MATCH($E53,始値!$E$3:$BT$3,0)+1)),_xlpm.v,INDEX(始値!$C$6:$B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IF(OR(F53="",G53="",H53=""),"",IF(C53="売",(F53-H53)*G53,(H53-F53)*G53))</f>
        <v/>
      </c>
      <c r="L53" s="706" t="str">
        <f>IF(OR(F53="",H53=""),"",IF(C53="売",(F53-H53)/F53,(H53-F53)/F53))</f>
        <v/>
      </c>
      <c r="M53" s="491" t="str">
        <f>IF($F53="","",IF($C53="売",CEILING($F53*IF($C53="売",1-$AX$3,1+$AX$3),IF($F53*IF($C53="売",1-$AX$3,1+$AX$3)&lt;=3000,1,IF($F53*IF($C53="売",1-$AX$3,1+$AX$3)&lt;=5000,5,IF($F53*IF($C53="売",1-$AX$3,1+$AX$3)&lt;=30000,10,IF($F53*IF($C53="売",1-$AX$3,1+$AX$3)&lt;=50000,50,IF($F53*IF($C53="売",1-$AX$3,1+$AX$3)&lt;=300000,100,500)))))),FLOOR($F53*IF($C53="売",1-$AX$3,1+$AX$3),IF($F53*IF($C53="売",1-$AX$3,1+$AX$3)&lt;=3000,1,IF($F53*IF($C53="売",1-$AX$3,1+$AX$3)&lt;=5000,5,IF($F53*IF($C53="売",1-$AX$3,1+$AX$3)&lt;=30000,10,IF($F53*IF($C53="売",1-$AX$3,1+$AX$3)&lt;=50000,50,IF($F53*IF($C53="売",1-$AX$3,1+$AX$3)&lt;=300000,100,500))))))))</f>
      </c>
      <c r="N53" s="491" t="str">
        <f>IF($F53="","",IF($C53="売",CEILING($F53*IF($C53="売",1+$AX$2,1-$AX$2),IF($F53*IF($C53="売",1+$AX$2,1-$AX$2)&lt;=3000,1,IF($F53*IF($C53="売",1+$AX$2,1-$AX$2)&lt;=5000,5,IF($F53*IF($C53="売",1+$AX$2,1-$AX$2)&lt;=30000,10,IF($F53*IF($C53="売",1+$AX$2,1-$AX$2)&lt;=50000,50,IF($F53*IF($C53="売",1+$AX$2,1-$AX$2)&lt;=300000,100,500)))))),FLOOR($F53*IF($C53="売",1+$AX$2,1-$AX$2),IF($F53*IF($C53="売",1+$AX$2,1-$AX$2)&lt;=3000,1,IF($F53*IF($C53="売",1+$AX$2,1-$AX$2)&lt;=5000,5,IF($F53*IF($C53="売",1+$AX$2,1-$AX$2)&lt;=30000,10,IF($F53*IF($C53="売",1+$AX$2,1-$AX$2)&lt;=50000,50,IF($F53*IF($C53="売",1+$AX$2,1-$AX$2)&lt;=300000,100,500))))))))</f>
      </c>
      <c r="O53" s="492" t="str">
        <f>IF(OR($B53="",$F53="",$H53=""),"",IF($S53="✅売却済","―決済済―",IF($C53="売",IF($H53&lt;=$M53,"🟢利確",IF(AND($R53&lt;&gt;"",$H53&gt;=$R53),"🟠TRAIL決済",IF($H53&gt;=$N53,"🔴損切",IF($W53&gt;=$AX$5,"⏱時間決済",IF($H53&gt;=$F53*(1+$AX$2*0.7),"⚠️損切接近","保持継続"))))),IF($H53&gt;=$M53,"🟢利確",IF(AND($R53&lt;&gt;"",$H53&lt;=$R53),"🟠TRAIL決済",IF($H53&lt;=$N53,"🔴損切",IF($W53&gt;=$AX$5,"⏱時間決済",IF($H53&lt;=$F53*(1-$AX$2*0.7),"⚠️損切接近","保持継続")))))))</f>
      </c>
      <c r="P53" s="491"/>
      <c r="Q53" s="491"/>
      <c r="R53" s="491" t="str">
        <f>IF(OR($F53="",$H53="",$N53=""),"",IF($S53="✅売却済","",IF($C53="売",IF($H53&gt;$F53*(1-$AX$2),$N53,CEILING(MIN($N53,IF($Q53="",$N53,$Q53*1.03)),IF($N53&lt;=3000,1,IF($N53&lt;=5000,5,IF($N53&lt;=30000,10,IF($N53&lt;=50000,50,IF($N53&lt;=300000,100,500))))))),IF($H53&lt;$F53*(1+$AX$2),$N53,FLOOR(MAX($N53,IF($P53="",$N53,$P53*0.97)),IF($N53&lt;=3000,1,IF($N53&lt;=5000,5,IF($N53&lt;=30000,10,IF($N53&lt;=50000,50,IF($N53&lt;=300000,100,500))))))))))</f>
      </c>
      <c r="S53" s="586" t="str">
        <f>IF(B53="","",IF(T53&lt;&gt;"","✅売却済",IF(OR(H53="",L53=""),"📌保有中",IF(L53&gt;=0.06,"🟢利確推奨",IF(L53&gt;=0.05,"🟡利確直近",IF(L53&gt;=0.045,"🔵トレーリング検討",IF(L53&gt;-0.03,"📌保有中",IF(L53&gt;-0.04,"⚠️損切注意","🔴損切り"))))))))</f>
        <v>📌保有中</v>
      </c>
      <c r="T53" s="594"/>
      <c r="U53" s="491"/>
      <c r="V53" s="701" t="str">
        <f>IF(OR(F53="",G53="",U53=""),"",IF(C53="売",(F53-U53)*G53,(U53-F53)*G53))</f>
        <v/>
      </c>
      <c r="W53" s="493">
        <f>IF(OR($E53="",$B53=""),"",IF($T53&lt;&gt;"",$T53-$E53,TODAY()-$E53)+1)</f>
        <v>0</v>
      </c>
      <c r="X53" s="489" t="str">
        <f>IF(OR($AH53="",$AH53="保有中"),"",$AH53)</f>
        <v/>
      </c>
      <c r="Y53" s="488">
        <f>IF($B53="","",IF(COUNTIFS($B$4:$B53,$B53,$C$4:$C53,$C53)&gt;1,"⛔重複"&amp;COUNTIFS($B$4:$B53,$B53,$C$4:$C53,$C53)&amp;"回目",""))</f>
      </c>
      <c r="Z53" s="710">
        <v>19</v>
      </c>
      <c r="AB53">
        <f>IF($F53="","",MAX(100,ROUNDDOWN($AX$4/($F53*$AX$2)/100,0)*100))</f>
      </c>
      <c r="AC53">
        <f>IF(OR($F53="",$G53="",$U53=""),"",ROUND($V53-($F53+$U53)*$G53*$AX$6-IF($C53="売",$F53*$G53*$AX$7*$W53/365,0),0))</f>
      </c>
      <c r="AD53" s="608" t="s">
        <v>1322</v>
      </c>
      <c r="AE53" s="624">
        <f>IF($E53="","",WORKDAY($E53,12))</f>
        <v>46259</v>
      </c>
      <c r="AF53" s="626"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26"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0" t="str">
        <f>IF(OR($B53="",$M53=""),"",IF(AND(N($AF53)=0,N($AG53)=0),IF(AND(ISNUMBER($H53),$H53&gt;0,IF($C53="売",$H53&gt;=$N53,$H53&lt;=$N53)),"損切確定",IF(AND(ISNUMBER($H53),$H53&gt;0,IF($C53="売",$H53&lt;=$M53,$H53&gt;=$M53)),"利益確定",IF($AE53&lt;=TODAY(),"日数制限","保有中"))),IF(N($AG53)=0,"利益確定",IF(N($AF53)=0,"損切確定",IF($AG53&lt;=$AF53,"損切確定","利益確定")))))</f>
        <v/>
      </c>
      <c r="AI53" s="600" t="str" cm="1">
        <f t="array" ref="AI53">IFERROR(INDEX(始値!$E$6:$BT$305,MATCH(TEXT($B53,"0"),TEXT(銘柄管理!$B$6:$B$305,"0"),0),MATCH($AE53,始値!$E$3:$BT$3,0)),"")</f>
        <v/>
      </c>
      <c r="AJ53" s="905" t="str">
        <f>IF(OR($V53="",$F53="",$G53=""),"",$V53/($F53*$G53))</f>
        <v/>
      </c>
      <c r="AK53" s="629" t="str">
        <f>IF($V53="","",IF($V53&gt;0,"○勝",IF($V53&lt;0,"●負","△引分")))</f>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IF(B54="","",HYPERLINK("https://kabutan.jp/stock/?code="&amp;B54,"株探"))</f>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BT$3,0)=1,1,MATCH($E54,始値!$E$3:$BT$3,0)+1)),_xlpm.v,INDEX(始値!$C$6:$B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IF(OR(F54="",G54="",H54=""),"",IF(C54="売",(F54-H54)*G54,(H54-F54)*G54))</f>
        <v/>
      </c>
      <c r="L54" s="706" t="str">
        <f>IF(OR(F54="",H54=""),"",IF(C54="売",(F54-H54)/F54,(H54-F54)/F54))</f>
        <v/>
      </c>
      <c r="M54" s="491" t="str">
        <f>IF($F54="","",IF($C54="売",CEILING($F54*IF($C54="売",1-$AX$3,1+$AX$3),IF($F54*IF($C54="売",1-$AX$3,1+$AX$3)&lt;=3000,1,IF($F54*IF($C54="売",1-$AX$3,1+$AX$3)&lt;=5000,5,IF($F54*IF($C54="売",1-$AX$3,1+$AX$3)&lt;=30000,10,IF($F54*IF($C54="売",1-$AX$3,1+$AX$3)&lt;=50000,50,IF($F54*IF($C54="売",1-$AX$3,1+$AX$3)&lt;=300000,100,500)))))),FLOOR($F54*IF($C54="売",1-$AX$3,1+$AX$3),IF($F54*IF($C54="売",1-$AX$3,1+$AX$3)&lt;=3000,1,IF($F54*IF($C54="売",1-$AX$3,1+$AX$3)&lt;=5000,5,IF($F54*IF($C54="売",1-$AX$3,1+$AX$3)&lt;=30000,10,IF($F54*IF($C54="売",1-$AX$3,1+$AX$3)&lt;=50000,50,IF($F54*IF($C54="売",1-$AX$3,1+$AX$3)&lt;=300000,100,500))))))))</f>
      </c>
      <c r="N54" s="491" t="str">
        <f>IF($F54="","",IF($C54="売",CEILING($F54*IF($C54="売",1+$AX$2,1-$AX$2),IF($F54*IF($C54="売",1+$AX$2,1-$AX$2)&lt;=3000,1,IF($F54*IF($C54="売",1+$AX$2,1-$AX$2)&lt;=5000,5,IF($F54*IF($C54="売",1+$AX$2,1-$AX$2)&lt;=30000,10,IF($F54*IF($C54="売",1+$AX$2,1-$AX$2)&lt;=50000,50,IF($F54*IF($C54="売",1+$AX$2,1-$AX$2)&lt;=300000,100,500)))))),FLOOR($F54*IF($C54="売",1+$AX$2,1-$AX$2),IF($F54*IF($C54="売",1+$AX$2,1-$AX$2)&lt;=3000,1,IF($F54*IF($C54="売",1+$AX$2,1-$AX$2)&lt;=5000,5,IF($F54*IF($C54="売",1+$AX$2,1-$AX$2)&lt;=30000,10,IF($F54*IF($C54="売",1+$AX$2,1-$AX$2)&lt;=50000,50,IF($F54*IF($C54="売",1+$AX$2,1-$AX$2)&lt;=300000,100,500))))))))</f>
      </c>
      <c r="O54" s="492" t="str">
        <f>IF(OR($B54="",$F54="",$H54=""),"",IF($S54="✅売却済","―決済済―",IF($C54="売",IF($H54&lt;=$M54,"🟢利確",IF(AND($R54&lt;&gt;"",$H54&gt;=$R54),"🟠TRAIL決済",IF($H54&gt;=$N54,"🔴損切",IF($W54&gt;=$AX$5,"⏱時間決済",IF($H54&gt;=$F54*(1+$AX$2*0.7),"⚠️損切接近","保持継続"))))),IF($H54&gt;=$M54,"🟢利確",IF(AND($R54&lt;&gt;"",$H54&lt;=$R54),"🟠TRAIL決済",IF($H54&lt;=$N54,"🔴損切",IF($W54&gt;=$AX$5,"⏱時間決済",IF($H54&lt;=$F54*(1-$AX$2*0.7),"⚠️損切接近","保持継続")))))))</f>
      </c>
      <c r="P54" s="491"/>
      <c r="Q54" s="491"/>
      <c r="R54" s="491" t="str">
        <f>IF(OR($F54="",$H54="",$N54=""),"",IF($S54="✅売却済","",IF($C54="売",IF($H54&gt;$F54*(1-$AX$2),$N54,CEILING(MIN($N54,IF($Q54="",$N54,$Q54*1.03)),IF($N54&lt;=3000,1,IF($N54&lt;=5000,5,IF($N54&lt;=30000,10,IF($N54&lt;=50000,50,IF($N54&lt;=300000,100,500))))))),IF($H54&lt;$F54*(1+$AX$2),$N54,FLOOR(MAX($N54,IF($P54="",$N54,$P54*0.97)),IF($N54&lt;=3000,1,IF($N54&lt;=5000,5,IF($N54&lt;=30000,10,IF($N54&lt;=50000,50,IF($N54&lt;=300000,100,500))))))))))</f>
      </c>
      <c r="S54" s="586" t="str">
        <f>IF(B54="","",IF(T54&lt;&gt;"","✅売却済",IF(OR(H54="",L54=""),"📌保有中",IF(L54&gt;=0.06,"🟢利確推奨",IF(L54&gt;=0.05,"🟡利確直近",IF(L54&gt;=0.045,"🔵トレーリング検討",IF(L54&gt;-0.03,"📌保有中",IF(L54&gt;-0.04,"⚠️損切注意","🔴損切り"))))))))</f>
        <v>📌保有中</v>
      </c>
      <c r="T54" s="594"/>
      <c r="U54" s="491"/>
      <c r="V54" s="701" t="str">
        <f>IF(OR(F54="",G54="",U54=""),"",IF(C54="売",(F54-U54)*G54,(U54-F54)*G54))</f>
        <v/>
      </c>
      <c r="W54" s="493">
        <f>IF(OR($E54="",$B54=""),"",IF($T54&lt;&gt;"",$T54-$E54,TODAY()-$E54)+1)</f>
        <v>0</v>
      </c>
      <c r="X54" s="489" t="str">
        <f>IF(OR($AH54="",$AH54="保有中"),"",$AH54)</f>
        <v/>
      </c>
      <c r="Y54" s="488">
        <f>IF($B54="","",IF(COUNTIFS($B$4:$B54,$B54,$C$4:$C54,$C54)&gt;1,"⛔重複"&amp;COUNTIFS($B$4:$B54,$B54,$C$4:$C54,$C54)&amp;"回目",""))</f>
      </c>
      <c r="Z54" s="710">
        <v>14</v>
      </c>
      <c r="AB54">
        <f>IF($F54="","",MAX(100,ROUNDDOWN($AX$4/($F54*$AX$2)/100,0)*100))</f>
      </c>
      <c r="AC54">
        <f>IF(OR($F54="",$G54="",$U54=""),"",ROUND($V54-($F54+$U54)*$G54*$AX$6-IF($C54="売",$F54*$G54*$AX$7*$W54/365,0),0))</f>
      </c>
      <c r="AD54" s="608" t="s">
        <v>1322</v>
      </c>
      <c r="AE54" s="624">
        <f>IF($E54="","",WORKDAY($E54,12))</f>
        <v>46259</v>
      </c>
      <c r="AF54" s="626"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26"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0" t="str">
        <f>IF(OR($B54="",$M54=""),"",IF(AND(N($AF54)=0,N($AG54)=0),IF(AND(ISNUMBER($H54),$H54&gt;0,IF($C54="売",$H54&gt;=$N54,$H54&lt;=$N54)),"損切確定",IF(AND(ISNUMBER($H54),$H54&gt;0,IF($C54="売",$H54&lt;=$M54,$H54&gt;=$M54)),"利益確定",IF($AE54&lt;=TODAY(),"日数制限","保有中"))),IF(N($AG54)=0,"利益確定",IF(N($AF54)=0,"損切確定",IF($AG54&lt;=$AF54,"損切確定","利益確定")))))</f>
        <v/>
      </c>
      <c r="AI54" s="600" t="str" cm="1">
        <f t="array" ref="AI54">IFERROR(INDEX(始値!$E$6:$BT$305,MATCH(TEXT($B54,"0"),TEXT(銘柄管理!$B$6:$B$305,"0"),0),MATCH($AE54,始値!$E$3:$BT$3,0)),"")</f>
        <v/>
      </c>
      <c r="AJ54" s="905" t="str">
        <f>IF(OR($V54="",$F54="",$G54=""),"",$V54/($F54*$G54))</f>
        <v/>
      </c>
      <c r="AK54" s="629" t="str">
        <f>IF($V54="","",IF($V54&gt;0,"○勝",IF($V54&lt;0,"●負","△引分")))</f>
        <v/>
      </c>
      <c r="BB54" s="600" t="str">
        <f>IF(N(買抽出v13!$C54)=0,"",N(買抽出v13!$Q54)+N(買抽出v13!$L54)/1000-ROW()/1000000)</f>
        <v/>
      </c>
      <c r="BC54" s="600" t="str">
        <f>IF(N(売抽出v13!$C54)=0,"",N(売抽出v13!$Q54)+IFERROR(VALUE(SUBSTITUTE(売抽出v13!$L54,"倍","")),0)/1000-ROW()/1000000)</f>
        <v/>
      </c>
    </row>
    <row r="55" spans="1:55" ht="35.4" customHeight="1">
      <c r="A55" s="619" t="str">
        <f>IF(B55="","",HYPERLINK("https://kabutan.jp/stock/?code="&amp;B55,"株探"))</f>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BT$3,0)=1,1,MATCH($E55,始値!$E$3:$BT$3,0)+1)),_xlpm.v,INDEX(始値!$C$6:$B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IF(OR(F55="",G55="",H55=""),"",IF(C55="売",(F55-H55)*G55,(H55-F55)*G55))</f>
        <v/>
      </c>
      <c r="L55" s="706" t="str">
        <f>IF(OR(F55="",H55=""),"",IF(C55="売",(F55-H55)/F55,(H55-F55)/F55))</f>
        <v/>
      </c>
      <c r="M55" s="491" t="str">
        <f>IF($F55="","",IF($C55="売",CEILING($F55*IF($C55="売",1-$AX$3,1+$AX$3),IF($F55*IF($C55="売",1-$AX$3,1+$AX$3)&lt;=3000,1,IF($F55*IF($C55="売",1-$AX$3,1+$AX$3)&lt;=5000,5,IF($F55*IF($C55="売",1-$AX$3,1+$AX$3)&lt;=30000,10,IF($F55*IF($C55="売",1-$AX$3,1+$AX$3)&lt;=50000,50,IF($F55*IF($C55="売",1-$AX$3,1+$AX$3)&lt;=300000,100,500)))))),FLOOR($F55*IF($C55="売",1-$AX$3,1+$AX$3),IF($F55*IF($C55="売",1-$AX$3,1+$AX$3)&lt;=3000,1,IF($F55*IF($C55="売",1-$AX$3,1+$AX$3)&lt;=5000,5,IF($F55*IF($C55="売",1-$AX$3,1+$AX$3)&lt;=30000,10,IF($F55*IF($C55="売",1-$AX$3,1+$AX$3)&lt;=50000,50,IF($F55*IF($C55="売",1-$AX$3,1+$AX$3)&lt;=300000,100,500))))))))</f>
      </c>
      <c r="N55" s="491" t="str">
        <f>IF($F55="","",IF($C55="売",CEILING($F55*IF($C55="売",1+$AX$2,1-$AX$2),IF($F55*IF($C55="売",1+$AX$2,1-$AX$2)&lt;=3000,1,IF($F55*IF($C55="売",1+$AX$2,1-$AX$2)&lt;=5000,5,IF($F55*IF($C55="売",1+$AX$2,1-$AX$2)&lt;=30000,10,IF($F55*IF($C55="売",1+$AX$2,1-$AX$2)&lt;=50000,50,IF($F55*IF($C55="売",1+$AX$2,1-$AX$2)&lt;=300000,100,500)))))),FLOOR($F55*IF($C55="売",1+$AX$2,1-$AX$2),IF($F55*IF($C55="売",1+$AX$2,1-$AX$2)&lt;=3000,1,IF($F55*IF($C55="売",1+$AX$2,1-$AX$2)&lt;=5000,5,IF($F55*IF($C55="売",1+$AX$2,1-$AX$2)&lt;=30000,10,IF($F55*IF($C55="売",1+$AX$2,1-$AX$2)&lt;=50000,50,IF($F55*IF($C55="売",1+$AX$2,1-$AX$2)&lt;=300000,100,500))))))))</f>
      </c>
      <c r="O55" s="492" t="str">
        <f>IF(OR($B55="",$F55="",$H55=""),"",IF($S55="✅売却済","―決済済―",IF($C55="売",IF($H55&lt;=$M55,"🟢利確",IF(AND($R55&lt;&gt;"",$H55&gt;=$R55),"🟠TRAIL決済",IF($H55&gt;=$N55,"🔴損切",IF($W55&gt;=$AX$5,"⏱時間決済",IF($H55&gt;=$F55*(1+$AX$2*0.7),"⚠️損切接近","保持継続"))))),IF($H55&gt;=$M55,"🟢利確",IF(AND($R55&lt;&gt;"",$H55&lt;=$R55),"🟠TRAIL決済",IF($H55&lt;=$N55,"🔴損切",IF($W55&gt;=$AX$5,"⏱時間決済",IF($H55&lt;=$F55*(1-$AX$2*0.7),"⚠️損切接近","保持継続")))))))</f>
      </c>
      <c r="P55" s="491"/>
      <c r="Q55" s="491"/>
      <c r="R55" s="491" t="str">
        <f>IF(OR($F55="",$H55="",$N55=""),"",IF($S55="✅売却済","",IF($C55="売",IF($H55&gt;$F55*(1-$AX$2),$N55,CEILING(MIN($N55,IF($Q55="",$N55,$Q55*1.03)),IF($N55&lt;=3000,1,IF($N55&lt;=5000,5,IF($N55&lt;=30000,10,IF($N55&lt;=50000,50,IF($N55&lt;=300000,100,500))))))),IF($H55&lt;$F55*(1+$AX$2),$N55,FLOOR(MAX($N55,IF($P55="",$N55,$P55*0.97)),IF($N55&lt;=3000,1,IF($N55&lt;=5000,5,IF($N55&lt;=30000,10,IF($N55&lt;=50000,50,IF($N55&lt;=300000,100,500))))))))))</f>
      </c>
      <c r="S55" s="586" t="str">
        <f>IF(B55="","",IF(T55&lt;&gt;"","✅売却済",IF(OR(H55="",L55=""),"📌保有中",IF(L55&gt;=0.06,"🟢利確推奨",IF(L55&gt;=0.05,"🟡利確直近",IF(L55&gt;=0.045,"🔵トレーリング検討",IF(L55&gt;-0.03,"📌保有中",IF(L55&gt;-0.04,"⚠️損切注意","🔴損切り"))))))))</f>
        <v>📌保有中</v>
      </c>
      <c r="T55" s="594"/>
      <c r="U55" s="491"/>
      <c r="V55" s="701" t="str">
        <f>IF(OR(F55="",G55="",U55=""),"",IF(C55="売",(F55-U55)*G55,(U55-F55)*G55))</f>
        <v/>
      </c>
      <c r="W55" s="493">
        <f>IF(OR($E55="",$B55=""),"",IF($T55&lt;&gt;"",$T55-$E55,TODAY()-$E55)+1)</f>
        <v>0</v>
      </c>
      <c r="X55" s="489" t="str">
        <f>IF(OR($AH55="",$AH55="保有中"),"",$AH55)</f>
        <v/>
      </c>
      <c r="Y55" s="488">
        <f>IF($B55="","",IF(COUNTIFS($B$4:$B55,$B55,$C$4:$C55,$C55)&gt;1,"⛔重複"&amp;COUNTIFS($B$4:$B55,$B55,$C$4:$C55,$C55)&amp;"回目",""))</f>
      </c>
      <c r="Z55" s="710">
        <v>17</v>
      </c>
      <c r="AB55">
        <f>IF($F55="","",MAX(100,ROUNDDOWN($AX$4/($F55*$AX$2)/100,0)*100))</f>
      </c>
      <c r="AC55">
        <f>IF(OR($F55="",$G55="",$U55=""),"",ROUND($V55-($F55+$U55)*$G55*$AX$6-IF($C55="売",$F55*$G55*$AX$7*$W55/365,0),0))</f>
      </c>
      <c r="AD55" s="608" t="s">
        <v>1323</v>
      </c>
      <c r="AE55" s="624">
        <f>IF($E55="","",WORKDAY($E55,12))</f>
        <v>46259</v>
      </c>
      <c r="AF55" s="626"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26"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0" t="str">
        <f>IF(OR($B55="",$M55=""),"",IF(AND(N($AF55)=0,N($AG55)=0),IF(AND(ISNUMBER($H55),$H55&gt;0,IF($C55="売",$H55&gt;=$N55,$H55&lt;=$N55)),"損切確定",IF(AND(ISNUMBER($H55),$H55&gt;0,IF($C55="売",$H55&lt;=$M55,$H55&gt;=$M55)),"利益確定",IF($AE55&lt;=TODAY(),"日数制限","保有中"))),IF(N($AG55)=0,"利益確定",IF(N($AF55)=0,"損切確定",IF($AG55&lt;=$AF55,"損切確定","利益確定")))))</f>
        <v/>
      </c>
      <c r="AI55" s="600" t="str" cm="1">
        <f t="array" ref="AI55">IFERROR(INDEX(始値!$E$6:$BT$305,MATCH(TEXT($B55,"0"),TEXT(銘柄管理!$B$6:$B$305,"0"),0),MATCH($AE55,始値!$E$3:$BT$3,0)),"")</f>
        <v/>
      </c>
      <c r="AJ55" s="905" t="str">
        <f>IF(OR($V55="",$F55="",$G55=""),"",$V55/($F55*$G55))</f>
        <v/>
      </c>
      <c r="AK55" s="629" t="str">
        <f>IF($V55="","",IF($V55&gt;0,"○勝",IF($V55&lt;0,"●負","△引分")))</f>
        <v/>
      </c>
      <c r="BB55" s="600" t="str">
        <f>IF(N(買抽出v13!$C55)=0,"",N(買抽出v13!$Q55)+N(買抽出v13!$L55)/1000-ROW()/1000000)</f>
        <v/>
      </c>
      <c r="BC55" s="600" t="str">
        <f>IF(N(売抽出v13!$C55)=0,"",N(売抽出v13!$Q55)+IFERROR(VALUE(SUBSTITUTE(売抽出v13!$L55,"倍","")),0)/1000-ROW()/1000000)</f>
        <v/>
      </c>
    </row>
    <row r="56" spans="1:55" ht="35.4" customHeight="1">
      <c r="A56" s="619" t="str">
        <f>IF(B56="","",HYPERLINK("https://kabutan.jp/stock/?code="&amp;B56,"株探"))</f>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BT$3,0)=1,1,MATCH($E56,始値!$E$3:$BT$3,0)+1)),_xlpm.v,INDEX(始値!$C$6:$B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IF(OR(F56="",G56="",H56=""),"",IF(C56="売",(F56-H56)*G56,(H56-F56)*G56))</f>
        <v/>
      </c>
      <c r="L56" s="706" t="str">
        <f>IF(OR(F56="",H56=""),"",IF(C56="売",(F56-H56)/F56,(H56-F56)/F56))</f>
        <v/>
      </c>
      <c r="M56" s="491" t="str">
        <f>IF($F56="","",IF($C56="売",CEILING($F56*IF($C56="売",1-$AX$3,1+$AX$3),IF($F56*IF($C56="売",1-$AX$3,1+$AX$3)&lt;=3000,1,IF($F56*IF($C56="売",1-$AX$3,1+$AX$3)&lt;=5000,5,IF($F56*IF($C56="売",1-$AX$3,1+$AX$3)&lt;=30000,10,IF($F56*IF($C56="売",1-$AX$3,1+$AX$3)&lt;=50000,50,IF($F56*IF($C56="売",1-$AX$3,1+$AX$3)&lt;=300000,100,500)))))),FLOOR($F56*IF($C56="売",1-$AX$3,1+$AX$3),IF($F56*IF($C56="売",1-$AX$3,1+$AX$3)&lt;=3000,1,IF($F56*IF($C56="売",1-$AX$3,1+$AX$3)&lt;=5000,5,IF($F56*IF($C56="売",1-$AX$3,1+$AX$3)&lt;=30000,10,IF($F56*IF($C56="売",1-$AX$3,1+$AX$3)&lt;=50000,50,IF($F56*IF($C56="売",1-$AX$3,1+$AX$3)&lt;=300000,100,500))))))))</f>
      </c>
      <c r="N56" s="491" t="str">
        <f>IF($F56="","",IF($C56="売",CEILING($F56*IF($C56="売",1+$AX$2,1-$AX$2),IF($F56*IF($C56="売",1+$AX$2,1-$AX$2)&lt;=3000,1,IF($F56*IF($C56="売",1+$AX$2,1-$AX$2)&lt;=5000,5,IF($F56*IF($C56="売",1+$AX$2,1-$AX$2)&lt;=30000,10,IF($F56*IF($C56="売",1+$AX$2,1-$AX$2)&lt;=50000,50,IF($F56*IF($C56="売",1+$AX$2,1-$AX$2)&lt;=300000,100,500)))))),FLOOR($F56*IF($C56="売",1+$AX$2,1-$AX$2),IF($F56*IF($C56="売",1+$AX$2,1-$AX$2)&lt;=3000,1,IF($F56*IF($C56="売",1+$AX$2,1-$AX$2)&lt;=5000,5,IF($F56*IF($C56="売",1+$AX$2,1-$AX$2)&lt;=30000,10,IF($F56*IF($C56="売",1+$AX$2,1-$AX$2)&lt;=50000,50,IF($F56*IF($C56="売",1+$AX$2,1-$AX$2)&lt;=300000,100,500))))))))</f>
      </c>
      <c r="O56" s="492" t="str">
        <f>IF(OR($B56="",$F56="",$H56=""),"",IF($S56="✅売却済","―決済済―",IF($C56="売",IF($H56&lt;=$M56,"🟢利確",IF(AND($R56&lt;&gt;"",$H56&gt;=$R56),"🟠TRAIL決済",IF($H56&gt;=$N56,"🔴損切",IF($W56&gt;=$AX$5,"⏱時間決済",IF($H56&gt;=$F56*(1+$AX$2*0.7),"⚠️損切接近","保持継続"))))),IF($H56&gt;=$M56,"🟢利確",IF(AND($R56&lt;&gt;"",$H56&lt;=$R56),"🟠TRAIL決済",IF($H56&lt;=$N56,"🔴損切",IF($W56&gt;=$AX$5,"⏱時間決済",IF($H56&lt;=$F56*(1-$AX$2*0.7),"⚠️損切接近","保持継続")))))))</f>
      </c>
      <c r="P56" s="491"/>
      <c r="Q56" s="491"/>
      <c r="R56" s="491" t="str">
        <f>IF(OR($F56="",$H56="",$N56=""),"",IF($S56="✅売却済","",IF($C56="売",IF($H56&gt;$F56*(1-$AX$2),$N56,CEILING(MIN($N56,IF($Q56="",$N56,$Q56*1.03)),IF($N56&lt;=3000,1,IF($N56&lt;=5000,5,IF($N56&lt;=30000,10,IF($N56&lt;=50000,50,IF($N56&lt;=300000,100,500))))))),IF($H56&lt;$F56*(1+$AX$2),$N56,FLOOR(MAX($N56,IF($P56="",$N56,$P56*0.97)),IF($N56&lt;=3000,1,IF($N56&lt;=5000,5,IF($N56&lt;=30000,10,IF($N56&lt;=50000,50,IF($N56&lt;=300000,100,500))))))))))</f>
      </c>
      <c r="S56" s="586" t="str">
        <f>IF(B56="","",IF(T56&lt;&gt;"","✅売却済",IF(OR(H56="",L56=""),"📌保有中",IF(L56&gt;=0.06,"🟢利確推奨",IF(L56&gt;=0.05,"🟡利確直近",IF(L56&gt;=0.045,"🔵トレーリング検討",IF(L56&gt;-0.03,"📌保有中",IF(L56&gt;-0.04,"⚠️損切注意","🔴損切り"))))))))</f>
        <v>📌保有中</v>
      </c>
      <c r="T56" s="594"/>
      <c r="U56" s="491"/>
      <c r="V56" s="701" t="str">
        <f>IF(OR(F56="",G56="",U56=""),"",IF(C56="売",(F56-U56)*G56,(U56-F56)*G56))</f>
        <v/>
      </c>
      <c r="W56" s="493">
        <f>IF(OR($E56="",$B56=""),"",IF($T56&lt;&gt;"",$T56-$E56,TODAY()-$E56)+1)</f>
        <v>0</v>
      </c>
      <c r="X56" s="489" t="str">
        <f>IF(OR($AH56="",$AH56="保有中"),"",$AH56)</f>
        <v/>
      </c>
      <c r="Y56" s="488">
        <f>IF($B56="","",IF(COUNTIFS($B$4:$B56,$B56,$C$4:$C56,$C56)&gt;1,"⛔重複"&amp;COUNTIFS($B$4:$B56,$B56,$C$4:$C56,$C56)&amp;"回目",""))</f>
      </c>
      <c r="Z56" s="710">
        <v>15</v>
      </c>
      <c r="AB56">
        <f>IF($F56="","",MAX(100,ROUNDDOWN($AX$4/($F56*$AX$2)/100,0)*100))</f>
      </c>
      <c r="AC56">
        <f>IF(OR($F56="",$G56="",$U56=""),"",ROUND($V56-($F56+$U56)*$G56*$AX$6-IF($C56="売",$F56*$G56*$AX$7*$W56/365,0),0))</f>
      </c>
      <c r="AD56" s="608" t="s">
        <v>1323</v>
      </c>
      <c r="AE56" s="624">
        <f>IF($E56="","",WORKDAY($E56,12))</f>
        <v>46259</v>
      </c>
      <c r="AF56" s="626"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26"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0" t="str">
        <f>IF(OR($B56="",$M56=""),"",IF(AND(N($AF56)=0,N($AG56)=0),IF(AND(ISNUMBER($H56),$H56&gt;0,IF($C56="売",$H56&gt;=$N56,$H56&lt;=$N56)),"損切確定",IF(AND(ISNUMBER($H56),$H56&gt;0,IF($C56="売",$H56&lt;=$M56,$H56&gt;=$M56)),"利益確定",IF($AE56&lt;=TODAY(),"日数制限","保有中"))),IF(N($AG56)=0,"利益確定",IF(N($AF56)=0,"損切確定",IF($AG56&lt;=$AF56,"損切確定","利益確定")))))</f>
        <v/>
      </c>
      <c r="AI56" s="600" t="str" cm="1">
        <f t="array" ref="AI56">IFERROR(INDEX(始値!$E$6:$BT$305,MATCH(TEXT($B56,"0"),TEXT(銘柄管理!$B$6:$B$305,"0"),0),MATCH($AE56,始値!$E$3:$BT$3,0)),"")</f>
        <v/>
      </c>
      <c r="AJ56" s="905" t="str">
        <f>IF(OR($V56="",$F56="",$G56=""),"",$V56/($F56*$G56))</f>
        <v/>
      </c>
      <c r="AK56" s="629" t="str">
        <f>IF($V56="","",IF($V56&gt;0,"○勝",IF($V56&lt;0,"●負","△引分")))</f>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IF(B57="","",HYPERLINK("https://kabutan.jp/stock/?code="&amp;B57,"株探"))</f>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BT$3,0)=1,1,MATCH($E57,始値!$E$3:$BT$3,0)+1)),_xlpm.v,INDEX(始値!$C$6:$B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IF(OR(F57="",G57="",H57=""),"",IF(C57="売",(F57-H57)*G57,(H57-F57)*G57))</f>
        <v/>
      </c>
      <c r="L57" s="706" t="str">
        <f>IF(OR(F57="",H57=""),"",IF(C57="売",(F57-H57)/F57,(H57-F57)/F57))</f>
        <v/>
      </c>
      <c r="M57" s="491" t="str">
        <f>IF($F57="","",IF($C57="売",CEILING($F57*IF($C57="売",1-$AX$3,1+$AX$3),IF($F57*IF($C57="売",1-$AX$3,1+$AX$3)&lt;=3000,1,IF($F57*IF($C57="売",1-$AX$3,1+$AX$3)&lt;=5000,5,IF($F57*IF($C57="売",1-$AX$3,1+$AX$3)&lt;=30000,10,IF($F57*IF($C57="売",1-$AX$3,1+$AX$3)&lt;=50000,50,IF($F57*IF($C57="売",1-$AX$3,1+$AX$3)&lt;=300000,100,500)))))),FLOOR($F57*IF($C57="売",1-$AX$3,1+$AX$3),IF($F57*IF($C57="売",1-$AX$3,1+$AX$3)&lt;=3000,1,IF($F57*IF($C57="売",1-$AX$3,1+$AX$3)&lt;=5000,5,IF($F57*IF($C57="売",1-$AX$3,1+$AX$3)&lt;=30000,10,IF($F57*IF($C57="売",1-$AX$3,1+$AX$3)&lt;=50000,50,IF($F57*IF($C57="売",1-$AX$3,1+$AX$3)&lt;=300000,100,500))))))))</f>
      </c>
      <c r="N57" s="491" t="str">
        <f>IF($F57="","",IF($C57="売",CEILING($F57*IF($C57="売",1+$AX$2,1-$AX$2),IF($F57*IF($C57="売",1+$AX$2,1-$AX$2)&lt;=3000,1,IF($F57*IF($C57="売",1+$AX$2,1-$AX$2)&lt;=5000,5,IF($F57*IF($C57="売",1+$AX$2,1-$AX$2)&lt;=30000,10,IF($F57*IF($C57="売",1+$AX$2,1-$AX$2)&lt;=50000,50,IF($F57*IF($C57="売",1+$AX$2,1-$AX$2)&lt;=300000,100,500)))))),FLOOR($F57*IF($C57="売",1+$AX$2,1-$AX$2),IF($F57*IF($C57="売",1+$AX$2,1-$AX$2)&lt;=3000,1,IF($F57*IF($C57="売",1+$AX$2,1-$AX$2)&lt;=5000,5,IF($F57*IF($C57="売",1+$AX$2,1-$AX$2)&lt;=30000,10,IF($F57*IF($C57="売",1+$AX$2,1-$AX$2)&lt;=50000,50,IF($F57*IF($C57="売",1+$AX$2,1-$AX$2)&lt;=300000,100,500))))))))</f>
      </c>
      <c r="O57" s="492" t="str">
        <f>IF(OR($B57="",$F57="",$H57=""),"",IF($S57="✅売却済","―決済済―",IF($C57="売",IF($H57&lt;=$M57,"🟢利確",IF(AND($R57&lt;&gt;"",$H57&gt;=$R57),"🟠TRAIL決済",IF($H57&gt;=$N57,"🔴損切",IF($W57&gt;=$AX$5,"⏱時間決済",IF($H57&gt;=$F57*(1+$AX$2*0.7),"⚠️損切接近","保持継続"))))),IF($H57&gt;=$M57,"🟢利確",IF(AND($R57&lt;&gt;"",$H57&lt;=$R57),"🟠TRAIL決済",IF($H57&lt;=$N57,"🔴損切",IF($W57&gt;=$AX$5,"⏱時間決済",IF($H57&lt;=$F57*(1-$AX$2*0.7),"⚠️損切接近","保持継続")))))))</f>
      </c>
      <c r="P57" s="491"/>
      <c r="Q57" s="491"/>
      <c r="R57" s="491" t="str">
        <f>IF(OR($F57="",$H57="",$N57=""),"",IF($S57="✅売却済","",IF($C57="売",IF($H57&gt;$F57*(1-$AX$2),$N57,CEILING(MIN($N57,IF($Q57="",$N57,$Q57*1.03)),IF($N57&lt;=3000,1,IF($N57&lt;=5000,5,IF($N57&lt;=30000,10,IF($N57&lt;=50000,50,IF($N57&lt;=300000,100,500))))))),IF($H57&lt;$F57*(1+$AX$2),$N57,FLOOR(MAX($N57,IF($P57="",$N57,$P57*0.97)),IF($N57&lt;=3000,1,IF($N57&lt;=5000,5,IF($N57&lt;=30000,10,IF($N57&lt;=50000,50,IF($N57&lt;=300000,100,500))))))))))</f>
      </c>
      <c r="S57" s="586" t="str">
        <f>IF(B57="","",IF(T57&lt;&gt;"","✅売却済",IF(OR(H57="",L57=""),"📌保有中",IF(L57&gt;=0.06,"🟢利確推奨",IF(L57&gt;=0.05,"🟡利確直近",IF(L57&gt;=0.045,"🔵トレーリング検討",IF(L57&gt;-0.03,"📌保有中",IF(L57&gt;-0.04,"⚠️損切注意","🔴損切り"))))))))</f>
        <v>📌保有中</v>
      </c>
      <c r="T57" s="594"/>
      <c r="U57" s="491"/>
      <c r="V57" s="701" t="str">
        <f>IF(OR(F57="",G57="",U57=""),"",IF(C57="売",(F57-U57)*G57,(U57-F57)*G57))</f>
        <v/>
      </c>
      <c r="W57" s="493">
        <f>IF(OR($E57="",$B57=""),"",IF($T57&lt;&gt;"",$T57-$E57,TODAY()-$E57)+1)</f>
        <v>0</v>
      </c>
      <c r="X57" s="489" t="str">
        <f>IF(OR($AH57="",$AH57="保有中"),"",$AH57)</f>
        <v/>
      </c>
      <c r="Y57" s="488">
        <f>IF($B57="","",IF(COUNTIFS($B$4:$B57,$B57,$C$4:$C57,$C57)&gt;1,"⛔重複"&amp;COUNTIFS($B$4:$B57,$B57,$C$4:$C57,$C57)&amp;"回目",""))</f>
      </c>
      <c r="Z57" s="710">
        <v>18</v>
      </c>
      <c r="AB57">
        <f>IF($F57="","",MAX(100,ROUNDDOWN($AX$4/($F57*$AX$2)/100,0)*100))</f>
      </c>
      <c r="AC57">
        <f>IF(OR($F57="",$G57="",$U57=""),"",ROUND($V57-($F57+$U57)*$G57*$AX$6-IF($C57="売",$F57*$G57*$AX$7*$W57/365,0),0))</f>
      </c>
      <c r="AD57" s="608" t="s">
        <v>1324</v>
      </c>
      <c r="AE57" s="624">
        <f>IF($E57="","",WORKDAY($E57,12))</f>
        <v>46259</v>
      </c>
      <c r="AF57" s="626"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26"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0" t="str">
        <f>IF(OR($B57="",$M57=""),"",IF(AND(N($AF57)=0,N($AG57)=0),IF(AND(ISNUMBER($H57),$H57&gt;0,IF($C57="売",$H57&gt;=$N57,$H57&lt;=$N57)),"損切確定",IF(AND(ISNUMBER($H57),$H57&gt;0,IF($C57="売",$H57&lt;=$M57,$H57&gt;=$M57)),"利益確定",IF($AE57&lt;=TODAY(),"日数制限","保有中"))),IF(N($AG57)=0,"利益確定",IF(N($AF57)=0,"損切確定",IF($AG57&lt;=$AF57,"損切確定","利益確定")))))</f>
        <v/>
      </c>
      <c r="AI57" s="600" t="str" cm="1">
        <f t="array" ref="AI57">IFERROR(INDEX(始値!$E$6:$BT$305,MATCH(TEXT($B57,"0"),TEXT(銘柄管理!$B$6:$B$305,"0"),0),MATCH($AE57,始値!$E$3:$BT$3,0)),"")</f>
        <v/>
      </c>
      <c r="AJ57" s="905" t="str">
        <f>IF(OR($V57="",$F57="",$G57=""),"",$V57/($F57*$G57))</f>
        <v/>
      </c>
      <c r="AK57" s="629" t="str">
        <f>IF($V57="","",IF($V57&gt;0,"○勝",IF($V57&lt;0,"●負","△引分")))</f>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IF(B58="","",HYPERLINK("https://kabutan.jp/stock/?code="&amp;B58,"株探"))</f>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BT$3,0)=1,1,MATCH($E58,始値!$E$3:$BT$3,0)+1)),_xlpm.v,INDEX(始値!$C$6:$B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IF(OR(F58="",G58="",H58=""),"",IF(C58="売",(F58-H58)*G58,(H58-F58)*G58))</f>
        <v/>
      </c>
      <c r="L58" s="706" t="str">
        <f>IF(OR(F58="",H58=""),"",IF(C58="売",(F58-H58)/F58,(H58-F58)/F58))</f>
        <v/>
      </c>
      <c r="M58" s="491" t="str">
        <f>IF($F58="","",IF($C58="売",CEILING($F58*IF($C58="売",1-$AX$3,1+$AX$3),IF($F58*IF($C58="売",1-$AX$3,1+$AX$3)&lt;=3000,1,IF($F58*IF($C58="売",1-$AX$3,1+$AX$3)&lt;=5000,5,IF($F58*IF($C58="売",1-$AX$3,1+$AX$3)&lt;=30000,10,IF($F58*IF($C58="売",1-$AX$3,1+$AX$3)&lt;=50000,50,IF($F58*IF($C58="売",1-$AX$3,1+$AX$3)&lt;=300000,100,500)))))),FLOOR($F58*IF($C58="売",1-$AX$3,1+$AX$3),IF($F58*IF($C58="売",1-$AX$3,1+$AX$3)&lt;=3000,1,IF($F58*IF($C58="売",1-$AX$3,1+$AX$3)&lt;=5000,5,IF($F58*IF($C58="売",1-$AX$3,1+$AX$3)&lt;=30000,10,IF($F58*IF($C58="売",1-$AX$3,1+$AX$3)&lt;=50000,50,IF($F58*IF($C58="売",1-$AX$3,1+$AX$3)&lt;=300000,100,500))))))))</f>
      </c>
      <c r="N58" s="491" t="str">
        <f>IF($F58="","",IF($C58="売",CEILING($F58*IF($C58="売",1+$AX$2,1-$AX$2),IF($F58*IF($C58="売",1+$AX$2,1-$AX$2)&lt;=3000,1,IF($F58*IF($C58="売",1+$AX$2,1-$AX$2)&lt;=5000,5,IF($F58*IF($C58="売",1+$AX$2,1-$AX$2)&lt;=30000,10,IF($F58*IF($C58="売",1+$AX$2,1-$AX$2)&lt;=50000,50,IF($F58*IF($C58="売",1+$AX$2,1-$AX$2)&lt;=300000,100,500)))))),FLOOR($F58*IF($C58="売",1+$AX$2,1-$AX$2),IF($F58*IF($C58="売",1+$AX$2,1-$AX$2)&lt;=3000,1,IF($F58*IF($C58="売",1+$AX$2,1-$AX$2)&lt;=5000,5,IF($F58*IF($C58="売",1+$AX$2,1-$AX$2)&lt;=30000,10,IF($F58*IF($C58="売",1+$AX$2,1-$AX$2)&lt;=50000,50,IF($F58*IF($C58="売",1+$AX$2,1-$AX$2)&lt;=300000,100,500))))))))</f>
      </c>
      <c r="O58" s="492" t="str">
        <f>IF(OR($B58="",$F58="",$H58=""),"",IF($S58="✅売却済","―決済済―",IF($C58="売",IF($H58&lt;=$M58,"🟢利確",IF(AND($R58&lt;&gt;"",$H58&gt;=$R58),"🟠TRAIL決済",IF($H58&gt;=$N58,"🔴損切",IF($W58&gt;=$AX$5,"⏱時間決済",IF($H58&gt;=$F58*(1+$AX$2*0.7),"⚠️損切接近","保持継続"))))),IF($H58&gt;=$M58,"🟢利確",IF(AND($R58&lt;&gt;"",$H58&lt;=$R58),"🟠TRAIL決済",IF($H58&lt;=$N58,"🔴損切",IF($W58&gt;=$AX$5,"⏱時間決済",IF($H58&lt;=$F58*(1-$AX$2*0.7),"⚠️損切接近","保持継続")))))))</f>
      </c>
      <c r="P58" s="491"/>
      <c r="Q58" s="491"/>
      <c r="R58" s="491" t="str">
        <f>IF(OR($F58="",$H58="",$N58=""),"",IF($S58="✅売却済","",IF($C58="売",IF($H58&gt;$F58*(1-$AX$2),$N58,CEILING(MIN($N58,IF($Q58="",$N58,$Q58*1.03)),IF($N58&lt;=3000,1,IF($N58&lt;=5000,5,IF($N58&lt;=30000,10,IF($N58&lt;=50000,50,IF($N58&lt;=300000,100,500))))))),IF($H58&lt;$F58*(1+$AX$2),$N58,FLOOR(MAX($N58,IF($P58="",$N58,$P58*0.97)),IF($N58&lt;=3000,1,IF($N58&lt;=5000,5,IF($N58&lt;=30000,10,IF($N58&lt;=50000,50,IF($N58&lt;=300000,100,500))))))))))</f>
      </c>
      <c r="S58" s="586" t="str">
        <f>IF(B58="","",IF(T58&lt;&gt;"","✅売却済",IF(OR(H58="",L58=""),"📌保有中",IF(L58&gt;=0.06,"🟢利確推奨",IF(L58&gt;=0.05,"🟡利確直近",IF(L58&gt;=0.045,"🔵トレーリング検討",IF(L58&gt;-0.03,"📌保有中",IF(L58&gt;-0.04,"⚠️損切注意","🔴損切り"))))))))</f>
        <v>📌保有中</v>
      </c>
      <c r="T58" s="594"/>
      <c r="U58" s="491"/>
      <c r="V58" s="701" t="str">
        <f>IF(OR(F58="",G58="",U58=""),"",IF(C58="売",(F58-U58)*G58,(U58-F58)*G58))</f>
        <v/>
      </c>
      <c r="W58" s="493">
        <f>IF(OR($E58="",$B58=""),"",IF($T58&lt;&gt;"",$T58-$E58,TODAY()-$E58)+1)</f>
        <v>0</v>
      </c>
      <c r="X58" s="489" t="str">
        <f>IF(OR($AH58="",$AH58="保有中"),"",$AH58)</f>
        <v/>
      </c>
      <c r="Y58" s="488">
        <f>IF($B58="","",IF(COUNTIFS($B$4:$B58,$B58,$C$4:$C58,$C58)&gt;1,"⛔重複"&amp;COUNTIFS($B$4:$B58,$B58,$C$4:$C58,$C58)&amp;"回目",""))</f>
      </c>
      <c r="Z58" s="710">
        <v>13</v>
      </c>
      <c r="AB58">
        <f>IF($F58="","",MAX(100,ROUNDDOWN($AX$4/($F58*$AX$2)/100,0)*100))</f>
      </c>
      <c r="AC58">
        <f>IF(OR($F58="",$G58="",$U58=""),"",ROUND($V58-($F58+$U58)*$G58*$AX$6-IF($C58="売",$F58*$G58*$AX$7*$W58/365,0),0))</f>
      </c>
      <c r="AD58" s="608" t="s">
        <v>1325</v>
      </c>
      <c r="AE58" s="624">
        <f>IF($E58="","",WORKDAY($E58,12))</f>
        <v>46259</v>
      </c>
      <c r="AF58" s="626"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26"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0" t="str">
        <f>IF(OR($B58="",$M58=""),"",IF(AND(N($AF58)=0,N($AG58)=0),IF(AND(ISNUMBER($H58),$H58&gt;0,IF($C58="売",$H58&gt;=$N58,$H58&lt;=$N58)),"損切確定",IF(AND(ISNUMBER($H58),$H58&gt;0,IF($C58="売",$H58&lt;=$M58,$H58&gt;=$M58)),"利益確定",IF($AE58&lt;=TODAY(),"日数制限","保有中"))),IF(N($AG58)=0,"利益確定",IF(N($AF58)=0,"損切確定",IF($AG58&lt;=$AF58,"損切確定","利益確定")))))</f>
        <v/>
      </c>
      <c r="AI58" s="600" t="str" cm="1">
        <f t="array" ref="AI58">IFERROR(INDEX(始値!$E$6:$BT$305,MATCH(TEXT($B58,"0"),TEXT(銘柄管理!$B$6:$B$305,"0"),0),MATCH($AE58,始値!$E$3:$BT$3,0)),"")</f>
        <v/>
      </c>
      <c r="AJ58" s="905" t="str">
        <f>IF(OR($V58="",$F58="",$G58=""),"",$V58/($F58*$G58))</f>
        <v/>
      </c>
      <c r="AK58" s="629" t="str">
        <f>IF($V58="","",IF($V58&gt;0,"○勝",IF($V58&lt;0,"●負","△引分")))</f>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IF(B59="","",HYPERLINK("https://kabutan.jp/stock/?code="&amp;B59,"株探"))</f>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BT$3,0)=1,1,MATCH($E59,始値!$E$3:$BT$3,0)+1)),_xlpm.v,INDEX(始値!$C$6:$B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IF(OR(F59="",G59="",H59=""),"",IF(C59="売",(F59-H59)*G59,(H59-F59)*G59))</f>
        <v/>
      </c>
      <c r="L59" s="706" t="str">
        <f>IF(OR(F59="",H59=""),"",IF(C59="売",(F59-H59)/F59,(H59-F59)/F59))</f>
        <v/>
      </c>
      <c r="M59" s="491" t="str">
        <f>IF($F59="","",IF($C59="売",CEILING($F59*IF($C59="売",1-$AX$3,1+$AX$3),IF($F59*IF($C59="売",1-$AX$3,1+$AX$3)&lt;=3000,1,IF($F59*IF($C59="売",1-$AX$3,1+$AX$3)&lt;=5000,5,IF($F59*IF($C59="売",1-$AX$3,1+$AX$3)&lt;=30000,10,IF($F59*IF($C59="売",1-$AX$3,1+$AX$3)&lt;=50000,50,IF($F59*IF($C59="売",1-$AX$3,1+$AX$3)&lt;=300000,100,500)))))),FLOOR($F59*IF($C59="売",1-$AX$3,1+$AX$3),IF($F59*IF($C59="売",1-$AX$3,1+$AX$3)&lt;=3000,1,IF($F59*IF($C59="売",1-$AX$3,1+$AX$3)&lt;=5000,5,IF($F59*IF($C59="売",1-$AX$3,1+$AX$3)&lt;=30000,10,IF($F59*IF($C59="売",1-$AX$3,1+$AX$3)&lt;=50000,50,IF($F59*IF($C59="売",1-$AX$3,1+$AX$3)&lt;=300000,100,500))))))))</f>
      </c>
      <c r="N59" s="491" t="str">
        <f>IF($F59="","",IF($C59="売",CEILING($F59*IF($C59="売",1+$AX$2,1-$AX$2),IF($F59*IF($C59="売",1+$AX$2,1-$AX$2)&lt;=3000,1,IF($F59*IF($C59="売",1+$AX$2,1-$AX$2)&lt;=5000,5,IF($F59*IF($C59="売",1+$AX$2,1-$AX$2)&lt;=30000,10,IF($F59*IF($C59="売",1+$AX$2,1-$AX$2)&lt;=50000,50,IF($F59*IF($C59="売",1+$AX$2,1-$AX$2)&lt;=300000,100,500)))))),FLOOR($F59*IF($C59="売",1+$AX$2,1-$AX$2),IF($F59*IF($C59="売",1+$AX$2,1-$AX$2)&lt;=3000,1,IF($F59*IF($C59="売",1+$AX$2,1-$AX$2)&lt;=5000,5,IF($F59*IF($C59="売",1+$AX$2,1-$AX$2)&lt;=30000,10,IF($F59*IF($C59="売",1+$AX$2,1-$AX$2)&lt;=50000,50,IF($F59*IF($C59="売",1+$AX$2,1-$AX$2)&lt;=300000,100,500))))))))</f>
      </c>
      <c r="O59" s="492" t="str">
        <f>IF(OR($B59="",$F59="",$H59=""),"",IF($S59="✅売却済","―決済済―",IF($C59="売",IF($H59&lt;=$M59,"🟢利確",IF(AND($R59&lt;&gt;"",$H59&gt;=$R59),"🟠TRAIL決済",IF($H59&gt;=$N59,"🔴損切",IF($W59&gt;=$AX$5,"⏱時間決済",IF($H59&gt;=$F59*(1+$AX$2*0.7),"⚠️損切接近","保持継続"))))),IF($H59&gt;=$M59,"🟢利確",IF(AND($R59&lt;&gt;"",$H59&lt;=$R59),"🟠TRAIL決済",IF($H59&lt;=$N59,"🔴損切",IF($W59&gt;=$AX$5,"⏱時間決済",IF($H59&lt;=$F59*(1-$AX$2*0.7),"⚠️損切接近","保持継続")))))))</f>
      </c>
      <c r="P59" s="491"/>
      <c r="Q59" s="491"/>
      <c r="R59" s="491" t="str">
        <f>IF(OR($F59="",$H59="",$N59=""),"",IF($S59="✅売却済","",IF($C59="売",IF($H59&gt;$F59*(1-$AX$2),$N59,CEILING(MIN($N59,IF($Q59="",$N59,$Q59*1.03)),IF($N59&lt;=3000,1,IF($N59&lt;=5000,5,IF($N59&lt;=30000,10,IF($N59&lt;=50000,50,IF($N59&lt;=300000,100,500))))))),IF($H59&lt;$F59*(1+$AX$2),$N59,FLOOR(MAX($N59,IF($P59="",$N59,$P59*0.97)),IF($N59&lt;=3000,1,IF($N59&lt;=5000,5,IF($N59&lt;=30000,10,IF($N59&lt;=50000,50,IF($N59&lt;=300000,100,500))))))))))</f>
      </c>
      <c r="S59" s="586" t="str">
        <f>IF(B59="","",IF(T59&lt;&gt;"","✅売却済",IF(OR(H59="",L59=""),"📌保有中",IF(L59&gt;=0.06,"🟢利確推奨",IF(L59&gt;=0.05,"🟡利確直近",IF(L59&gt;=0.045,"🔵トレーリング検討",IF(L59&gt;-0.03,"📌保有中",IF(L59&gt;-0.04,"⚠️損切注意","🔴損切り"))))))))</f>
        <v/>
      </c>
      <c r="T59" s="594"/>
      <c r="U59" s="491"/>
      <c r="V59" s="701" t="str">
        <f>IF(OR(F59="",G59="",U59=""),"",IF(C59="売",(F59-U59)*G59,(U59-F59)*G59))</f>
        <v/>
      </c>
      <c r="W59" s="493" t="str">
        <f>IF(OR($E59="",$B59=""),"",IF($T59&lt;&gt;"",$T59-$E59,TODAY()-$E59)+1)</f>
        <v/>
      </c>
      <c r="X59" s="489" t="str">
        <f>IF(OR($AH59="",$AH59="保有中"),"",$AH59)</f>
        <v/>
      </c>
      <c r="Y59" s="488">
        <f>IF($B59="","",IF(COUNTIFS($B$4:$B59,$B59,$C$4:$C59,$C59)&gt;1,"⛔重複"&amp;COUNTIFS($B$4:$B59,$B59,$C$4:$C59,$C59)&amp;"回目",""))</f>
      </c>
      <c r="Z59" s="710"/>
      <c r="AB59">
        <f>IF($F59="","",MAX(100,ROUNDDOWN($AX$4/($F59*$AX$2)/100,0)*100))</f>
      </c>
      <c r="AC59">
        <f>IF(OR($F59="",$G59="",$U59=""),"",ROUND($V59-($F59+$U59)*$G59*$AX$6-IF($C59="売",$F59*$G59*$AX$7*$W59/365,0),0))</f>
      </c>
      <c r="AD59" s="608"/>
      <c r="AE59" s="624" t="str">
        <f>IF($E59="","",WORKDAY($E59,12))</f>
        <v/>
      </c>
      <c r="AF59" s="626"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26"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0" t="str">
        <f>IF(OR($B59="",$M59=""),"",IF(AND(N($AF59)=0,N($AG59)=0),IF(AND(ISNUMBER($H59),$H59&gt;0,IF($C59="売",$H59&gt;=$N59,$H59&lt;=$N59)),"損切確定",IF(AND(ISNUMBER($H59),$H59&gt;0,IF($C59="売",$H59&lt;=$M59,$H59&gt;=$M59)),"利益確定",IF($AE59&lt;=TODAY(),"日数制限","保有中"))),IF(N($AG59)=0,"利益確定",IF(N($AF59)=0,"損切確定",IF($AG59&lt;=$AF59,"損切確定","利益確定")))))</f>
        <v/>
      </c>
      <c r="AI59" s="600" t="str" cm="1">
        <f t="array" ref="AI59">IFERROR(INDEX(始値!$E$6:$BT$305,MATCH(TEXT($B59,"0"),TEXT(銘柄管理!$B$6:$B$305,"0"),0),MATCH($AE59,始値!$E$3:$BT$3,0)),"")</f>
        <v/>
      </c>
      <c r="AJ59" s="905" t="str">
        <f>IF(OR($V59="",$F59="",$G59=""),"",$V59/($F59*$G59))</f>
        <v/>
      </c>
      <c r="AK59" s="629" t="str">
        <f>IF($V59="","",IF($V59&gt;0,"○勝",IF($V59&lt;0,"●負","△引分")))</f>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IF(B60="","",HYPERLINK("https://kabutan.jp/stock/?code="&amp;B60,"株探"))</f>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BT$3,0)=1,1,MATCH($E60,始値!$E$3:$BT$3,0)+1)),_xlpm.v,INDEX(始値!$C$6:$B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IF(OR(F60="",G60="",H60=""),"",IF(C60="売",(F60-H60)*G60,(H60-F60)*G60))</f>
        <v/>
      </c>
      <c r="L60" s="706" t="str">
        <f>IF(OR(F60="",H60=""),"",IF(C60="売",(F60-H60)/F60,(H60-F60)/F60))</f>
        <v/>
      </c>
      <c r="M60" s="491" t="str">
        <f>IF($F60="","",IF($C60="売",CEILING($F60*IF($C60="売",1-$AX$3,1+$AX$3),IF($F60*IF($C60="売",1-$AX$3,1+$AX$3)&lt;=3000,1,IF($F60*IF($C60="売",1-$AX$3,1+$AX$3)&lt;=5000,5,IF($F60*IF($C60="売",1-$AX$3,1+$AX$3)&lt;=30000,10,IF($F60*IF($C60="売",1-$AX$3,1+$AX$3)&lt;=50000,50,IF($F60*IF($C60="売",1-$AX$3,1+$AX$3)&lt;=300000,100,500)))))),FLOOR($F60*IF($C60="売",1-$AX$3,1+$AX$3),IF($F60*IF($C60="売",1-$AX$3,1+$AX$3)&lt;=3000,1,IF($F60*IF($C60="売",1-$AX$3,1+$AX$3)&lt;=5000,5,IF($F60*IF($C60="売",1-$AX$3,1+$AX$3)&lt;=30000,10,IF($F60*IF($C60="売",1-$AX$3,1+$AX$3)&lt;=50000,50,IF($F60*IF($C60="売",1-$AX$3,1+$AX$3)&lt;=300000,100,500))))))))</f>
      </c>
      <c r="N60" s="491" t="str">
        <f>IF($F60="","",IF($C60="売",CEILING($F60*IF($C60="売",1+$AX$2,1-$AX$2),IF($F60*IF($C60="売",1+$AX$2,1-$AX$2)&lt;=3000,1,IF($F60*IF($C60="売",1+$AX$2,1-$AX$2)&lt;=5000,5,IF($F60*IF($C60="売",1+$AX$2,1-$AX$2)&lt;=30000,10,IF($F60*IF($C60="売",1+$AX$2,1-$AX$2)&lt;=50000,50,IF($F60*IF($C60="売",1+$AX$2,1-$AX$2)&lt;=300000,100,500)))))),FLOOR($F60*IF($C60="売",1+$AX$2,1-$AX$2),IF($F60*IF($C60="売",1+$AX$2,1-$AX$2)&lt;=3000,1,IF($F60*IF($C60="売",1+$AX$2,1-$AX$2)&lt;=5000,5,IF($F60*IF($C60="売",1+$AX$2,1-$AX$2)&lt;=30000,10,IF($F60*IF($C60="売",1+$AX$2,1-$AX$2)&lt;=50000,50,IF($F60*IF($C60="売",1+$AX$2,1-$AX$2)&lt;=300000,100,500))))))))</f>
      </c>
      <c r="O60" s="492" t="str">
        <f>IF(OR($B60="",$F60="",$H60=""),"",IF($S60="✅売却済","―決済済―",IF($C60="売",IF($H60&lt;=$M60,"🟢利確",IF(AND($R60&lt;&gt;"",$H60&gt;=$R60),"🟠TRAIL決済",IF($H60&gt;=$N60,"🔴損切",IF($W60&gt;=$AX$5,"⏱時間決済",IF($H60&gt;=$F60*(1+$AX$2*0.7),"⚠️損切接近","保持継続"))))),IF($H60&gt;=$M60,"🟢利確",IF(AND($R60&lt;&gt;"",$H60&lt;=$R60),"🟠TRAIL決済",IF($H60&lt;=$N60,"🔴損切",IF($W60&gt;=$AX$5,"⏱時間決済",IF($H60&lt;=$F60*(1-$AX$2*0.7),"⚠️損切接近","保持継続")))))))</f>
      </c>
      <c r="P60" s="491"/>
      <c r="Q60" s="491"/>
      <c r="R60" s="491" t="str">
        <f>IF(OR($F60="",$H60="",$N60=""),"",IF($S60="✅売却済","",IF($C60="売",IF($H60&gt;$F60*(1-$AX$2),$N60,CEILING(MIN($N60,IF($Q60="",$N60,$Q60*1.03)),IF($N60&lt;=3000,1,IF($N60&lt;=5000,5,IF($N60&lt;=30000,10,IF($N60&lt;=50000,50,IF($N60&lt;=300000,100,500))))))),IF($H60&lt;$F60*(1+$AX$2),$N60,FLOOR(MAX($N60,IF($P60="",$N60,$P60*0.97)),IF($N60&lt;=3000,1,IF($N60&lt;=5000,5,IF($N60&lt;=30000,10,IF($N60&lt;=50000,50,IF($N60&lt;=300000,100,500))))))))))</f>
      </c>
      <c r="S60" s="586" t="str">
        <f>IF(B60="","",IF(T60&lt;&gt;"","✅売却済",IF(OR(H60="",L60=""),"📌保有中",IF(L60&gt;=0.06,"🟢利確推奨",IF(L60&gt;=0.05,"🟡利確直近",IF(L60&gt;=0.045,"🔵トレーリング検討",IF(L60&gt;-0.03,"📌保有中",IF(L60&gt;-0.04,"⚠️損切注意","🔴損切り"))))))))</f>
        <v/>
      </c>
      <c r="T60" s="594"/>
      <c r="U60" s="491"/>
      <c r="V60" s="701" t="str">
        <f>IF(OR(F60="",G60="",U60=""),"",IF(C60="売",(F60-U60)*G60,(U60-F60)*G60))</f>
        <v/>
      </c>
      <c r="W60" s="493" t="str">
        <f>IF(OR($E60="",$B60=""),"",IF($T60&lt;&gt;"",$T60-$E60,TODAY()-$E60)+1)</f>
        <v/>
      </c>
      <c r="X60" s="489" t="str">
        <f>IF(OR($AH60="",$AH60="保有中"),"",$AH60)</f>
        <v/>
      </c>
      <c r="Y60" s="488">
        <f>IF($B60="","",IF(COUNTIFS($B$4:$B60,$B60,$C$4:$C60,$C60)&gt;1,"⛔重複"&amp;COUNTIFS($B$4:$B60,$B60,$C$4:$C60,$C60)&amp;"回目",""))</f>
      </c>
      <c r="Z60" s="710"/>
      <c r="AB60">
        <f>IF($F60="","",MAX(100,ROUNDDOWN($AX$4/($F60*$AX$2)/100,0)*100))</f>
      </c>
      <c r="AC60">
        <f>IF(OR($F60="",$G60="",$U60=""),"",ROUND($V60-($F60+$U60)*$G60*$AX$6-IF($C60="売",$F60*$G60*$AX$7*$W60/365,0),0))</f>
      </c>
      <c r="AD60" s="608"/>
      <c r="AE60" s="624" t="str">
        <f>IF($E60="","",WORKDAY($E60,12))</f>
        <v/>
      </c>
      <c r="AF60" s="626"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26"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0" t="str">
        <f>IF(OR($B60="",$M60=""),"",IF(AND(N($AF60)=0,N($AG60)=0),IF(AND(ISNUMBER($H60),$H60&gt;0,IF($C60="売",$H60&gt;=$N60,$H60&lt;=$N60)),"損切確定",IF(AND(ISNUMBER($H60),$H60&gt;0,IF($C60="売",$H60&lt;=$M60,$H60&gt;=$M60)),"利益確定",IF($AE60&lt;=TODAY(),"日数制限","保有中"))),IF(N($AG60)=0,"利益確定",IF(N($AF60)=0,"損切確定",IF($AG60&lt;=$AF60,"損切確定","利益確定")))))</f>
        <v/>
      </c>
      <c r="AI60" s="600" t="str" cm="1">
        <f t="array" ref="AI60">IFERROR(INDEX(始値!$E$6:$BT$305,MATCH(TEXT($B60,"0"),TEXT(銘柄管理!$B$6:$B$305,"0"),0),MATCH($AE60,始値!$E$3:$BT$3,0)),"")</f>
        <v/>
      </c>
      <c r="AJ60" s="905" t="str">
        <f>IF(OR($V60="",$F60="",$G60=""),"",$V60/($F60*$G60))</f>
        <v/>
      </c>
      <c r="AK60" s="629" t="str">
        <f>IF($V60="","",IF($V60&gt;0,"○勝",IF($V60&lt;0,"●負","△引分")))</f>
        <v/>
      </c>
      <c r="AL60" s="609" t="s">
        <v>1341</v>
      </c>
      <c r="BB60" s="600" t="str">
        <f>IF(N(買抽出v13!$C60)=0,"",N(買抽出v13!$Q60)+N(買抽出v13!$L60)/1000-ROW()/1000000)</f>
        <v/>
      </c>
      <c r="BC60" s="600" t="str">
        <f>IF(N(売抽出v13!$C60)=0,"",N(売抽出v13!$Q60)+IFERROR(VALUE(SUBSTITUTE(売抽出v13!$L60,"倍","")),0)/1000-ROW()/1000000)</f>
        <v/>
      </c>
    </row>
    <row r="61" spans="1:38" ht="35.4" customHeight="1">
      <c r="A61" s="619" t="str">
        <f>IF(B61="","",HYPERLINK("https://kabutan.jp/stock/?code="&amp;B61,"株探"))</f>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BT$3,0)=1,1,MATCH($E61,始値!$E$3:$BT$3,0)+1)),_xlpm.v,INDEX(始値!$C$6:$B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IF(OR(F61="",G61="",H61=""),"",IF(C61="売",(F61-H61)*G61,(H61-F61)*G61))</f>
        <v/>
      </c>
      <c r="L61" s="706" t="str">
        <f>IF(OR(F61="",H61=""),"",IF(C61="売",(F61-H61)/F61,(H61-F61)/F61))</f>
        <v/>
      </c>
      <c r="M61" s="491" t="str">
        <f>IF($F61="","",IF($C61="売",CEILING($F61*IF($C61="売",1-$AX$3,1+$AX$3),IF($F61*IF($C61="売",1-$AX$3,1+$AX$3)&lt;=3000,1,IF($F61*IF($C61="売",1-$AX$3,1+$AX$3)&lt;=5000,5,IF($F61*IF($C61="売",1-$AX$3,1+$AX$3)&lt;=30000,10,IF($F61*IF($C61="売",1-$AX$3,1+$AX$3)&lt;=50000,50,IF($F61*IF($C61="売",1-$AX$3,1+$AX$3)&lt;=300000,100,500)))))),FLOOR($F61*IF($C61="売",1-$AX$3,1+$AX$3),IF($F61*IF($C61="売",1-$AX$3,1+$AX$3)&lt;=3000,1,IF($F61*IF($C61="売",1-$AX$3,1+$AX$3)&lt;=5000,5,IF($F61*IF($C61="売",1-$AX$3,1+$AX$3)&lt;=30000,10,IF($F61*IF($C61="売",1-$AX$3,1+$AX$3)&lt;=50000,50,IF($F61*IF($C61="売",1-$AX$3,1+$AX$3)&lt;=300000,100,500))))))))</f>
      </c>
      <c r="N61" s="491" t="str">
        <f>IF($F61="","",IF($C61="売",CEILING($F61*IF($C61="売",1+$AX$2,1-$AX$2),IF($F61*IF($C61="売",1+$AX$2,1-$AX$2)&lt;=3000,1,IF($F61*IF($C61="売",1+$AX$2,1-$AX$2)&lt;=5000,5,IF($F61*IF($C61="売",1+$AX$2,1-$AX$2)&lt;=30000,10,IF($F61*IF($C61="売",1+$AX$2,1-$AX$2)&lt;=50000,50,IF($F61*IF($C61="売",1+$AX$2,1-$AX$2)&lt;=300000,100,500)))))),FLOOR($F61*IF($C61="売",1+$AX$2,1-$AX$2),IF($F61*IF($C61="売",1+$AX$2,1-$AX$2)&lt;=3000,1,IF($F61*IF($C61="売",1+$AX$2,1-$AX$2)&lt;=5000,5,IF($F61*IF($C61="売",1+$AX$2,1-$AX$2)&lt;=30000,10,IF($F61*IF($C61="売",1+$AX$2,1-$AX$2)&lt;=50000,50,IF($F61*IF($C61="売",1+$AX$2,1-$AX$2)&lt;=300000,100,500))))))))</f>
      </c>
      <c r="O61" s="492" t="str">
        <f>IF(OR($B61="",$F61="",$H61=""),"",IF($S61="✅売却済","―決済済―",IF($C61="売",IF($H61&lt;=$M61,"🟢利確",IF(AND($R61&lt;&gt;"",$H61&gt;=$R61),"🟠TRAIL決済",IF($H61&gt;=$N61,"🔴損切",IF($W61&gt;=$AX$5,"⏱時間決済",IF($H61&gt;=$F61*(1+$AX$2*0.7),"⚠️損切接近","保持継続"))))),IF($H61&gt;=$M61,"🟢利確",IF(AND($R61&lt;&gt;"",$H61&lt;=$R61),"🟠TRAIL決済",IF($H61&lt;=$N61,"🔴損切",IF($W61&gt;=$AX$5,"⏱時間決済",IF($H61&lt;=$F61*(1-$AX$2*0.7),"⚠️損切接近","保持継続")))))))</f>
      </c>
      <c r="P61" s="491"/>
      <c r="Q61" s="491"/>
      <c r="R61" s="491" t="str">
        <f>IF(OR($F61="",$H61="",$N61=""),"",IF($S61="✅売却済","",IF($C61="売",IF($H61&gt;$F61*(1-$AX$2),$N61,CEILING(MIN($N61,IF($Q61="",$N61,$Q61*1.03)),IF($N61&lt;=3000,1,IF($N61&lt;=5000,5,IF($N61&lt;=30000,10,IF($N61&lt;=50000,50,IF($N61&lt;=300000,100,500))))))),IF($H61&lt;$F61*(1+$AX$2),$N61,FLOOR(MAX($N61,IF($P61="",$N61,$P61*0.97)),IF($N61&lt;=3000,1,IF($N61&lt;=5000,5,IF($N61&lt;=30000,10,IF($N61&lt;=50000,50,IF($N61&lt;=300000,100,500))))))))))</f>
      </c>
      <c r="S61" s="586" t="str">
        <f>IF(B61="","",IF(T61&lt;&gt;"","✅売却済",IF(OR(H61="",L61=""),"📌保有中",IF(L61&gt;=0.06,"🟢利確推奨",IF(L61&gt;=0.05,"🟡利確直近",IF(L61&gt;=0.045,"🔵トレーリング検討",IF(L61&gt;-0.03,"📌保有中",IF(L61&gt;-0.04,"⚠️損切注意","🔴損切り"))))))))</f>
        <v/>
      </c>
      <c r="T61" s="594"/>
      <c r="U61" s="491"/>
      <c r="V61" s="701" t="str">
        <f>IF(OR(F61="",G61="",U61=""),"",IF(C61="売",(F61-U61)*G61,(U61-F61)*G61))</f>
        <v/>
      </c>
      <c r="W61" s="493" t="str">
        <f>IF(OR($E61="",$B61=""),"",IF($T61&lt;&gt;"",$T61-$E61,TODAY()-$E61)+1)</f>
        <v/>
      </c>
      <c r="X61" s="489" t="str">
        <f>IF(OR($AH61="",$AH61="保有中"),"",$AH61)</f>
        <v/>
      </c>
      <c r="Y61" s="488">
        <f>IF($B61="","",IF(COUNTIFS($B$4:$B61,$B61,$C$4:$C61,$C61)&gt;1,"⛔重複"&amp;COUNTIFS($B$4:$B61,$B61,$C$4:$C61,$C61)&amp;"回目",""))</f>
      </c>
      <c r="Z61" s="710"/>
      <c r="AB61">
        <f>IF($F61="","",MAX(100,ROUNDDOWN($AX$4/($F61*$AX$2)/100,0)*100))</f>
      </c>
      <c r="AC61">
        <f>IF(OR($F61="",$G61="",$U61=""),"",ROUND($V61-($F61+$U61)*$G61*$AX$6-IF($C61="売",$F61*$G61*$AX$7*$W61/365,0),0))</f>
      </c>
      <c r="AD61" s="608"/>
      <c r="AE61" s="624" t="str">
        <f>IF($E61="","",WORKDAY($E61,12))</f>
        <v/>
      </c>
      <c r="AF61" s="626"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26"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0" t="str">
        <f>IF(OR($B61="",$M61=""),"",IF(AND(N($AF61)=0,N($AG61)=0),IF(AND(ISNUMBER($H61),$H61&gt;0,IF($C61="売",$H61&gt;=$N61,$H61&lt;=$N61)),"損切確定",IF(AND(ISNUMBER($H61),$H61&gt;0,IF($C61="売",$H61&lt;=$M61,$H61&gt;=$M61)),"利益確定",IF($AE61&lt;=TODAY(),"日数制限","保有中"))),IF(N($AG61)=0,"利益確定",IF(N($AF61)=0,"損切確定",IF($AG61&lt;=$AF61,"損切確定","利益確定")))))</f>
        <v/>
      </c>
      <c r="AI61" s="600" t="str" cm="1">
        <f t="array" ref="AI61">IFERROR(INDEX(始値!$E$6:$BT$305,MATCH(TEXT($B61,"0"),TEXT(銘柄管理!$B$6:$B$305,"0"),0),MATCH($AE61,始値!$E$3:$BT$3,0)),"")</f>
        <v/>
      </c>
      <c r="AJ61" s="905" t="str">
        <f>IF(OR($V61="",$F61="",$G61=""),"",$V61/($F61*$G61))</f>
        <v/>
      </c>
      <c r="AK61" s="629" t="str">
        <f>IF($V61="","",IF($V61&gt;0,"○勝",IF($V61&lt;0,"●負","△引分")))</f>
        <v/>
      </c>
      <c r="AL61" s="609" t="s">
        <v>1321</v>
      </c>
    </row>
    <row r="62" spans="1:38" ht="35.4" customHeight="1">
      <c r="A62" s="619" t="str">
        <f>IF(B62="","",HYPERLINK("https://kabutan.jp/stock/?code="&amp;B62,"株探"))</f>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BT$3,0)=1,1,MATCH($E62,始値!$E$3:$BT$3,0)+1)),_xlpm.v,INDEX(始値!$C$6:$B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IF(OR(F62="",G62="",H62=""),"",IF(C62="売",(F62-H62)*G62,(H62-F62)*G62))</f>
        <v/>
      </c>
      <c r="L62" s="706" t="str">
        <f>IF(OR(F62="",H62=""),"",IF(C62="売",(F62-H62)/F62,(H62-F62)/F62))</f>
        <v/>
      </c>
      <c r="M62" s="491" t="str">
        <f>IF($F62="","",IF($C62="売",CEILING($F62*IF($C62="売",1-$AX$3,1+$AX$3),IF($F62*IF($C62="売",1-$AX$3,1+$AX$3)&lt;=3000,1,IF($F62*IF($C62="売",1-$AX$3,1+$AX$3)&lt;=5000,5,IF($F62*IF($C62="売",1-$AX$3,1+$AX$3)&lt;=30000,10,IF($F62*IF($C62="売",1-$AX$3,1+$AX$3)&lt;=50000,50,IF($F62*IF($C62="売",1-$AX$3,1+$AX$3)&lt;=300000,100,500)))))),FLOOR($F62*IF($C62="売",1-$AX$3,1+$AX$3),IF($F62*IF($C62="売",1-$AX$3,1+$AX$3)&lt;=3000,1,IF($F62*IF($C62="売",1-$AX$3,1+$AX$3)&lt;=5000,5,IF($F62*IF($C62="売",1-$AX$3,1+$AX$3)&lt;=30000,10,IF($F62*IF($C62="売",1-$AX$3,1+$AX$3)&lt;=50000,50,IF($F62*IF($C62="売",1-$AX$3,1+$AX$3)&lt;=300000,100,500))))))))</f>
      </c>
      <c r="N62" s="491" t="str">
        <f>IF($F62="","",IF($C62="売",CEILING($F62*IF($C62="売",1+$AX$2,1-$AX$2),IF($F62*IF($C62="売",1+$AX$2,1-$AX$2)&lt;=3000,1,IF($F62*IF($C62="売",1+$AX$2,1-$AX$2)&lt;=5000,5,IF($F62*IF($C62="売",1+$AX$2,1-$AX$2)&lt;=30000,10,IF($F62*IF($C62="売",1+$AX$2,1-$AX$2)&lt;=50000,50,IF($F62*IF($C62="売",1+$AX$2,1-$AX$2)&lt;=300000,100,500)))))),FLOOR($F62*IF($C62="売",1+$AX$2,1-$AX$2),IF($F62*IF($C62="売",1+$AX$2,1-$AX$2)&lt;=3000,1,IF($F62*IF($C62="売",1+$AX$2,1-$AX$2)&lt;=5000,5,IF($F62*IF($C62="売",1+$AX$2,1-$AX$2)&lt;=30000,10,IF($F62*IF($C62="売",1+$AX$2,1-$AX$2)&lt;=50000,50,IF($F62*IF($C62="売",1+$AX$2,1-$AX$2)&lt;=300000,100,500))))))))</f>
      </c>
      <c r="O62" s="492" t="str">
        <f>IF(OR($B62="",$F62="",$H62=""),"",IF($S62="✅売却済","―決済済―",IF($C62="売",IF($H62&lt;=$M62,"🟢利確",IF(AND($R62&lt;&gt;"",$H62&gt;=$R62),"🟠TRAIL決済",IF($H62&gt;=$N62,"🔴損切",IF($W62&gt;=$AX$5,"⏱時間決済",IF($H62&gt;=$F62*(1+$AX$2*0.7),"⚠️損切接近","保持継続"))))),IF($H62&gt;=$M62,"🟢利確",IF(AND($R62&lt;&gt;"",$H62&lt;=$R62),"🟠TRAIL決済",IF($H62&lt;=$N62,"🔴損切",IF($W62&gt;=$AX$5,"⏱時間決済",IF($H62&lt;=$F62*(1-$AX$2*0.7),"⚠️損切接近","保持継続")))))))</f>
      </c>
      <c r="P62" s="491"/>
      <c r="Q62" s="491"/>
      <c r="R62" s="491" t="str">
        <f>IF(OR($F62="",$H62="",$N62=""),"",IF($S62="✅売却済","",IF($C62="売",IF($H62&gt;$F62*(1-$AX$2),$N62,CEILING(MIN($N62,IF($Q62="",$N62,$Q62*1.03)),IF($N62&lt;=3000,1,IF($N62&lt;=5000,5,IF($N62&lt;=30000,10,IF($N62&lt;=50000,50,IF($N62&lt;=300000,100,500))))))),IF($H62&lt;$F62*(1+$AX$2),$N62,FLOOR(MAX($N62,IF($P62="",$N62,$P62*0.97)),IF($N62&lt;=3000,1,IF($N62&lt;=5000,5,IF($N62&lt;=30000,10,IF($N62&lt;=50000,50,IF($N62&lt;=300000,100,500))))))))))</f>
      </c>
      <c r="S62" s="586" t="str">
        <f>IF(B62="","",IF(T62&lt;&gt;"","✅売却済",IF(OR(H62="",L62=""),"📌保有中",IF(L62&gt;=0.06,"🟢利確推奨",IF(L62&gt;=0.05,"🟡利確直近",IF(L62&gt;=0.045,"🔵トレーリング検討",IF(L62&gt;-0.03,"📌保有中",IF(L62&gt;-0.04,"⚠️損切注意","🔴損切り"))))))))</f>
        <v/>
      </c>
      <c r="T62" s="594"/>
      <c r="U62" s="491"/>
      <c r="V62" s="701" t="str">
        <f>IF(OR(F62="",G62="",U62=""),"",IF(C62="売",(F62-U62)*G62,(U62-F62)*G62))</f>
        <v/>
      </c>
      <c r="W62" s="493" t="str">
        <f>IF(OR($E62="",$B62=""),"",IF($T62&lt;&gt;"",$T62-$E62,TODAY()-$E62)+1)</f>
        <v/>
      </c>
      <c r="X62" s="489" t="str">
        <f>IF(OR($AH62="",$AH62="保有中"),"",$AH62)</f>
        <v/>
      </c>
      <c r="Y62" s="488">
        <f>IF($B62="","",IF(COUNTIFS($B$4:$B62,$B62,$C$4:$C62,$C62)&gt;1,"⛔重複"&amp;COUNTIFS($B$4:$B62,$B62,$C$4:$C62,$C62)&amp;"回目",""))</f>
      </c>
      <c r="Z62" s="710"/>
      <c r="AB62">
        <f>IF($F62="","",MAX(100,ROUNDDOWN($AX$4/($F62*$AX$2)/100,0)*100))</f>
      </c>
      <c r="AC62">
        <f>IF(OR($F62="",$G62="",$U62=""),"",ROUND($V62-($F62+$U62)*$G62*$AX$6-IF($C62="売",$F62*$G62*$AX$7*$W62/365,0),0))</f>
      </c>
      <c r="AD62" s="608"/>
      <c r="AE62" s="624" t="str">
        <f>IF($E62="","",WORKDAY($E62,12))</f>
        <v/>
      </c>
      <c r="AF62" s="626"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26"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0" t="str">
        <f>IF(OR($B62="",$M62=""),"",IF(AND(N($AF62)=0,N($AG62)=0),IF(AND(ISNUMBER($H62),$H62&gt;0,IF($C62="売",$H62&gt;=$N62,$H62&lt;=$N62)),"損切確定",IF(AND(ISNUMBER($H62),$H62&gt;0,IF($C62="売",$H62&lt;=$M62,$H62&gt;=$M62)),"利益確定",IF($AE62&lt;=TODAY(),"日数制限","保有中"))),IF(N($AG62)=0,"利益確定",IF(N($AF62)=0,"損切確定",IF($AG62&lt;=$AF62,"損切確定","利益確定")))))</f>
        <v/>
      </c>
      <c r="AI62" s="600" t="str" cm="1">
        <f t="array" ref="AI62">IFERROR(INDEX(始値!$E$6:$BT$305,MATCH(TEXT($B62,"0"),TEXT(銘柄管理!$B$6:$B$305,"0"),0),MATCH($AE62,始値!$E$3:$BT$3,0)),"")</f>
        <v/>
      </c>
      <c r="AJ62" s="905" t="str">
        <f>IF(OR($V62="",$F62="",$G62=""),"",$V62/($F62*$G62))</f>
        <v/>
      </c>
      <c r="AK62" s="629" t="str">
        <f>IF($V62="","",IF($V62&gt;0,"○勝",IF($V62&lt;0,"●負","△引分")))</f>
        <v/>
      </c>
      <c r="AL62" s="617" t="s">
        <v>1342</v>
      </c>
    </row>
    <row r="63" spans="1:37" ht="35.4" customHeight="1">
      <c r="A63" s="619" t="str">
        <f>IF(B63="","",HYPERLINK("https://kabutan.jp/stock/?code="&amp;B63,"株探"))</f>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BT$3,0)=1,1,MATCH($E63,始値!$E$3:$BT$3,0)+1)),_xlpm.v,INDEX(始値!$C$6:$B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IF(OR(F63="",G63="",H63=""),"",IF(C63="売",(F63-H63)*G63,(H63-F63)*G63))</f>
        <v/>
      </c>
      <c r="L63" s="706" t="str">
        <f>IF(OR(F63="",H63=""),"",IF(C63="売",(F63-H63)/F63,(H63-F63)/F63))</f>
        <v/>
      </c>
      <c r="M63" s="491" t="str">
        <f>IF($F63="","",IF($C63="売",CEILING($F63*IF($C63="売",1-$AX$3,1+$AX$3),IF($F63*IF($C63="売",1-$AX$3,1+$AX$3)&lt;=3000,1,IF($F63*IF($C63="売",1-$AX$3,1+$AX$3)&lt;=5000,5,IF($F63*IF($C63="売",1-$AX$3,1+$AX$3)&lt;=30000,10,IF($F63*IF($C63="売",1-$AX$3,1+$AX$3)&lt;=50000,50,IF($F63*IF($C63="売",1-$AX$3,1+$AX$3)&lt;=300000,100,500)))))),FLOOR($F63*IF($C63="売",1-$AX$3,1+$AX$3),IF($F63*IF($C63="売",1-$AX$3,1+$AX$3)&lt;=3000,1,IF($F63*IF($C63="売",1-$AX$3,1+$AX$3)&lt;=5000,5,IF($F63*IF($C63="売",1-$AX$3,1+$AX$3)&lt;=30000,10,IF($F63*IF($C63="売",1-$AX$3,1+$AX$3)&lt;=50000,50,IF($F63*IF($C63="売",1-$AX$3,1+$AX$3)&lt;=300000,100,500))))))))</f>
      </c>
      <c r="N63" s="491" t="str">
        <f>IF($F63="","",IF($C63="売",CEILING($F63*IF($C63="売",1+$AX$2,1-$AX$2),IF($F63*IF($C63="売",1+$AX$2,1-$AX$2)&lt;=3000,1,IF($F63*IF($C63="売",1+$AX$2,1-$AX$2)&lt;=5000,5,IF($F63*IF($C63="売",1+$AX$2,1-$AX$2)&lt;=30000,10,IF($F63*IF($C63="売",1+$AX$2,1-$AX$2)&lt;=50000,50,IF($F63*IF($C63="売",1+$AX$2,1-$AX$2)&lt;=300000,100,500)))))),FLOOR($F63*IF($C63="売",1+$AX$2,1-$AX$2),IF($F63*IF($C63="売",1+$AX$2,1-$AX$2)&lt;=3000,1,IF($F63*IF($C63="売",1+$AX$2,1-$AX$2)&lt;=5000,5,IF($F63*IF($C63="売",1+$AX$2,1-$AX$2)&lt;=30000,10,IF($F63*IF($C63="売",1+$AX$2,1-$AX$2)&lt;=50000,50,IF($F63*IF($C63="売",1+$AX$2,1-$AX$2)&lt;=300000,100,500))))))))</f>
      </c>
      <c r="O63" s="492" t="str">
        <f>IF(OR($B63="",$F63="",$H63=""),"",IF($S63="✅売却済","―決済済―",IF($C63="売",IF($H63&lt;=$M63,"🟢利確",IF(AND($R63&lt;&gt;"",$H63&gt;=$R63),"🟠TRAIL決済",IF($H63&gt;=$N63,"🔴損切",IF($W63&gt;=$AX$5,"⏱時間決済",IF($H63&gt;=$F63*(1+$AX$2*0.7),"⚠️損切接近","保持継続"))))),IF($H63&gt;=$M63,"🟢利確",IF(AND($R63&lt;&gt;"",$H63&lt;=$R63),"🟠TRAIL決済",IF($H63&lt;=$N63,"🔴損切",IF($W63&gt;=$AX$5,"⏱時間決済",IF($H63&lt;=$F63*(1-$AX$2*0.7),"⚠️損切接近","保持継続")))))))</f>
      </c>
      <c r="P63" s="491"/>
      <c r="Q63" s="491"/>
      <c r="R63" s="491" t="str">
        <f>IF(OR($F63="",$H63="",$N63=""),"",IF($S63="✅売却済","",IF($C63="売",IF($H63&gt;$F63*(1-$AX$2),$N63,CEILING(MIN($N63,IF($Q63="",$N63,$Q63*1.03)),IF($N63&lt;=3000,1,IF($N63&lt;=5000,5,IF($N63&lt;=30000,10,IF($N63&lt;=50000,50,IF($N63&lt;=300000,100,500))))))),IF($H63&lt;$F63*(1+$AX$2),$N63,FLOOR(MAX($N63,IF($P63="",$N63,$P63*0.97)),IF($N63&lt;=3000,1,IF($N63&lt;=5000,5,IF($N63&lt;=30000,10,IF($N63&lt;=50000,50,IF($N63&lt;=300000,100,500))))))))))</f>
      </c>
      <c r="S63" s="586" t="str">
        <f>IF(B63="","",IF(T63&lt;&gt;"","✅売却済",IF(OR(H63="",L63=""),"📌保有中",IF(L63&gt;=0.06,"🟢利確推奨",IF(L63&gt;=0.05,"🟡利確直近",IF(L63&gt;=0.045,"🔵トレーリング検討",IF(L63&gt;-0.03,"📌保有中",IF(L63&gt;-0.04,"⚠️損切注意","🔴損切り"))))))))</f>
        <v/>
      </c>
      <c r="T63" s="594"/>
      <c r="U63" s="491"/>
      <c r="V63" s="701" t="str">
        <f>IF(OR(F63="",G63="",U63=""),"",IF(C63="売",(F63-U63)*G63,(U63-F63)*G63))</f>
        <v/>
      </c>
      <c r="W63" s="493" t="str">
        <f>IF(OR($E63="",$B63=""),"",IF($T63&lt;&gt;"",$T63-$E63,TODAY()-$E63)+1)</f>
        <v/>
      </c>
      <c r="X63" s="489" t="str">
        <f>IF(OR($AH63="",$AH63="保有中"),"",$AH63)</f>
        <v/>
      </c>
      <c r="Y63" s="488">
        <f>IF($B63="","",IF(COUNTIFS($B$4:$B63,$B63,$C$4:$C63,$C63)&gt;1,"⛔重複"&amp;COUNTIFS($B$4:$B63,$B63,$C$4:$C63,$C63)&amp;"回目",""))</f>
      </c>
      <c r="Z63" s="710"/>
      <c r="AB63">
        <f>IF($F63="","",MAX(100,ROUNDDOWN($AX$4/($F63*$AX$2)/100,0)*100))</f>
      </c>
      <c r="AC63">
        <f>IF(OR($F63="",$G63="",$U63=""),"",ROUND($V63-($F63+$U63)*$G63*$AX$6-IF($C63="売",$F63*$G63*$AX$7*$W63/365,0),0))</f>
      </c>
      <c r="AD63" s="608"/>
      <c r="AE63" s="624" t="str">
        <f>IF($E63="","",WORKDAY($E63,12))</f>
        <v/>
      </c>
      <c r="AF63" s="626"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26"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0" t="str">
        <f>IF(OR($B63="",$M63=""),"",IF(AND(N($AF63)=0,N($AG63)=0),IF(AND(ISNUMBER($H63),$H63&gt;0,IF($C63="売",$H63&gt;=$N63,$H63&lt;=$N63)),"損切確定",IF(AND(ISNUMBER($H63),$H63&gt;0,IF($C63="売",$H63&lt;=$M63,$H63&gt;=$M63)),"利益確定",IF($AE63&lt;=TODAY(),"日数制限","保有中"))),IF(N($AG63)=0,"利益確定",IF(N($AF63)=0,"損切確定",IF($AG63&lt;=$AF63,"損切確定","利益確定")))))</f>
        <v/>
      </c>
      <c r="AI63" s="600" t="str" cm="1">
        <f t="array" ref="AI63">IFERROR(INDEX(始値!$E$6:$BT$305,MATCH(TEXT($B63,"0"),TEXT(銘柄管理!$B$6:$B$305,"0"),0),MATCH($AE63,始値!$E$3:$BT$3,0)),"")</f>
        <v/>
      </c>
      <c r="AJ63" s="905" t="str">
        <f>IF(OR($V63="",$F63="",$G63=""),"",$V63/($F63*$G63))</f>
        <v/>
      </c>
      <c r="AK63" s="629" t="str">
        <f>IF($V63="","",IF($V63&gt;0,"○勝",IF($V63&lt;0,"●負","△引分")))</f>
        <v/>
      </c>
    </row>
    <row r="64" spans="1:37" ht="35.4" customHeight="1">
      <c r="A64" s="619" t="str">
        <f>IF(B64="","",HYPERLINK("https://kabutan.jp/stock/?code="&amp;B64,"株探"))</f>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BT$3,0)=1,1,MATCH($E64,始値!$E$3:$BT$3,0)+1)),_xlpm.v,INDEX(始値!$C$6:$B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IF(OR(F64="",G64="",H64=""),"",IF(C64="売",(F64-H64)*G64,(H64-F64)*G64))</f>
        <v/>
      </c>
      <c r="L64" s="706" t="str">
        <f>IF(OR(F64="",H64=""),"",IF(C64="売",(F64-H64)/F64,(H64-F64)/F64))</f>
        <v/>
      </c>
      <c r="M64" s="491" t="str">
        <f>IF($F64="","",IF($C64="売",CEILING($F64*IF($C64="売",1-$AX$3,1+$AX$3),IF($F64*IF($C64="売",1-$AX$3,1+$AX$3)&lt;=3000,1,IF($F64*IF($C64="売",1-$AX$3,1+$AX$3)&lt;=5000,5,IF($F64*IF($C64="売",1-$AX$3,1+$AX$3)&lt;=30000,10,IF($F64*IF($C64="売",1-$AX$3,1+$AX$3)&lt;=50000,50,IF($F64*IF($C64="売",1-$AX$3,1+$AX$3)&lt;=300000,100,500)))))),FLOOR($F64*IF($C64="売",1-$AX$3,1+$AX$3),IF($F64*IF($C64="売",1-$AX$3,1+$AX$3)&lt;=3000,1,IF($F64*IF($C64="売",1-$AX$3,1+$AX$3)&lt;=5000,5,IF($F64*IF($C64="売",1-$AX$3,1+$AX$3)&lt;=30000,10,IF($F64*IF($C64="売",1-$AX$3,1+$AX$3)&lt;=50000,50,IF($F64*IF($C64="売",1-$AX$3,1+$AX$3)&lt;=300000,100,500))))))))</f>
      </c>
      <c r="N64" s="491" t="str">
        <f>IF($F64="","",IF($C64="売",CEILING($F64*IF($C64="売",1+$AX$2,1-$AX$2),IF($F64*IF($C64="売",1+$AX$2,1-$AX$2)&lt;=3000,1,IF($F64*IF($C64="売",1+$AX$2,1-$AX$2)&lt;=5000,5,IF($F64*IF($C64="売",1+$AX$2,1-$AX$2)&lt;=30000,10,IF($F64*IF($C64="売",1+$AX$2,1-$AX$2)&lt;=50000,50,IF($F64*IF($C64="売",1+$AX$2,1-$AX$2)&lt;=300000,100,500)))))),FLOOR($F64*IF($C64="売",1+$AX$2,1-$AX$2),IF($F64*IF($C64="売",1+$AX$2,1-$AX$2)&lt;=3000,1,IF($F64*IF($C64="売",1+$AX$2,1-$AX$2)&lt;=5000,5,IF($F64*IF($C64="売",1+$AX$2,1-$AX$2)&lt;=30000,10,IF($F64*IF($C64="売",1+$AX$2,1-$AX$2)&lt;=50000,50,IF($F64*IF($C64="売",1+$AX$2,1-$AX$2)&lt;=300000,100,500))))))))</f>
      </c>
      <c r="O64" s="492" t="str">
        <f>IF(OR($B64="",$F64="",$H64=""),"",IF($S64="✅売却済","―決済済―",IF($C64="売",IF($H64&lt;=$M64,"🟢利確",IF(AND($R64&lt;&gt;"",$H64&gt;=$R64),"🟠TRAIL決済",IF($H64&gt;=$N64,"🔴損切",IF($W64&gt;=$AX$5,"⏱時間決済",IF($H64&gt;=$F64*(1+$AX$2*0.7),"⚠️損切接近","保持継続"))))),IF($H64&gt;=$M64,"🟢利確",IF(AND($R64&lt;&gt;"",$H64&lt;=$R64),"🟠TRAIL決済",IF($H64&lt;=$N64,"🔴損切",IF($W64&gt;=$AX$5,"⏱時間決済",IF($H64&lt;=$F64*(1-$AX$2*0.7),"⚠️損切接近","保持継続")))))))</f>
      </c>
      <c r="P64" s="491"/>
      <c r="Q64" s="491"/>
      <c r="R64" s="491" t="str">
        <f>IF(OR($F64="",$H64="",$N64=""),"",IF($S64="✅売却済","",IF($C64="売",IF($H64&gt;$F64*(1-$AX$2),$N64,CEILING(MIN($N64,IF($Q64="",$N64,$Q64*1.03)),IF($N64&lt;=3000,1,IF($N64&lt;=5000,5,IF($N64&lt;=30000,10,IF($N64&lt;=50000,50,IF($N64&lt;=300000,100,500))))))),IF($H64&lt;$F64*(1+$AX$2),$N64,FLOOR(MAX($N64,IF($P64="",$N64,$P64*0.97)),IF($N64&lt;=3000,1,IF($N64&lt;=5000,5,IF($N64&lt;=30000,10,IF($N64&lt;=50000,50,IF($N64&lt;=300000,100,500))))))))))</f>
      </c>
      <c r="S64" s="586" t="str">
        <f>IF(B64="","",IF(T64&lt;&gt;"","✅売却済",IF(OR(H64="",L64=""),"📌保有中",IF(L64&gt;=0.06,"🟢利確推奨",IF(L64&gt;=0.05,"🟡利確直近",IF(L64&gt;=0.045,"🔵トレーリング検討",IF(L64&gt;-0.03,"📌保有中",IF(L64&gt;-0.04,"⚠️損切注意","🔴損切り"))))))))</f>
        <v/>
      </c>
      <c r="T64" s="594"/>
      <c r="U64" s="491"/>
      <c r="V64" s="701" t="str">
        <f>IF(OR(F64="",G64="",U64=""),"",IF(C64="売",(F64-U64)*G64,(U64-F64)*G64))</f>
        <v/>
      </c>
      <c r="W64" s="493" t="str">
        <f>IF(OR($E64="",$B64=""),"",IF($T64&lt;&gt;"",$T64-$E64,TODAY()-$E64)+1)</f>
        <v/>
      </c>
      <c r="X64" s="489" t="str">
        <f>IF(OR($AH64="",$AH64="保有中"),"",$AH64)</f>
        <v/>
      </c>
      <c r="Y64" s="488">
        <f>IF($B64="","",IF(COUNTIFS($B$4:$B64,$B64,$C$4:$C64,$C64)&gt;1,"⛔重複"&amp;COUNTIFS($B$4:$B64,$B64,$C$4:$C64,$C64)&amp;"回目",""))</f>
      </c>
      <c r="Z64" s="710"/>
      <c r="AB64">
        <f>IF($F64="","",MAX(100,ROUNDDOWN($AX$4/($F64*$AX$2)/100,0)*100))</f>
      </c>
      <c r="AC64">
        <f>IF(OR($F64="",$G64="",$U64=""),"",ROUND($V64-($F64+$U64)*$G64*$AX$6-IF($C64="売",$F64*$G64*$AX$7*$W64/365,0),0))</f>
      </c>
      <c r="AD64" s="608"/>
      <c r="AE64" s="624" t="str">
        <f>IF($E64="","",WORKDAY($E64,12))</f>
        <v/>
      </c>
      <c r="AF64" s="626"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26"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0" t="str">
        <f>IF(OR($B64="",$M64=""),"",IF(AND(N($AF64)=0,N($AG64)=0),IF(AND(ISNUMBER($H64),$H64&gt;0,IF($C64="売",$H64&gt;=$N64,$H64&lt;=$N64)),"損切確定",IF(AND(ISNUMBER($H64),$H64&gt;0,IF($C64="売",$H64&lt;=$M64,$H64&gt;=$M64)),"利益確定",IF($AE64&lt;=TODAY(),"日数制限","保有中"))),IF(N($AG64)=0,"利益確定",IF(N($AF64)=0,"損切確定",IF($AG64&lt;=$AF64,"損切確定","利益確定")))))</f>
        <v/>
      </c>
      <c r="AI64" s="600" t="str" cm="1">
        <f t="array" ref="AI64">IFERROR(INDEX(始値!$E$6:$BT$305,MATCH(TEXT($B64,"0"),TEXT(銘柄管理!$B$6:$B$305,"0"),0),MATCH($AE64,始値!$E$3:$BT$3,0)),"")</f>
        <v/>
      </c>
      <c r="AJ64" s="905" t="str">
        <f>IF(OR($V64="",$F64="",$G64=""),"",$V64/($F64*$G64))</f>
        <v/>
      </c>
      <c r="AK64" s="629" t="str">
        <f>IF($V64="","",IF($V64&gt;0,"○勝",IF($V64&lt;0,"●負","△引分")))</f>
        <v/>
      </c>
    </row>
    <row r="65" spans="1:37" ht="35.4" customHeight="1">
      <c r="A65" s="619" t="str">
        <f>IF(B65="","",HYPERLINK("https://kabutan.jp/stock/?code="&amp;B65,"株探"))</f>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BT$3,0)=1,1,MATCH($E65,始値!$E$3:$BT$3,0)+1)),_xlpm.v,INDEX(始値!$C$6:$B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IF(OR(F65="",G65="",H65=""),"",IF(C65="売",(F65-H65)*G65,(H65-F65)*G65))</f>
        <v/>
      </c>
      <c r="L65" s="706" t="str">
        <f>IF(OR(F65="",H65=""),"",IF(C65="売",(F65-H65)/F65,(H65-F65)/F65))</f>
        <v/>
      </c>
      <c r="M65" s="491" t="str">
        <f>IF($F65="","",IF($C65="売",CEILING($F65*IF($C65="売",1-$AX$3,1+$AX$3),IF($F65*IF($C65="売",1-$AX$3,1+$AX$3)&lt;=3000,1,IF($F65*IF($C65="売",1-$AX$3,1+$AX$3)&lt;=5000,5,IF($F65*IF($C65="売",1-$AX$3,1+$AX$3)&lt;=30000,10,IF($F65*IF($C65="売",1-$AX$3,1+$AX$3)&lt;=50000,50,IF($F65*IF($C65="売",1-$AX$3,1+$AX$3)&lt;=300000,100,500)))))),FLOOR($F65*IF($C65="売",1-$AX$3,1+$AX$3),IF($F65*IF($C65="売",1-$AX$3,1+$AX$3)&lt;=3000,1,IF($F65*IF($C65="売",1-$AX$3,1+$AX$3)&lt;=5000,5,IF($F65*IF($C65="売",1-$AX$3,1+$AX$3)&lt;=30000,10,IF($F65*IF($C65="売",1-$AX$3,1+$AX$3)&lt;=50000,50,IF($F65*IF($C65="売",1-$AX$3,1+$AX$3)&lt;=300000,100,500))))))))</f>
      </c>
      <c r="N65" s="491" t="str">
        <f>IF($F65="","",IF($C65="売",CEILING($F65*IF($C65="売",1+$AX$2,1-$AX$2),IF($F65*IF($C65="売",1+$AX$2,1-$AX$2)&lt;=3000,1,IF($F65*IF($C65="売",1+$AX$2,1-$AX$2)&lt;=5000,5,IF($F65*IF($C65="売",1+$AX$2,1-$AX$2)&lt;=30000,10,IF($F65*IF($C65="売",1+$AX$2,1-$AX$2)&lt;=50000,50,IF($F65*IF($C65="売",1+$AX$2,1-$AX$2)&lt;=300000,100,500)))))),FLOOR($F65*IF($C65="売",1+$AX$2,1-$AX$2),IF($F65*IF($C65="売",1+$AX$2,1-$AX$2)&lt;=3000,1,IF($F65*IF($C65="売",1+$AX$2,1-$AX$2)&lt;=5000,5,IF($F65*IF($C65="売",1+$AX$2,1-$AX$2)&lt;=30000,10,IF($F65*IF($C65="売",1+$AX$2,1-$AX$2)&lt;=50000,50,IF($F65*IF($C65="売",1+$AX$2,1-$AX$2)&lt;=300000,100,500))))))))</f>
      </c>
      <c r="O65" s="492" t="str">
        <f>IF(OR($B65="",$F65="",$H65=""),"",IF($S65="✅売却済","―決済済―",IF($C65="売",IF($H65&lt;=$M65,"🟢利確",IF(AND($R65&lt;&gt;"",$H65&gt;=$R65),"🟠TRAIL決済",IF($H65&gt;=$N65,"🔴損切",IF($W65&gt;=$AX$5,"⏱時間決済",IF($H65&gt;=$F65*(1+$AX$2*0.7),"⚠️損切接近","保持継続"))))),IF($H65&gt;=$M65,"🟢利確",IF(AND($R65&lt;&gt;"",$H65&lt;=$R65),"🟠TRAIL決済",IF($H65&lt;=$N65,"🔴損切",IF($W65&gt;=$AX$5,"⏱時間決済",IF($H65&lt;=$F65*(1-$AX$2*0.7),"⚠️損切接近","保持継続")))))))</f>
      </c>
      <c r="P65" s="491"/>
      <c r="Q65" s="491"/>
      <c r="R65" s="491" t="str">
        <f>IF(OR($F65="",$H65="",$N65=""),"",IF($S65="✅売却済","",IF($C65="売",IF($H65&gt;$F65*(1-$AX$2),$N65,CEILING(MIN($N65,IF($Q65="",$N65,$Q65*1.03)),IF($N65&lt;=3000,1,IF($N65&lt;=5000,5,IF($N65&lt;=30000,10,IF($N65&lt;=50000,50,IF($N65&lt;=300000,100,500))))))),IF($H65&lt;$F65*(1+$AX$2),$N65,FLOOR(MAX($N65,IF($P65="",$N65,$P65*0.97)),IF($N65&lt;=3000,1,IF($N65&lt;=5000,5,IF($N65&lt;=30000,10,IF($N65&lt;=50000,50,IF($N65&lt;=300000,100,500))))))))))</f>
      </c>
      <c r="S65" s="586" t="str">
        <f>IF(B65="","",IF(T65&lt;&gt;"","✅売却済",IF(OR(H65="",L65=""),"📌保有中",IF(L65&gt;=0.06,"🟢利確推奨",IF(L65&gt;=0.05,"🟡利確直近",IF(L65&gt;=0.045,"🔵トレーリング検討",IF(L65&gt;-0.03,"📌保有中",IF(L65&gt;-0.04,"⚠️損切注意","🔴損切り"))))))))</f>
        <v/>
      </c>
      <c r="T65" s="594"/>
      <c r="U65" s="491"/>
      <c r="V65" s="701" t="str">
        <f>IF(OR(F65="",G65="",U65=""),"",IF(C65="売",(F65-U65)*G65,(U65-F65)*G65))</f>
        <v/>
      </c>
      <c r="W65" s="493" t="str">
        <f>IF(OR($E65="",$B65=""),"",IF($T65&lt;&gt;"",$T65-$E65,TODAY()-$E65)+1)</f>
        <v/>
      </c>
      <c r="X65" s="489" t="str">
        <f>IF(OR($AH65="",$AH65="保有中"),"",$AH65)</f>
        <v/>
      </c>
      <c r="Y65" s="488">
        <f>IF($B65="","",IF(COUNTIFS($B$4:$B65,$B65,$C$4:$C65,$C65)&gt;1,"⛔重複"&amp;COUNTIFS($B$4:$B65,$B65,$C$4:$C65,$C65)&amp;"回目",""))</f>
      </c>
      <c r="Z65" s="710"/>
      <c r="AB65">
        <f>IF($F65="","",MAX(100,ROUNDDOWN($AX$4/($F65*$AX$2)/100,0)*100))</f>
      </c>
      <c r="AC65">
        <f>IF(OR($F65="",$G65="",$U65=""),"",ROUND($V65-($F65+$U65)*$G65*$AX$6-IF($C65="売",$F65*$G65*$AX$7*$W65/365,0),0))</f>
      </c>
      <c r="AD65" s="608"/>
      <c r="AE65" s="624" t="str">
        <f>IF($E65="","",WORKDAY($E65,12))</f>
        <v/>
      </c>
      <c r="AF65" s="626"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26"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0" t="str">
        <f>IF(OR($B65="",$M65=""),"",IF(AND(N($AF65)=0,N($AG65)=0),IF(AND(ISNUMBER($H65),$H65&gt;0,IF($C65="売",$H65&gt;=$N65,$H65&lt;=$N65)),"損切確定",IF(AND(ISNUMBER($H65),$H65&gt;0,IF($C65="売",$H65&lt;=$M65,$H65&gt;=$M65)),"利益確定",IF($AE65&lt;=TODAY(),"日数制限","保有中"))),IF(N($AG65)=0,"利益確定",IF(N($AF65)=0,"損切確定",IF($AG65&lt;=$AF65,"損切確定","利益確定")))))</f>
        <v/>
      </c>
      <c r="AI65" s="600" t="str" cm="1">
        <f t="array" ref="AI65">IFERROR(INDEX(始値!$E$6:$BT$305,MATCH(TEXT($B65,"0"),TEXT(銘柄管理!$B$6:$B$305,"0"),0),MATCH($AE65,始値!$E$3:$BT$3,0)),"")</f>
        <v/>
      </c>
      <c r="AJ65" s="905" t="str">
        <f>IF(OR($V65="",$F65="",$G65=""),"",$V65/($F65*$G65))</f>
        <v/>
      </c>
      <c r="AK65" s="629" t="str">
        <f>IF($V65="","",IF($V65&gt;0,"○勝",IF($V65&lt;0,"●負","△引分")))</f>
        <v/>
      </c>
    </row>
    <row r="66" spans="1:37" ht="35.4" customHeight="1">
      <c r="A66" s="619" t="str">
        <f>IF(B66="","",HYPERLINK("https://kabutan.jp/stock/?code="&amp;B66,"株探"))</f>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BT$3,0)=1,1,MATCH($E66,始値!$E$3:$BT$3,0)+1)),_xlpm.v,INDEX(始値!$C$6:$B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IF(OR(F66="",G66="",H66=""),"",IF(C66="売",(F66-H66)*G66,(H66-F66)*G66))</f>
        <v/>
      </c>
      <c r="L66" s="706" t="str">
        <f>IF(OR(F66="",H66=""),"",IF(C66="売",(F66-H66)/F66,(H66-F66)/F66))</f>
        <v/>
      </c>
      <c r="M66" s="491" t="str">
        <f>IF($F66="","",IF($C66="売",CEILING($F66*IF($C66="売",1-$AX$3,1+$AX$3),IF($F66*IF($C66="売",1-$AX$3,1+$AX$3)&lt;=3000,1,IF($F66*IF($C66="売",1-$AX$3,1+$AX$3)&lt;=5000,5,IF($F66*IF($C66="売",1-$AX$3,1+$AX$3)&lt;=30000,10,IF($F66*IF($C66="売",1-$AX$3,1+$AX$3)&lt;=50000,50,IF($F66*IF($C66="売",1-$AX$3,1+$AX$3)&lt;=300000,100,500)))))),FLOOR($F66*IF($C66="売",1-$AX$3,1+$AX$3),IF($F66*IF($C66="売",1-$AX$3,1+$AX$3)&lt;=3000,1,IF($F66*IF($C66="売",1-$AX$3,1+$AX$3)&lt;=5000,5,IF($F66*IF($C66="売",1-$AX$3,1+$AX$3)&lt;=30000,10,IF($F66*IF($C66="売",1-$AX$3,1+$AX$3)&lt;=50000,50,IF($F66*IF($C66="売",1-$AX$3,1+$AX$3)&lt;=300000,100,500))))))))</f>
      </c>
      <c r="N66" s="491" t="str">
        <f>IF($F66="","",IF($C66="売",CEILING($F66*IF($C66="売",1+$AX$2,1-$AX$2),IF($F66*IF($C66="売",1+$AX$2,1-$AX$2)&lt;=3000,1,IF($F66*IF($C66="売",1+$AX$2,1-$AX$2)&lt;=5000,5,IF($F66*IF($C66="売",1+$AX$2,1-$AX$2)&lt;=30000,10,IF($F66*IF($C66="売",1+$AX$2,1-$AX$2)&lt;=50000,50,IF($F66*IF($C66="売",1+$AX$2,1-$AX$2)&lt;=300000,100,500)))))),FLOOR($F66*IF($C66="売",1+$AX$2,1-$AX$2),IF($F66*IF($C66="売",1+$AX$2,1-$AX$2)&lt;=3000,1,IF($F66*IF($C66="売",1+$AX$2,1-$AX$2)&lt;=5000,5,IF($F66*IF($C66="売",1+$AX$2,1-$AX$2)&lt;=30000,10,IF($F66*IF($C66="売",1+$AX$2,1-$AX$2)&lt;=50000,50,IF($F66*IF($C66="売",1+$AX$2,1-$AX$2)&lt;=300000,100,500))))))))</f>
      </c>
      <c r="O66" s="492" t="str">
        <f>IF(OR($B66="",$F66="",$H66=""),"",IF($S66="✅売却済","―決済済―",IF($C66="売",IF($H66&lt;=$M66,"🟢利確",IF(AND($R66&lt;&gt;"",$H66&gt;=$R66),"🟠TRAIL決済",IF($H66&gt;=$N66,"🔴損切",IF($W66&gt;=$AX$5,"⏱時間決済",IF($H66&gt;=$F66*(1+$AX$2*0.7),"⚠️損切接近","保持継続"))))),IF($H66&gt;=$M66,"🟢利確",IF(AND($R66&lt;&gt;"",$H66&lt;=$R66),"🟠TRAIL決済",IF($H66&lt;=$N66,"🔴損切",IF($W66&gt;=$AX$5,"⏱時間決済",IF($H66&lt;=$F66*(1-$AX$2*0.7),"⚠️損切接近","保持継続")))))))</f>
      </c>
      <c r="P66" s="491"/>
      <c r="Q66" s="491"/>
      <c r="R66" s="491" t="str">
        <f>IF(OR($F66="",$H66="",$N66=""),"",IF($S66="✅売却済","",IF($C66="売",IF($H66&gt;$F66*(1-$AX$2),$N66,CEILING(MIN($N66,IF($Q66="",$N66,$Q66*1.03)),IF($N66&lt;=3000,1,IF($N66&lt;=5000,5,IF($N66&lt;=30000,10,IF($N66&lt;=50000,50,IF($N66&lt;=300000,100,500))))))),IF($H66&lt;$F66*(1+$AX$2),$N66,FLOOR(MAX($N66,IF($P66="",$N66,$P66*0.97)),IF($N66&lt;=3000,1,IF($N66&lt;=5000,5,IF($N66&lt;=30000,10,IF($N66&lt;=50000,50,IF($N66&lt;=300000,100,500))))))))))</f>
      </c>
      <c r="S66" s="586" t="str">
        <f>IF(B66="","",IF(T66&lt;&gt;"","✅売却済",IF(OR(H66="",L66=""),"📌保有中",IF(L66&gt;=0.06,"🟢利確推奨",IF(L66&gt;=0.05,"🟡利確直近",IF(L66&gt;=0.045,"🔵トレーリング検討",IF(L66&gt;-0.03,"📌保有中",IF(L66&gt;-0.04,"⚠️損切注意","🔴損切り"))))))))</f>
        <v/>
      </c>
      <c r="T66" s="594"/>
      <c r="U66" s="491"/>
      <c r="V66" s="701" t="str">
        <f>IF(OR(F66="",G66="",U66=""),"",IF(C66="売",(F66-U66)*G66,(U66-F66)*G66))</f>
        <v/>
      </c>
      <c r="W66" s="493" t="str">
        <f>IF(OR($E66="",$B66=""),"",IF($T66&lt;&gt;"",$T66-$E66,TODAY()-$E66)+1)</f>
        <v/>
      </c>
      <c r="X66" s="489" t="str">
        <f>IF(OR($AH66="",$AH66="保有中"),"",$AH66)</f>
        <v/>
      </c>
      <c r="Y66" s="488">
        <f>IF($B66="","",IF(COUNTIFS($B$4:$B66,$B66,$C$4:$C66,$C66)&gt;1,"⛔重複"&amp;COUNTIFS($B$4:$B66,$B66,$C$4:$C66,$C66)&amp;"回目",""))</f>
      </c>
      <c r="Z66" s="710"/>
      <c r="AB66">
        <f>IF($F66="","",MAX(100,ROUNDDOWN($AX$4/($F66*$AX$2)/100,0)*100))</f>
      </c>
      <c r="AC66">
        <f>IF(OR($F66="",$G66="",$U66=""),"",ROUND($V66-($F66+$U66)*$G66*$AX$6-IF($C66="売",$F66*$G66*$AX$7*$W66/365,0),0))</f>
      </c>
      <c r="AD66" s="608"/>
      <c r="AE66" s="624" t="str">
        <f>IF($E66="","",WORKDAY($E66,12))</f>
        <v/>
      </c>
      <c r="AF66" s="626"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26"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0" t="str">
        <f>IF(OR($B66="",$M66=""),"",IF(AND(N($AF66)=0,N($AG66)=0),IF(AND(ISNUMBER($H66),$H66&gt;0,IF($C66="売",$H66&gt;=$N66,$H66&lt;=$N66)),"損切確定",IF(AND(ISNUMBER($H66),$H66&gt;0,IF($C66="売",$H66&lt;=$M66,$H66&gt;=$M66)),"利益確定",IF($AE66&lt;=TODAY(),"日数制限","保有中"))),IF(N($AG66)=0,"利益確定",IF(N($AF66)=0,"損切確定",IF($AG66&lt;=$AF66,"損切確定","利益確定")))))</f>
        <v/>
      </c>
      <c r="AI66" s="600" t="str" cm="1">
        <f t="array" ref="AI66">IFERROR(INDEX(始値!$E$6:$BT$305,MATCH(TEXT($B66,"0"),TEXT(銘柄管理!$B$6:$B$305,"0"),0),MATCH($AE66,始値!$E$3:$BT$3,0)),"")</f>
        <v/>
      </c>
      <c r="AJ66" s="905" t="str">
        <f>IF(OR($V66="",$F66="",$G66=""),"",$V66/($F66*$G66))</f>
        <v/>
      </c>
      <c r="AK66" s="629" t="str">
        <f>IF($V66="","",IF($V66&gt;0,"○勝",IF($V66&lt;0,"●負","△引分")))</f>
        <v/>
      </c>
    </row>
    <row r="67" spans="1:37" ht="35.4" customHeight="1">
      <c r="A67" s="619" t="str">
        <f>IF(B67="","",HYPERLINK("https://kabutan.jp/stock/?code="&amp;B67,"株探"))</f>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BT$3,0)=1,1,MATCH($E67,始値!$E$3:$BT$3,0)+1)),_xlpm.v,INDEX(始値!$C$6:$B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IF(OR(F67="",G67="",H67=""),"",IF(C67="売",(F67-H67)*G67,(H67-F67)*G67))</f>
        <v/>
      </c>
      <c r="L67" s="706" t="str">
        <f>IF(OR(F67="",H67=""),"",IF(C67="売",(F67-H67)/F67,(H67-F67)/F67))</f>
        <v/>
      </c>
      <c r="M67" s="491" t="str">
        <f>IF($F67="","",IF($C67="売",CEILING($F67*IF($C67="売",1-$AX$3,1+$AX$3),IF($F67*IF($C67="売",1-$AX$3,1+$AX$3)&lt;=3000,1,IF($F67*IF($C67="売",1-$AX$3,1+$AX$3)&lt;=5000,5,IF($F67*IF($C67="売",1-$AX$3,1+$AX$3)&lt;=30000,10,IF($F67*IF($C67="売",1-$AX$3,1+$AX$3)&lt;=50000,50,IF($F67*IF($C67="売",1-$AX$3,1+$AX$3)&lt;=300000,100,500)))))),FLOOR($F67*IF($C67="売",1-$AX$3,1+$AX$3),IF($F67*IF($C67="売",1-$AX$3,1+$AX$3)&lt;=3000,1,IF($F67*IF($C67="売",1-$AX$3,1+$AX$3)&lt;=5000,5,IF($F67*IF($C67="売",1-$AX$3,1+$AX$3)&lt;=30000,10,IF($F67*IF($C67="売",1-$AX$3,1+$AX$3)&lt;=50000,50,IF($F67*IF($C67="売",1-$AX$3,1+$AX$3)&lt;=300000,100,500))))))))</f>
      </c>
      <c r="N67" s="491" t="str">
        <f>IF($F67="","",IF($C67="売",CEILING($F67*IF($C67="売",1+$AX$2,1-$AX$2),IF($F67*IF($C67="売",1+$AX$2,1-$AX$2)&lt;=3000,1,IF($F67*IF($C67="売",1+$AX$2,1-$AX$2)&lt;=5000,5,IF($F67*IF($C67="売",1+$AX$2,1-$AX$2)&lt;=30000,10,IF($F67*IF($C67="売",1+$AX$2,1-$AX$2)&lt;=50000,50,IF($F67*IF($C67="売",1+$AX$2,1-$AX$2)&lt;=300000,100,500)))))),FLOOR($F67*IF($C67="売",1+$AX$2,1-$AX$2),IF($F67*IF($C67="売",1+$AX$2,1-$AX$2)&lt;=3000,1,IF($F67*IF($C67="売",1+$AX$2,1-$AX$2)&lt;=5000,5,IF($F67*IF($C67="売",1+$AX$2,1-$AX$2)&lt;=30000,10,IF($F67*IF($C67="売",1+$AX$2,1-$AX$2)&lt;=50000,50,IF($F67*IF($C67="売",1+$AX$2,1-$AX$2)&lt;=300000,100,500))))))))</f>
      </c>
      <c r="O67" s="492" t="str">
        <f>IF(OR($B67="",$F67="",$H67=""),"",IF($S67="✅売却済","―決済済―",IF($C67="売",IF($H67&lt;=$M67,"🟢利確",IF(AND($R67&lt;&gt;"",$H67&gt;=$R67),"🟠TRAIL決済",IF($H67&gt;=$N67,"🔴損切",IF($W67&gt;=$AX$5,"⏱時間決済",IF($H67&gt;=$F67*(1+$AX$2*0.7),"⚠️損切接近","保持継続"))))),IF($H67&gt;=$M67,"🟢利確",IF(AND($R67&lt;&gt;"",$H67&lt;=$R67),"🟠TRAIL決済",IF($H67&lt;=$N67,"🔴損切",IF($W67&gt;=$AX$5,"⏱時間決済",IF($H67&lt;=$F67*(1-$AX$2*0.7),"⚠️損切接近","保持継続")))))))</f>
      </c>
      <c r="P67" s="491"/>
      <c r="Q67" s="491"/>
      <c r="R67" s="491" t="str">
        <f>IF(OR($F67="",$H67="",$N67=""),"",IF($S67="✅売却済","",IF($C67="売",IF($H67&gt;$F67*(1-$AX$2),$N67,CEILING(MIN($N67,IF($Q67="",$N67,$Q67*1.03)),IF($N67&lt;=3000,1,IF($N67&lt;=5000,5,IF($N67&lt;=30000,10,IF($N67&lt;=50000,50,IF($N67&lt;=300000,100,500))))))),IF($H67&lt;$F67*(1+$AX$2),$N67,FLOOR(MAX($N67,IF($P67="",$N67,$P67*0.97)),IF($N67&lt;=3000,1,IF($N67&lt;=5000,5,IF($N67&lt;=30000,10,IF($N67&lt;=50000,50,IF($N67&lt;=300000,100,500))))))))))</f>
      </c>
      <c r="S67" s="586" t="str">
        <f>IF(B67="","",IF(T67&lt;&gt;"","✅売却済",IF(OR(H67="",L67=""),"📌保有中",IF(L67&gt;=0.06,"🟢利確推奨",IF(L67&gt;=0.05,"🟡利確直近",IF(L67&gt;=0.045,"🔵トレーリング検討",IF(L67&gt;-0.03,"📌保有中",IF(L67&gt;-0.04,"⚠️損切注意","🔴損切り"))))))))</f>
        <v/>
      </c>
      <c r="T67" s="594"/>
      <c r="U67" s="491"/>
      <c r="V67" s="701" t="str">
        <f>IF(OR(F67="",G67="",U67=""),"",IF(C67="売",(F67-U67)*G67,(U67-F67)*G67))</f>
        <v/>
      </c>
      <c r="W67" s="493" t="str">
        <f>IF(OR($E67="",$B67=""),"",IF($T67&lt;&gt;"",$T67-$E67,TODAY()-$E67)+1)</f>
        <v/>
      </c>
      <c r="X67" s="489" t="str">
        <f>IF(OR($AH67="",$AH67="保有中"),"",$AH67)</f>
        <v/>
      </c>
      <c r="Y67" s="488">
        <f>IF($B67="","",IF(COUNTIFS($B$4:$B67,$B67,$C$4:$C67,$C67)&gt;1,"⛔重複"&amp;COUNTIFS($B$4:$B67,$B67,$C$4:$C67,$C67)&amp;"回目",""))</f>
      </c>
      <c r="Z67" s="710"/>
      <c r="AB67">
        <f>IF($F67="","",MAX(100,ROUNDDOWN($AX$4/($F67*$AX$2)/100,0)*100))</f>
      </c>
      <c r="AC67">
        <f>IF(OR($F67="",$G67="",$U67=""),"",ROUND($V67-($F67+$U67)*$G67*$AX$6-IF($C67="売",$F67*$G67*$AX$7*$W67/365,0),0))</f>
      </c>
      <c r="AD67" s="608"/>
      <c r="AE67" s="624" t="str">
        <f>IF($E67="","",WORKDAY($E67,12))</f>
        <v/>
      </c>
      <c r="AF67" s="626"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26"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0" t="str">
        <f>IF(OR($B67="",$M67=""),"",IF(AND(N($AF67)=0,N($AG67)=0),IF(AND(ISNUMBER($H67),$H67&gt;0,IF($C67="売",$H67&gt;=$N67,$H67&lt;=$N67)),"損切確定",IF(AND(ISNUMBER($H67),$H67&gt;0,IF($C67="売",$H67&lt;=$M67,$H67&gt;=$M67)),"利益確定",IF($AE67&lt;=TODAY(),"日数制限","保有中"))),IF(N($AG67)=0,"利益確定",IF(N($AF67)=0,"損切確定",IF($AG67&lt;=$AF67,"損切確定","利益確定")))))</f>
        <v/>
      </c>
      <c r="AI67" s="600" t="str" cm="1">
        <f t="array" ref="AI67">IFERROR(INDEX(始値!$E$6:$BT$305,MATCH(TEXT($B67,"0"),TEXT(銘柄管理!$B$6:$B$305,"0"),0),MATCH($AE67,始値!$E$3:$BT$3,0)),"")</f>
        <v/>
      </c>
      <c r="AJ67" s="905" t="str">
        <f>IF(OR($V67="",$F67="",$G67=""),"",$V67/($F67*$G67))</f>
        <v/>
      </c>
      <c r="AK67" s="629" t="str">
        <f>IF($V67="","",IF($V67&gt;0,"○勝",IF($V67&lt;0,"●負","△引分")))</f>
        <v/>
      </c>
    </row>
    <row r="68" spans="1:37" ht="35.4" customHeight="1">
      <c r="A68" s="619" t="str">
        <f>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BT$3,0)=1,1,MATCH($E68,始値!$E$3:$BT$3,0)+1)),_xlpm.v,INDEX(始値!$C$6:$B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IF(OR(F68="",G68="",H68=""),"",IF(C68="売",(F68-H68)*G68,(H68-F68)*G68))</f>
        <v/>
      </c>
      <c r="L68" s="706" t="str">
        <f>IF(OR(F68="",H68=""),"",IF(C68="売",(F68-H68)/F68,(H68-F68)/F68))</f>
        <v/>
      </c>
      <c r="M68" s="491" t="str">
        <f>IF($F68="","",IF($C68="売",CEILING($F68*IF($C68="売",1-$AX$3,1+$AX$3),IF($F68*IF($C68="売",1-$AX$3,1+$AX$3)&lt;=3000,1,IF($F68*IF($C68="売",1-$AX$3,1+$AX$3)&lt;=5000,5,IF($F68*IF($C68="売",1-$AX$3,1+$AX$3)&lt;=30000,10,IF($F68*IF($C68="売",1-$AX$3,1+$AX$3)&lt;=50000,50,IF($F68*IF($C68="売",1-$AX$3,1+$AX$3)&lt;=300000,100,500)))))),FLOOR($F68*IF($C68="売",1-$AX$3,1+$AX$3),IF($F68*IF($C68="売",1-$AX$3,1+$AX$3)&lt;=3000,1,IF($F68*IF($C68="売",1-$AX$3,1+$AX$3)&lt;=5000,5,IF($F68*IF($C68="売",1-$AX$3,1+$AX$3)&lt;=30000,10,IF($F68*IF($C68="売",1-$AX$3,1+$AX$3)&lt;=50000,50,IF($F68*IF($C68="売",1-$AX$3,1+$AX$3)&lt;=300000,100,500))))))))</f>
      </c>
      <c r="N68" s="491" t="str">
        <f>IF($F68="","",IF($C68="売",CEILING($F68*IF($C68="売",1+$AX$2,1-$AX$2),IF($F68*IF($C68="売",1+$AX$2,1-$AX$2)&lt;=3000,1,IF($F68*IF($C68="売",1+$AX$2,1-$AX$2)&lt;=5000,5,IF($F68*IF($C68="売",1+$AX$2,1-$AX$2)&lt;=30000,10,IF($F68*IF($C68="売",1+$AX$2,1-$AX$2)&lt;=50000,50,IF($F68*IF($C68="売",1+$AX$2,1-$AX$2)&lt;=300000,100,500)))))),FLOOR($F68*IF($C68="売",1+$AX$2,1-$AX$2),IF($F68*IF($C68="売",1+$AX$2,1-$AX$2)&lt;=3000,1,IF($F68*IF($C68="売",1+$AX$2,1-$AX$2)&lt;=5000,5,IF($F68*IF($C68="売",1+$AX$2,1-$AX$2)&lt;=30000,10,IF($F68*IF($C68="売",1+$AX$2,1-$AX$2)&lt;=50000,50,IF($F68*IF($C68="売",1+$AX$2,1-$AX$2)&lt;=300000,100,500))))))))</f>
      </c>
      <c r="O68" s="492" t="str">
        <f>IF(OR($B68="",$F68="",$H68=""),"",IF($S68="✅売却済","―決済済―",IF($C68="売",IF($H68&lt;=$M68,"🟢利確",IF(AND($R68&lt;&gt;"",$H68&gt;=$R68),"🟠TRAIL決済",IF($H68&gt;=$N68,"🔴損切",IF($W68&gt;=$AX$5,"⏱時間決済",IF($H68&gt;=$F68*(1+$AX$2*0.7),"⚠️損切接近","保持継続"))))),IF($H68&gt;=$M68,"🟢利確",IF(AND($R68&lt;&gt;"",$H68&lt;=$R68),"🟠TRAIL決済",IF($H68&lt;=$N68,"🔴損切",IF($W68&gt;=$AX$5,"⏱時間決済",IF($H68&lt;=$F68*(1-$AX$2*0.7),"⚠️損切接近","保持継続")))))))</f>
      </c>
      <c r="P68" s="491"/>
      <c r="Q68" s="491"/>
      <c r="R68" s="491" t="str">
        <f>IF(OR($F68="",$H68="",$N68=""),"",IF($S68="✅売却済","",IF($C68="売",IF($H68&gt;$F68*(1-$AX$2),$N68,CEILING(MIN($N68,IF($Q68="",$N68,$Q68*1.03)),IF($N68&lt;=3000,1,IF($N68&lt;=5000,5,IF($N68&lt;=30000,10,IF($N68&lt;=50000,50,IF($N68&lt;=300000,100,500))))))),IF($H68&lt;$F68*(1+$AX$2),$N68,FLOOR(MAX($N68,IF($P68="",$N68,$P68*0.97)),IF($N68&lt;=3000,1,IF($N68&lt;=5000,5,IF($N68&lt;=30000,10,IF($N68&lt;=50000,50,IF($N68&lt;=300000,100,500))))))))))</f>
      </c>
      <c r="S68" s="586" t="str">
        <f>IF(B68="","",IF(T68&lt;&gt;"","✅売却済",IF(OR(H68="",L68=""),"📌保有中",IF(L68&gt;=0.06,"🟢利確推奨",IF(L68&gt;=0.05,"🟡利確直近",IF(L68&gt;=0.045,"🔵トレーリング検討",IF(L68&gt;-0.03,"📌保有中",IF(L68&gt;-0.04,"⚠️損切注意","🔴損切り"))))))))</f>
        <v/>
      </c>
      <c r="T68" s="594"/>
      <c r="U68" s="491"/>
      <c r="V68" s="701" t="str">
        <f>IF(OR(F68="",G68="",U68=""),"",IF(C68="売",(F68-U68)*G68,(U68-F68)*G68))</f>
        <v/>
      </c>
      <c r="W68" s="493" t="str">
        <f>IF(OR($E68="",$B68=""),"",IF($T68&lt;&gt;"",$T68-$E68,TODAY()-$E68)+1)</f>
        <v/>
      </c>
      <c r="X68" s="489" t="str">
        <f>IF(OR($AH68="",$AH68="保有中"),"",$AH68)</f>
        <v/>
      </c>
      <c r="Y68" s="488">
        <f>IF($B68="","",IF(COUNTIFS($B$4:$B68,$B68,$C$4:$C68,$C68)&gt;1,"⛔重複"&amp;COUNTIFS($B$4:$B68,$B68,$C$4:$C68,$C68)&amp;"回目",""))</f>
      </c>
      <c r="Z68" s="710"/>
      <c r="AB68">
        <f>IF($F68="","",MAX(100,ROUNDDOWN($AX$4/($F68*$AX$2)/100,0)*100))</f>
      </c>
      <c r="AC68">
        <f>IF(OR($F68="",$G68="",$U68=""),"",ROUND($V68-($F68+$U68)*$G68*$AX$6-IF($C68="売",$F68*$G68*$AX$7*$W68/365,0),0))</f>
      </c>
      <c r="AD68" s="608"/>
      <c r="AE68" s="624" t="str">
        <f>IF($E68="","",WORKDAY($E68,12))</f>
        <v/>
      </c>
      <c r="AF68" s="626"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26"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0" t="str">
        <f>IF(OR($B68="",$M68=""),"",IF(AND(N($AF68)=0,N($AG68)=0),IF(AND(ISNUMBER($H68),$H68&gt;0,IF($C68="売",$H68&gt;=$N68,$H68&lt;=$N68)),"損切確定",IF(AND(ISNUMBER($H68),$H68&gt;0,IF($C68="売",$H68&lt;=$M68,$H68&gt;=$M68)),"利益確定",IF($AE68&lt;=TODAY(),"日数制限","保有中"))),IF(N($AG68)=0,"利益確定",IF(N($AF68)=0,"損切確定",IF($AG68&lt;=$AF68,"損切確定","利益確定")))))</f>
        <v/>
      </c>
      <c r="AI68" s="600" t="str" cm="1">
        <f t="array" ref="AI68">IFERROR(INDEX(始値!$E$6:$BT$305,MATCH(TEXT($B68,"0"),TEXT(銘柄管理!$B$6:$B$305,"0"),0),MATCH($AE68,始値!$E$3:$BT$3,0)),"")</f>
        <v/>
      </c>
      <c r="AJ68" s="905" t="str">
        <f>IF(OR($V68="",$F68="",$G68=""),"",$V68/($F68*$G68))</f>
        <v/>
      </c>
      <c r="AK68" s="629" t="str">
        <f>IF($V68="","",IF($V68&gt;0,"○勝",IF($V68&lt;0,"●負","△引分")))</f>
        <v/>
      </c>
    </row>
    <row r="69" spans="1:37" ht="35.4" customHeight="1">
      <c r="A69" s="619" t="str">
        <f>IF(B69="","",HYPERLINK("https://kabutan.jp/stock/?code="&amp;B69,"株探"))</f>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BT$3,0)=1,1,MATCH($E69,始値!$E$3:$BT$3,0)+1)),_xlpm.v,INDEX(始値!$C$6:$B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IF(OR(F69="",G69="",H69=""),"",IF(C69="売",(F69-H69)*G69,(H69-F69)*G69))</f>
        <v/>
      </c>
      <c r="L69" s="706" t="str">
        <f>IF(OR(F69="",H69=""),"",IF(C69="売",(F69-H69)/F69,(H69-F69)/F69))</f>
        <v/>
      </c>
      <c r="M69" s="491" t="str">
        <f>IF($F69="","",IF($C69="売",CEILING($F69*IF($C69="売",1-$AX$3,1+$AX$3),IF($F69*IF($C69="売",1-$AX$3,1+$AX$3)&lt;=3000,1,IF($F69*IF($C69="売",1-$AX$3,1+$AX$3)&lt;=5000,5,IF($F69*IF($C69="売",1-$AX$3,1+$AX$3)&lt;=30000,10,IF($F69*IF($C69="売",1-$AX$3,1+$AX$3)&lt;=50000,50,IF($F69*IF($C69="売",1-$AX$3,1+$AX$3)&lt;=300000,100,500)))))),FLOOR($F69*IF($C69="売",1-$AX$3,1+$AX$3),IF($F69*IF($C69="売",1-$AX$3,1+$AX$3)&lt;=3000,1,IF($F69*IF($C69="売",1-$AX$3,1+$AX$3)&lt;=5000,5,IF($F69*IF($C69="売",1-$AX$3,1+$AX$3)&lt;=30000,10,IF($F69*IF($C69="売",1-$AX$3,1+$AX$3)&lt;=50000,50,IF($F69*IF($C69="売",1-$AX$3,1+$AX$3)&lt;=300000,100,500))))))))</f>
      </c>
      <c r="N69" s="491" t="str">
        <f>IF($F69="","",IF($C69="売",CEILING($F69*IF($C69="売",1+$AX$2,1-$AX$2),IF($F69*IF($C69="売",1+$AX$2,1-$AX$2)&lt;=3000,1,IF($F69*IF($C69="売",1+$AX$2,1-$AX$2)&lt;=5000,5,IF($F69*IF($C69="売",1+$AX$2,1-$AX$2)&lt;=30000,10,IF($F69*IF($C69="売",1+$AX$2,1-$AX$2)&lt;=50000,50,IF($F69*IF($C69="売",1+$AX$2,1-$AX$2)&lt;=300000,100,500)))))),FLOOR($F69*IF($C69="売",1+$AX$2,1-$AX$2),IF($F69*IF($C69="売",1+$AX$2,1-$AX$2)&lt;=3000,1,IF($F69*IF($C69="売",1+$AX$2,1-$AX$2)&lt;=5000,5,IF($F69*IF($C69="売",1+$AX$2,1-$AX$2)&lt;=30000,10,IF($F69*IF($C69="売",1+$AX$2,1-$AX$2)&lt;=50000,50,IF($F69*IF($C69="売",1+$AX$2,1-$AX$2)&lt;=300000,100,500))))))))</f>
      </c>
      <c r="O69" s="492" t="str">
        <f>IF(OR($B69="",$F69="",$H69=""),"",IF($S69="✅売却済","―決済済―",IF($C69="売",IF($H69&lt;=$M69,"🟢利確",IF(AND($R69&lt;&gt;"",$H69&gt;=$R69),"🟠TRAIL決済",IF($H69&gt;=$N69,"🔴損切",IF($W69&gt;=$AX$5,"⏱時間決済",IF($H69&gt;=$F69*(1+$AX$2*0.7),"⚠️損切接近","保持継続"))))),IF($H69&gt;=$M69,"🟢利確",IF(AND($R69&lt;&gt;"",$H69&lt;=$R69),"🟠TRAIL決済",IF($H69&lt;=$N69,"🔴損切",IF($W69&gt;=$AX$5,"⏱時間決済",IF($H69&lt;=$F69*(1-$AX$2*0.7),"⚠️損切接近","保持継続")))))))</f>
      </c>
      <c r="P69" s="491"/>
      <c r="Q69" s="491"/>
      <c r="R69" s="491" t="str">
        <f>IF(OR($F69="",$H69="",$N69=""),"",IF($S69="✅売却済","",IF($C69="売",IF($H69&gt;$F69*(1-$AX$2),$N69,CEILING(MIN($N69,IF($Q69="",$N69,$Q69*1.03)),IF($N69&lt;=3000,1,IF($N69&lt;=5000,5,IF($N69&lt;=30000,10,IF($N69&lt;=50000,50,IF($N69&lt;=300000,100,500))))))),IF($H69&lt;$F69*(1+$AX$2),$N69,FLOOR(MAX($N69,IF($P69="",$N69,$P69*0.97)),IF($N69&lt;=3000,1,IF($N69&lt;=5000,5,IF($N69&lt;=30000,10,IF($N69&lt;=50000,50,IF($N69&lt;=300000,100,500))))))))))</f>
      </c>
      <c r="S69" s="586" t="str">
        <f>IF(B69="","",IF(T69&lt;&gt;"","✅売却済",IF(OR(H69="",L69=""),"📌保有中",IF(L69&gt;=0.06,"🟢利確推奨",IF(L69&gt;=0.05,"🟡利確直近",IF(L69&gt;=0.045,"🔵トレーリング検討",IF(L69&gt;-0.03,"📌保有中",IF(L69&gt;-0.04,"⚠️損切注意","🔴損切り"))))))))</f>
        <v/>
      </c>
      <c r="T69" s="594"/>
      <c r="U69" s="491"/>
      <c r="V69" s="701" t="str">
        <f>IF(OR(F69="",G69="",U69=""),"",IF(C69="売",(F69-U69)*G69,(U69-F69)*G69))</f>
        <v/>
      </c>
      <c r="W69" s="493" t="str">
        <f>IF(OR($E69="",$B69=""),"",IF($T69&lt;&gt;"",$T69-$E69,TODAY()-$E69)+1)</f>
        <v/>
      </c>
      <c r="X69" s="489" t="str">
        <f>IF(OR($AH69="",$AH69="保有中"),"",$AH69)</f>
        <v/>
      </c>
      <c r="Y69" s="488">
        <f>IF($B69="","",IF(COUNTIFS($B$4:$B69,$B69,$C$4:$C69,$C69)&gt;1,"⛔重複"&amp;COUNTIFS($B$4:$B69,$B69,$C$4:$C69,$C69)&amp;"回目",""))</f>
      </c>
      <c r="Z69" s="710"/>
      <c r="AB69">
        <f>IF($F69="","",MAX(100,ROUNDDOWN($AX$4/($F69*$AX$2)/100,0)*100))</f>
      </c>
      <c r="AC69">
        <f>IF(OR($F69="",$G69="",$U69=""),"",ROUND($V69-($F69+$U69)*$G69*$AX$6-IF($C69="売",$F69*$G69*$AX$7*$W69/365,0),0))</f>
      </c>
      <c r="AD69" s="608"/>
      <c r="AE69" s="624" t="str">
        <f>IF($E69="","",WORKDAY($E69,12))</f>
        <v/>
      </c>
      <c r="AF69" s="626"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26"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0" t="str">
        <f>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IFERROR(INDEX(始値!$E$6:$BT$305,MATCH(TEXT($B69,"0"),TEXT(銘柄管理!$B$6:$B$305,"0"),0),MATCH($AE69,始値!$E$3:$BT$3,0)),"")</f>
        <v/>
      </c>
      <c r="AJ69" s="905" t="str">
        <f>IF(OR($V69="",$F69="",$G69=""),"",$V69/($F69*$G69))</f>
        <v/>
      </c>
      <c r="AK69" s="629" t="str">
        <f>IF($V69="","",IF($V69&gt;0,"○勝",IF($V69&lt;0,"●負","△引分")))</f>
        <v/>
      </c>
    </row>
    <row r="70" spans="1:37" ht="35.4" customHeight="1">
      <c r="A70" s="619" t="str">
        <f>IF(B70="","",HYPERLINK("https://kabutan.jp/stock/?code="&amp;B70,"株探"))</f>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BT$3,0)=1,1,MATCH($E70,始値!$E$3:$BT$3,0)+1)),_xlpm.v,INDEX(始値!$C$6:$B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IF(OR(F70="",G70="",H70=""),"",IF(C70="売",(F70-H70)*G70,(H70-F70)*G70))</f>
        <v/>
      </c>
      <c r="L70" s="706" t="str">
        <f>IF(OR(F70="",H70=""),"",IF(C70="売",(F70-H70)/F70,(H70-F70)/F70))</f>
        <v/>
      </c>
      <c r="M70" s="491" t="str">
        <f>IF($F70="","",IF($C70="売",CEILING($F70*IF($C70="売",1-$AX$3,1+$AX$3),IF($F70*IF($C70="売",1-$AX$3,1+$AX$3)&lt;=3000,1,IF($F70*IF($C70="売",1-$AX$3,1+$AX$3)&lt;=5000,5,IF($F70*IF($C70="売",1-$AX$3,1+$AX$3)&lt;=30000,10,IF($F70*IF($C70="売",1-$AX$3,1+$AX$3)&lt;=50000,50,IF($F70*IF($C70="売",1-$AX$3,1+$AX$3)&lt;=300000,100,500)))))),FLOOR($F70*IF($C70="売",1-$AX$3,1+$AX$3),IF($F70*IF($C70="売",1-$AX$3,1+$AX$3)&lt;=3000,1,IF($F70*IF($C70="売",1-$AX$3,1+$AX$3)&lt;=5000,5,IF($F70*IF($C70="売",1-$AX$3,1+$AX$3)&lt;=30000,10,IF($F70*IF($C70="売",1-$AX$3,1+$AX$3)&lt;=50000,50,IF($F70*IF($C70="売",1-$AX$3,1+$AX$3)&lt;=300000,100,500))))))))</f>
      </c>
      <c r="N70" s="491" t="str">
        <f>IF($F70="","",IF($C70="売",CEILING($F70*IF($C70="売",1+$AX$2,1-$AX$2),IF($F70*IF($C70="売",1+$AX$2,1-$AX$2)&lt;=3000,1,IF($F70*IF($C70="売",1+$AX$2,1-$AX$2)&lt;=5000,5,IF($F70*IF($C70="売",1+$AX$2,1-$AX$2)&lt;=30000,10,IF($F70*IF($C70="売",1+$AX$2,1-$AX$2)&lt;=50000,50,IF($F70*IF($C70="売",1+$AX$2,1-$AX$2)&lt;=300000,100,500)))))),FLOOR($F70*IF($C70="売",1+$AX$2,1-$AX$2),IF($F70*IF($C70="売",1+$AX$2,1-$AX$2)&lt;=3000,1,IF($F70*IF($C70="売",1+$AX$2,1-$AX$2)&lt;=5000,5,IF($F70*IF($C70="売",1+$AX$2,1-$AX$2)&lt;=30000,10,IF($F70*IF($C70="売",1+$AX$2,1-$AX$2)&lt;=50000,50,IF($F70*IF($C70="売",1+$AX$2,1-$AX$2)&lt;=300000,100,500))))))))</f>
      </c>
      <c r="O70" s="492" t="str">
        <f>IF(OR($B70="",$F70="",$H70=""),"",IF($S70="✅売却済","―決済済―",IF($C70="売",IF($H70&lt;=$M70,"🟢利確",IF(AND($R70&lt;&gt;"",$H70&gt;=$R70),"🟠TRAIL決済",IF($H70&gt;=$N70,"🔴損切",IF($W70&gt;=$AX$5,"⏱時間決済",IF($H70&gt;=$F70*(1+$AX$2*0.7),"⚠️損切接近","保持継続"))))),IF($H70&gt;=$M70,"🟢利確",IF(AND($R70&lt;&gt;"",$H70&lt;=$R70),"🟠TRAIL決済",IF($H70&lt;=$N70,"🔴損切",IF($W70&gt;=$AX$5,"⏱時間決済",IF($H70&lt;=$F70*(1-$AX$2*0.7),"⚠️損切接近","保持継続")))))))</f>
      </c>
      <c r="P70" s="491"/>
      <c r="Q70" s="491"/>
      <c r="R70" s="491" t="str">
        <f>IF(OR($F70="",$H70="",$N70=""),"",IF($S70="✅売却済","",IF($C70="売",IF($H70&gt;$F70*(1-$AX$2),$N70,CEILING(MIN($N70,IF($Q70="",$N70,$Q70*1.03)),IF($N70&lt;=3000,1,IF($N70&lt;=5000,5,IF($N70&lt;=30000,10,IF($N70&lt;=50000,50,IF($N70&lt;=300000,100,500))))))),IF($H70&lt;$F70*(1+$AX$2),$N70,FLOOR(MAX($N70,IF($P70="",$N70,$P70*0.97)),IF($N70&lt;=3000,1,IF($N70&lt;=5000,5,IF($N70&lt;=30000,10,IF($N70&lt;=50000,50,IF($N70&lt;=300000,100,500))))))))))</f>
      </c>
      <c r="S70" s="586" t="str">
        <f>IF(B70="","",IF(T70&lt;&gt;"","✅売却済",IF(OR(H70="",L70=""),"📌保有中",IF(L70&gt;=0.06,"🟢利確推奨",IF(L70&gt;=0.05,"🟡利確直近",IF(L70&gt;=0.045,"🔵トレーリング検討",IF(L70&gt;-0.03,"📌保有中",IF(L70&gt;-0.04,"⚠️損切注意","🔴損切り"))))))))</f>
        <v/>
      </c>
      <c r="T70" s="594"/>
      <c r="U70" s="491"/>
      <c r="V70" s="701" t="str">
        <f>IF(OR(F70="",G70="",U70=""),"",IF(C70="売",(F70-U70)*G70,(U70-F70)*G70))</f>
        <v/>
      </c>
      <c r="W70" s="493" t="str">
        <f>IF(OR($E70="",$B70=""),"",IF($T70&lt;&gt;"",$T70-$E70,TODAY()-$E70)+1)</f>
        <v/>
      </c>
      <c r="X70" s="489" t="str">
        <f>IF(OR($AH70="",$AH70="保有中"),"",$AH70)</f>
        <v/>
      </c>
      <c r="Y70" s="488">
        <f>IF($B70="","",IF(COUNTIFS($B$4:$B70,$B70,$C$4:$C70,$C70)&gt;1,"⛔重複"&amp;COUNTIFS($B$4:$B70,$B70,$C$4:$C70,$C70)&amp;"回目",""))</f>
      </c>
      <c r="Z70" s="710"/>
      <c r="AB70">
        <f>IF($F70="","",MAX(100,ROUNDDOWN($AX$4/($F70*$AX$2)/100,0)*100))</f>
      </c>
      <c r="AC70">
        <f>IF(OR($F70="",$G70="",$U70=""),"",ROUND($V70-($F70+$U70)*$G70*$AX$6-IF($C70="売",$F70*$G70*$AX$7*$W70/365,0),0))</f>
      </c>
      <c r="AD70" s="608"/>
      <c r="AE70" s="624" t="str">
        <f>IF($E70="","",WORKDAY($E70,12))</f>
        <v/>
      </c>
      <c r="AF70" s="626"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26"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0" t="str">
        <f>IF(OR($B70="",$M70=""),"",IF(AND(N($AF70)=0,N($AG70)=0),IF(AND(ISNUMBER($H70),$H70&gt;0,IF($C70="売",$H70&gt;=$N70,$H70&lt;=$N70)),"損切確定",IF(AND(ISNUMBER($H70),$H70&gt;0,IF($C70="売",$H70&lt;=$M70,$H70&gt;=$M70)),"利益確定",IF($AE70&lt;=TODAY(),"日数制限","保有中"))),IF(N($AG70)=0,"利益確定",IF(N($AF70)=0,"損切確定",IF($AG70&lt;=$AF70,"損切確定","利益確定")))))</f>
        <v/>
      </c>
      <c r="AI70" s="600" t="str" cm="1">
        <f t="array" ref="AI70">IFERROR(INDEX(始値!$E$6:$BT$305,MATCH(TEXT($B70,"0"),TEXT(銘柄管理!$B$6:$B$305,"0"),0),MATCH($AE70,始値!$E$3:$BT$3,0)),"")</f>
        <v/>
      </c>
      <c r="AJ70" s="905" t="str">
        <f>IF(OR($V70="",$F70="",$G70=""),"",$V70/($F70*$G70))</f>
        <v/>
      </c>
      <c r="AK70" s="629" t="str">
        <f>IF($V70="","",IF($V70&gt;0,"○勝",IF($V70&lt;0,"●負","△引分")))</f>
        <v/>
      </c>
    </row>
    <row r="71" spans="1:37" ht="35.4" customHeight="1">
      <c r="A71" s="619" t="str">
        <f>IF(B71="","",HYPERLINK("https://kabutan.jp/stock/?code="&amp;B71,"株探"))</f>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BT$3,0)=1,1,MATCH($E71,始値!$E$3:$BT$3,0)+1)),_xlpm.v,INDEX(始値!$C$6:$B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IF(OR(F71="",G71="",H71=""),"",IF(C71="売",(F71-H71)*G71,(H71-F71)*G71))</f>
        <v/>
      </c>
      <c r="L71" s="706" t="str">
        <f>IF(OR(F71="",H71=""),"",IF(C71="売",(F71-H71)/F71,(H71-F71)/F71))</f>
        <v/>
      </c>
      <c r="M71" s="491" t="str">
        <f>IF($F71="","",IF($C71="売",CEILING($F71*IF($C71="売",1-$AX$3,1+$AX$3),IF($F71*IF($C71="売",1-$AX$3,1+$AX$3)&lt;=3000,1,IF($F71*IF($C71="売",1-$AX$3,1+$AX$3)&lt;=5000,5,IF($F71*IF($C71="売",1-$AX$3,1+$AX$3)&lt;=30000,10,IF($F71*IF($C71="売",1-$AX$3,1+$AX$3)&lt;=50000,50,IF($F71*IF($C71="売",1-$AX$3,1+$AX$3)&lt;=300000,100,500)))))),FLOOR($F71*IF($C71="売",1-$AX$3,1+$AX$3),IF($F71*IF($C71="売",1-$AX$3,1+$AX$3)&lt;=3000,1,IF($F71*IF($C71="売",1-$AX$3,1+$AX$3)&lt;=5000,5,IF($F71*IF($C71="売",1-$AX$3,1+$AX$3)&lt;=30000,10,IF($F71*IF($C71="売",1-$AX$3,1+$AX$3)&lt;=50000,50,IF($F71*IF($C71="売",1-$AX$3,1+$AX$3)&lt;=300000,100,500))))))))</f>
      </c>
      <c r="N71" s="491" t="str">
        <f>IF($F71="","",IF($C71="売",CEILING($F71*IF($C71="売",1+$AX$2,1-$AX$2),IF($F71*IF($C71="売",1+$AX$2,1-$AX$2)&lt;=3000,1,IF($F71*IF($C71="売",1+$AX$2,1-$AX$2)&lt;=5000,5,IF($F71*IF($C71="売",1+$AX$2,1-$AX$2)&lt;=30000,10,IF($F71*IF($C71="売",1+$AX$2,1-$AX$2)&lt;=50000,50,IF($F71*IF($C71="売",1+$AX$2,1-$AX$2)&lt;=300000,100,500)))))),FLOOR($F71*IF($C71="売",1+$AX$2,1-$AX$2),IF($F71*IF($C71="売",1+$AX$2,1-$AX$2)&lt;=3000,1,IF($F71*IF($C71="売",1+$AX$2,1-$AX$2)&lt;=5000,5,IF($F71*IF($C71="売",1+$AX$2,1-$AX$2)&lt;=30000,10,IF($F71*IF($C71="売",1+$AX$2,1-$AX$2)&lt;=50000,50,IF($F71*IF($C71="売",1+$AX$2,1-$AX$2)&lt;=300000,100,500))))))))</f>
      </c>
      <c r="O71" s="492" t="str">
        <f>IF(OR($B71="",$F71="",$H71=""),"",IF($S71="✅売却済","―決済済―",IF($C71="売",IF($H71&lt;=$M71,"🟢利確",IF(AND($R71&lt;&gt;"",$H71&gt;=$R71),"🟠TRAIL決済",IF($H71&gt;=$N71,"🔴損切",IF($W71&gt;=$AX$5,"⏱時間決済",IF($H71&gt;=$F71*(1+$AX$2*0.7),"⚠️損切接近","保持継続"))))),IF($H71&gt;=$M71,"🟢利確",IF(AND($R71&lt;&gt;"",$H71&lt;=$R71),"🟠TRAIL決済",IF($H71&lt;=$N71,"🔴損切",IF($W71&gt;=$AX$5,"⏱時間決済",IF($H71&lt;=$F71*(1-$AX$2*0.7),"⚠️損切接近","保持継続")))))))</f>
      </c>
      <c r="P71" s="491"/>
      <c r="Q71" s="491"/>
      <c r="R71" s="491" t="str">
        <f>IF(OR($F71="",$H71="",$N71=""),"",IF($S71="✅売却済","",IF($C71="売",IF($H71&gt;$F71*(1-$AX$2),$N71,CEILING(MIN($N71,IF($Q71="",$N71,$Q71*1.03)),IF($N71&lt;=3000,1,IF($N71&lt;=5000,5,IF($N71&lt;=30000,10,IF($N71&lt;=50000,50,IF($N71&lt;=300000,100,500))))))),IF($H71&lt;$F71*(1+$AX$2),$N71,FLOOR(MAX($N71,IF($P71="",$N71,$P71*0.97)),IF($N71&lt;=3000,1,IF($N71&lt;=5000,5,IF($N71&lt;=30000,10,IF($N71&lt;=50000,50,IF($N71&lt;=300000,100,500))))))))))</f>
      </c>
      <c r="S71" s="586" t="str">
        <f>IF(B71="","",IF(T71&lt;&gt;"","✅売却済",IF(OR(H71="",L71=""),"📌保有中",IF(L71&gt;=0.06,"🟢利確推奨",IF(L71&gt;=0.05,"🟡利確直近",IF(L71&gt;=0.045,"🔵トレーリング検討",IF(L71&gt;-0.03,"📌保有中",IF(L71&gt;-0.04,"⚠️損切注意","🔴損切り"))))))))</f>
        <v/>
      </c>
      <c r="T71" s="594"/>
      <c r="U71" s="491"/>
      <c r="V71" s="701" t="str">
        <f>IF(OR(F71="",G71="",U71=""),"",IF(C71="売",(F71-U71)*G71,(U71-F71)*G71))</f>
        <v/>
      </c>
      <c r="W71" s="493" t="str">
        <f>IF(OR($E71="",$B71=""),"",IF($T71&lt;&gt;"",$T71-$E71,TODAY()-$E71)+1)</f>
        <v/>
      </c>
      <c r="X71" s="489" t="str">
        <f>IF(OR($AH71="",$AH71="保有中"),"",$AH71)</f>
        <v/>
      </c>
      <c r="Y71" s="488">
        <f>IF($B71="","",IF(COUNTIFS($B$4:$B71,$B71,$C$4:$C71,$C71)&gt;1,"⛔重複"&amp;COUNTIFS($B$4:$B71,$B71,$C$4:$C71,$C71)&amp;"回目",""))</f>
      </c>
      <c r="Z71" s="710"/>
      <c r="AB71">
        <f>IF($F71="","",MAX(100,ROUNDDOWN($AX$4/($F71*$AX$2)/100,0)*100))</f>
      </c>
      <c r="AC71">
        <f>IF(OR($F71="",$G71="",$U71=""),"",ROUND($V71-($F71+$U71)*$G71*$AX$6-IF($C71="売",$F71*$G71*$AX$7*$W71/365,0),0))</f>
      </c>
      <c r="AD71" s="608"/>
      <c r="AE71" s="624" t="str">
        <f>IF($E71="","",WORKDAY($E71,12))</f>
        <v/>
      </c>
      <c r="AF71" s="626"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26"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0" t="str">
        <f>IF(OR($B71="",$M71=""),"",IF(AND(N($AF71)=0,N($AG71)=0),IF(AND(ISNUMBER($H71),$H71&gt;0,IF($C71="売",$H71&gt;=$N71,$H71&lt;=$N71)),"損切確定",IF(AND(ISNUMBER($H71),$H71&gt;0,IF($C71="売",$H71&lt;=$M71,$H71&gt;=$M71)),"利益確定",IF($AE71&lt;=TODAY(),"日数制限","保有中"))),IF(N($AG71)=0,"利益確定",IF(N($AF71)=0,"損切確定",IF($AG71&lt;=$AF71,"損切確定","利益確定")))))</f>
        <v/>
      </c>
      <c r="AI71" s="600" t="str" cm="1">
        <f t="array" ref="AI71">IFERROR(INDEX(始値!$E$6:$BT$305,MATCH(TEXT($B71,"0"),TEXT(銘柄管理!$B$6:$B$305,"0"),0),MATCH($AE71,始値!$E$3:$BT$3,0)),"")</f>
        <v/>
      </c>
      <c r="AJ71" s="905" t="str">
        <f>IF(OR($V71="",$F71="",$G71=""),"",$V71/($F71*$G71))</f>
        <v/>
      </c>
      <c r="AK71" s="629" t="str">
        <f>IF($V71="","",IF($V71&gt;0,"○勝",IF($V71&lt;0,"●負","△引分")))</f>
        <v/>
      </c>
    </row>
    <row r="72" spans="1:37" ht="35.4" customHeight="1">
      <c r="A72" s="619" t="str">
        <f>IF(B72="","",HYPERLINK("https://kabutan.jp/stock/?code="&amp;B72,"株探"))</f>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BT$3,0)=1,1,MATCH($E72,始値!$E$3:$BT$3,0)+1)),_xlpm.v,INDEX(始値!$C$6:$B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IF(OR(F72="",G72="",H72=""),"",IF(C72="売",(F72-H72)*G72,(H72-F72)*G72))</f>
        <v/>
      </c>
      <c r="L72" s="706" t="str">
        <f>IF(OR(F72="",H72=""),"",IF(C72="売",(F72-H72)/F72,(H72-F72)/F72))</f>
        <v/>
      </c>
      <c r="M72" s="491" t="str">
        <f>IF($F72="","",IF($C72="売",CEILING($F72*IF($C72="売",1-$AX$3,1+$AX$3),IF($F72*IF($C72="売",1-$AX$3,1+$AX$3)&lt;=3000,1,IF($F72*IF($C72="売",1-$AX$3,1+$AX$3)&lt;=5000,5,IF($F72*IF($C72="売",1-$AX$3,1+$AX$3)&lt;=30000,10,IF($F72*IF($C72="売",1-$AX$3,1+$AX$3)&lt;=50000,50,IF($F72*IF($C72="売",1-$AX$3,1+$AX$3)&lt;=300000,100,500)))))),FLOOR($F72*IF($C72="売",1-$AX$3,1+$AX$3),IF($F72*IF($C72="売",1-$AX$3,1+$AX$3)&lt;=3000,1,IF($F72*IF($C72="売",1-$AX$3,1+$AX$3)&lt;=5000,5,IF($F72*IF($C72="売",1-$AX$3,1+$AX$3)&lt;=30000,10,IF($F72*IF($C72="売",1-$AX$3,1+$AX$3)&lt;=50000,50,IF($F72*IF($C72="売",1-$AX$3,1+$AX$3)&lt;=300000,100,500))))))))</f>
      </c>
      <c r="N72" s="491" t="str">
        <f>IF($F72="","",IF($C72="売",CEILING($F72*IF($C72="売",1+$AX$2,1-$AX$2),IF($F72*IF($C72="売",1+$AX$2,1-$AX$2)&lt;=3000,1,IF($F72*IF($C72="売",1+$AX$2,1-$AX$2)&lt;=5000,5,IF($F72*IF($C72="売",1+$AX$2,1-$AX$2)&lt;=30000,10,IF($F72*IF($C72="売",1+$AX$2,1-$AX$2)&lt;=50000,50,IF($F72*IF($C72="売",1+$AX$2,1-$AX$2)&lt;=300000,100,500)))))),FLOOR($F72*IF($C72="売",1+$AX$2,1-$AX$2),IF($F72*IF($C72="売",1+$AX$2,1-$AX$2)&lt;=3000,1,IF($F72*IF($C72="売",1+$AX$2,1-$AX$2)&lt;=5000,5,IF($F72*IF($C72="売",1+$AX$2,1-$AX$2)&lt;=30000,10,IF($F72*IF($C72="売",1+$AX$2,1-$AX$2)&lt;=50000,50,IF($F72*IF($C72="売",1+$AX$2,1-$AX$2)&lt;=300000,100,500))))))))</f>
      </c>
      <c r="O72" s="492" t="str">
        <f>IF(OR($B72="",$F72="",$H72=""),"",IF($S72="✅売却済","―決済済―",IF($C72="売",IF($H72&lt;=$M72,"🟢利確",IF(AND($R72&lt;&gt;"",$H72&gt;=$R72),"🟠TRAIL決済",IF($H72&gt;=$N72,"🔴損切",IF($W72&gt;=$AX$5,"⏱時間決済",IF($H72&gt;=$F72*(1+$AX$2*0.7),"⚠️損切接近","保持継続"))))),IF($H72&gt;=$M72,"🟢利確",IF(AND($R72&lt;&gt;"",$H72&lt;=$R72),"🟠TRAIL決済",IF($H72&lt;=$N72,"🔴損切",IF($W72&gt;=$AX$5,"⏱時間決済",IF($H72&lt;=$F72*(1-$AX$2*0.7),"⚠️損切接近","保持継続")))))))</f>
      </c>
      <c r="P72" s="491"/>
      <c r="Q72" s="491"/>
      <c r="R72" s="491" t="str">
        <f>IF(OR($F72="",$H72="",$N72=""),"",IF($S72="✅売却済","",IF($C72="売",IF($H72&gt;$F72*(1-$AX$2),$N72,CEILING(MIN($N72,IF($Q72="",$N72,$Q72*1.03)),IF($N72&lt;=3000,1,IF($N72&lt;=5000,5,IF($N72&lt;=30000,10,IF($N72&lt;=50000,50,IF($N72&lt;=300000,100,500))))))),IF($H72&lt;$F72*(1+$AX$2),$N72,FLOOR(MAX($N72,IF($P72="",$N72,$P72*0.97)),IF($N72&lt;=3000,1,IF($N72&lt;=5000,5,IF($N72&lt;=30000,10,IF($N72&lt;=50000,50,IF($N72&lt;=300000,100,500))))))))))</f>
      </c>
      <c r="S72" s="586" t="str">
        <f>IF(B72="","",IF(T72&lt;&gt;"","✅売却済",IF(OR(H72="",L72=""),"📌保有中",IF(L72&gt;=0.06,"🟢利確推奨",IF(L72&gt;=0.05,"🟡利確直近",IF(L72&gt;=0.045,"🔵トレーリング検討",IF(L72&gt;-0.03,"📌保有中",IF(L72&gt;-0.04,"⚠️損切注意","🔴損切り"))))))))</f>
        <v/>
      </c>
      <c r="T72" s="594"/>
      <c r="U72" s="491"/>
      <c r="V72" s="701" t="str">
        <f>IF(OR(F72="",G72="",U72=""),"",IF(C72="売",(F72-U72)*G72,(U72-F72)*G72))</f>
        <v/>
      </c>
      <c r="W72" s="493" t="str">
        <f>IF(OR($E72="",$B72=""),"",IF($T72&lt;&gt;"",$T72-$E72,TODAY()-$E72)+1)</f>
        <v/>
      </c>
      <c r="X72" s="489" t="str">
        <f>IF(OR($AH72="",$AH72="保有中"),"",$AH72)</f>
        <v/>
      </c>
      <c r="Y72" s="488">
        <f>IF($B72="","",IF(COUNTIFS($B$4:$B72,$B72,$C$4:$C72,$C72)&gt;1,"⛔重複"&amp;COUNTIFS($B$4:$B72,$B72,$C$4:$C72,$C72)&amp;"回目",""))</f>
      </c>
      <c r="Z72" s="710"/>
      <c r="AB72">
        <f>IF($F72="","",MAX(100,ROUNDDOWN($AX$4/($F72*$AX$2)/100,0)*100))</f>
      </c>
      <c r="AC72">
        <f>IF(OR($F72="",$G72="",$U72=""),"",ROUND($V72-($F72+$U72)*$G72*$AX$6-IF($C72="売",$F72*$G72*$AX$7*$W72/365,0),0))</f>
      </c>
      <c r="AD72" s="608"/>
      <c r="AE72" s="624" t="str">
        <f>IF($E72="","",WORKDAY($E72,12))</f>
        <v/>
      </c>
      <c r="AF72" s="626"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26"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0" t="str">
        <f>IF(OR($B72="",$M72=""),"",IF(AND(N($AF72)=0,N($AG72)=0),IF(AND(ISNUMBER($H72),$H72&gt;0,IF($C72="売",$H72&gt;=$N72,$H72&lt;=$N72)),"損切確定",IF(AND(ISNUMBER($H72),$H72&gt;0,IF($C72="売",$H72&lt;=$M72,$H72&gt;=$M72)),"利益確定",IF($AE72&lt;=TODAY(),"日数制限","保有中"))),IF(N($AG72)=0,"利益確定",IF(N($AF72)=0,"損切確定",IF($AG72&lt;=$AF72,"損切確定","利益確定")))))</f>
        <v/>
      </c>
      <c r="AI72" s="600" t="str" cm="1">
        <f t="array" ref="AI72">IFERROR(INDEX(始値!$E$6:$BT$305,MATCH(TEXT($B72,"0"),TEXT(銘柄管理!$B$6:$B$305,"0"),0),MATCH($AE72,始値!$E$3:$BT$3,0)),"")</f>
        <v/>
      </c>
      <c r="AJ72" s="905" t="str">
        <f>IF(OR($V72="",$F72="",$G72=""),"",$V72/($F72*$G72))</f>
        <v/>
      </c>
      <c r="AK72" s="629" t="str">
        <f>IF($V72="","",IF($V72&gt;0,"○勝",IF($V72&lt;0,"●負","△引分")))</f>
        <v/>
      </c>
    </row>
    <row r="73" spans="1:37" ht="35.4" customHeight="1">
      <c r="A73" s="619" t="str">
        <f>IF(B73="","",HYPERLINK("https://kabutan.jp/stock/?code="&amp;B73,"株探"))</f>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BT$3,0)=1,1,MATCH($E73,始値!$E$3:$BT$3,0)+1)),_xlpm.v,INDEX(始値!$C$6:$B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IF(OR(F73="",G73="",H73=""),"",IF(C73="売",(F73-H73)*G73,(H73-F73)*G73))</f>
        <v/>
      </c>
      <c r="L73" s="706" t="str">
        <f>IF(OR(F73="",H73=""),"",IF(C73="売",(F73-H73)/F73,(H73-F73)/F73))</f>
        <v/>
      </c>
      <c r="M73" s="491" t="str">
        <f>IF($F73="","",IF($C73="売",CEILING($F73*IF($C73="売",1-$AX$3,1+$AX$3),IF($F73*IF($C73="売",1-$AX$3,1+$AX$3)&lt;=3000,1,IF($F73*IF($C73="売",1-$AX$3,1+$AX$3)&lt;=5000,5,IF($F73*IF($C73="売",1-$AX$3,1+$AX$3)&lt;=30000,10,IF($F73*IF($C73="売",1-$AX$3,1+$AX$3)&lt;=50000,50,IF($F73*IF($C73="売",1-$AX$3,1+$AX$3)&lt;=300000,100,500)))))),FLOOR($F73*IF($C73="売",1-$AX$3,1+$AX$3),IF($F73*IF($C73="売",1-$AX$3,1+$AX$3)&lt;=3000,1,IF($F73*IF($C73="売",1-$AX$3,1+$AX$3)&lt;=5000,5,IF($F73*IF($C73="売",1-$AX$3,1+$AX$3)&lt;=30000,10,IF($F73*IF($C73="売",1-$AX$3,1+$AX$3)&lt;=50000,50,IF($F73*IF($C73="売",1-$AX$3,1+$AX$3)&lt;=300000,100,500))))))))</f>
      </c>
      <c r="N73" s="491" t="str">
        <f>IF($F73="","",IF($C73="売",CEILING($F73*IF($C73="売",1+$AX$2,1-$AX$2),IF($F73*IF($C73="売",1+$AX$2,1-$AX$2)&lt;=3000,1,IF($F73*IF($C73="売",1+$AX$2,1-$AX$2)&lt;=5000,5,IF($F73*IF($C73="売",1+$AX$2,1-$AX$2)&lt;=30000,10,IF($F73*IF($C73="売",1+$AX$2,1-$AX$2)&lt;=50000,50,IF($F73*IF($C73="売",1+$AX$2,1-$AX$2)&lt;=300000,100,500)))))),FLOOR($F73*IF($C73="売",1+$AX$2,1-$AX$2),IF($F73*IF($C73="売",1+$AX$2,1-$AX$2)&lt;=3000,1,IF($F73*IF($C73="売",1+$AX$2,1-$AX$2)&lt;=5000,5,IF($F73*IF($C73="売",1+$AX$2,1-$AX$2)&lt;=30000,10,IF($F73*IF($C73="売",1+$AX$2,1-$AX$2)&lt;=50000,50,IF($F73*IF($C73="売",1+$AX$2,1-$AX$2)&lt;=300000,100,500))))))))</f>
      </c>
      <c r="O73" s="492" t="str">
        <f>IF(OR($B73="",$F73="",$H73=""),"",IF($S73="✅売却済","―決済済―",IF($C73="売",IF($H73&lt;=$M73,"🟢利確",IF(AND($R73&lt;&gt;"",$H73&gt;=$R73),"🟠TRAIL決済",IF($H73&gt;=$N73,"🔴損切",IF($W73&gt;=$AX$5,"⏱時間決済",IF($H73&gt;=$F73*(1+$AX$2*0.7),"⚠️損切接近","保持継続"))))),IF($H73&gt;=$M73,"🟢利確",IF(AND($R73&lt;&gt;"",$H73&lt;=$R73),"🟠TRAIL決済",IF($H73&lt;=$N73,"🔴損切",IF($W73&gt;=$AX$5,"⏱時間決済",IF($H73&lt;=$F73*(1-$AX$2*0.7),"⚠️損切接近","保持継続")))))))</f>
      </c>
      <c r="P73" s="491"/>
      <c r="Q73" s="491"/>
      <c r="R73" s="491" t="str">
        <f>IF(OR($F73="",$H73="",$N73=""),"",IF($S73="✅売却済","",IF($C73="売",IF($H73&gt;$F73*(1-$AX$2),$N73,CEILING(MIN($N73,IF($Q73="",$N73,$Q73*1.03)),IF($N73&lt;=3000,1,IF($N73&lt;=5000,5,IF($N73&lt;=30000,10,IF($N73&lt;=50000,50,IF($N73&lt;=300000,100,500))))))),IF($H73&lt;$F73*(1+$AX$2),$N73,FLOOR(MAX($N73,IF($P73="",$N73,$P73*0.97)),IF($N73&lt;=3000,1,IF($N73&lt;=5000,5,IF($N73&lt;=30000,10,IF($N73&lt;=50000,50,IF($N73&lt;=300000,100,500))))))))))</f>
      </c>
      <c r="S73" s="586" t="str">
        <f>IF(B73="","",IF(T73&lt;&gt;"","✅売却済",IF(OR(H73="",L73=""),"📌保有中",IF(L73&gt;=0.06,"🟢利確推奨",IF(L73&gt;=0.05,"🟡利確直近",IF(L73&gt;=0.045,"🔵トレーリング検討",IF(L73&gt;-0.03,"📌保有中",IF(L73&gt;-0.04,"⚠️損切注意","🔴損切り"))))))))</f>
        <v/>
      </c>
      <c r="T73" s="594"/>
      <c r="U73" s="491"/>
      <c r="V73" s="701" t="str">
        <f>IF(OR(F73="",G73="",U73=""),"",IF(C73="売",(F73-U73)*G73,(U73-F73)*G73))</f>
        <v/>
      </c>
      <c r="W73" s="493" t="str">
        <f>IF(OR($E73="",$B73=""),"",IF($T73&lt;&gt;"",$T73-$E73,TODAY()-$E73)+1)</f>
        <v/>
      </c>
      <c r="X73" s="489" t="str">
        <f>IF(OR($AH73="",$AH73="保有中"),"",$AH73)</f>
        <v/>
      </c>
      <c r="Y73" s="488">
        <f>IF($B73="","",IF(COUNTIFS($B$4:$B73,$B73,$C$4:$C73,$C73)&gt;1,"⛔重複"&amp;COUNTIFS($B$4:$B73,$B73,$C$4:$C73,$C73)&amp;"回目",""))</f>
      </c>
      <c r="Z73" s="710"/>
      <c r="AB73">
        <f>IF($F73="","",MAX(100,ROUNDDOWN($AX$4/($F73*$AX$2)/100,0)*100))</f>
      </c>
      <c r="AC73">
        <f>IF(OR($F73="",$G73="",$U73=""),"",ROUND($V73-($F73+$U73)*$G73*$AX$6-IF($C73="売",$F73*$G73*$AX$7*$W73/365,0),0))</f>
      </c>
      <c r="AD73" s="608"/>
      <c r="AE73" s="624" t="str">
        <f>IF($E73="","",WORKDAY($E73,12))</f>
        <v/>
      </c>
      <c r="AF73" s="626"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26"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0" t="str">
        <f>IF(OR($B73="",$M73=""),"",IF(AND(N($AF73)=0,N($AG73)=0),IF(AND(ISNUMBER($H73),$H73&gt;0,IF($C73="売",$H73&gt;=$N73,$H73&lt;=$N73)),"損切確定",IF(AND(ISNUMBER($H73),$H73&gt;0,IF($C73="売",$H73&lt;=$M73,$H73&gt;=$M73)),"利益確定",IF($AE73&lt;=TODAY(),"日数制限","保有中"))),IF(N($AG73)=0,"利益確定",IF(N($AF73)=0,"損切確定",IF($AG73&lt;=$AF73,"損切確定","利益確定")))))</f>
        <v/>
      </c>
      <c r="AI73" s="600" t="str" cm="1">
        <f t="array" ref="AI73">IFERROR(INDEX(始値!$E$6:$BT$305,MATCH(TEXT($B73,"0"),TEXT(銘柄管理!$B$6:$B$305,"0"),0),MATCH($AE73,始値!$E$3:$BT$3,0)),"")</f>
        <v/>
      </c>
      <c r="AJ73" s="905" t="str">
        <f>IF(OR($V73="",$F73="",$G73=""),"",$V73/($F73*$G73))</f>
        <v/>
      </c>
      <c r="AK73" s="629" t="str">
        <f>IF($V73="","",IF($V73&gt;0,"○勝",IF($V73&lt;0,"●負","△引分")))</f>
        <v/>
      </c>
    </row>
    <row r="74" spans="1:37" ht="35.4" customHeight="1">
      <c r="A74" s="619" t="str">
        <f>IF(B74="","",HYPERLINK("https://kabutan.jp/stock/?code="&amp;B74,"株探"))</f>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BT$3,0)=1,1,MATCH($E74,始値!$E$3:$BT$3,0)+1)),_xlpm.v,INDEX(始値!$C$6:$B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IF(OR(F74="",G74="",H74=""),"",IF(C74="売",(F74-H74)*G74,(H74-F74)*G74))</f>
        <v/>
      </c>
      <c r="L74" s="706" t="str">
        <f>IF(OR(F74="",H74=""),"",IF(C74="売",(F74-H74)/F74,(H74-F74)/F74))</f>
        <v/>
      </c>
      <c r="M74" s="491" t="str">
        <f>IF($F74="","",IF($C74="売",CEILING($F74*IF($C74="売",1-$AX$3,1+$AX$3),IF($F74*IF($C74="売",1-$AX$3,1+$AX$3)&lt;=3000,1,IF($F74*IF($C74="売",1-$AX$3,1+$AX$3)&lt;=5000,5,IF($F74*IF($C74="売",1-$AX$3,1+$AX$3)&lt;=30000,10,IF($F74*IF($C74="売",1-$AX$3,1+$AX$3)&lt;=50000,50,IF($F74*IF($C74="売",1-$AX$3,1+$AX$3)&lt;=300000,100,500)))))),FLOOR($F74*IF($C74="売",1-$AX$3,1+$AX$3),IF($F74*IF($C74="売",1-$AX$3,1+$AX$3)&lt;=3000,1,IF($F74*IF($C74="売",1-$AX$3,1+$AX$3)&lt;=5000,5,IF($F74*IF($C74="売",1-$AX$3,1+$AX$3)&lt;=30000,10,IF($F74*IF($C74="売",1-$AX$3,1+$AX$3)&lt;=50000,50,IF($F74*IF($C74="売",1-$AX$3,1+$AX$3)&lt;=300000,100,500))))))))</f>
      </c>
      <c r="N74" s="491" t="str">
        <f>IF($F74="","",IF($C74="売",CEILING($F74*IF($C74="売",1+$AX$2,1-$AX$2),IF($F74*IF($C74="売",1+$AX$2,1-$AX$2)&lt;=3000,1,IF($F74*IF($C74="売",1+$AX$2,1-$AX$2)&lt;=5000,5,IF($F74*IF($C74="売",1+$AX$2,1-$AX$2)&lt;=30000,10,IF($F74*IF($C74="売",1+$AX$2,1-$AX$2)&lt;=50000,50,IF($F74*IF($C74="売",1+$AX$2,1-$AX$2)&lt;=300000,100,500)))))),FLOOR($F74*IF($C74="売",1+$AX$2,1-$AX$2),IF($F74*IF($C74="売",1+$AX$2,1-$AX$2)&lt;=3000,1,IF($F74*IF($C74="売",1+$AX$2,1-$AX$2)&lt;=5000,5,IF($F74*IF($C74="売",1+$AX$2,1-$AX$2)&lt;=30000,10,IF($F74*IF($C74="売",1+$AX$2,1-$AX$2)&lt;=50000,50,IF($F74*IF($C74="売",1+$AX$2,1-$AX$2)&lt;=300000,100,500))))))))</f>
      </c>
      <c r="O74" s="492" t="str">
        <f>IF(OR($B74="",$F74="",$H74=""),"",IF($S74="✅売却済","―決済済―",IF($C74="売",IF($H74&lt;=$M74,"🟢利確",IF(AND($R74&lt;&gt;"",$H74&gt;=$R74),"🟠TRAIL決済",IF($H74&gt;=$N74,"🔴損切",IF($W74&gt;=$AX$5,"⏱時間決済",IF($H74&gt;=$F74*(1+$AX$2*0.7),"⚠️損切接近","保持継続"))))),IF($H74&gt;=$M74,"🟢利確",IF(AND($R74&lt;&gt;"",$H74&lt;=$R74),"🟠TRAIL決済",IF($H74&lt;=$N74,"🔴損切",IF($W74&gt;=$AX$5,"⏱時間決済",IF($H74&lt;=$F74*(1-$AX$2*0.7),"⚠️損切接近","保持継続")))))))</f>
      </c>
      <c r="P74" s="491"/>
      <c r="Q74" s="491"/>
      <c r="R74" s="491" t="str">
        <f>IF(OR($F74="",$H74="",$N74=""),"",IF($S74="✅売却済","",IF($C74="売",IF($H74&gt;$F74*(1-$AX$2),$N74,CEILING(MIN($N74,IF($Q74="",$N74,$Q74*1.03)),IF($N74&lt;=3000,1,IF($N74&lt;=5000,5,IF($N74&lt;=30000,10,IF($N74&lt;=50000,50,IF($N74&lt;=300000,100,500))))))),IF($H74&lt;$F74*(1+$AX$2),$N74,FLOOR(MAX($N74,IF($P74="",$N74,$P74*0.97)),IF($N74&lt;=3000,1,IF($N74&lt;=5000,5,IF($N74&lt;=30000,10,IF($N74&lt;=50000,50,IF($N74&lt;=300000,100,500))))))))))</f>
      </c>
      <c r="S74" s="586" t="str">
        <f>IF(B74="","",IF(T74&lt;&gt;"","✅売却済",IF(OR(H74="",L74=""),"📌保有中",IF(L74&gt;=0.06,"🟢利確推奨",IF(L74&gt;=0.05,"🟡利確直近",IF(L74&gt;=0.045,"🔵トレーリング検討",IF(L74&gt;-0.03,"📌保有中",IF(L74&gt;-0.04,"⚠️損切注意","🔴損切り"))))))))</f>
        <v/>
      </c>
      <c r="T74" s="594"/>
      <c r="U74" s="491"/>
      <c r="V74" s="701" t="str">
        <f>IF(OR(F74="",G74="",U74=""),"",IF(C74="売",(F74-U74)*G74,(U74-F74)*G74))</f>
        <v/>
      </c>
      <c r="W74" s="493" t="str">
        <f>IF(OR($E74="",$B74=""),"",IF($T74&lt;&gt;"",$T74-$E74,TODAY()-$E74)+1)</f>
        <v/>
      </c>
      <c r="X74" s="489" t="str">
        <f>IF(OR($AH74="",$AH74="保有中"),"",$AH74)</f>
        <v/>
      </c>
      <c r="Y74" s="488">
        <f>IF($B74="","",IF(COUNTIFS($B$4:$B74,$B74,$C$4:$C74,$C74)&gt;1,"⛔重複"&amp;COUNTIFS($B$4:$B74,$B74,$C$4:$C74,$C74)&amp;"回目",""))</f>
      </c>
      <c r="Z74" s="710"/>
      <c r="AB74">
        <f>IF($F74="","",MAX(100,ROUNDDOWN($AX$4/($F74*$AX$2)/100,0)*100))</f>
      </c>
      <c r="AC74">
        <f>IF(OR($F74="",$G74="",$U74=""),"",ROUND($V74-($F74+$U74)*$G74*$AX$6-IF($C74="売",$F74*$G74*$AX$7*$W74/365,0),0))</f>
      </c>
      <c r="AD74" s="608"/>
      <c r="AE74" s="624" t="str">
        <f>IF($E74="","",WORKDAY($E74,12))</f>
        <v/>
      </c>
      <c r="AF74" s="626"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26"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0" t="str">
        <f>IF(OR($B74="",$M74=""),"",IF(AND(N($AF74)=0,N($AG74)=0),IF(AND(ISNUMBER($H74),$H74&gt;0,IF($C74="売",$H74&gt;=$N74,$H74&lt;=$N74)),"損切確定",IF(AND(ISNUMBER($H74),$H74&gt;0,IF($C74="売",$H74&lt;=$M74,$H74&gt;=$M74)),"利益確定",IF($AE74&lt;=TODAY(),"日数制限","保有中"))),IF(N($AG74)=0,"利益確定",IF(N($AF74)=0,"損切確定",IF($AG74&lt;=$AF74,"損切確定","利益確定")))))</f>
        <v/>
      </c>
      <c r="AI74" s="600" t="str" cm="1">
        <f t="array" ref="AI74">IFERROR(INDEX(始値!$E$6:$BT$305,MATCH(TEXT($B74,"0"),TEXT(銘柄管理!$B$6:$B$305,"0"),0),MATCH($AE74,始値!$E$3:$BT$3,0)),"")</f>
        <v/>
      </c>
      <c r="AJ74" s="905" t="str">
        <f>IF(OR($V74="",$F74="",$G74=""),"",$V74/($F74*$G74))</f>
        <v/>
      </c>
      <c r="AK74" s="629" t="str">
        <f>IF($V74="","",IF($V74&gt;0,"○勝",IF($V74&lt;0,"●負","△引分")))</f>
        <v/>
      </c>
    </row>
    <row r="75" spans="1:37" ht="35.4" customHeight="1">
      <c r="A75" s="619" t="str">
        <f>IF(B75="","",HYPERLINK("https://kabutan.jp/stock/?code="&amp;B75,"株探"))</f>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BT$3,0)=1,1,MATCH($E75,始値!$E$3:$BT$3,0)+1)),_xlpm.v,INDEX(始値!$C$6:$B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IF(OR(F75="",G75="",H75=""),"",IF(C75="売",(F75-H75)*G75,(H75-F75)*G75))</f>
        <v/>
      </c>
      <c r="L75" s="706" t="str">
        <f>IF(OR(F75="",H75=""),"",IF(C75="売",(F75-H75)/F75,(H75-F75)/F75))</f>
        <v/>
      </c>
      <c r="M75" s="491" t="str">
        <f>IF($F75="","",IF($C75="売",CEILING($F75*IF($C75="売",1-$AX$3,1+$AX$3),IF($F75*IF($C75="売",1-$AX$3,1+$AX$3)&lt;=3000,1,IF($F75*IF($C75="売",1-$AX$3,1+$AX$3)&lt;=5000,5,IF($F75*IF($C75="売",1-$AX$3,1+$AX$3)&lt;=30000,10,IF($F75*IF($C75="売",1-$AX$3,1+$AX$3)&lt;=50000,50,IF($F75*IF($C75="売",1-$AX$3,1+$AX$3)&lt;=300000,100,500)))))),FLOOR($F75*IF($C75="売",1-$AX$3,1+$AX$3),IF($F75*IF($C75="売",1-$AX$3,1+$AX$3)&lt;=3000,1,IF($F75*IF($C75="売",1-$AX$3,1+$AX$3)&lt;=5000,5,IF($F75*IF($C75="売",1-$AX$3,1+$AX$3)&lt;=30000,10,IF($F75*IF($C75="売",1-$AX$3,1+$AX$3)&lt;=50000,50,IF($F75*IF($C75="売",1-$AX$3,1+$AX$3)&lt;=300000,100,500))))))))</f>
      </c>
      <c r="N75" s="491" t="str">
        <f>IF($F75="","",IF($C75="売",CEILING($F75*IF($C75="売",1+$AX$2,1-$AX$2),IF($F75*IF($C75="売",1+$AX$2,1-$AX$2)&lt;=3000,1,IF($F75*IF($C75="売",1+$AX$2,1-$AX$2)&lt;=5000,5,IF($F75*IF($C75="売",1+$AX$2,1-$AX$2)&lt;=30000,10,IF($F75*IF($C75="売",1+$AX$2,1-$AX$2)&lt;=50000,50,IF($F75*IF($C75="売",1+$AX$2,1-$AX$2)&lt;=300000,100,500)))))),FLOOR($F75*IF($C75="売",1+$AX$2,1-$AX$2),IF($F75*IF($C75="売",1+$AX$2,1-$AX$2)&lt;=3000,1,IF($F75*IF($C75="売",1+$AX$2,1-$AX$2)&lt;=5000,5,IF($F75*IF($C75="売",1+$AX$2,1-$AX$2)&lt;=30000,10,IF($F75*IF($C75="売",1+$AX$2,1-$AX$2)&lt;=50000,50,IF($F75*IF($C75="売",1+$AX$2,1-$AX$2)&lt;=300000,100,500))))))))</f>
      </c>
      <c r="O75" s="492" t="str">
        <f>IF(OR($B75="",$F75="",$H75=""),"",IF($S75="✅売却済","―決済済―",IF($C75="売",IF($H75&lt;=$M75,"🟢利確",IF(AND($R75&lt;&gt;"",$H75&gt;=$R75),"🟠TRAIL決済",IF($H75&gt;=$N75,"🔴損切",IF($W75&gt;=$AX$5,"⏱時間決済",IF($H75&gt;=$F75*(1+$AX$2*0.7),"⚠️損切接近","保持継続"))))),IF($H75&gt;=$M75,"🟢利確",IF(AND($R75&lt;&gt;"",$H75&lt;=$R75),"🟠TRAIL決済",IF($H75&lt;=$N75,"🔴損切",IF($W75&gt;=$AX$5,"⏱時間決済",IF($H75&lt;=$F75*(1-$AX$2*0.7),"⚠️損切接近","保持継続")))))))</f>
      </c>
      <c r="P75" s="491"/>
      <c r="Q75" s="491"/>
      <c r="R75" s="491" t="str">
        <f>IF(OR($F75="",$H75="",$N75=""),"",IF($S75="✅売却済","",IF($C75="売",IF($H75&gt;$F75*(1-$AX$2),$N75,CEILING(MIN($N75,IF($Q75="",$N75,$Q75*1.03)),IF($N75&lt;=3000,1,IF($N75&lt;=5000,5,IF($N75&lt;=30000,10,IF($N75&lt;=50000,50,IF($N75&lt;=300000,100,500))))))),IF($H75&lt;$F75*(1+$AX$2),$N75,FLOOR(MAX($N75,IF($P75="",$N75,$P75*0.97)),IF($N75&lt;=3000,1,IF($N75&lt;=5000,5,IF($N75&lt;=30000,10,IF($N75&lt;=50000,50,IF($N75&lt;=300000,100,500))))))))))</f>
      </c>
      <c r="S75" s="586" t="str">
        <f>IF(B75="","",IF(T75&lt;&gt;"","✅売却済",IF(OR(H75="",L75=""),"📌保有中",IF(L75&gt;=0.06,"🟢利確推奨",IF(L75&gt;=0.05,"🟡利確直近",IF(L75&gt;=0.045,"🔵トレーリング検討",IF(L75&gt;-0.03,"📌保有中",IF(L75&gt;-0.04,"⚠️損切注意","🔴損切り"))))))))</f>
        <v/>
      </c>
      <c r="T75" s="594"/>
      <c r="U75" s="491"/>
      <c r="V75" s="701" t="str">
        <f>IF(OR(F75="",G75="",U75=""),"",IF(C75="売",(F75-U75)*G75,(U75-F75)*G75))</f>
        <v/>
      </c>
      <c r="W75" s="493" t="str">
        <f>IF(OR($E75="",$B75=""),"",IF($T75&lt;&gt;"",$T75-$E75,TODAY()-$E75)+1)</f>
        <v/>
      </c>
      <c r="X75" s="489" t="str">
        <f>IF(OR($AH75="",$AH75="保有中"),"",$AH75)</f>
        <v/>
      </c>
      <c r="Y75" s="488">
        <f>IF($B75="","",IF(COUNTIFS($B$4:$B75,$B75,$C$4:$C75,$C75)&gt;1,"⛔重複"&amp;COUNTIFS($B$4:$B75,$B75,$C$4:$C75,$C75)&amp;"回目",""))</f>
      </c>
      <c r="Z75" s="710"/>
      <c r="AB75">
        <f>IF($F75="","",MAX(100,ROUNDDOWN($AX$4/($F75*$AX$2)/100,0)*100))</f>
      </c>
      <c r="AC75">
        <f>IF(OR($F75="",$G75="",$U75=""),"",ROUND($V75-($F75+$U75)*$G75*$AX$6-IF($C75="売",$F75*$G75*$AX$7*$W75/365,0),0))</f>
      </c>
      <c r="AD75" s="608"/>
      <c r="AE75" s="624" t="str">
        <f>IF($E75="","",WORKDAY($E75,12))</f>
        <v/>
      </c>
      <c r="AF75" s="626"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26"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0" t="str">
        <f>IF(OR($B75="",$M75=""),"",IF(AND(N($AF75)=0,N($AG75)=0),IF(AND(ISNUMBER($H75),$H75&gt;0,IF($C75="売",$H75&gt;=$N75,$H75&lt;=$N75)),"損切確定",IF(AND(ISNUMBER($H75),$H75&gt;0,IF($C75="売",$H75&lt;=$M75,$H75&gt;=$M75)),"利益確定",IF($AE75&lt;=TODAY(),"日数制限","保有中"))),IF(N($AG75)=0,"利益確定",IF(N($AF75)=0,"損切確定",IF($AG75&lt;=$AF75,"損切確定","利益確定")))))</f>
        <v/>
      </c>
      <c r="AI75" s="600" t="str" cm="1">
        <f t="array" ref="AI75">IFERROR(INDEX(始値!$E$6:$BT$305,MATCH(TEXT($B75,"0"),TEXT(銘柄管理!$B$6:$B$305,"0"),0),MATCH($AE75,始値!$E$3:$BT$3,0)),"")</f>
        <v/>
      </c>
      <c r="AJ75" s="905" t="str">
        <f>IF(OR($V75="",$F75="",$G75=""),"",$V75/($F75*$G75))</f>
        <v/>
      </c>
      <c r="AK75" s="629" t="str">
        <f>IF($V75="","",IF($V75&gt;0,"○勝",IF($V75&lt;0,"●負","△引分")))</f>
        <v/>
      </c>
    </row>
    <row r="76" spans="1:37" ht="35.4" customHeight="1">
      <c r="A76" s="619" t="str">
        <f>IF(B76="","",HYPERLINK("https://kabutan.jp/stock/?code="&amp;B76,"株探"))</f>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BT$3,0)=1,1,MATCH($E76,始値!$E$3:$BT$3,0)+1)),_xlpm.v,INDEX(始値!$C$6:$B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IF(OR(F76="",G76="",H76=""),"",IF(C76="売",(F76-H76)*G76,(H76-F76)*G76))</f>
        <v/>
      </c>
      <c r="L76" s="706" t="str">
        <f>IF(OR(F76="",H76=""),"",IF(C76="売",(F76-H76)/F76,(H76-F76)/F76))</f>
        <v/>
      </c>
      <c r="M76" s="491" t="str">
        <f>IF($F76="","",IF($C76="売",CEILING($F76*IF($C76="売",1-$AX$3,1+$AX$3),IF($F76*IF($C76="売",1-$AX$3,1+$AX$3)&lt;=3000,1,IF($F76*IF($C76="売",1-$AX$3,1+$AX$3)&lt;=5000,5,IF($F76*IF($C76="売",1-$AX$3,1+$AX$3)&lt;=30000,10,IF($F76*IF($C76="売",1-$AX$3,1+$AX$3)&lt;=50000,50,IF($F76*IF($C76="売",1-$AX$3,1+$AX$3)&lt;=300000,100,500)))))),FLOOR($F76*IF($C76="売",1-$AX$3,1+$AX$3),IF($F76*IF($C76="売",1-$AX$3,1+$AX$3)&lt;=3000,1,IF($F76*IF($C76="売",1-$AX$3,1+$AX$3)&lt;=5000,5,IF($F76*IF($C76="売",1-$AX$3,1+$AX$3)&lt;=30000,10,IF($F76*IF($C76="売",1-$AX$3,1+$AX$3)&lt;=50000,50,IF($F76*IF($C76="売",1-$AX$3,1+$AX$3)&lt;=300000,100,500))))))))</f>
      </c>
      <c r="N76" s="491" t="str">
        <f>IF($F76="","",IF($C76="売",CEILING($F76*IF($C76="売",1+$AX$2,1-$AX$2),IF($F76*IF($C76="売",1+$AX$2,1-$AX$2)&lt;=3000,1,IF($F76*IF($C76="売",1+$AX$2,1-$AX$2)&lt;=5000,5,IF($F76*IF($C76="売",1+$AX$2,1-$AX$2)&lt;=30000,10,IF($F76*IF($C76="売",1+$AX$2,1-$AX$2)&lt;=50000,50,IF($F76*IF($C76="売",1+$AX$2,1-$AX$2)&lt;=300000,100,500)))))),FLOOR($F76*IF($C76="売",1+$AX$2,1-$AX$2),IF($F76*IF($C76="売",1+$AX$2,1-$AX$2)&lt;=3000,1,IF($F76*IF($C76="売",1+$AX$2,1-$AX$2)&lt;=5000,5,IF($F76*IF($C76="売",1+$AX$2,1-$AX$2)&lt;=30000,10,IF($F76*IF($C76="売",1+$AX$2,1-$AX$2)&lt;=50000,50,IF($F76*IF($C76="売",1+$AX$2,1-$AX$2)&lt;=300000,100,500))))))))</f>
      </c>
      <c r="O76" s="492" t="str">
        <f>IF(OR($B76="",$F76="",$H76=""),"",IF($S76="✅売却済","―決済済―",IF($C76="売",IF($H76&lt;=$M76,"🟢利確",IF(AND($R76&lt;&gt;"",$H76&gt;=$R76),"🟠TRAIL決済",IF($H76&gt;=$N76,"🔴損切",IF($W76&gt;=$AX$5,"⏱時間決済",IF($H76&gt;=$F76*(1+$AX$2*0.7),"⚠️損切接近","保持継続"))))),IF($H76&gt;=$M76,"🟢利確",IF(AND($R76&lt;&gt;"",$H76&lt;=$R76),"🟠TRAIL決済",IF($H76&lt;=$N76,"🔴損切",IF($W76&gt;=$AX$5,"⏱時間決済",IF($H76&lt;=$F76*(1-$AX$2*0.7),"⚠️損切接近","保持継続")))))))</f>
      </c>
      <c r="P76" s="491"/>
      <c r="Q76" s="491"/>
      <c r="R76" s="491" t="str">
        <f>IF(OR($F76="",$H76="",$N76=""),"",IF($S76="✅売却済","",IF($C76="売",IF($H76&gt;$F76*(1-$AX$2),$N76,CEILING(MIN($N76,IF($Q76="",$N76,$Q76*1.03)),IF($N76&lt;=3000,1,IF($N76&lt;=5000,5,IF($N76&lt;=30000,10,IF($N76&lt;=50000,50,IF($N76&lt;=300000,100,500))))))),IF($H76&lt;$F76*(1+$AX$2),$N76,FLOOR(MAX($N76,IF($P76="",$N76,$P76*0.97)),IF($N76&lt;=3000,1,IF($N76&lt;=5000,5,IF($N76&lt;=30000,10,IF($N76&lt;=50000,50,IF($N76&lt;=300000,100,500))))))))))</f>
      </c>
      <c r="S76" s="586" t="str">
        <f>IF(B76="","",IF(T76&lt;&gt;"","✅売却済",IF(OR(H76="",L76=""),"📌保有中",IF(L76&gt;=0.06,"🟢利確推奨",IF(L76&gt;=0.05,"🟡利確直近",IF(L76&gt;=0.045,"🔵トレーリング検討",IF(L76&gt;-0.03,"📌保有中",IF(L76&gt;-0.04,"⚠️損切注意","🔴損切り"))))))))</f>
        <v/>
      </c>
      <c r="T76" s="594"/>
      <c r="U76" s="491"/>
      <c r="V76" s="701" t="str">
        <f>IF(OR(F76="",G76="",U76=""),"",IF(C76="売",(F76-U76)*G76,(U76-F76)*G76))</f>
        <v/>
      </c>
      <c r="W76" s="493" t="str">
        <f>IF(OR($E76="",$B76=""),"",IF($T76&lt;&gt;"",$T76-$E76,TODAY()-$E76)+1)</f>
        <v/>
      </c>
      <c r="X76" s="489" t="str">
        <f>IF(OR($AH76="",$AH76="保有中"),"",$AH76)</f>
        <v/>
      </c>
      <c r="Y76" s="488">
        <f>IF($B76="","",IF(COUNTIFS($B$4:$B76,$B76,$C$4:$C76,$C76)&gt;1,"⛔重複"&amp;COUNTIFS($B$4:$B76,$B76,$C$4:$C76,$C76)&amp;"回目",""))</f>
      </c>
      <c r="Z76" s="710"/>
      <c r="AB76">
        <f>IF($F76="","",MAX(100,ROUNDDOWN($AX$4/($F76*$AX$2)/100,0)*100))</f>
      </c>
      <c r="AC76">
        <f>IF(OR($F76="",$G76="",$U76=""),"",ROUND($V76-($F76+$U76)*$G76*$AX$6-IF($C76="売",$F76*$G76*$AX$7*$W76/365,0),0))</f>
      </c>
      <c r="AD76" s="608"/>
      <c r="AE76" s="624" t="str">
        <f>IF($E76="","",WORKDAY($E76,12))</f>
        <v/>
      </c>
      <c r="AF76" s="626"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26"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0" t="str">
        <f>IF(OR($B76="",$M76=""),"",IF(AND(N($AF76)=0,N($AG76)=0),IF(AND(ISNUMBER($H76),$H76&gt;0,IF($C76="売",$H76&gt;=$N76,$H76&lt;=$N76)),"損切確定",IF(AND(ISNUMBER($H76),$H76&gt;0,IF($C76="売",$H76&lt;=$M76,$H76&gt;=$M76)),"利益確定",IF($AE76&lt;=TODAY(),"日数制限","保有中"))),IF(N($AG76)=0,"利益確定",IF(N($AF76)=0,"損切確定",IF($AG76&lt;=$AF76,"損切確定","利益確定")))))</f>
        <v/>
      </c>
      <c r="AI76" s="600" t="str" cm="1">
        <f t="array" ref="AI76">IFERROR(INDEX(始値!$E$6:$BT$305,MATCH(TEXT($B76,"0"),TEXT(銘柄管理!$B$6:$B$305,"0"),0),MATCH($AE76,始値!$E$3:$BT$3,0)),"")</f>
        <v/>
      </c>
      <c r="AJ76" s="905" t="str">
        <f>IF(OR($V76="",$F76="",$G76=""),"",$V76/($F76*$G76))</f>
        <v/>
      </c>
      <c r="AK76" s="629" t="str">
        <f>IF($V76="","",IF($V76&gt;0,"○勝",IF($V76&lt;0,"●負","△引分")))</f>
        <v/>
      </c>
    </row>
    <row r="77" spans="1:37" ht="35.4" customHeight="1">
      <c r="A77" s="619" t="str">
        <f>IF(B77="","",HYPERLINK("https://kabutan.jp/stock/?code="&amp;B77,"株探"))</f>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BT$3,0)=1,1,MATCH($E77,始値!$E$3:$BT$3,0)+1)),_xlpm.v,INDEX(始値!$C$6:$B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IF(OR(F77="",G77="",H77=""),"",IF(C77="売",(F77-H77)*G77,(H77-F77)*G77))</f>
        <v/>
      </c>
      <c r="L77" s="706" t="str">
        <f>IF(OR(F77="",H77=""),"",IF(C77="売",(F77-H77)/F77,(H77-F77)/F77))</f>
        <v/>
      </c>
      <c r="M77" s="491" t="str">
        <f>IF($F77="","",IF($C77="売",CEILING($F77*IF($C77="売",1-$AX$3,1+$AX$3),IF($F77*IF($C77="売",1-$AX$3,1+$AX$3)&lt;=3000,1,IF($F77*IF($C77="売",1-$AX$3,1+$AX$3)&lt;=5000,5,IF($F77*IF($C77="売",1-$AX$3,1+$AX$3)&lt;=30000,10,IF($F77*IF($C77="売",1-$AX$3,1+$AX$3)&lt;=50000,50,IF($F77*IF($C77="売",1-$AX$3,1+$AX$3)&lt;=300000,100,500)))))),FLOOR($F77*IF($C77="売",1-$AX$3,1+$AX$3),IF($F77*IF($C77="売",1-$AX$3,1+$AX$3)&lt;=3000,1,IF($F77*IF($C77="売",1-$AX$3,1+$AX$3)&lt;=5000,5,IF($F77*IF($C77="売",1-$AX$3,1+$AX$3)&lt;=30000,10,IF($F77*IF($C77="売",1-$AX$3,1+$AX$3)&lt;=50000,50,IF($F77*IF($C77="売",1-$AX$3,1+$AX$3)&lt;=300000,100,500))))))))</f>
      </c>
      <c r="N77" s="491" t="str">
        <f>IF($F77="","",IF($C77="売",CEILING($F77*IF($C77="売",1+$AX$2,1-$AX$2),IF($F77*IF($C77="売",1+$AX$2,1-$AX$2)&lt;=3000,1,IF($F77*IF($C77="売",1+$AX$2,1-$AX$2)&lt;=5000,5,IF($F77*IF($C77="売",1+$AX$2,1-$AX$2)&lt;=30000,10,IF($F77*IF($C77="売",1+$AX$2,1-$AX$2)&lt;=50000,50,IF($F77*IF($C77="売",1+$AX$2,1-$AX$2)&lt;=300000,100,500)))))),FLOOR($F77*IF($C77="売",1+$AX$2,1-$AX$2),IF($F77*IF($C77="売",1+$AX$2,1-$AX$2)&lt;=3000,1,IF($F77*IF($C77="売",1+$AX$2,1-$AX$2)&lt;=5000,5,IF($F77*IF($C77="売",1+$AX$2,1-$AX$2)&lt;=30000,10,IF($F77*IF($C77="売",1+$AX$2,1-$AX$2)&lt;=50000,50,IF($F77*IF($C77="売",1+$AX$2,1-$AX$2)&lt;=300000,100,500))))))))</f>
      </c>
      <c r="O77" s="492" t="str">
        <f>IF(OR($B77="",$F77="",$H77=""),"",IF($S77="✅売却済","―決済済―",IF($C77="売",IF($H77&lt;=$M77,"🟢利確",IF(AND($R77&lt;&gt;"",$H77&gt;=$R77),"🟠TRAIL決済",IF($H77&gt;=$N77,"🔴損切",IF($W77&gt;=$AX$5,"⏱時間決済",IF($H77&gt;=$F77*(1+$AX$2*0.7),"⚠️損切接近","保持継続"))))),IF($H77&gt;=$M77,"🟢利確",IF(AND($R77&lt;&gt;"",$H77&lt;=$R77),"🟠TRAIL決済",IF($H77&lt;=$N77,"🔴損切",IF($W77&gt;=$AX$5,"⏱時間決済",IF($H77&lt;=$F77*(1-$AX$2*0.7),"⚠️損切接近","保持継続")))))))</f>
      </c>
      <c r="P77" s="491"/>
      <c r="Q77" s="491"/>
      <c r="R77" s="491" t="str">
        <f>IF(OR($F77="",$H77="",$N77=""),"",IF($S77="✅売却済","",IF($C77="売",IF($H77&gt;$F77*(1-$AX$2),$N77,CEILING(MIN($N77,IF($Q77="",$N77,$Q77*1.03)),IF($N77&lt;=3000,1,IF($N77&lt;=5000,5,IF($N77&lt;=30000,10,IF($N77&lt;=50000,50,IF($N77&lt;=300000,100,500))))))),IF($H77&lt;$F77*(1+$AX$2),$N77,FLOOR(MAX($N77,IF($P77="",$N77,$P77*0.97)),IF($N77&lt;=3000,1,IF($N77&lt;=5000,5,IF($N77&lt;=30000,10,IF($N77&lt;=50000,50,IF($N77&lt;=300000,100,500))))))))))</f>
      </c>
      <c r="S77" s="586" t="str">
        <f>IF(B77="","",IF(T77&lt;&gt;"","✅売却済",IF(OR(H77="",L77=""),"📌保有中",IF(L77&gt;=0.06,"🟢利確推奨",IF(L77&gt;=0.05,"🟡利確直近",IF(L77&gt;=0.045,"🔵トレーリング検討",IF(L77&gt;-0.03,"📌保有中",IF(L77&gt;-0.04,"⚠️損切注意","🔴損切り"))))))))</f>
        <v/>
      </c>
      <c r="T77" s="594"/>
      <c r="U77" s="491"/>
      <c r="V77" s="701" t="str">
        <f>IF(OR(F77="",G77="",U77=""),"",IF(C77="売",(F77-U77)*G77,(U77-F77)*G77))</f>
        <v/>
      </c>
      <c r="W77" s="493" t="str">
        <f>IF(OR($E77="",$B77=""),"",IF($T77&lt;&gt;"",$T77-$E77,TODAY()-$E77)+1)</f>
        <v/>
      </c>
      <c r="X77" s="489" t="str">
        <f>IF(OR($AH77="",$AH77="保有中"),"",$AH77)</f>
        <v/>
      </c>
      <c r="Y77" s="488">
        <f>IF($B77="","",IF(COUNTIFS($B$4:$B77,$B77,$C$4:$C77,$C77)&gt;1,"⛔重複"&amp;COUNTIFS($B$4:$B77,$B77,$C$4:$C77,$C77)&amp;"回目",""))</f>
      </c>
      <c r="Z77" s="710"/>
      <c r="AB77">
        <f>IF($F77="","",MAX(100,ROUNDDOWN($AX$4/($F77*$AX$2)/100,0)*100))</f>
      </c>
      <c r="AC77">
        <f>IF(OR($F77="",$G77="",$U77=""),"",ROUND($V77-($F77+$U77)*$G77*$AX$6-IF($C77="売",$F77*$G77*$AX$7*$W77/365,0),0))</f>
      </c>
      <c r="AD77" s="608"/>
      <c r="AE77" s="624" t="str">
        <f>IF($E77="","",WORKDAY($E77,12))</f>
        <v/>
      </c>
      <c r="AF77" s="626"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26"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0" t="str">
        <f>IF(OR($B77="",$M77=""),"",IF(AND(N($AF77)=0,N($AG77)=0),IF(AND(ISNUMBER($H77),$H77&gt;0,IF($C77="売",$H77&gt;=$N77,$H77&lt;=$N77)),"損切確定",IF(AND(ISNUMBER($H77),$H77&gt;0,IF($C77="売",$H77&lt;=$M77,$H77&gt;=$M77)),"利益確定",IF($AE77&lt;=TODAY(),"日数制限","保有中"))),IF(N($AG77)=0,"利益確定",IF(N($AF77)=0,"損切確定",IF($AG77&lt;=$AF77,"損切確定","利益確定")))))</f>
        <v/>
      </c>
      <c r="AI77" s="600" t="str" cm="1">
        <f t="array" ref="AI77">IFERROR(INDEX(始値!$E$6:$BT$305,MATCH(TEXT($B77,"0"),TEXT(銘柄管理!$B$6:$B$305,"0"),0),MATCH($AE77,始値!$E$3:$BT$3,0)),"")</f>
        <v/>
      </c>
      <c r="AJ77" s="905" t="str">
        <f>IF(OR($V77="",$F77="",$G77=""),"",$V77/($F77*$G77))</f>
        <v/>
      </c>
      <c r="AK77" s="629" t="str">
        <f>IF($V77="","",IF($V77&gt;0,"○勝",IF($V77&lt;0,"●負","△引分")))</f>
        <v/>
      </c>
    </row>
    <row r="78" spans="1:37" ht="35.4" customHeight="1">
      <c r="A78" s="619" t="str">
        <f>IF(B78="","",HYPERLINK("https://kabutan.jp/stock/?code="&amp;B78,"株探"))</f>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BT$3,0)=1,1,MATCH($E78,始値!$E$3:$BT$3,0)+1)),_xlpm.v,INDEX(始値!$C$6:$B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IF(OR(F78="",G78="",H78=""),"",IF(C78="売",(F78-H78)*G78,(H78-F78)*G78))</f>
        <v/>
      </c>
      <c r="L78" s="706" t="str">
        <f>IF(OR(F78="",H78=""),"",IF(C78="売",(F78-H78)/F78,(H78-F78)/F78))</f>
        <v/>
      </c>
      <c r="M78" s="491" t="str">
        <f>IF($F78="","",IF($C78="売",CEILING($F78*IF($C78="売",1-$AX$3,1+$AX$3),IF($F78*IF($C78="売",1-$AX$3,1+$AX$3)&lt;=3000,1,IF($F78*IF($C78="売",1-$AX$3,1+$AX$3)&lt;=5000,5,IF($F78*IF($C78="売",1-$AX$3,1+$AX$3)&lt;=30000,10,IF($F78*IF($C78="売",1-$AX$3,1+$AX$3)&lt;=50000,50,IF($F78*IF($C78="売",1-$AX$3,1+$AX$3)&lt;=300000,100,500)))))),FLOOR($F78*IF($C78="売",1-$AX$3,1+$AX$3),IF($F78*IF($C78="売",1-$AX$3,1+$AX$3)&lt;=3000,1,IF($F78*IF($C78="売",1-$AX$3,1+$AX$3)&lt;=5000,5,IF($F78*IF($C78="売",1-$AX$3,1+$AX$3)&lt;=30000,10,IF($F78*IF($C78="売",1-$AX$3,1+$AX$3)&lt;=50000,50,IF($F78*IF($C78="売",1-$AX$3,1+$AX$3)&lt;=300000,100,500))))))))</f>
      </c>
      <c r="N78" s="491" t="str">
        <f>IF($F78="","",IF($C78="売",CEILING($F78*IF($C78="売",1+$AX$2,1-$AX$2),IF($F78*IF($C78="売",1+$AX$2,1-$AX$2)&lt;=3000,1,IF($F78*IF($C78="売",1+$AX$2,1-$AX$2)&lt;=5000,5,IF($F78*IF($C78="売",1+$AX$2,1-$AX$2)&lt;=30000,10,IF($F78*IF($C78="売",1+$AX$2,1-$AX$2)&lt;=50000,50,IF($F78*IF($C78="売",1+$AX$2,1-$AX$2)&lt;=300000,100,500)))))),FLOOR($F78*IF($C78="売",1+$AX$2,1-$AX$2),IF($F78*IF($C78="売",1+$AX$2,1-$AX$2)&lt;=3000,1,IF($F78*IF($C78="売",1+$AX$2,1-$AX$2)&lt;=5000,5,IF($F78*IF($C78="売",1+$AX$2,1-$AX$2)&lt;=30000,10,IF($F78*IF($C78="売",1+$AX$2,1-$AX$2)&lt;=50000,50,IF($F78*IF($C78="売",1+$AX$2,1-$AX$2)&lt;=300000,100,500))))))))</f>
      </c>
      <c r="O78" s="492" t="str">
        <f>IF(OR($B78="",$F78="",$H78=""),"",IF($S78="✅売却済","―決済済―",IF($C78="売",IF($H78&lt;=$M78,"🟢利確",IF(AND($R78&lt;&gt;"",$H78&gt;=$R78),"🟠TRAIL決済",IF($H78&gt;=$N78,"🔴損切",IF($W78&gt;=$AX$5,"⏱時間決済",IF($H78&gt;=$F78*(1+$AX$2*0.7),"⚠️損切接近","保持継続"))))),IF($H78&gt;=$M78,"🟢利確",IF(AND($R78&lt;&gt;"",$H78&lt;=$R78),"🟠TRAIL決済",IF($H78&lt;=$N78,"🔴損切",IF($W78&gt;=$AX$5,"⏱時間決済",IF($H78&lt;=$F78*(1-$AX$2*0.7),"⚠️損切接近","保持継続")))))))</f>
      </c>
      <c r="P78" s="491"/>
      <c r="Q78" s="491"/>
      <c r="R78" s="491" t="str">
        <f>IF(OR($F78="",$H78="",$N78=""),"",IF($S78="✅売却済","",IF($C78="売",IF($H78&gt;$F78*(1-$AX$2),$N78,CEILING(MIN($N78,IF($Q78="",$N78,$Q78*1.03)),IF($N78&lt;=3000,1,IF($N78&lt;=5000,5,IF($N78&lt;=30000,10,IF($N78&lt;=50000,50,IF($N78&lt;=300000,100,500))))))),IF($H78&lt;$F78*(1+$AX$2),$N78,FLOOR(MAX($N78,IF($P78="",$N78,$P78*0.97)),IF($N78&lt;=3000,1,IF($N78&lt;=5000,5,IF($N78&lt;=30000,10,IF($N78&lt;=50000,50,IF($N78&lt;=300000,100,500))))))))))</f>
      </c>
      <c r="S78" s="586" t="str">
        <f>IF(B78="","",IF(T78&lt;&gt;"","✅売却済",IF(OR(H78="",L78=""),"📌保有中",IF(L78&gt;=0.06,"🟢利確推奨",IF(L78&gt;=0.05,"🟡利確直近",IF(L78&gt;=0.045,"🔵トレーリング検討",IF(L78&gt;-0.03,"📌保有中",IF(L78&gt;-0.04,"⚠️損切注意","🔴損切り"))))))))</f>
        <v/>
      </c>
      <c r="T78" s="594"/>
      <c r="U78" s="491"/>
      <c r="V78" s="701" t="str">
        <f>IF(OR(F78="",G78="",U78=""),"",IF(C78="売",(F78-U78)*G78,(U78-F78)*G78))</f>
        <v/>
      </c>
      <c r="W78" s="493" t="str">
        <f>IF(OR($E78="",$B78=""),"",IF($T78&lt;&gt;"",$T78-$E78,TODAY()-$E78)+1)</f>
        <v/>
      </c>
      <c r="X78" s="489" t="str">
        <f>IF(OR($AH78="",$AH78="保有中"),"",$AH78)</f>
        <v/>
      </c>
      <c r="Y78" s="488">
        <f>IF($B78="","",IF(COUNTIFS($B$4:$B78,$B78,$C$4:$C78,$C78)&gt;1,"⛔重複"&amp;COUNTIFS($B$4:$B78,$B78,$C$4:$C78,$C78)&amp;"回目",""))</f>
      </c>
      <c r="Z78" s="710"/>
      <c r="AB78">
        <f>IF($F78="","",MAX(100,ROUNDDOWN($AX$4/($F78*$AX$2)/100,0)*100))</f>
      </c>
      <c r="AC78">
        <f>IF(OR($F78="",$G78="",$U78=""),"",ROUND($V78-($F78+$U78)*$G78*$AX$6-IF($C78="売",$F78*$G78*$AX$7*$W78/365,0),0))</f>
      </c>
      <c r="AD78" s="608"/>
      <c r="AE78" s="624" t="str">
        <f>IF($E78="","",WORKDAY($E78,12))</f>
        <v/>
      </c>
      <c r="AF78" s="626"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26"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0" t="str">
        <f>IF(OR($B78="",$M78=""),"",IF(AND(N($AF78)=0,N($AG78)=0),IF(AND(ISNUMBER($H78),$H78&gt;0,IF($C78="売",$H78&gt;=$N78,$H78&lt;=$N78)),"損切確定",IF(AND(ISNUMBER($H78),$H78&gt;0,IF($C78="売",$H78&lt;=$M78,$H78&gt;=$M78)),"利益確定",IF($AE78&lt;=TODAY(),"日数制限","保有中"))),IF(N($AG78)=0,"利益確定",IF(N($AF78)=0,"損切確定",IF($AG78&lt;=$AF78,"損切確定","利益確定")))))</f>
        <v/>
      </c>
      <c r="AI78" s="600" t="str" cm="1">
        <f t="array" ref="AI78">IFERROR(INDEX(始値!$E$6:$BT$305,MATCH(TEXT($B78,"0"),TEXT(銘柄管理!$B$6:$B$305,"0"),0),MATCH($AE78,始値!$E$3:$BT$3,0)),"")</f>
        <v/>
      </c>
      <c r="AJ78" s="905" t="str">
        <f>IF(OR($V78="",$F78="",$G78=""),"",$V78/($F78*$G78))</f>
        <v/>
      </c>
      <c r="AK78" s="629" t="str">
        <f>IF($V78="","",IF($V78&gt;0,"○勝",IF($V78&lt;0,"●負","△引分")))</f>
        <v/>
      </c>
    </row>
    <row r="79" spans="1:37" ht="35.4" customHeight="1">
      <c r="A79" s="619" t="str">
        <f>IF(B79="","",HYPERLINK("https://kabutan.jp/stock/?code="&amp;B79,"株探"))</f>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BT$3,0)=1,1,MATCH($E79,始値!$E$3:$BT$3,0)+1)),_xlpm.v,INDEX(始値!$C$6:$B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IF(OR(F79="",G79="",H79=""),"",IF(C79="売",(F79-H79)*G79,(H79-F79)*G79))</f>
        <v/>
      </c>
      <c r="L79" s="706" t="str">
        <f>IF(OR(F79="",H79=""),"",IF(C79="売",(F79-H79)/F79,(H79-F79)/F79))</f>
        <v/>
      </c>
      <c r="M79" s="491" t="str">
        <f>IF($F79="","",IF($C79="売",CEILING($F79*IF($C79="売",1-$AX$3,1+$AX$3),IF($F79*IF($C79="売",1-$AX$3,1+$AX$3)&lt;=3000,1,IF($F79*IF($C79="売",1-$AX$3,1+$AX$3)&lt;=5000,5,IF($F79*IF($C79="売",1-$AX$3,1+$AX$3)&lt;=30000,10,IF($F79*IF($C79="売",1-$AX$3,1+$AX$3)&lt;=50000,50,IF($F79*IF($C79="売",1-$AX$3,1+$AX$3)&lt;=300000,100,500)))))),FLOOR($F79*IF($C79="売",1-$AX$3,1+$AX$3),IF($F79*IF($C79="売",1-$AX$3,1+$AX$3)&lt;=3000,1,IF($F79*IF($C79="売",1-$AX$3,1+$AX$3)&lt;=5000,5,IF($F79*IF($C79="売",1-$AX$3,1+$AX$3)&lt;=30000,10,IF($F79*IF($C79="売",1-$AX$3,1+$AX$3)&lt;=50000,50,IF($F79*IF($C79="売",1-$AX$3,1+$AX$3)&lt;=300000,100,500))))))))</f>
      </c>
      <c r="N79" s="491" t="str">
        <f>IF($F79="","",IF($C79="売",CEILING($F79*IF($C79="売",1+$AX$2,1-$AX$2),IF($F79*IF($C79="売",1+$AX$2,1-$AX$2)&lt;=3000,1,IF($F79*IF($C79="売",1+$AX$2,1-$AX$2)&lt;=5000,5,IF($F79*IF($C79="売",1+$AX$2,1-$AX$2)&lt;=30000,10,IF($F79*IF($C79="売",1+$AX$2,1-$AX$2)&lt;=50000,50,IF($F79*IF($C79="売",1+$AX$2,1-$AX$2)&lt;=300000,100,500)))))),FLOOR($F79*IF($C79="売",1+$AX$2,1-$AX$2),IF($F79*IF($C79="売",1+$AX$2,1-$AX$2)&lt;=3000,1,IF($F79*IF($C79="売",1+$AX$2,1-$AX$2)&lt;=5000,5,IF($F79*IF($C79="売",1+$AX$2,1-$AX$2)&lt;=30000,10,IF($F79*IF($C79="売",1+$AX$2,1-$AX$2)&lt;=50000,50,IF($F79*IF($C79="売",1+$AX$2,1-$AX$2)&lt;=300000,100,500))))))))</f>
      </c>
      <c r="O79" s="492" t="str">
        <f>IF(OR($B79="",$F79="",$H79=""),"",IF($S79="✅売却済","―決済済―",IF($C79="売",IF($H79&lt;=$M79,"🟢利確",IF(AND($R79&lt;&gt;"",$H79&gt;=$R79),"🟠TRAIL決済",IF($H79&gt;=$N79,"🔴損切",IF($W79&gt;=$AX$5,"⏱時間決済",IF($H79&gt;=$F79*(1+$AX$2*0.7),"⚠️損切接近","保持継続"))))),IF($H79&gt;=$M79,"🟢利確",IF(AND($R79&lt;&gt;"",$H79&lt;=$R79),"🟠TRAIL決済",IF($H79&lt;=$N79,"🔴損切",IF($W79&gt;=$AX$5,"⏱時間決済",IF($H79&lt;=$F79*(1-$AX$2*0.7),"⚠️損切接近","保持継続")))))))</f>
      </c>
      <c r="P79" s="491"/>
      <c r="Q79" s="491"/>
      <c r="R79" s="491" t="str">
        <f>IF(OR($F79="",$H79="",$N79=""),"",IF($S79="✅売却済","",IF($C79="売",IF($H79&gt;$F79*(1-$AX$2),$N79,CEILING(MIN($N79,IF($Q79="",$N79,$Q79*1.03)),IF($N79&lt;=3000,1,IF($N79&lt;=5000,5,IF($N79&lt;=30000,10,IF($N79&lt;=50000,50,IF($N79&lt;=300000,100,500))))))),IF($H79&lt;$F79*(1+$AX$2),$N79,FLOOR(MAX($N79,IF($P79="",$N79,$P79*0.97)),IF($N79&lt;=3000,1,IF($N79&lt;=5000,5,IF($N79&lt;=30000,10,IF($N79&lt;=50000,50,IF($N79&lt;=300000,100,500))))))))))</f>
      </c>
      <c r="S79" s="586" t="str">
        <f>IF(B79="","",IF(T79&lt;&gt;"","✅売却済",IF(OR(H79="",L79=""),"📌保有中",IF(L79&gt;=0.06,"🟢利確推奨",IF(L79&gt;=0.05,"🟡利確直近",IF(L79&gt;=0.045,"🔵トレーリング検討",IF(L79&gt;-0.03,"📌保有中",IF(L79&gt;-0.04,"⚠️損切注意","🔴損切り"))))))))</f>
        <v/>
      </c>
      <c r="T79" s="594"/>
      <c r="U79" s="491"/>
      <c r="V79" s="701" t="str">
        <f>IF(OR(F79="",G79="",U79=""),"",IF(C79="売",(F79-U79)*G79,(U79-F79)*G79))</f>
        <v/>
      </c>
      <c r="W79" s="493" t="str">
        <f>IF(OR($E79="",$B79=""),"",IF($T79&lt;&gt;"",$T79-$E79,TODAY()-$E79)+1)</f>
        <v/>
      </c>
      <c r="X79" s="489" t="str">
        <f>IF(OR($AH79="",$AH79="保有中"),"",$AH79)</f>
        <v/>
      </c>
      <c r="Y79" s="488">
        <f>IF($B79="","",IF(COUNTIFS($B$4:$B79,$B79,$C$4:$C79,$C79)&gt;1,"⛔重複"&amp;COUNTIFS($B$4:$B79,$B79,$C$4:$C79,$C79)&amp;"回目",""))</f>
      </c>
      <c r="Z79" s="710"/>
      <c r="AB79">
        <f>IF($F79="","",MAX(100,ROUNDDOWN($AX$4/($F79*$AX$2)/100,0)*100))</f>
      </c>
      <c r="AC79">
        <f>IF(OR($F79="",$G79="",$U79=""),"",ROUND($V79-($F79+$U79)*$G79*$AX$6-IF($C79="売",$F79*$G79*$AX$7*$W79/365,0),0))</f>
      </c>
      <c r="AD79" s="608"/>
      <c r="AE79" s="624" t="str">
        <f>IF($E79="","",WORKDAY($E79,12))</f>
        <v/>
      </c>
      <c r="AF79" s="626"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26"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0" t="str">
        <f>IF(OR($B79="",$M79=""),"",IF(AND(N($AF79)=0,N($AG79)=0),IF(AND(ISNUMBER($H79),$H79&gt;0,IF($C79="売",$H79&gt;=$N79,$H79&lt;=$N79)),"損切確定",IF(AND(ISNUMBER($H79),$H79&gt;0,IF($C79="売",$H79&lt;=$M79,$H79&gt;=$M79)),"利益確定",IF($AE79&lt;=TODAY(),"日数制限","保有中"))),IF(N($AG79)=0,"利益確定",IF(N($AF79)=0,"損切確定",IF($AG79&lt;=$AF79,"損切確定","利益確定")))))</f>
        <v/>
      </c>
      <c r="AI79" s="600" t="str" cm="1">
        <f t="array" ref="AI79">IFERROR(INDEX(始値!$E$6:$BT$305,MATCH(TEXT($B79,"0"),TEXT(銘柄管理!$B$6:$B$305,"0"),0),MATCH($AE79,始値!$E$3:$BT$3,0)),"")</f>
        <v/>
      </c>
      <c r="AJ79" s="905" t="str">
        <f>IF(OR($V79="",$F79="",$G79=""),"",$V79/($F79*$G79))</f>
        <v/>
      </c>
      <c r="AK79" s="629" t="str">
        <f>IF($V79="","",IF($V79&gt;0,"○勝",IF($V79&lt;0,"●負","△引分")))</f>
        <v/>
      </c>
    </row>
    <row r="80" spans="1:37" ht="35.4" customHeight="1">
      <c r="A80" s="619" t="str">
        <f>IF(B80="","",HYPERLINK("https://kabutan.jp/stock/?code="&amp;B80,"株探"))</f>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BT$3,0)=1,1,MATCH($E80,始値!$E$3:$BT$3,0)+1)),_xlpm.v,INDEX(始値!$C$6:$B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IF(OR(F80="",G80="",H80=""),"",IF(C80="売",(F80-H80)*G80,(H80-F80)*G80))</f>
        <v/>
      </c>
      <c r="L80" s="706" t="str">
        <f>IF(OR(F80="",H80=""),"",IF(C80="売",(F80-H80)/F80,(H80-F80)/F80))</f>
        <v/>
      </c>
      <c r="M80" s="491" t="str">
        <f>IF($F80="","",IF($C80="売",CEILING($F80*IF($C80="売",1-$AX$3,1+$AX$3),IF($F80*IF($C80="売",1-$AX$3,1+$AX$3)&lt;=3000,1,IF($F80*IF($C80="売",1-$AX$3,1+$AX$3)&lt;=5000,5,IF($F80*IF($C80="売",1-$AX$3,1+$AX$3)&lt;=30000,10,IF($F80*IF($C80="売",1-$AX$3,1+$AX$3)&lt;=50000,50,IF($F80*IF($C80="売",1-$AX$3,1+$AX$3)&lt;=300000,100,500)))))),FLOOR($F80*IF($C80="売",1-$AX$3,1+$AX$3),IF($F80*IF($C80="売",1-$AX$3,1+$AX$3)&lt;=3000,1,IF($F80*IF($C80="売",1-$AX$3,1+$AX$3)&lt;=5000,5,IF($F80*IF($C80="売",1-$AX$3,1+$AX$3)&lt;=30000,10,IF($F80*IF($C80="売",1-$AX$3,1+$AX$3)&lt;=50000,50,IF($F80*IF($C80="売",1-$AX$3,1+$AX$3)&lt;=300000,100,500))))))))</f>
      </c>
      <c r="N80" s="491" t="str">
        <f>IF($F80="","",IF($C80="売",CEILING($F80*IF($C80="売",1+$AX$2,1-$AX$2),IF($F80*IF($C80="売",1+$AX$2,1-$AX$2)&lt;=3000,1,IF($F80*IF($C80="売",1+$AX$2,1-$AX$2)&lt;=5000,5,IF($F80*IF($C80="売",1+$AX$2,1-$AX$2)&lt;=30000,10,IF($F80*IF($C80="売",1+$AX$2,1-$AX$2)&lt;=50000,50,IF($F80*IF($C80="売",1+$AX$2,1-$AX$2)&lt;=300000,100,500)))))),FLOOR($F80*IF($C80="売",1+$AX$2,1-$AX$2),IF($F80*IF($C80="売",1+$AX$2,1-$AX$2)&lt;=3000,1,IF($F80*IF($C80="売",1+$AX$2,1-$AX$2)&lt;=5000,5,IF($F80*IF($C80="売",1+$AX$2,1-$AX$2)&lt;=30000,10,IF($F80*IF($C80="売",1+$AX$2,1-$AX$2)&lt;=50000,50,IF($F80*IF($C80="売",1+$AX$2,1-$AX$2)&lt;=300000,100,500))))))))</f>
      </c>
      <c r="O80" s="492" t="str">
        <f>IF(OR($B80="",$F80="",$H80=""),"",IF($S80="✅売却済","―決済済―",IF($C80="売",IF($H80&lt;=$M80,"🟢利確",IF(AND($R80&lt;&gt;"",$H80&gt;=$R80),"🟠TRAIL決済",IF($H80&gt;=$N80,"🔴損切",IF($W80&gt;=$AX$5,"⏱時間決済",IF($H80&gt;=$F80*(1+$AX$2*0.7),"⚠️損切接近","保持継続"))))),IF($H80&gt;=$M80,"🟢利確",IF(AND($R80&lt;&gt;"",$H80&lt;=$R80),"🟠TRAIL決済",IF($H80&lt;=$N80,"🔴損切",IF($W80&gt;=$AX$5,"⏱時間決済",IF($H80&lt;=$F80*(1-$AX$2*0.7),"⚠️損切接近","保持継続")))))))</f>
      </c>
      <c r="P80" s="491"/>
      <c r="Q80" s="491"/>
      <c r="R80" s="491" t="str">
        <f>IF(OR($F80="",$H80="",$N80=""),"",IF($S80="✅売却済","",IF($C80="売",IF($H80&gt;$F80*(1-$AX$2),$N80,CEILING(MIN($N80,IF($Q80="",$N80,$Q80*1.03)),IF($N80&lt;=3000,1,IF($N80&lt;=5000,5,IF($N80&lt;=30000,10,IF($N80&lt;=50000,50,IF($N80&lt;=300000,100,500))))))),IF($H80&lt;$F80*(1+$AX$2),$N80,FLOOR(MAX($N80,IF($P80="",$N80,$P80*0.97)),IF($N80&lt;=3000,1,IF($N80&lt;=5000,5,IF($N80&lt;=30000,10,IF($N80&lt;=50000,50,IF($N80&lt;=300000,100,500))))))))))</f>
      </c>
      <c r="S80" s="586" t="str">
        <f>IF(B80="","",IF(T80&lt;&gt;"","✅売却済",IF(OR(H80="",L80=""),"📌保有中",IF(L80&gt;=0.06,"🟢利確推奨",IF(L80&gt;=0.05,"🟡利確直近",IF(L80&gt;=0.045,"🔵トレーリング検討",IF(L80&gt;-0.03,"📌保有中",IF(L80&gt;-0.04,"⚠️損切注意","🔴損切り"))))))))</f>
        <v/>
      </c>
      <c r="T80" s="594"/>
      <c r="U80" s="491"/>
      <c r="V80" s="701" t="str">
        <f>IF(OR(F80="",G80="",U80=""),"",IF(C80="売",(F80-U80)*G80,(U80-F80)*G80))</f>
        <v/>
      </c>
      <c r="W80" s="493" t="str">
        <f>IF(OR($E80="",$B80=""),"",IF($T80&lt;&gt;"",$T80-$E80,TODAY()-$E80)+1)</f>
        <v/>
      </c>
      <c r="X80" s="489" t="str">
        <f>IF(OR($AH80="",$AH80="保有中"),"",$AH80)</f>
        <v/>
      </c>
      <c r="Y80" s="488">
        <f>IF($B80="","",IF(COUNTIFS($B$4:$B80,$B80,$C$4:$C80,$C80)&gt;1,"⛔重複"&amp;COUNTIFS($B$4:$B80,$B80,$C$4:$C80,$C80)&amp;"回目",""))</f>
      </c>
      <c r="Z80" s="710"/>
      <c r="AB80">
        <f>IF($F80="","",MAX(100,ROUNDDOWN($AX$4/($F80*$AX$2)/100,0)*100))</f>
      </c>
      <c r="AC80">
        <f>IF(OR($F80="",$G80="",$U80=""),"",ROUND($V80-($F80+$U80)*$G80*$AX$6-IF($C80="売",$F80*$G80*$AX$7*$W80/365,0),0))</f>
      </c>
      <c r="AD80" s="608"/>
      <c r="AE80" s="624" t="str">
        <f>IF($E80="","",WORKDAY($E80,12))</f>
        <v/>
      </c>
      <c r="AF80" s="626"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26"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0" t="str">
        <f>IF(OR($B80="",$M80=""),"",IF(AND(N($AF80)=0,N($AG80)=0),IF(AND(ISNUMBER($H80),$H80&gt;0,IF($C80="売",$H80&gt;=$N80,$H80&lt;=$N80)),"損切確定",IF(AND(ISNUMBER($H80),$H80&gt;0,IF($C80="売",$H80&lt;=$M80,$H80&gt;=$M80)),"利益確定",IF($AE80&lt;=TODAY(),"日数制限","保有中"))),IF(N($AG80)=0,"利益確定",IF(N($AF80)=0,"損切確定",IF($AG80&lt;=$AF80,"損切確定","利益確定")))))</f>
        <v/>
      </c>
      <c r="AI80" s="600" t="str" cm="1">
        <f t="array" ref="AI80">IFERROR(INDEX(始値!$E$6:$BT$305,MATCH(TEXT($B80,"0"),TEXT(銘柄管理!$B$6:$B$305,"0"),0),MATCH($AE80,始値!$E$3:$BT$3,0)),"")</f>
        <v/>
      </c>
      <c r="AJ80" s="905" t="str">
        <f>IF(OR($V80="",$F80="",$G80=""),"",$V80/($F80*$G80))</f>
        <v/>
      </c>
      <c r="AK80" s="629" t="str">
        <f>IF($V80="","",IF($V80&gt;0,"○勝",IF($V80&lt;0,"●負","△引分")))</f>
        <v/>
      </c>
    </row>
    <row r="81" spans="1:37" ht="35.4" customHeight="1">
      <c r="A81" s="619" t="str">
        <f>IF(B81="","",HYPERLINK("https://kabutan.jp/stock/?code="&amp;B81,"株探"))</f>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BT$3,0)=1,1,MATCH($E81,始値!$E$3:$BT$3,0)+1)),_xlpm.v,INDEX(始値!$C$6:$B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IF(OR(F81="",G81="",H81=""),"",IF(C81="売",(F81-H81)*G81,(H81-F81)*G81))</f>
        <v/>
      </c>
      <c r="L81" s="706" t="str">
        <f>IF(OR(F81="",H81=""),"",IF(C81="売",(F81-H81)/F81,(H81-F81)/F81))</f>
        <v/>
      </c>
      <c r="M81" s="491" t="str">
        <f>IF($F81="","",IF($C81="売",CEILING($F81*IF($C81="売",1-$AX$3,1+$AX$3),IF($F81*IF($C81="売",1-$AX$3,1+$AX$3)&lt;=3000,1,IF($F81*IF($C81="売",1-$AX$3,1+$AX$3)&lt;=5000,5,IF($F81*IF($C81="売",1-$AX$3,1+$AX$3)&lt;=30000,10,IF($F81*IF($C81="売",1-$AX$3,1+$AX$3)&lt;=50000,50,IF($F81*IF($C81="売",1-$AX$3,1+$AX$3)&lt;=300000,100,500)))))),FLOOR($F81*IF($C81="売",1-$AX$3,1+$AX$3),IF($F81*IF($C81="売",1-$AX$3,1+$AX$3)&lt;=3000,1,IF($F81*IF($C81="売",1-$AX$3,1+$AX$3)&lt;=5000,5,IF($F81*IF($C81="売",1-$AX$3,1+$AX$3)&lt;=30000,10,IF($F81*IF($C81="売",1-$AX$3,1+$AX$3)&lt;=50000,50,IF($F81*IF($C81="売",1-$AX$3,1+$AX$3)&lt;=300000,100,500))))))))</f>
      </c>
      <c r="N81" s="491" t="str">
        <f>IF($F81="","",IF($C81="売",CEILING($F81*IF($C81="売",1+$AX$2,1-$AX$2),IF($F81*IF($C81="売",1+$AX$2,1-$AX$2)&lt;=3000,1,IF($F81*IF($C81="売",1+$AX$2,1-$AX$2)&lt;=5000,5,IF($F81*IF($C81="売",1+$AX$2,1-$AX$2)&lt;=30000,10,IF($F81*IF($C81="売",1+$AX$2,1-$AX$2)&lt;=50000,50,IF($F81*IF($C81="売",1+$AX$2,1-$AX$2)&lt;=300000,100,500)))))),FLOOR($F81*IF($C81="売",1+$AX$2,1-$AX$2),IF($F81*IF($C81="売",1+$AX$2,1-$AX$2)&lt;=3000,1,IF($F81*IF($C81="売",1+$AX$2,1-$AX$2)&lt;=5000,5,IF($F81*IF($C81="売",1+$AX$2,1-$AX$2)&lt;=30000,10,IF($F81*IF($C81="売",1+$AX$2,1-$AX$2)&lt;=50000,50,IF($F81*IF($C81="売",1+$AX$2,1-$AX$2)&lt;=300000,100,500))))))))</f>
      </c>
      <c r="O81" s="492" t="str">
        <f>IF(OR($B81="",$F81="",$H81=""),"",IF($S81="✅売却済","―決済済―",IF($C81="売",IF($H81&lt;=$M81,"🟢利確",IF(AND($R81&lt;&gt;"",$H81&gt;=$R81),"🟠TRAIL決済",IF($H81&gt;=$N81,"🔴損切",IF($W81&gt;=$AX$5,"⏱時間決済",IF($H81&gt;=$F81*(1+$AX$2*0.7),"⚠️損切接近","保持継続"))))),IF($H81&gt;=$M81,"🟢利確",IF(AND($R81&lt;&gt;"",$H81&lt;=$R81),"🟠TRAIL決済",IF($H81&lt;=$N81,"🔴損切",IF($W81&gt;=$AX$5,"⏱時間決済",IF($H81&lt;=$F81*(1-$AX$2*0.7),"⚠️損切接近","保持継続")))))))</f>
      </c>
      <c r="P81" s="491"/>
      <c r="Q81" s="491"/>
      <c r="R81" s="491" t="str">
        <f>IF(OR($F81="",$H81="",$N81=""),"",IF($S81="✅売却済","",IF($C81="売",IF($H81&gt;$F81*(1-$AX$2),$N81,CEILING(MIN($N81,IF($Q81="",$N81,$Q81*1.03)),IF($N81&lt;=3000,1,IF($N81&lt;=5000,5,IF($N81&lt;=30000,10,IF($N81&lt;=50000,50,IF($N81&lt;=300000,100,500))))))),IF($H81&lt;$F81*(1+$AX$2),$N81,FLOOR(MAX($N81,IF($P81="",$N81,$P81*0.97)),IF($N81&lt;=3000,1,IF($N81&lt;=5000,5,IF($N81&lt;=30000,10,IF($N81&lt;=50000,50,IF($N81&lt;=300000,100,500))))))))))</f>
      </c>
      <c r="S81" s="586" t="str">
        <f>IF(B81="","",IF(T81&lt;&gt;"","✅売却済",IF(OR(H81="",L81=""),"📌保有中",IF(L81&gt;=0.06,"🟢利確推奨",IF(L81&gt;=0.05,"🟡利確直近",IF(L81&gt;=0.045,"🔵トレーリング検討",IF(L81&gt;-0.03,"📌保有中",IF(L81&gt;-0.04,"⚠️損切注意","🔴損切り"))))))))</f>
        <v/>
      </c>
      <c r="T81" s="594"/>
      <c r="U81" s="491"/>
      <c r="V81" s="701" t="str">
        <f>IF(OR(F81="",G81="",U81=""),"",IF(C81="売",(F81-U81)*G81,(U81-F81)*G81))</f>
        <v/>
      </c>
      <c r="W81" s="493" t="str">
        <f>IF(OR($E81="",$B81=""),"",IF($T81&lt;&gt;"",$T81-$E81,TODAY()-$E81)+1)</f>
        <v/>
      </c>
      <c r="X81" s="489" t="str">
        <f>IF(OR($AH81="",$AH81="保有中"),"",$AH81)</f>
        <v/>
      </c>
      <c r="Y81" s="488">
        <f>IF($B81="","",IF(COUNTIFS($B$4:$B81,$B81,$C$4:$C81,$C81)&gt;1,"⛔重複"&amp;COUNTIFS($B$4:$B81,$B81,$C$4:$C81,$C81)&amp;"回目",""))</f>
      </c>
      <c r="Z81" s="710"/>
      <c r="AB81">
        <f>IF($F81="","",MAX(100,ROUNDDOWN($AX$4/($F81*$AX$2)/100,0)*100))</f>
      </c>
      <c r="AC81">
        <f>IF(OR($F81="",$G81="",$U81=""),"",ROUND($V81-($F81+$U81)*$G81*$AX$6-IF($C81="売",$F81*$G81*$AX$7*$W81/365,0),0))</f>
      </c>
      <c r="AD81" s="608"/>
      <c r="AE81" s="624" t="str">
        <f>IF($E81="","",WORKDAY($E81,12))</f>
        <v/>
      </c>
      <c r="AF81" s="626"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26"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0" t="str">
        <f>IF(OR($B81="",$M81=""),"",IF(AND(N($AF81)=0,N($AG81)=0),IF(AND(ISNUMBER($H81),$H81&gt;0,IF($C81="売",$H81&gt;=$N81,$H81&lt;=$N81)),"損切確定",IF(AND(ISNUMBER($H81),$H81&gt;0,IF($C81="売",$H81&lt;=$M81,$H81&gt;=$M81)),"利益確定",IF($AE81&lt;=TODAY(),"日数制限","保有中"))),IF(N($AG81)=0,"利益確定",IF(N($AF81)=0,"損切確定",IF($AG81&lt;=$AF81,"損切確定","利益確定")))))</f>
        <v/>
      </c>
      <c r="AI81" s="600" t="str" cm="1">
        <f t="array" ref="AI81">IFERROR(INDEX(始値!$E$6:$BT$305,MATCH(TEXT($B81,"0"),TEXT(銘柄管理!$B$6:$B$305,"0"),0),MATCH($AE81,始値!$E$3:$BT$3,0)),"")</f>
        <v/>
      </c>
      <c r="AJ81" s="905" t="str">
        <f>IF(OR($V81="",$F81="",$G81=""),"",$V81/($F81*$G81))</f>
        <v/>
      </c>
      <c r="AK81" s="629" t="str">
        <f>IF($V81="","",IF($V81&gt;0,"○勝",IF($V81&lt;0,"●負","△引分")))</f>
        <v/>
      </c>
    </row>
    <row r="82" spans="1:37" ht="35.4" customHeight="1">
      <c r="A82" s="619" t="str">
        <f>IF(B82="","",HYPERLINK("https://kabutan.jp/stock/?code="&amp;B82,"株探"))</f>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BT$3,0)=1,1,MATCH($E82,始値!$E$3:$BT$3,0)+1)),_xlpm.v,INDEX(始値!$C$6:$B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IF(OR(F82="",G82="",H82=""),"",IF(C82="売",(F82-H82)*G82,(H82-F82)*G82))</f>
        <v/>
      </c>
      <c r="L82" s="706" t="str">
        <f>IF(OR(F82="",H82=""),"",IF(C82="売",(F82-H82)/F82,(H82-F82)/F82))</f>
        <v/>
      </c>
      <c r="M82" s="491" t="str">
        <f>IF($F82="","",IF($C82="売",CEILING($F82*IF($C82="売",1-$AX$3,1+$AX$3),IF($F82*IF($C82="売",1-$AX$3,1+$AX$3)&lt;=3000,1,IF($F82*IF($C82="売",1-$AX$3,1+$AX$3)&lt;=5000,5,IF($F82*IF($C82="売",1-$AX$3,1+$AX$3)&lt;=30000,10,IF($F82*IF($C82="売",1-$AX$3,1+$AX$3)&lt;=50000,50,IF($F82*IF($C82="売",1-$AX$3,1+$AX$3)&lt;=300000,100,500)))))),FLOOR($F82*IF($C82="売",1-$AX$3,1+$AX$3),IF($F82*IF($C82="売",1-$AX$3,1+$AX$3)&lt;=3000,1,IF($F82*IF($C82="売",1-$AX$3,1+$AX$3)&lt;=5000,5,IF($F82*IF($C82="売",1-$AX$3,1+$AX$3)&lt;=30000,10,IF($F82*IF($C82="売",1-$AX$3,1+$AX$3)&lt;=50000,50,IF($F82*IF($C82="売",1-$AX$3,1+$AX$3)&lt;=300000,100,500))))))))</f>
      </c>
      <c r="N82" s="491" t="str">
        <f>IF($F82="","",IF($C82="売",CEILING($F82*IF($C82="売",1+$AX$2,1-$AX$2),IF($F82*IF($C82="売",1+$AX$2,1-$AX$2)&lt;=3000,1,IF($F82*IF($C82="売",1+$AX$2,1-$AX$2)&lt;=5000,5,IF($F82*IF($C82="売",1+$AX$2,1-$AX$2)&lt;=30000,10,IF($F82*IF($C82="売",1+$AX$2,1-$AX$2)&lt;=50000,50,IF($F82*IF($C82="売",1+$AX$2,1-$AX$2)&lt;=300000,100,500)))))),FLOOR($F82*IF($C82="売",1+$AX$2,1-$AX$2),IF($F82*IF($C82="売",1+$AX$2,1-$AX$2)&lt;=3000,1,IF($F82*IF($C82="売",1+$AX$2,1-$AX$2)&lt;=5000,5,IF($F82*IF($C82="売",1+$AX$2,1-$AX$2)&lt;=30000,10,IF($F82*IF($C82="売",1+$AX$2,1-$AX$2)&lt;=50000,50,IF($F82*IF($C82="売",1+$AX$2,1-$AX$2)&lt;=300000,100,500))))))))</f>
      </c>
      <c r="O82" s="492" t="str">
        <f>IF(OR($B82="",$F82="",$H82=""),"",IF($S82="✅売却済","―決済済―",IF($C82="売",IF($H82&lt;=$M82,"🟢利確",IF(AND($R82&lt;&gt;"",$H82&gt;=$R82),"🟠TRAIL決済",IF($H82&gt;=$N82,"🔴損切",IF($W82&gt;=$AX$5,"⏱時間決済",IF($H82&gt;=$F82*(1+$AX$2*0.7),"⚠️損切接近","保持継続"))))),IF($H82&gt;=$M82,"🟢利確",IF(AND($R82&lt;&gt;"",$H82&lt;=$R82),"🟠TRAIL決済",IF($H82&lt;=$N82,"🔴損切",IF($W82&gt;=$AX$5,"⏱時間決済",IF($H82&lt;=$F82*(1-$AX$2*0.7),"⚠️損切接近","保持継続")))))))</f>
      </c>
      <c r="P82" s="491"/>
      <c r="Q82" s="491"/>
      <c r="R82" s="491" t="str">
        <f>IF(OR($F82="",$H82="",$N82=""),"",IF($S82="✅売却済","",IF($C82="売",IF($H82&gt;$F82*(1-$AX$2),$N82,CEILING(MIN($N82,IF($Q82="",$N82,$Q82*1.03)),IF($N82&lt;=3000,1,IF($N82&lt;=5000,5,IF($N82&lt;=30000,10,IF($N82&lt;=50000,50,IF($N82&lt;=300000,100,500))))))),IF($H82&lt;$F82*(1+$AX$2),$N82,FLOOR(MAX($N82,IF($P82="",$N82,$P82*0.97)),IF($N82&lt;=3000,1,IF($N82&lt;=5000,5,IF($N82&lt;=30000,10,IF($N82&lt;=50000,50,IF($N82&lt;=300000,100,500))))))))))</f>
      </c>
      <c r="S82" s="586" t="str">
        <f>IF(B82="","",IF(T82&lt;&gt;"","✅売却済",IF(OR(H82="",L82=""),"📌保有中",IF(L82&gt;=0.06,"🟢利確推奨",IF(L82&gt;=0.05,"🟡利確直近",IF(L82&gt;=0.045,"🔵トレーリング検討",IF(L82&gt;-0.03,"📌保有中",IF(L82&gt;-0.04,"⚠️損切注意","🔴損切り"))))))))</f>
        <v/>
      </c>
      <c r="T82" s="594"/>
      <c r="U82" s="491"/>
      <c r="V82" s="701" t="str">
        <f>IF(OR(F82="",G82="",U82=""),"",IF(C82="売",(F82-U82)*G82,(U82-F82)*G82))</f>
        <v/>
      </c>
      <c r="W82" s="493" t="str">
        <f>IF(OR($E82="",$B82=""),"",IF($T82&lt;&gt;"",$T82-$E82,TODAY()-$E82)+1)</f>
        <v/>
      </c>
      <c r="X82" s="489" t="str">
        <f>IF(OR($AH82="",$AH82="保有中"),"",$AH82)</f>
        <v/>
      </c>
      <c r="Y82" s="488">
        <f>IF($B82="","",IF(COUNTIFS($B$4:$B82,$B82,$C$4:$C82,$C82)&gt;1,"⛔重複"&amp;COUNTIFS($B$4:$B82,$B82,$C$4:$C82,$C82)&amp;"回目",""))</f>
      </c>
      <c r="Z82" s="710"/>
      <c r="AB82">
        <f>IF($F82="","",MAX(100,ROUNDDOWN($AX$4/($F82*$AX$2)/100,0)*100))</f>
      </c>
      <c r="AC82">
        <f>IF(OR($F82="",$G82="",$U82=""),"",ROUND($V82-($F82+$U82)*$G82*$AX$6-IF($C82="売",$F82*$G82*$AX$7*$W82/365,0),0))</f>
      </c>
      <c r="AD82" s="608"/>
      <c r="AE82" s="624" t="str">
        <f>IF($E82="","",WORKDAY($E82,12))</f>
        <v/>
      </c>
      <c r="AF82" s="626"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26"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0" t="str">
        <f>IF(OR($B82="",$M82=""),"",IF(AND(N($AF82)=0,N($AG82)=0),IF(AND(ISNUMBER($H82),$H82&gt;0,IF($C82="売",$H82&gt;=$N82,$H82&lt;=$N82)),"損切確定",IF(AND(ISNUMBER($H82),$H82&gt;0,IF($C82="売",$H82&lt;=$M82,$H82&gt;=$M82)),"利益確定",IF($AE82&lt;=TODAY(),"日数制限","保有中"))),IF(N($AG82)=0,"利益確定",IF(N($AF82)=0,"損切確定",IF($AG82&lt;=$AF82,"損切確定","利益確定")))))</f>
        <v/>
      </c>
      <c r="AI82" s="600" t="str" cm="1">
        <f t="array" ref="AI82">IFERROR(INDEX(始値!$E$6:$BT$305,MATCH(TEXT($B82,"0"),TEXT(銘柄管理!$B$6:$B$305,"0"),0),MATCH($AE82,始値!$E$3:$BT$3,0)),"")</f>
        <v/>
      </c>
      <c r="AJ82" s="905" t="str">
        <f>IF(OR($V82="",$F82="",$G82=""),"",$V82/($F82*$G82))</f>
        <v/>
      </c>
      <c r="AK82" s="629" t="str">
        <f>IF($V82="","",IF($V82&gt;0,"○勝",IF($V82&lt;0,"●負","△引分")))</f>
        <v/>
      </c>
    </row>
    <row r="83" spans="1:37" ht="35.4" customHeight="1">
      <c r="A83" s="619" t="str">
        <f>IF(B83="","",HYPERLINK("https://kabutan.jp/stock/?code="&amp;B83,"株探"))</f>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BT$3,0)=1,1,MATCH($E83,始値!$E$3:$BT$3,0)+1)),_xlpm.v,INDEX(始値!$C$6:$B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IF(OR(F83="",G83="",H83=""),"",IF(C83="売",(F83-H83)*G83,(H83-F83)*G83))</f>
        <v/>
      </c>
      <c r="L83" s="706" t="str">
        <f>IF(OR(F83="",H83=""),"",IF(C83="売",(F83-H83)/F83,(H83-F83)/F83))</f>
        <v/>
      </c>
      <c r="M83" s="491" t="str">
        <f>IF($F83="","",IF($C83="売",CEILING($F83*IF($C83="売",1-$AX$3,1+$AX$3),IF($F83*IF($C83="売",1-$AX$3,1+$AX$3)&lt;=3000,1,IF($F83*IF($C83="売",1-$AX$3,1+$AX$3)&lt;=5000,5,IF($F83*IF($C83="売",1-$AX$3,1+$AX$3)&lt;=30000,10,IF($F83*IF($C83="売",1-$AX$3,1+$AX$3)&lt;=50000,50,IF($F83*IF($C83="売",1-$AX$3,1+$AX$3)&lt;=300000,100,500)))))),FLOOR($F83*IF($C83="売",1-$AX$3,1+$AX$3),IF($F83*IF($C83="売",1-$AX$3,1+$AX$3)&lt;=3000,1,IF($F83*IF($C83="売",1-$AX$3,1+$AX$3)&lt;=5000,5,IF($F83*IF($C83="売",1-$AX$3,1+$AX$3)&lt;=30000,10,IF($F83*IF($C83="売",1-$AX$3,1+$AX$3)&lt;=50000,50,IF($F83*IF($C83="売",1-$AX$3,1+$AX$3)&lt;=300000,100,500))))))))</f>
      </c>
      <c r="N83" s="491" t="str">
        <f>IF($F83="","",IF($C83="売",CEILING($F83*IF($C83="売",1+$AX$2,1-$AX$2),IF($F83*IF($C83="売",1+$AX$2,1-$AX$2)&lt;=3000,1,IF($F83*IF($C83="売",1+$AX$2,1-$AX$2)&lt;=5000,5,IF($F83*IF($C83="売",1+$AX$2,1-$AX$2)&lt;=30000,10,IF($F83*IF($C83="売",1+$AX$2,1-$AX$2)&lt;=50000,50,IF($F83*IF($C83="売",1+$AX$2,1-$AX$2)&lt;=300000,100,500)))))),FLOOR($F83*IF($C83="売",1+$AX$2,1-$AX$2),IF($F83*IF($C83="売",1+$AX$2,1-$AX$2)&lt;=3000,1,IF($F83*IF($C83="売",1+$AX$2,1-$AX$2)&lt;=5000,5,IF($F83*IF($C83="売",1+$AX$2,1-$AX$2)&lt;=30000,10,IF($F83*IF($C83="売",1+$AX$2,1-$AX$2)&lt;=50000,50,IF($F83*IF($C83="売",1+$AX$2,1-$AX$2)&lt;=300000,100,500))))))))</f>
      </c>
      <c r="O83" s="492" t="str">
        <f>IF(OR($B83="",$F83="",$H83=""),"",IF($S83="✅売却済","―決済済―",IF($C83="売",IF($H83&lt;=$M83,"🟢利確",IF(AND($R83&lt;&gt;"",$H83&gt;=$R83),"🟠TRAIL決済",IF($H83&gt;=$N83,"🔴損切",IF($W83&gt;=$AX$5,"⏱時間決済",IF($H83&gt;=$F83*(1+$AX$2*0.7),"⚠️損切接近","保持継続"))))),IF($H83&gt;=$M83,"🟢利確",IF(AND($R83&lt;&gt;"",$H83&lt;=$R83),"🟠TRAIL決済",IF($H83&lt;=$N83,"🔴損切",IF($W83&gt;=$AX$5,"⏱時間決済",IF($H83&lt;=$F83*(1-$AX$2*0.7),"⚠️損切接近","保持継続")))))))</f>
      </c>
      <c r="P83" s="491"/>
      <c r="Q83" s="491"/>
      <c r="R83" s="491" t="str">
        <f>IF(OR($F83="",$H83="",$N83=""),"",IF($S83="✅売却済","",IF($C83="売",IF($H83&gt;$F83*(1-$AX$2),$N83,CEILING(MIN($N83,IF($Q83="",$N83,$Q83*1.03)),IF($N83&lt;=3000,1,IF($N83&lt;=5000,5,IF($N83&lt;=30000,10,IF($N83&lt;=50000,50,IF($N83&lt;=300000,100,500))))))),IF($H83&lt;$F83*(1+$AX$2),$N83,FLOOR(MAX($N83,IF($P83="",$N83,$P83*0.97)),IF($N83&lt;=3000,1,IF($N83&lt;=5000,5,IF($N83&lt;=30000,10,IF($N83&lt;=50000,50,IF($N83&lt;=300000,100,500))))))))))</f>
      </c>
      <c r="S83" s="586" t="str">
        <f>IF(B83="","",IF(T83&lt;&gt;"","✅売却済",IF(OR(H83="",L83=""),"📌保有中",IF(L83&gt;=0.06,"🟢利確推奨",IF(L83&gt;=0.05,"🟡利確直近",IF(L83&gt;=0.045,"🔵トレーリング検討",IF(L83&gt;-0.03,"📌保有中",IF(L83&gt;-0.04,"⚠️損切注意","🔴損切り"))))))))</f>
        <v/>
      </c>
      <c r="T83" s="594"/>
      <c r="U83" s="491"/>
      <c r="V83" s="701" t="str">
        <f>IF(OR(F83="",G83="",U83=""),"",IF(C83="売",(F83-U83)*G83,(U83-F83)*G83))</f>
        <v/>
      </c>
      <c r="W83" s="493" t="str">
        <f>IF(OR($E83="",$B83=""),"",IF($T83&lt;&gt;"",$T83-$E83,TODAY()-$E83)+1)</f>
        <v/>
      </c>
      <c r="X83" s="489" t="str">
        <f>IF(OR($AH83="",$AH83="保有中"),"",$AH83)</f>
        <v/>
      </c>
      <c r="Y83" s="488">
        <f>IF($B83="","",IF(COUNTIFS($B$4:$B83,$B83,$C$4:$C83,$C83)&gt;1,"⛔重複"&amp;COUNTIFS($B$4:$B83,$B83,$C$4:$C83,$C83)&amp;"回目",""))</f>
      </c>
      <c r="Z83" s="710"/>
      <c r="AB83">
        <f>IF($F83="","",MAX(100,ROUNDDOWN($AX$4/($F83*$AX$2)/100,0)*100))</f>
      </c>
      <c r="AC83">
        <f>IF(OR($F83="",$G83="",$U83=""),"",ROUND($V83-($F83+$U83)*$G83*$AX$6-IF($C83="売",$F83*$G83*$AX$7*$W83/365,0),0))</f>
      </c>
      <c r="AD83" s="608"/>
      <c r="AE83" s="624" t="str">
        <f>IF($E83="","",WORKDAY($E83,12))</f>
        <v/>
      </c>
      <c r="AF83" s="626"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26"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0" t="str">
        <f>IF(OR($B83="",$M83=""),"",IF(AND(N($AF83)=0,N($AG83)=0),IF(AND(ISNUMBER($H83),$H83&gt;0,IF($C83="売",$H83&gt;=$N83,$H83&lt;=$N83)),"損切確定",IF(AND(ISNUMBER($H83),$H83&gt;0,IF($C83="売",$H83&lt;=$M83,$H83&gt;=$M83)),"利益確定",IF($AE83&lt;=TODAY(),"日数制限","保有中"))),IF(N($AG83)=0,"利益確定",IF(N($AF83)=0,"損切確定",IF($AG83&lt;=$AF83,"損切確定","利益確定")))))</f>
        <v/>
      </c>
      <c r="AI83" s="600" t="str" cm="1">
        <f t="array" ref="AI83">IFERROR(INDEX(始値!$E$6:$BT$305,MATCH(TEXT($B83,"0"),TEXT(銘柄管理!$B$6:$B$305,"0"),0),MATCH($AE83,始値!$E$3:$BT$3,0)),"")</f>
        <v/>
      </c>
      <c r="AJ83" s="905" t="str">
        <f>IF(OR($V83="",$F83="",$G83=""),"",$V83/($F83*$G83))</f>
        <v/>
      </c>
      <c r="AK83" s="629" t="str">
        <f>IF($V83="","",IF($V83&gt;0,"○勝",IF($V83&lt;0,"●負","△引分")))</f>
        <v/>
      </c>
    </row>
    <row r="84" spans="1:37" ht="35.4" customHeight="1">
      <c r="A84" s="619" t="str">
        <f>IF(B84="","",HYPERLINK("https://kabutan.jp/stock/?code="&amp;B84,"株探"))</f>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BT$3,0)=1,1,MATCH($E84,始値!$E$3:$BT$3,0)+1)),_xlpm.v,INDEX(始値!$C$6:$B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IF(OR(F84="",G84="",H84=""),"",IF(C84="売",(F84-H84)*G84,(H84-F84)*G84))</f>
        <v/>
      </c>
      <c r="L84" s="706" t="str">
        <f>IF(OR(F84="",H84=""),"",IF(C84="売",(F84-H84)/F84,(H84-F84)/F84))</f>
        <v/>
      </c>
      <c r="M84" s="491" t="str">
        <f>IF($F84="","",IF($C84="売",CEILING($F84*IF($C84="売",1-$AX$3,1+$AX$3),IF($F84*IF($C84="売",1-$AX$3,1+$AX$3)&lt;=3000,1,IF($F84*IF($C84="売",1-$AX$3,1+$AX$3)&lt;=5000,5,IF($F84*IF($C84="売",1-$AX$3,1+$AX$3)&lt;=30000,10,IF($F84*IF($C84="売",1-$AX$3,1+$AX$3)&lt;=50000,50,IF($F84*IF($C84="売",1-$AX$3,1+$AX$3)&lt;=300000,100,500)))))),FLOOR($F84*IF($C84="売",1-$AX$3,1+$AX$3),IF($F84*IF($C84="売",1-$AX$3,1+$AX$3)&lt;=3000,1,IF($F84*IF($C84="売",1-$AX$3,1+$AX$3)&lt;=5000,5,IF($F84*IF($C84="売",1-$AX$3,1+$AX$3)&lt;=30000,10,IF($F84*IF($C84="売",1-$AX$3,1+$AX$3)&lt;=50000,50,IF($F84*IF($C84="売",1-$AX$3,1+$AX$3)&lt;=300000,100,500))))))))</f>
      </c>
      <c r="N84" s="491" t="str">
        <f>IF($F84="","",IF($C84="売",CEILING($F84*IF($C84="売",1+$AX$2,1-$AX$2),IF($F84*IF($C84="売",1+$AX$2,1-$AX$2)&lt;=3000,1,IF($F84*IF($C84="売",1+$AX$2,1-$AX$2)&lt;=5000,5,IF($F84*IF($C84="売",1+$AX$2,1-$AX$2)&lt;=30000,10,IF($F84*IF($C84="売",1+$AX$2,1-$AX$2)&lt;=50000,50,IF($F84*IF($C84="売",1+$AX$2,1-$AX$2)&lt;=300000,100,500)))))),FLOOR($F84*IF($C84="売",1+$AX$2,1-$AX$2),IF($F84*IF($C84="売",1+$AX$2,1-$AX$2)&lt;=3000,1,IF($F84*IF($C84="売",1+$AX$2,1-$AX$2)&lt;=5000,5,IF($F84*IF($C84="売",1+$AX$2,1-$AX$2)&lt;=30000,10,IF($F84*IF($C84="売",1+$AX$2,1-$AX$2)&lt;=50000,50,IF($F84*IF($C84="売",1+$AX$2,1-$AX$2)&lt;=300000,100,500))))))))</f>
      </c>
      <c r="O84" s="492" t="str">
        <f>IF(OR($B84="",$F84="",$H84=""),"",IF($S84="✅売却済","―決済済―",IF($C84="売",IF($H84&lt;=$M84,"🟢利確",IF(AND($R84&lt;&gt;"",$H84&gt;=$R84),"🟠TRAIL決済",IF($H84&gt;=$N84,"🔴損切",IF($W84&gt;=$AX$5,"⏱時間決済",IF($H84&gt;=$F84*(1+$AX$2*0.7),"⚠️損切接近","保持継続"))))),IF($H84&gt;=$M84,"🟢利確",IF(AND($R84&lt;&gt;"",$H84&lt;=$R84),"🟠TRAIL決済",IF($H84&lt;=$N84,"🔴損切",IF($W84&gt;=$AX$5,"⏱時間決済",IF($H84&lt;=$F84*(1-$AX$2*0.7),"⚠️損切接近","保持継続")))))))</f>
      </c>
      <c r="P84" s="491"/>
      <c r="Q84" s="491"/>
      <c r="R84" s="491" t="str">
        <f>IF(OR($F84="",$H84="",$N84=""),"",IF($S84="✅売却済","",IF($C84="売",IF($H84&gt;$F84*(1-$AX$2),$N84,CEILING(MIN($N84,IF($Q84="",$N84,$Q84*1.03)),IF($N84&lt;=3000,1,IF($N84&lt;=5000,5,IF($N84&lt;=30000,10,IF($N84&lt;=50000,50,IF($N84&lt;=300000,100,500))))))),IF($H84&lt;$F84*(1+$AX$2),$N84,FLOOR(MAX($N84,IF($P84="",$N84,$P84*0.97)),IF($N84&lt;=3000,1,IF($N84&lt;=5000,5,IF($N84&lt;=30000,10,IF($N84&lt;=50000,50,IF($N84&lt;=300000,100,500))))))))))</f>
      </c>
      <c r="S84" s="586" t="str">
        <f>IF(B84="","",IF(T84&lt;&gt;"","✅売却済",IF(OR(H84="",L84=""),"📌保有中",IF(L84&gt;=0.06,"🟢利確推奨",IF(L84&gt;=0.05,"🟡利確直近",IF(L84&gt;=0.045,"🔵トレーリング検討",IF(L84&gt;-0.03,"📌保有中",IF(L84&gt;-0.04,"⚠️損切注意","🔴損切り"))))))))</f>
        <v/>
      </c>
      <c r="T84" s="594"/>
      <c r="U84" s="491"/>
      <c r="V84" s="701" t="str">
        <f>IF(OR(F84="",G84="",U84=""),"",IF(C84="売",(F84-U84)*G84,(U84-F84)*G84))</f>
        <v/>
      </c>
      <c r="W84" s="493" t="str">
        <f>IF(OR($E84="",$B84=""),"",IF($T84&lt;&gt;"",$T84-$E84,TODAY()-$E84)+1)</f>
        <v/>
      </c>
      <c r="X84" s="489" t="str">
        <f>IF(OR($AH84="",$AH84="保有中"),"",$AH84)</f>
        <v/>
      </c>
      <c r="Y84" s="488">
        <f>IF($B84="","",IF(COUNTIFS($B$4:$B84,$B84,$C$4:$C84,$C84)&gt;1,"⛔重複"&amp;COUNTIFS($B$4:$B84,$B84,$C$4:$C84,$C84)&amp;"回目",""))</f>
      </c>
      <c r="Z84" s="710"/>
      <c r="AB84">
        <f>IF($F84="","",MAX(100,ROUNDDOWN($AX$4/($F84*$AX$2)/100,0)*100))</f>
      </c>
      <c r="AC84">
        <f>IF(OR($F84="",$G84="",$U84=""),"",ROUND($V84-($F84+$U84)*$G84*$AX$6-IF($C84="売",$F84*$G84*$AX$7*$W84/365,0),0))</f>
      </c>
      <c r="AD84" s="608"/>
      <c r="AE84" s="624" t="str">
        <f>IF($E84="","",WORKDAY($E84,12))</f>
        <v/>
      </c>
      <c r="AF84" s="626"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26"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0" t="str">
        <f>IF(OR($B84="",$M84=""),"",IF(AND(N($AF84)=0,N($AG84)=0),IF(AND(ISNUMBER($H84),$H84&gt;0,IF($C84="売",$H84&gt;=$N84,$H84&lt;=$N84)),"損切確定",IF(AND(ISNUMBER($H84),$H84&gt;0,IF($C84="売",$H84&lt;=$M84,$H84&gt;=$M84)),"利益確定",IF($AE84&lt;=TODAY(),"日数制限","保有中"))),IF(N($AG84)=0,"利益確定",IF(N($AF84)=0,"損切確定",IF($AG84&lt;=$AF84,"損切確定","利益確定")))))</f>
        <v/>
      </c>
      <c r="AI84" s="600" t="str" cm="1">
        <f t="array" ref="AI84">IFERROR(INDEX(始値!$E$6:$BT$305,MATCH(TEXT($B84,"0"),TEXT(銘柄管理!$B$6:$B$305,"0"),0),MATCH($AE84,始値!$E$3:$BT$3,0)),"")</f>
        <v/>
      </c>
      <c r="AJ84" s="905" t="str">
        <f>IF(OR($V84="",$F84="",$G84=""),"",$V84/($F84*$G84))</f>
        <v/>
      </c>
      <c r="AK84" s="629" t="str">
        <f>IF($V84="","",IF($V84&gt;0,"○勝",IF($V84&lt;0,"●負","△引分")))</f>
        <v/>
      </c>
    </row>
    <row r="85" spans="1:37" ht="35.4" customHeight="1">
      <c r="A85" s="619" t="str">
        <f>IF(B85="","",HYPERLINK("https://kabutan.jp/stock/?code="&amp;B85,"株探"))</f>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BT$3,0)=1,1,MATCH($E85,始値!$E$3:$BT$3,0)+1)),_xlpm.v,INDEX(始値!$C$6:$B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IF(OR(F85="",G85="",H85=""),"",IF(C85="売",(F85-H85)*G85,(H85-F85)*G85))</f>
        <v/>
      </c>
      <c r="L85" s="706" t="str">
        <f>IF(OR(F85="",H85=""),"",IF(C85="売",(F85-H85)/F85,(H85-F85)/F85))</f>
        <v/>
      </c>
      <c r="M85" s="491" t="str">
        <f>IF($F85="","",IF($C85="売",CEILING($F85*IF($C85="売",1-$AX$3,1+$AX$3),IF($F85*IF($C85="売",1-$AX$3,1+$AX$3)&lt;=3000,1,IF($F85*IF($C85="売",1-$AX$3,1+$AX$3)&lt;=5000,5,IF($F85*IF($C85="売",1-$AX$3,1+$AX$3)&lt;=30000,10,IF($F85*IF($C85="売",1-$AX$3,1+$AX$3)&lt;=50000,50,IF($F85*IF($C85="売",1-$AX$3,1+$AX$3)&lt;=300000,100,500)))))),FLOOR($F85*IF($C85="売",1-$AX$3,1+$AX$3),IF($F85*IF($C85="売",1-$AX$3,1+$AX$3)&lt;=3000,1,IF($F85*IF($C85="売",1-$AX$3,1+$AX$3)&lt;=5000,5,IF($F85*IF($C85="売",1-$AX$3,1+$AX$3)&lt;=30000,10,IF($F85*IF($C85="売",1-$AX$3,1+$AX$3)&lt;=50000,50,IF($F85*IF($C85="売",1-$AX$3,1+$AX$3)&lt;=300000,100,500))))))))</f>
      </c>
      <c r="N85" s="491" t="str">
        <f>IF($F85="","",IF($C85="売",CEILING($F85*IF($C85="売",1+$AX$2,1-$AX$2),IF($F85*IF($C85="売",1+$AX$2,1-$AX$2)&lt;=3000,1,IF($F85*IF($C85="売",1+$AX$2,1-$AX$2)&lt;=5000,5,IF($F85*IF($C85="売",1+$AX$2,1-$AX$2)&lt;=30000,10,IF($F85*IF($C85="売",1+$AX$2,1-$AX$2)&lt;=50000,50,IF($F85*IF($C85="売",1+$AX$2,1-$AX$2)&lt;=300000,100,500)))))),FLOOR($F85*IF($C85="売",1+$AX$2,1-$AX$2),IF($F85*IF($C85="売",1+$AX$2,1-$AX$2)&lt;=3000,1,IF($F85*IF($C85="売",1+$AX$2,1-$AX$2)&lt;=5000,5,IF($F85*IF($C85="売",1+$AX$2,1-$AX$2)&lt;=30000,10,IF($F85*IF($C85="売",1+$AX$2,1-$AX$2)&lt;=50000,50,IF($F85*IF($C85="売",1+$AX$2,1-$AX$2)&lt;=300000,100,500))))))))</f>
      </c>
      <c r="O85" s="492" t="str">
        <f>IF(OR($B85="",$F85="",$H85=""),"",IF($S85="✅売却済","―決済済―",IF($C85="売",IF($H85&lt;=$M85,"🟢利確",IF(AND($R85&lt;&gt;"",$H85&gt;=$R85),"🟠TRAIL決済",IF($H85&gt;=$N85,"🔴損切",IF($W85&gt;=$AX$5,"⏱時間決済",IF($H85&gt;=$F85*(1+$AX$2*0.7),"⚠️損切接近","保持継続"))))),IF($H85&gt;=$M85,"🟢利確",IF(AND($R85&lt;&gt;"",$H85&lt;=$R85),"🟠TRAIL決済",IF($H85&lt;=$N85,"🔴損切",IF($W85&gt;=$AX$5,"⏱時間決済",IF($H85&lt;=$F85*(1-$AX$2*0.7),"⚠️損切接近","保持継続")))))))</f>
      </c>
      <c r="P85" s="491"/>
      <c r="Q85" s="491"/>
      <c r="R85" s="491" t="str">
        <f>IF(OR($F85="",$H85="",$N85=""),"",IF($S85="✅売却済","",IF($C85="売",IF($H85&gt;$F85*(1-$AX$2),$N85,CEILING(MIN($N85,IF($Q85="",$N85,$Q85*1.03)),IF($N85&lt;=3000,1,IF($N85&lt;=5000,5,IF($N85&lt;=30000,10,IF($N85&lt;=50000,50,IF($N85&lt;=300000,100,500))))))),IF($H85&lt;$F85*(1+$AX$2),$N85,FLOOR(MAX($N85,IF($P85="",$N85,$P85*0.97)),IF($N85&lt;=3000,1,IF($N85&lt;=5000,5,IF($N85&lt;=30000,10,IF($N85&lt;=50000,50,IF($N85&lt;=300000,100,500))))))))))</f>
      </c>
      <c r="S85" s="586" t="str">
        <f>IF(B85="","",IF(T85&lt;&gt;"","✅売却済",IF(OR(H85="",L85=""),"📌保有中",IF(L85&gt;=0.06,"🟢利確推奨",IF(L85&gt;=0.05,"🟡利確直近",IF(L85&gt;=0.045,"🔵トレーリング検討",IF(L85&gt;-0.03,"📌保有中",IF(L85&gt;-0.04,"⚠️損切注意","🔴損切り"))))))))</f>
        <v/>
      </c>
      <c r="T85" s="594"/>
      <c r="U85" s="491"/>
      <c r="V85" s="701" t="str">
        <f>IF(OR(F85="",G85="",U85=""),"",IF(C85="売",(F85-U85)*G85,(U85-F85)*G85))</f>
        <v/>
      </c>
      <c r="W85" s="493" t="str">
        <f>IF(OR($E85="",$B85=""),"",IF($T85&lt;&gt;"",$T85-$E85,TODAY()-$E85)+1)</f>
        <v/>
      </c>
      <c r="X85" s="489" t="str">
        <f>IF(OR($AH85="",$AH85="保有中"),"",$AH85)</f>
        <v/>
      </c>
      <c r="Y85" s="488">
        <f>IF($B85="","",IF(COUNTIFS($B$4:$B85,$B85,$C$4:$C85,$C85)&gt;1,"⛔重複"&amp;COUNTIFS($B$4:$B85,$B85,$C$4:$C85,$C85)&amp;"回目",""))</f>
      </c>
      <c r="Z85" s="710"/>
      <c r="AB85">
        <f>IF($F85="","",MAX(100,ROUNDDOWN($AX$4/($F85*$AX$2)/100,0)*100))</f>
      </c>
      <c r="AC85">
        <f>IF(OR($F85="",$G85="",$U85=""),"",ROUND($V85-($F85+$U85)*$G85*$AX$6-IF($C85="売",$F85*$G85*$AX$7*$W85/365,0),0))</f>
      </c>
      <c r="AD85" s="608"/>
      <c r="AE85" s="624" t="str">
        <f>IF($E85="","",WORKDAY($E85,12))</f>
        <v/>
      </c>
      <c r="AF85" s="626"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26"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0" t="str">
        <f>IF(OR($B85="",$M85=""),"",IF(AND(N($AF85)=0,N($AG85)=0),IF(AND(ISNUMBER($H85),$H85&gt;0,IF($C85="売",$H85&gt;=$N85,$H85&lt;=$N85)),"損切確定",IF(AND(ISNUMBER($H85),$H85&gt;0,IF($C85="売",$H85&lt;=$M85,$H85&gt;=$M85)),"利益確定",IF($AE85&lt;=TODAY(),"日数制限","保有中"))),IF(N($AG85)=0,"利益確定",IF(N($AF85)=0,"損切確定",IF($AG85&lt;=$AF85,"損切確定","利益確定")))))</f>
        <v/>
      </c>
      <c r="AI85" s="600" t="str" cm="1">
        <f t="array" ref="AI85">IFERROR(INDEX(始値!$E$6:$BT$305,MATCH(TEXT($B85,"0"),TEXT(銘柄管理!$B$6:$B$305,"0"),0),MATCH($AE85,始値!$E$3:$BT$3,0)),"")</f>
        <v/>
      </c>
      <c r="AJ85" s="905" t="str">
        <f>IF(OR($V85="",$F85="",$G85=""),"",$V85/($F85*$G85))</f>
        <v/>
      </c>
      <c r="AK85" s="629" t="str">
        <f>IF($V85="","",IF($V85&gt;0,"○勝",IF($V85&lt;0,"●負","△引分")))</f>
        <v/>
      </c>
    </row>
    <row r="86" spans="1:37" ht="35.4" customHeight="1">
      <c r="A86" s="619" t="str">
        <f>IF(B86="","",HYPERLINK("https://kabutan.jp/stock/?code="&amp;B86,"株探"))</f>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BT$3,0)=1,1,MATCH($E86,始値!$E$3:$BT$3,0)+1)),_xlpm.v,INDEX(始値!$C$6:$B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IF(OR(F86="",G86="",H86=""),"",IF(C86="売",(F86-H86)*G86,(H86-F86)*G86))</f>
        <v/>
      </c>
      <c r="L86" s="706" t="str">
        <f>IF(OR(F86="",H86=""),"",IF(C86="売",(F86-H86)/F86,(H86-F86)/F86))</f>
        <v/>
      </c>
      <c r="M86" s="491" t="str">
        <f>IF($F86="","",IF($C86="売",CEILING($F86*IF($C86="売",1-$AX$3,1+$AX$3),IF($F86*IF($C86="売",1-$AX$3,1+$AX$3)&lt;=3000,1,IF($F86*IF($C86="売",1-$AX$3,1+$AX$3)&lt;=5000,5,IF($F86*IF($C86="売",1-$AX$3,1+$AX$3)&lt;=30000,10,IF($F86*IF($C86="売",1-$AX$3,1+$AX$3)&lt;=50000,50,IF($F86*IF($C86="売",1-$AX$3,1+$AX$3)&lt;=300000,100,500)))))),FLOOR($F86*IF($C86="売",1-$AX$3,1+$AX$3),IF($F86*IF($C86="売",1-$AX$3,1+$AX$3)&lt;=3000,1,IF($F86*IF($C86="売",1-$AX$3,1+$AX$3)&lt;=5000,5,IF($F86*IF($C86="売",1-$AX$3,1+$AX$3)&lt;=30000,10,IF($F86*IF($C86="売",1-$AX$3,1+$AX$3)&lt;=50000,50,IF($F86*IF($C86="売",1-$AX$3,1+$AX$3)&lt;=300000,100,500))))))))</f>
      </c>
      <c r="N86" s="491" t="str">
        <f>IF($F86="","",IF($C86="売",CEILING($F86*IF($C86="売",1+$AX$2,1-$AX$2),IF($F86*IF($C86="売",1+$AX$2,1-$AX$2)&lt;=3000,1,IF($F86*IF($C86="売",1+$AX$2,1-$AX$2)&lt;=5000,5,IF($F86*IF($C86="売",1+$AX$2,1-$AX$2)&lt;=30000,10,IF($F86*IF($C86="売",1+$AX$2,1-$AX$2)&lt;=50000,50,IF($F86*IF($C86="売",1+$AX$2,1-$AX$2)&lt;=300000,100,500)))))),FLOOR($F86*IF($C86="売",1+$AX$2,1-$AX$2),IF($F86*IF($C86="売",1+$AX$2,1-$AX$2)&lt;=3000,1,IF($F86*IF($C86="売",1+$AX$2,1-$AX$2)&lt;=5000,5,IF($F86*IF($C86="売",1+$AX$2,1-$AX$2)&lt;=30000,10,IF($F86*IF($C86="売",1+$AX$2,1-$AX$2)&lt;=50000,50,IF($F86*IF($C86="売",1+$AX$2,1-$AX$2)&lt;=300000,100,500))))))))</f>
      </c>
      <c r="O86" s="492" t="str">
        <f>IF(OR($B86="",$F86="",$H86=""),"",IF($S86="✅売却済","―決済済―",IF($C86="売",IF($H86&lt;=$M86,"🟢利確",IF(AND($R86&lt;&gt;"",$H86&gt;=$R86),"🟠TRAIL決済",IF($H86&gt;=$N86,"🔴損切",IF($W86&gt;=$AX$5,"⏱時間決済",IF($H86&gt;=$F86*(1+$AX$2*0.7),"⚠️損切接近","保持継続"))))),IF($H86&gt;=$M86,"🟢利確",IF(AND($R86&lt;&gt;"",$H86&lt;=$R86),"🟠TRAIL決済",IF($H86&lt;=$N86,"🔴損切",IF($W86&gt;=$AX$5,"⏱時間決済",IF($H86&lt;=$F86*(1-$AX$2*0.7),"⚠️損切接近","保持継続")))))))</f>
      </c>
      <c r="P86" s="491"/>
      <c r="Q86" s="491"/>
      <c r="R86" s="491" t="str">
        <f>IF(OR($F86="",$H86="",$N86=""),"",IF($S86="✅売却済","",IF($C86="売",IF($H86&gt;$F86*(1-$AX$2),$N86,CEILING(MIN($N86,IF($Q86="",$N86,$Q86*1.03)),IF($N86&lt;=3000,1,IF($N86&lt;=5000,5,IF($N86&lt;=30000,10,IF($N86&lt;=50000,50,IF($N86&lt;=300000,100,500))))))),IF($H86&lt;$F86*(1+$AX$2),$N86,FLOOR(MAX($N86,IF($P86="",$N86,$P86*0.97)),IF($N86&lt;=3000,1,IF($N86&lt;=5000,5,IF($N86&lt;=30000,10,IF($N86&lt;=50000,50,IF($N86&lt;=300000,100,500))))))))))</f>
      </c>
      <c r="S86" s="586" t="str">
        <f>IF(B86="","",IF(T86&lt;&gt;"","✅売却済",IF(OR(H86="",L86=""),"📌保有中",IF(L86&gt;=0.06,"🟢利確推奨",IF(L86&gt;=0.05,"🟡利確直近",IF(L86&gt;=0.045,"🔵トレーリング検討",IF(L86&gt;-0.03,"📌保有中",IF(L86&gt;-0.04,"⚠️損切注意","🔴損切り"))))))))</f>
        <v/>
      </c>
      <c r="T86" s="594"/>
      <c r="U86" s="491"/>
      <c r="V86" s="701" t="str">
        <f>IF(OR(F86="",G86="",U86=""),"",IF(C86="売",(F86-U86)*G86,(U86-F86)*G86))</f>
        <v/>
      </c>
      <c r="W86" s="493" t="str">
        <f>IF(OR($E86="",$B86=""),"",IF($T86&lt;&gt;"",$T86-$E86,TODAY()-$E86)+1)</f>
        <v/>
      </c>
      <c r="X86" s="489" t="str">
        <f>IF(OR($AH86="",$AH86="保有中"),"",$AH86)</f>
        <v/>
      </c>
      <c r="Y86" s="488">
        <f>IF($B86="","",IF(COUNTIFS($B$4:$B86,$B86,$C$4:$C86,$C86)&gt;1,"⛔重複"&amp;COUNTIFS($B$4:$B86,$B86,$C$4:$C86,$C86)&amp;"回目",""))</f>
      </c>
      <c r="Z86" s="710"/>
      <c r="AB86">
        <f>IF($F86="","",MAX(100,ROUNDDOWN($AX$4/($F86*$AX$2)/100,0)*100))</f>
      </c>
      <c r="AC86">
        <f>IF(OR($F86="",$G86="",$U86=""),"",ROUND($V86-($F86+$U86)*$G86*$AX$6-IF($C86="売",$F86*$G86*$AX$7*$W86/365,0),0))</f>
      </c>
      <c r="AD86" s="608"/>
      <c r="AE86" s="624" t="str">
        <f>IF($E86="","",WORKDAY($E86,12))</f>
        <v/>
      </c>
      <c r="AF86" s="626"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26"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0" t="str">
        <f>IF(OR($B86="",$M86=""),"",IF(AND(N($AF86)=0,N($AG86)=0),IF(AND(ISNUMBER($H86),$H86&gt;0,IF($C86="売",$H86&gt;=$N86,$H86&lt;=$N86)),"損切確定",IF(AND(ISNUMBER($H86),$H86&gt;0,IF($C86="売",$H86&lt;=$M86,$H86&gt;=$M86)),"利益確定",IF($AE86&lt;=TODAY(),"日数制限","保有中"))),IF(N($AG86)=0,"利益確定",IF(N($AF86)=0,"損切確定",IF($AG86&lt;=$AF86,"損切確定","利益確定")))))</f>
        <v/>
      </c>
      <c r="AI86" s="600" t="str" cm="1">
        <f t="array" ref="AI86">IFERROR(INDEX(始値!$E$6:$BT$305,MATCH(TEXT($B86,"0"),TEXT(銘柄管理!$B$6:$B$305,"0"),0),MATCH($AE86,始値!$E$3:$BT$3,0)),"")</f>
        <v/>
      </c>
      <c r="AJ86" s="905" t="str">
        <f>IF(OR($V86="",$F86="",$G86=""),"",$V86/($F86*$G86))</f>
        <v/>
      </c>
      <c r="AK86" s="629" t="str">
        <f>IF($V86="","",IF($V86&gt;0,"○勝",IF($V86&lt;0,"●負","△引分")))</f>
        <v/>
      </c>
    </row>
    <row r="87" spans="1:37" ht="35.4" customHeight="1">
      <c r="A87" s="619" t="str">
        <f>IF(B87="","",HYPERLINK("https://kabutan.jp/stock/?code="&amp;B87,"株探"))</f>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BT$3,0)=1,1,MATCH($E87,始値!$E$3:$BT$3,0)+1)),_xlpm.v,INDEX(始値!$C$6:$B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IF(OR(F87="",G87="",H87=""),"",IF(C87="売",(F87-H87)*G87,(H87-F87)*G87))</f>
        <v/>
      </c>
      <c r="L87" s="706" t="str">
        <f>IF(OR(F87="",H87=""),"",IF(C87="売",(F87-H87)/F87,(H87-F87)/F87))</f>
        <v/>
      </c>
      <c r="M87" s="491" t="str">
        <f>IF($F87="","",IF($C87="売",CEILING($F87*IF($C87="売",1-$AX$3,1+$AX$3),IF($F87*IF($C87="売",1-$AX$3,1+$AX$3)&lt;=3000,1,IF($F87*IF($C87="売",1-$AX$3,1+$AX$3)&lt;=5000,5,IF($F87*IF($C87="売",1-$AX$3,1+$AX$3)&lt;=30000,10,IF($F87*IF($C87="売",1-$AX$3,1+$AX$3)&lt;=50000,50,IF($F87*IF($C87="売",1-$AX$3,1+$AX$3)&lt;=300000,100,500)))))),FLOOR($F87*IF($C87="売",1-$AX$3,1+$AX$3),IF($F87*IF($C87="売",1-$AX$3,1+$AX$3)&lt;=3000,1,IF($F87*IF($C87="売",1-$AX$3,1+$AX$3)&lt;=5000,5,IF($F87*IF($C87="売",1-$AX$3,1+$AX$3)&lt;=30000,10,IF($F87*IF($C87="売",1-$AX$3,1+$AX$3)&lt;=50000,50,IF($F87*IF($C87="売",1-$AX$3,1+$AX$3)&lt;=300000,100,500))))))))</f>
      </c>
      <c r="N87" s="491" t="str">
        <f>IF($F87="","",IF($C87="売",CEILING($F87*IF($C87="売",1+$AX$2,1-$AX$2),IF($F87*IF($C87="売",1+$AX$2,1-$AX$2)&lt;=3000,1,IF($F87*IF($C87="売",1+$AX$2,1-$AX$2)&lt;=5000,5,IF($F87*IF($C87="売",1+$AX$2,1-$AX$2)&lt;=30000,10,IF($F87*IF($C87="売",1+$AX$2,1-$AX$2)&lt;=50000,50,IF($F87*IF($C87="売",1+$AX$2,1-$AX$2)&lt;=300000,100,500)))))),FLOOR($F87*IF($C87="売",1+$AX$2,1-$AX$2),IF($F87*IF($C87="売",1+$AX$2,1-$AX$2)&lt;=3000,1,IF($F87*IF($C87="売",1+$AX$2,1-$AX$2)&lt;=5000,5,IF($F87*IF($C87="売",1+$AX$2,1-$AX$2)&lt;=30000,10,IF($F87*IF($C87="売",1+$AX$2,1-$AX$2)&lt;=50000,50,IF($F87*IF($C87="売",1+$AX$2,1-$AX$2)&lt;=300000,100,500))))))))</f>
      </c>
      <c r="O87" s="492" t="str">
        <f>IF(OR($B87="",$F87="",$H87=""),"",IF($S87="✅売却済","―決済済―",IF($C87="売",IF($H87&lt;=$M87,"🟢利確",IF(AND($R87&lt;&gt;"",$H87&gt;=$R87),"🟠TRAIL決済",IF($H87&gt;=$N87,"🔴損切",IF($W87&gt;=$AX$5,"⏱時間決済",IF($H87&gt;=$F87*(1+$AX$2*0.7),"⚠️損切接近","保持継続"))))),IF($H87&gt;=$M87,"🟢利確",IF(AND($R87&lt;&gt;"",$H87&lt;=$R87),"🟠TRAIL決済",IF($H87&lt;=$N87,"🔴損切",IF($W87&gt;=$AX$5,"⏱時間決済",IF($H87&lt;=$F87*(1-$AX$2*0.7),"⚠️損切接近","保持継続")))))))</f>
      </c>
      <c r="P87" s="491"/>
      <c r="Q87" s="491"/>
      <c r="R87" s="491" t="str">
        <f>IF(OR($F87="",$H87="",$N87=""),"",IF($S87="✅売却済","",IF($C87="売",IF($H87&gt;$F87*(1-$AX$2),$N87,CEILING(MIN($N87,IF($Q87="",$N87,$Q87*1.03)),IF($N87&lt;=3000,1,IF($N87&lt;=5000,5,IF($N87&lt;=30000,10,IF($N87&lt;=50000,50,IF($N87&lt;=300000,100,500))))))),IF($H87&lt;$F87*(1+$AX$2),$N87,FLOOR(MAX($N87,IF($P87="",$N87,$P87*0.97)),IF($N87&lt;=3000,1,IF($N87&lt;=5000,5,IF($N87&lt;=30000,10,IF($N87&lt;=50000,50,IF($N87&lt;=300000,100,500))))))))))</f>
      </c>
      <c r="S87" s="586" t="str">
        <f>IF(B87="","",IF(T87&lt;&gt;"","✅売却済",IF(OR(H87="",L87=""),"📌保有中",IF(L87&gt;=0.06,"🟢利確推奨",IF(L87&gt;=0.05,"🟡利確直近",IF(L87&gt;=0.045,"🔵トレーリング検討",IF(L87&gt;-0.03,"📌保有中",IF(L87&gt;-0.04,"⚠️損切注意","🔴損切り"))))))))</f>
        <v/>
      </c>
      <c r="T87" s="594"/>
      <c r="U87" s="491"/>
      <c r="V87" s="701" t="str">
        <f>IF(OR(F87="",G87="",U87=""),"",IF(C87="売",(F87-U87)*G87,(U87-F87)*G87))</f>
        <v/>
      </c>
      <c r="W87" s="493" t="str">
        <f>IF(OR($E87="",$B87=""),"",IF($T87&lt;&gt;"",$T87-$E87,TODAY()-$E87)+1)</f>
        <v/>
      </c>
      <c r="X87" s="489" t="str">
        <f>IF(OR($AH87="",$AH87="保有中"),"",$AH87)</f>
        <v/>
      </c>
      <c r="Y87" s="488">
        <f>IF($B87="","",IF(COUNTIFS($B$4:$B87,$B87,$C$4:$C87,$C87)&gt;1,"⛔重複"&amp;COUNTIFS($B$4:$B87,$B87,$C$4:$C87,$C87)&amp;"回目",""))</f>
      </c>
      <c r="Z87" s="710"/>
      <c r="AB87">
        <f>IF($F87="","",MAX(100,ROUNDDOWN($AX$4/($F87*$AX$2)/100,0)*100))</f>
      </c>
      <c r="AC87">
        <f>IF(OR($F87="",$G87="",$U87=""),"",ROUND($V87-($F87+$U87)*$G87*$AX$6-IF($C87="売",$F87*$G87*$AX$7*$W87/365,0),0))</f>
      </c>
      <c r="AD87" s="608"/>
      <c r="AE87" s="624" t="str">
        <f>IF($E87="","",WORKDAY($E87,12))</f>
        <v/>
      </c>
      <c r="AF87" s="626"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26"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0" t="str">
        <f>IF(OR($B87="",$M87=""),"",IF(AND(N($AF87)=0,N($AG87)=0),IF(AND(ISNUMBER($H87),$H87&gt;0,IF($C87="売",$H87&gt;=$N87,$H87&lt;=$N87)),"損切確定",IF(AND(ISNUMBER($H87),$H87&gt;0,IF($C87="売",$H87&lt;=$M87,$H87&gt;=$M87)),"利益確定",IF($AE87&lt;=TODAY(),"日数制限","保有中"))),IF(N($AG87)=0,"利益確定",IF(N($AF87)=0,"損切確定",IF($AG87&lt;=$AF87,"損切確定","利益確定")))))</f>
        <v/>
      </c>
      <c r="AI87" s="600" t="str" cm="1">
        <f t="array" ref="AI87">IFERROR(INDEX(始値!$E$6:$BT$305,MATCH(TEXT($B87,"0"),TEXT(銘柄管理!$B$6:$B$305,"0"),0),MATCH($AE87,始値!$E$3:$BT$3,0)),"")</f>
        <v/>
      </c>
      <c r="AJ87" s="905" t="str">
        <f>IF(OR($V87="",$F87="",$G87=""),"",$V87/($F87*$G87))</f>
        <v/>
      </c>
      <c r="AK87" s="629" t="str">
        <f>IF($V87="","",IF($V87&gt;0,"○勝",IF($V87&lt;0,"●負","△引分")))</f>
        <v/>
      </c>
    </row>
    <row r="88" spans="1:37" ht="35.4" customHeight="1">
      <c r="A88" s="619" t="str">
        <f>IF(B88="","",HYPERLINK("https://kabutan.jp/stock/?code="&amp;B88,"株探"))</f>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BT$3,0)=1,1,MATCH($E88,始値!$E$3:$BT$3,0)+1)),_xlpm.v,INDEX(始値!$C$6:$B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IF(OR(F88="",G88="",H88=""),"",IF(C88="売",(F88-H88)*G88,(H88-F88)*G88))</f>
        <v/>
      </c>
      <c r="L88" s="706" t="str">
        <f>IF(OR(F88="",H88=""),"",IF(C88="売",(F88-H88)/F88,(H88-F88)/F88))</f>
        <v/>
      </c>
      <c r="M88" s="491" t="str">
        <f>IF($F88="","",IF($C88="売",CEILING($F88*IF($C88="売",1-$AX$3,1+$AX$3),IF($F88*IF($C88="売",1-$AX$3,1+$AX$3)&lt;=3000,1,IF($F88*IF($C88="売",1-$AX$3,1+$AX$3)&lt;=5000,5,IF($F88*IF($C88="売",1-$AX$3,1+$AX$3)&lt;=30000,10,IF($F88*IF($C88="売",1-$AX$3,1+$AX$3)&lt;=50000,50,IF($F88*IF($C88="売",1-$AX$3,1+$AX$3)&lt;=300000,100,500)))))),FLOOR($F88*IF($C88="売",1-$AX$3,1+$AX$3),IF($F88*IF($C88="売",1-$AX$3,1+$AX$3)&lt;=3000,1,IF($F88*IF($C88="売",1-$AX$3,1+$AX$3)&lt;=5000,5,IF($F88*IF($C88="売",1-$AX$3,1+$AX$3)&lt;=30000,10,IF($F88*IF($C88="売",1-$AX$3,1+$AX$3)&lt;=50000,50,IF($F88*IF($C88="売",1-$AX$3,1+$AX$3)&lt;=300000,100,500))))))))</f>
      </c>
      <c r="N88" s="491" t="str">
        <f>IF($F88="","",IF($C88="売",CEILING($F88*IF($C88="売",1+$AX$2,1-$AX$2),IF($F88*IF($C88="売",1+$AX$2,1-$AX$2)&lt;=3000,1,IF($F88*IF($C88="売",1+$AX$2,1-$AX$2)&lt;=5000,5,IF($F88*IF($C88="売",1+$AX$2,1-$AX$2)&lt;=30000,10,IF($F88*IF($C88="売",1+$AX$2,1-$AX$2)&lt;=50000,50,IF($F88*IF($C88="売",1+$AX$2,1-$AX$2)&lt;=300000,100,500)))))),FLOOR($F88*IF($C88="売",1+$AX$2,1-$AX$2),IF($F88*IF($C88="売",1+$AX$2,1-$AX$2)&lt;=3000,1,IF($F88*IF($C88="売",1+$AX$2,1-$AX$2)&lt;=5000,5,IF($F88*IF($C88="売",1+$AX$2,1-$AX$2)&lt;=30000,10,IF($F88*IF($C88="売",1+$AX$2,1-$AX$2)&lt;=50000,50,IF($F88*IF($C88="売",1+$AX$2,1-$AX$2)&lt;=300000,100,500))))))))</f>
      </c>
      <c r="O88" s="492" t="str">
        <f>IF(OR($B88="",$F88="",$H88=""),"",IF($S88="✅売却済","―決済済―",IF($C88="売",IF($H88&lt;=$M88,"🟢利確",IF(AND($R88&lt;&gt;"",$H88&gt;=$R88),"🟠TRAIL決済",IF($H88&gt;=$N88,"🔴損切",IF($W88&gt;=$AX$5,"⏱時間決済",IF($H88&gt;=$F88*(1+$AX$2*0.7),"⚠️損切接近","保持継続"))))),IF($H88&gt;=$M88,"🟢利確",IF(AND($R88&lt;&gt;"",$H88&lt;=$R88),"🟠TRAIL決済",IF($H88&lt;=$N88,"🔴損切",IF($W88&gt;=$AX$5,"⏱時間決済",IF($H88&lt;=$F88*(1-$AX$2*0.7),"⚠️損切接近","保持継続")))))))</f>
      </c>
      <c r="P88" s="491"/>
      <c r="Q88" s="491"/>
      <c r="R88" s="491" t="str">
        <f>IF(OR($F88="",$H88="",$N88=""),"",IF($S88="✅売却済","",IF($C88="売",IF($H88&gt;$F88*(1-$AX$2),$N88,CEILING(MIN($N88,IF($Q88="",$N88,$Q88*1.03)),IF($N88&lt;=3000,1,IF($N88&lt;=5000,5,IF($N88&lt;=30000,10,IF($N88&lt;=50000,50,IF($N88&lt;=300000,100,500))))))),IF($H88&lt;$F88*(1+$AX$2),$N88,FLOOR(MAX($N88,IF($P88="",$N88,$P88*0.97)),IF($N88&lt;=3000,1,IF($N88&lt;=5000,5,IF($N88&lt;=30000,10,IF($N88&lt;=50000,50,IF($N88&lt;=300000,100,500))))))))))</f>
      </c>
      <c r="S88" s="586" t="str">
        <f>IF(B88="","",IF(T88&lt;&gt;"","✅売却済",IF(OR(H88="",L88=""),"📌保有中",IF(L88&gt;=0.06,"🟢利確推奨",IF(L88&gt;=0.05,"🟡利確直近",IF(L88&gt;=0.045,"🔵トレーリング検討",IF(L88&gt;-0.03,"📌保有中",IF(L88&gt;-0.04,"⚠️損切注意","🔴損切り"))))))))</f>
        <v/>
      </c>
      <c r="T88" s="594"/>
      <c r="U88" s="491"/>
      <c r="V88" s="701" t="str">
        <f>IF(OR(F88="",G88="",U88=""),"",IF(C88="売",(F88-U88)*G88,(U88-F88)*G88))</f>
        <v/>
      </c>
      <c r="W88" s="493" t="str">
        <f>IF(OR($E88="",$B88=""),"",IF($T88&lt;&gt;"",$T88-$E88,TODAY()-$E88)+1)</f>
        <v/>
      </c>
      <c r="X88" s="489" t="str">
        <f>IF(OR($AH88="",$AH88="保有中"),"",$AH88)</f>
        <v/>
      </c>
      <c r="Y88" s="488">
        <f>IF($B88="","",IF(COUNTIFS($B$4:$B88,$B88,$C$4:$C88,$C88)&gt;1,"⛔重複"&amp;COUNTIFS($B$4:$B88,$B88,$C$4:$C88,$C88)&amp;"回目",""))</f>
      </c>
      <c r="Z88" s="710"/>
      <c r="AB88">
        <f>IF($F88="","",MAX(100,ROUNDDOWN($AX$4/($F88*$AX$2)/100,0)*100))</f>
      </c>
      <c r="AC88">
        <f>IF(OR($F88="",$G88="",$U88=""),"",ROUND($V88-($F88+$U88)*$G88*$AX$6-IF($C88="売",$F88*$G88*$AX$7*$W88/365,0),0))</f>
      </c>
      <c r="AD88" s="608"/>
      <c r="AE88" s="624" t="str">
        <f>IF($E88="","",WORKDAY($E88,12))</f>
        <v/>
      </c>
      <c r="AF88" s="626"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26"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0" t="str">
        <f>IF(OR($B88="",$M88=""),"",IF(AND(N($AF88)=0,N($AG88)=0),IF(AND(ISNUMBER($H88),$H88&gt;0,IF($C88="売",$H88&gt;=$N88,$H88&lt;=$N88)),"損切確定",IF(AND(ISNUMBER($H88),$H88&gt;0,IF($C88="売",$H88&lt;=$M88,$H88&gt;=$M88)),"利益確定",IF($AE88&lt;=TODAY(),"日数制限","保有中"))),IF(N($AG88)=0,"利益確定",IF(N($AF88)=0,"損切確定",IF($AG88&lt;=$AF88,"損切確定","利益確定")))))</f>
        <v/>
      </c>
      <c r="AI88" s="600" t="str" cm="1">
        <f t="array" ref="AI88">IFERROR(INDEX(始値!$E$6:$BT$305,MATCH(TEXT($B88,"0"),TEXT(銘柄管理!$B$6:$B$305,"0"),0),MATCH($AE88,始値!$E$3:$BT$3,0)),"")</f>
        <v/>
      </c>
      <c r="AJ88" s="905" t="str">
        <f>IF(OR($V88="",$F88="",$G88=""),"",$V88/($F88*$G88))</f>
        <v/>
      </c>
      <c r="AK88" s="629" t="str">
        <f>IF($V88="","",IF($V88&gt;0,"○勝",IF($V88&lt;0,"●負","△引分")))</f>
        <v/>
      </c>
    </row>
    <row r="89" spans="1:37" ht="35.4" customHeight="1">
      <c r="A89" s="619" t="str">
        <f>IF(B89="","",HYPERLINK("https://kabutan.jp/stock/?code="&amp;B89,"株探"))</f>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BT$3,0)=1,1,MATCH($E89,始値!$E$3:$BT$3,0)+1)),_xlpm.v,INDEX(始値!$C$6:$B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IF(OR(F89="",G89="",H89=""),"",IF(C89="売",(F89-H89)*G89,(H89-F89)*G89))</f>
        <v/>
      </c>
      <c r="L89" s="706" t="str">
        <f>IF(OR(F89="",H89=""),"",IF(C89="売",(F89-H89)/F89,(H89-F89)/F89))</f>
        <v/>
      </c>
      <c r="M89" s="491" t="str">
        <f>IF($F89="","",IF($C89="売",CEILING($F89*IF($C89="売",1-$AX$3,1+$AX$3),IF($F89*IF($C89="売",1-$AX$3,1+$AX$3)&lt;=3000,1,IF($F89*IF($C89="売",1-$AX$3,1+$AX$3)&lt;=5000,5,IF($F89*IF($C89="売",1-$AX$3,1+$AX$3)&lt;=30000,10,IF($F89*IF($C89="売",1-$AX$3,1+$AX$3)&lt;=50000,50,IF($F89*IF($C89="売",1-$AX$3,1+$AX$3)&lt;=300000,100,500)))))),FLOOR($F89*IF($C89="売",1-$AX$3,1+$AX$3),IF($F89*IF($C89="売",1-$AX$3,1+$AX$3)&lt;=3000,1,IF($F89*IF($C89="売",1-$AX$3,1+$AX$3)&lt;=5000,5,IF($F89*IF($C89="売",1-$AX$3,1+$AX$3)&lt;=30000,10,IF($F89*IF($C89="売",1-$AX$3,1+$AX$3)&lt;=50000,50,IF($F89*IF($C89="売",1-$AX$3,1+$AX$3)&lt;=300000,100,500))))))))</f>
      </c>
      <c r="N89" s="491" t="str">
        <f>IF($F89="","",IF($C89="売",CEILING($F89*IF($C89="売",1+$AX$2,1-$AX$2),IF($F89*IF($C89="売",1+$AX$2,1-$AX$2)&lt;=3000,1,IF($F89*IF($C89="売",1+$AX$2,1-$AX$2)&lt;=5000,5,IF($F89*IF($C89="売",1+$AX$2,1-$AX$2)&lt;=30000,10,IF($F89*IF($C89="売",1+$AX$2,1-$AX$2)&lt;=50000,50,IF($F89*IF($C89="売",1+$AX$2,1-$AX$2)&lt;=300000,100,500)))))),FLOOR($F89*IF($C89="売",1+$AX$2,1-$AX$2),IF($F89*IF($C89="売",1+$AX$2,1-$AX$2)&lt;=3000,1,IF($F89*IF($C89="売",1+$AX$2,1-$AX$2)&lt;=5000,5,IF($F89*IF($C89="売",1+$AX$2,1-$AX$2)&lt;=30000,10,IF($F89*IF($C89="売",1+$AX$2,1-$AX$2)&lt;=50000,50,IF($F89*IF($C89="売",1+$AX$2,1-$AX$2)&lt;=300000,100,500))))))))</f>
      </c>
      <c r="O89" s="492" t="str">
        <f>IF(OR($B89="",$F89="",$H89=""),"",IF($S89="✅売却済","―決済済―",IF($C89="売",IF($H89&lt;=$M89,"🟢利確",IF(AND($R89&lt;&gt;"",$H89&gt;=$R89),"🟠TRAIL決済",IF($H89&gt;=$N89,"🔴損切",IF($W89&gt;=$AX$5,"⏱時間決済",IF($H89&gt;=$F89*(1+$AX$2*0.7),"⚠️損切接近","保持継続"))))),IF($H89&gt;=$M89,"🟢利確",IF(AND($R89&lt;&gt;"",$H89&lt;=$R89),"🟠TRAIL決済",IF($H89&lt;=$N89,"🔴損切",IF($W89&gt;=$AX$5,"⏱時間決済",IF($H89&lt;=$F89*(1-$AX$2*0.7),"⚠️損切接近","保持継続")))))))</f>
      </c>
      <c r="P89" s="491"/>
      <c r="Q89" s="491"/>
      <c r="R89" s="491" t="str">
        <f>IF(OR($F89="",$H89="",$N89=""),"",IF($S89="✅売却済","",IF($C89="売",IF($H89&gt;$F89*(1-$AX$2),$N89,CEILING(MIN($N89,IF($Q89="",$N89,$Q89*1.03)),IF($N89&lt;=3000,1,IF($N89&lt;=5000,5,IF($N89&lt;=30000,10,IF($N89&lt;=50000,50,IF($N89&lt;=300000,100,500))))))),IF($H89&lt;$F89*(1+$AX$2),$N89,FLOOR(MAX($N89,IF($P89="",$N89,$P89*0.97)),IF($N89&lt;=3000,1,IF($N89&lt;=5000,5,IF($N89&lt;=30000,10,IF($N89&lt;=50000,50,IF($N89&lt;=300000,100,500))))))))))</f>
      </c>
      <c r="S89" s="586" t="str">
        <f>IF(B89="","",IF(T89&lt;&gt;"","✅売却済",IF(OR(H89="",L89=""),"📌保有中",IF(L89&gt;=0.06,"🟢利確推奨",IF(L89&gt;=0.05,"🟡利確直近",IF(L89&gt;=0.045,"🔵トレーリング検討",IF(L89&gt;-0.03,"📌保有中",IF(L89&gt;-0.04,"⚠️損切注意","🔴損切り"))))))))</f>
        <v/>
      </c>
      <c r="T89" s="594"/>
      <c r="U89" s="491"/>
      <c r="V89" s="701" t="str">
        <f>IF(OR(F89="",G89="",U89=""),"",IF(C89="売",(F89-U89)*G89,(U89-F89)*G89))</f>
        <v/>
      </c>
      <c r="W89" s="493" t="str">
        <f>IF(OR($E89="",$B89=""),"",IF($T89&lt;&gt;"",$T89-$E89,TODAY()-$E89)+1)</f>
        <v/>
      </c>
      <c r="X89" s="489" t="str">
        <f>IF(OR($AH89="",$AH89="保有中"),"",$AH89)</f>
        <v/>
      </c>
      <c r="Y89" s="488">
        <f>IF($B89="","",IF(COUNTIFS($B$4:$B89,$B89,$C$4:$C89,$C89)&gt;1,"⛔重複"&amp;COUNTIFS($B$4:$B89,$B89,$C$4:$C89,$C89)&amp;"回目",""))</f>
      </c>
      <c r="Z89" s="710"/>
      <c r="AB89">
        <f>IF($F89="","",MAX(100,ROUNDDOWN($AX$4/($F89*$AX$2)/100,0)*100))</f>
      </c>
      <c r="AC89">
        <f>IF(OR($F89="",$G89="",$U89=""),"",ROUND($V89-($F89+$U89)*$G89*$AX$6-IF($C89="売",$F89*$G89*$AX$7*$W89/365,0),0))</f>
      </c>
      <c r="AD89" s="608"/>
      <c r="AE89" s="624" t="str">
        <f>IF($E89="","",WORKDAY($E89,12))</f>
        <v/>
      </c>
      <c r="AF89" s="626"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26"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0" t="str">
        <f>IF(OR($B89="",$M89=""),"",IF(AND(N($AF89)=0,N($AG89)=0),IF(AND(ISNUMBER($H89),$H89&gt;0,IF($C89="売",$H89&gt;=$N89,$H89&lt;=$N89)),"損切確定",IF(AND(ISNUMBER($H89),$H89&gt;0,IF($C89="売",$H89&lt;=$M89,$H89&gt;=$M89)),"利益確定",IF($AE89&lt;=TODAY(),"日数制限","保有中"))),IF(N($AG89)=0,"利益確定",IF(N($AF89)=0,"損切確定",IF($AG89&lt;=$AF89,"損切確定","利益確定")))))</f>
        <v/>
      </c>
      <c r="AI89" s="600" t="str" cm="1">
        <f t="array" ref="AI89">IFERROR(INDEX(始値!$E$6:$BT$305,MATCH(TEXT($B89,"0"),TEXT(銘柄管理!$B$6:$B$305,"0"),0),MATCH($AE89,始値!$E$3:$BT$3,0)),"")</f>
        <v/>
      </c>
      <c r="AJ89" s="905" t="str">
        <f>IF(OR($V89="",$F89="",$G89=""),"",$V89/($F89*$G89))</f>
        <v/>
      </c>
      <c r="AK89" s="629" t="str">
        <f>IF($V89="","",IF($V89&gt;0,"○勝",IF($V89&lt;0,"●負","△引分")))</f>
        <v/>
      </c>
    </row>
    <row r="90" spans="1:37" ht="35.4" customHeight="1">
      <c r="A90" s="619" t="str">
        <f>IF(B90="","",HYPERLINK("https://kabutan.jp/stock/?code="&amp;B90,"株探"))</f>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BT$3,0)=1,1,MATCH($E90,始値!$E$3:$BT$3,0)+1)),_xlpm.v,INDEX(始値!$C$6:$B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IF(OR(F90="",G90="",H90=""),"",IF(C90="売",(F90-H90)*G90,(H90-F90)*G90))</f>
        <v/>
      </c>
      <c r="L90" s="706" t="str">
        <f>IF(OR(F90="",H90=""),"",IF(C90="売",(F90-H90)/F90,(H90-F90)/F90))</f>
        <v/>
      </c>
      <c r="M90" s="491" t="str">
        <f>IF($F90="","",IF($C90="売",CEILING($F90*IF($C90="売",1-$AX$3,1+$AX$3),IF($F90*IF($C90="売",1-$AX$3,1+$AX$3)&lt;=3000,1,IF($F90*IF($C90="売",1-$AX$3,1+$AX$3)&lt;=5000,5,IF($F90*IF($C90="売",1-$AX$3,1+$AX$3)&lt;=30000,10,IF($F90*IF($C90="売",1-$AX$3,1+$AX$3)&lt;=50000,50,IF($F90*IF($C90="売",1-$AX$3,1+$AX$3)&lt;=300000,100,500)))))),FLOOR($F90*IF($C90="売",1-$AX$3,1+$AX$3),IF($F90*IF($C90="売",1-$AX$3,1+$AX$3)&lt;=3000,1,IF($F90*IF($C90="売",1-$AX$3,1+$AX$3)&lt;=5000,5,IF($F90*IF($C90="売",1-$AX$3,1+$AX$3)&lt;=30000,10,IF($F90*IF($C90="売",1-$AX$3,1+$AX$3)&lt;=50000,50,IF($F90*IF($C90="売",1-$AX$3,1+$AX$3)&lt;=300000,100,500))))))))</f>
      </c>
      <c r="N90" s="491" t="str">
        <f>IF($F90="","",IF($C90="売",CEILING($F90*IF($C90="売",1+$AX$2,1-$AX$2),IF($F90*IF($C90="売",1+$AX$2,1-$AX$2)&lt;=3000,1,IF($F90*IF($C90="売",1+$AX$2,1-$AX$2)&lt;=5000,5,IF($F90*IF($C90="売",1+$AX$2,1-$AX$2)&lt;=30000,10,IF($F90*IF($C90="売",1+$AX$2,1-$AX$2)&lt;=50000,50,IF($F90*IF($C90="売",1+$AX$2,1-$AX$2)&lt;=300000,100,500)))))),FLOOR($F90*IF($C90="売",1+$AX$2,1-$AX$2),IF($F90*IF($C90="売",1+$AX$2,1-$AX$2)&lt;=3000,1,IF($F90*IF($C90="売",1+$AX$2,1-$AX$2)&lt;=5000,5,IF($F90*IF($C90="売",1+$AX$2,1-$AX$2)&lt;=30000,10,IF($F90*IF($C90="売",1+$AX$2,1-$AX$2)&lt;=50000,50,IF($F90*IF($C90="売",1+$AX$2,1-$AX$2)&lt;=300000,100,500))))))))</f>
      </c>
      <c r="O90" s="492" t="str">
        <f>IF(OR($B90="",$F90="",$H90=""),"",IF($S90="✅売却済","―決済済―",IF($C90="売",IF($H90&lt;=$M90,"🟢利確",IF(AND($R90&lt;&gt;"",$H90&gt;=$R90),"🟠TRAIL決済",IF($H90&gt;=$N90,"🔴損切",IF($W90&gt;=$AX$5,"⏱時間決済",IF($H90&gt;=$F90*(1+$AX$2*0.7),"⚠️損切接近","保持継続"))))),IF($H90&gt;=$M90,"🟢利確",IF(AND($R90&lt;&gt;"",$H90&lt;=$R90),"🟠TRAIL決済",IF($H90&lt;=$N90,"🔴損切",IF($W90&gt;=$AX$5,"⏱時間決済",IF($H90&lt;=$F90*(1-$AX$2*0.7),"⚠️損切接近","保持継続")))))))</f>
      </c>
      <c r="P90" s="491"/>
      <c r="Q90" s="491"/>
      <c r="R90" s="491" t="str">
        <f>IF(OR($F90="",$H90="",$N90=""),"",IF($S90="✅売却済","",IF($C90="売",IF($H90&gt;$F90*(1-$AX$2),$N90,CEILING(MIN($N90,IF($Q90="",$N90,$Q90*1.03)),IF($N90&lt;=3000,1,IF($N90&lt;=5000,5,IF($N90&lt;=30000,10,IF($N90&lt;=50000,50,IF($N90&lt;=300000,100,500))))))),IF($H90&lt;$F90*(1+$AX$2),$N90,FLOOR(MAX($N90,IF($P90="",$N90,$P90*0.97)),IF($N90&lt;=3000,1,IF($N90&lt;=5000,5,IF($N90&lt;=30000,10,IF($N90&lt;=50000,50,IF($N90&lt;=300000,100,500))))))))))</f>
      </c>
      <c r="S90" s="586" t="str">
        <f>IF(B90="","",IF(T90&lt;&gt;"","✅売却済",IF(OR(H90="",L90=""),"📌保有中",IF(L90&gt;=0.06,"🟢利確推奨",IF(L90&gt;=0.05,"🟡利確直近",IF(L90&gt;=0.045,"🔵トレーリング検討",IF(L90&gt;-0.03,"📌保有中",IF(L90&gt;-0.04,"⚠️損切注意","🔴損切り"))))))))</f>
        <v/>
      </c>
      <c r="T90" s="594"/>
      <c r="U90" s="491"/>
      <c r="V90" s="701" t="str">
        <f>IF(OR(F90="",G90="",U90=""),"",IF(C90="売",(F90-U90)*G90,(U90-F90)*G90))</f>
        <v/>
      </c>
      <c r="W90" s="493" t="str">
        <f>IF(OR($E90="",$B90=""),"",IF($T90&lt;&gt;"",$T90-$E90,TODAY()-$E90)+1)</f>
        <v/>
      </c>
      <c r="X90" s="489" t="str">
        <f>IF(OR($AH90="",$AH90="保有中"),"",$AH90)</f>
        <v/>
      </c>
      <c r="Y90" s="488">
        <f>IF($B90="","",IF(COUNTIFS($B$4:$B90,$B90,$C$4:$C90,$C90)&gt;1,"⛔重複"&amp;COUNTIFS($B$4:$B90,$B90,$C$4:$C90,$C90)&amp;"回目",""))</f>
      </c>
      <c r="Z90" s="710"/>
      <c r="AB90">
        <f>IF($F90="","",MAX(100,ROUNDDOWN($AX$4/($F90*$AX$2)/100,0)*100))</f>
      </c>
      <c r="AC90">
        <f>IF(OR($F90="",$G90="",$U90=""),"",ROUND($V90-($F90+$U90)*$G90*$AX$6-IF($C90="売",$F90*$G90*$AX$7*$W90/365,0),0))</f>
      </c>
      <c r="AD90" s="608"/>
      <c r="AE90" s="624" t="str">
        <f>IF($E90="","",WORKDAY($E90,12))</f>
        <v/>
      </c>
      <c r="AF90" s="626"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26"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0" t="str">
        <f>IF(OR($B90="",$M90=""),"",IF(AND(N($AF90)=0,N($AG90)=0),IF(AND(ISNUMBER($H90),$H90&gt;0,IF($C90="売",$H90&gt;=$N90,$H90&lt;=$N90)),"損切確定",IF(AND(ISNUMBER($H90),$H90&gt;0,IF($C90="売",$H90&lt;=$M90,$H90&gt;=$M90)),"利益確定",IF($AE90&lt;=TODAY(),"日数制限","保有中"))),IF(N($AG90)=0,"利益確定",IF(N($AF90)=0,"損切確定",IF($AG90&lt;=$AF90,"損切確定","利益確定")))))</f>
        <v/>
      </c>
      <c r="AI90" s="600" t="str" cm="1">
        <f t="array" ref="AI90">IFERROR(INDEX(始値!$E$6:$BT$305,MATCH(TEXT($B90,"0"),TEXT(銘柄管理!$B$6:$B$305,"0"),0),MATCH($AE90,始値!$E$3:$BT$3,0)),"")</f>
        <v/>
      </c>
      <c r="AJ90" s="905" t="str">
        <f>IF(OR($V90="",$F90="",$G90=""),"",$V90/($F90*$G90))</f>
        <v/>
      </c>
      <c r="AK90" s="629" t="str">
        <f>IF($V90="","",IF($V90&gt;0,"○勝",IF($V90&lt;0,"●負","△引分")))</f>
        <v/>
      </c>
    </row>
    <row r="91" spans="1:37" ht="35.4" customHeight="1">
      <c r="A91" s="619" t="str">
        <f>IF(B91="","",HYPERLINK("https://kabutan.jp/stock/?code="&amp;B91,"株探"))</f>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BT$3,0)=1,1,MATCH($E91,始値!$E$3:$BT$3,0)+1)),_xlpm.v,INDEX(始値!$C$6:$B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IF(OR(F91="",G91="",H91=""),"",IF(C91="売",(F91-H91)*G91,(H91-F91)*G91))</f>
        <v/>
      </c>
      <c r="L91" s="706" t="str">
        <f>IF(OR(F91="",H91=""),"",IF(C91="売",(F91-H91)/F91,(H91-F91)/F91))</f>
        <v/>
      </c>
      <c r="M91" s="491" t="str">
        <f>IF($F91="","",IF($C91="売",CEILING($F91*IF($C91="売",1-$AX$3,1+$AX$3),IF($F91*IF($C91="売",1-$AX$3,1+$AX$3)&lt;=3000,1,IF($F91*IF($C91="売",1-$AX$3,1+$AX$3)&lt;=5000,5,IF($F91*IF($C91="売",1-$AX$3,1+$AX$3)&lt;=30000,10,IF($F91*IF($C91="売",1-$AX$3,1+$AX$3)&lt;=50000,50,IF($F91*IF($C91="売",1-$AX$3,1+$AX$3)&lt;=300000,100,500)))))),FLOOR($F91*IF($C91="売",1-$AX$3,1+$AX$3),IF($F91*IF($C91="売",1-$AX$3,1+$AX$3)&lt;=3000,1,IF($F91*IF($C91="売",1-$AX$3,1+$AX$3)&lt;=5000,5,IF($F91*IF($C91="売",1-$AX$3,1+$AX$3)&lt;=30000,10,IF($F91*IF($C91="売",1-$AX$3,1+$AX$3)&lt;=50000,50,IF($F91*IF($C91="売",1-$AX$3,1+$AX$3)&lt;=300000,100,500))))))))</f>
      </c>
      <c r="N91" s="491" t="str">
        <f>IF($F91="","",IF($C91="売",CEILING($F91*IF($C91="売",1+$AX$2,1-$AX$2),IF($F91*IF($C91="売",1+$AX$2,1-$AX$2)&lt;=3000,1,IF($F91*IF($C91="売",1+$AX$2,1-$AX$2)&lt;=5000,5,IF($F91*IF($C91="売",1+$AX$2,1-$AX$2)&lt;=30000,10,IF($F91*IF($C91="売",1+$AX$2,1-$AX$2)&lt;=50000,50,IF($F91*IF($C91="売",1+$AX$2,1-$AX$2)&lt;=300000,100,500)))))),FLOOR($F91*IF($C91="売",1+$AX$2,1-$AX$2),IF($F91*IF($C91="売",1+$AX$2,1-$AX$2)&lt;=3000,1,IF($F91*IF($C91="売",1+$AX$2,1-$AX$2)&lt;=5000,5,IF($F91*IF($C91="売",1+$AX$2,1-$AX$2)&lt;=30000,10,IF($F91*IF($C91="売",1+$AX$2,1-$AX$2)&lt;=50000,50,IF($F91*IF($C91="売",1+$AX$2,1-$AX$2)&lt;=300000,100,500))))))))</f>
      </c>
      <c r="O91" s="492" t="str">
        <f>IF(OR($B91="",$F91="",$H91=""),"",IF($S91="✅売却済","―決済済―",IF($C91="売",IF($H91&lt;=$M91,"🟢利確",IF(AND($R91&lt;&gt;"",$H91&gt;=$R91),"🟠TRAIL決済",IF($H91&gt;=$N91,"🔴損切",IF($W91&gt;=$AX$5,"⏱時間決済",IF($H91&gt;=$F91*(1+$AX$2*0.7),"⚠️損切接近","保持継続"))))),IF($H91&gt;=$M91,"🟢利確",IF(AND($R91&lt;&gt;"",$H91&lt;=$R91),"🟠TRAIL決済",IF($H91&lt;=$N91,"🔴損切",IF($W91&gt;=$AX$5,"⏱時間決済",IF($H91&lt;=$F91*(1-$AX$2*0.7),"⚠️損切接近","保持継続")))))))</f>
      </c>
      <c r="P91" s="491"/>
      <c r="Q91" s="491"/>
      <c r="R91" s="491" t="str">
        <f>IF(OR($F91="",$H91="",$N91=""),"",IF($S91="✅売却済","",IF($C91="売",IF($H91&gt;$F91*(1-$AX$2),$N91,CEILING(MIN($N91,IF($Q91="",$N91,$Q91*1.03)),IF($N91&lt;=3000,1,IF($N91&lt;=5000,5,IF($N91&lt;=30000,10,IF($N91&lt;=50000,50,IF($N91&lt;=300000,100,500))))))),IF($H91&lt;$F91*(1+$AX$2),$N91,FLOOR(MAX($N91,IF($P91="",$N91,$P91*0.97)),IF($N91&lt;=3000,1,IF($N91&lt;=5000,5,IF($N91&lt;=30000,10,IF($N91&lt;=50000,50,IF($N91&lt;=300000,100,500))))))))))</f>
      </c>
      <c r="S91" s="586" t="str">
        <f>IF(B91="","",IF(T91&lt;&gt;"","✅売却済",IF(OR(H91="",L91=""),"📌保有中",IF(L91&gt;=0.06,"🟢利確推奨",IF(L91&gt;=0.05,"🟡利確直近",IF(L91&gt;=0.045,"🔵トレーリング検討",IF(L91&gt;-0.03,"📌保有中",IF(L91&gt;-0.04,"⚠️損切注意","🔴損切り"))))))))</f>
        <v/>
      </c>
      <c r="T91" s="594"/>
      <c r="U91" s="491"/>
      <c r="V91" s="701" t="str">
        <f>IF(OR(F91="",G91="",U91=""),"",IF(C91="売",(F91-U91)*G91,(U91-F91)*G91))</f>
        <v/>
      </c>
      <c r="W91" s="493" t="str">
        <f>IF(OR($E91="",$B91=""),"",IF($T91&lt;&gt;"",$T91-$E91,TODAY()-$E91)+1)</f>
        <v/>
      </c>
      <c r="X91" s="489" t="str">
        <f>IF(OR($AH91="",$AH91="保有中"),"",$AH91)</f>
        <v/>
      </c>
      <c r="Y91" s="488">
        <f>IF($B91="","",IF(COUNTIFS($B$4:$B91,$B91,$C$4:$C91,$C91)&gt;1,"⛔重複"&amp;COUNTIFS($B$4:$B91,$B91,$C$4:$C91,$C91)&amp;"回目",""))</f>
      </c>
      <c r="Z91" s="710"/>
      <c r="AB91">
        <f>IF($F91="","",MAX(100,ROUNDDOWN($AX$4/($F91*$AX$2)/100,0)*100))</f>
      </c>
      <c r="AC91">
        <f>IF(OR($F91="",$G91="",$U91=""),"",ROUND($V91-($F91+$U91)*$G91*$AX$6-IF($C91="売",$F91*$G91*$AX$7*$W91/365,0),0))</f>
      </c>
      <c r="AD91" s="608"/>
      <c r="AE91" s="624" t="str">
        <f>IF($E91="","",WORKDAY($E91,12))</f>
        <v/>
      </c>
      <c r="AF91" s="626"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26"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0" t="str">
        <f>IF(OR($B91="",$M91=""),"",IF(AND(N($AF91)=0,N($AG91)=0),IF(AND(ISNUMBER($H91),$H91&gt;0,IF($C91="売",$H91&gt;=$N91,$H91&lt;=$N91)),"損切確定",IF(AND(ISNUMBER($H91),$H91&gt;0,IF($C91="売",$H91&lt;=$M91,$H91&gt;=$M91)),"利益確定",IF($AE91&lt;=TODAY(),"日数制限","保有中"))),IF(N($AG91)=0,"利益確定",IF(N($AF91)=0,"損切確定",IF($AG91&lt;=$AF91,"損切確定","利益確定")))))</f>
        <v/>
      </c>
      <c r="AI91" s="600" t="str" cm="1">
        <f t="array" ref="AI91">IFERROR(INDEX(始値!$E$6:$BT$305,MATCH(TEXT($B91,"0"),TEXT(銘柄管理!$B$6:$B$305,"0"),0),MATCH($AE91,始値!$E$3:$BT$3,0)),"")</f>
        <v/>
      </c>
      <c r="AJ91" s="905" t="str">
        <f>IF(OR($V91="",$F91="",$G91=""),"",$V91/($F91*$G91))</f>
        <v/>
      </c>
      <c r="AK91" s="629" t="str">
        <f>IF($V91="","",IF($V91&gt;0,"○勝",IF($V91&lt;0,"●負","△引分")))</f>
        <v/>
      </c>
    </row>
    <row r="92" spans="1:37" ht="35.4" customHeight="1">
      <c r="A92" s="619" t="str">
        <f>IF(B92="","",HYPERLINK("https://kabutan.jp/stock/?code="&amp;B92,"株探"))</f>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BT$3,0)=1,1,MATCH($E92,始値!$E$3:$BT$3,0)+1)),_xlpm.v,INDEX(始値!$C$6:$B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IF(OR(F92="",G92="",H92=""),"",IF(C92="売",(F92-H92)*G92,(H92-F92)*G92))</f>
        <v/>
      </c>
      <c r="L92" s="706" t="str">
        <f>IF(OR(F92="",H92=""),"",IF(C92="売",(F92-H92)/F92,(H92-F92)/F92))</f>
        <v/>
      </c>
      <c r="M92" s="491" t="str">
        <f>IF($F92="","",IF($C92="売",CEILING($F92*IF($C92="売",1-$AX$3,1+$AX$3),IF($F92*IF($C92="売",1-$AX$3,1+$AX$3)&lt;=3000,1,IF($F92*IF($C92="売",1-$AX$3,1+$AX$3)&lt;=5000,5,IF($F92*IF($C92="売",1-$AX$3,1+$AX$3)&lt;=30000,10,IF($F92*IF($C92="売",1-$AX$3,1+$AX$3)&lt;=50000,50,IF($F92*IF($C92="売",1-$AX$3,1+$AX$3)&lt;=300000,100,500)))))),FLOOR($F92*IF($C92="売",1-$AX$3,1+$AX$3),IF($F92*IF($C92="売",1-$AX$3,1+$AX$3)&lt;=3000,1,IF($F92*IF($C92="売",1-$AX$3,1+$AX$3)&lt;=5000,5,IF($F92*IF($C92="売",1-$AX$3,1+$AX$3)&lt;=30000,10,IF($F92*IF($C92="売",1-$AX$3,1+$AX$3)&lt;=50000,50,IF($F92*IF($C92="売",1-$AX$3,1+$AX$3)&lt;=300000,100,500))))))))</f>
      </c>
      <c r="N92" s="491" t="str">
        <f>IF($F92="","",IF($C92="売",CEILING($F92*IF($C92="売",1+$AX$2,1-$AX$2),IF($F92*IF($C92="売",1+$AX$2,1-$AX$2)&lt;=3000,1,IF($F92*IF($C92="売",1+$AX$2,1-$AX$2)&lt;=5000,5,IF($F92*IF($C92="売",1+$AX$2,1-$AX$2)&lt;=30000,10,IF($F92*IF($C92="売",1+$AX$2,1-$AX$2)&lt;=50000,50,IF($F92*IF($C92="売",1+$AX$2,1-$AX$2)&lt;=300000,100,500)))))),FLOOR($F92*IF($C92="売",1+$AX$2,1-$AX$2),IF($F92*IF($C92="売",1+$AX$2,1-$AX$2)&lt;=3000,1,IF($F92*IF($C92="売",1+$AX$2,1-$AX$2)&lt;=5000,5,IF($F92*IF($C92="売",1+$AX$2,1-$AX$2)&lt;=30000,10,IF($F92*IF($C92="売",1+$AX$2,1-$AX$2)&lt;=50000,50,IF($F92*IF($C92="売",1+$AX$2,1-$AX$2)&lt;=300000,100,500))))))))</f>
      </c>
      <c r="O92" s="492" t="str">
        <f>IF(OR($B92="",$F92="",$H92=""),"",IF($S92="✅売却済","―決済済―",IF($C92="売",IF($H92&lt;=$M92,"🟢利確",IF(AND($R92&lt;&gt;"",$H92&gt;=$R92),"🟠TRAIL決済",IF($H92&gt;=$N92,"🔴損切",IF($W92&gt;=$AX$5,"⏱時間決済",IF($H92&gt;=$F92*(1+$AX$2*0.7),"⚠️損切接近","保持継続"))))),IF($H92&gt;=$M92,"🟢利確",IF(AND($R92&lt;&gt;"",$H92&lt;=$R92),"🟠TRAIL決済",IF($H92&lt;=$N92,"🔴損切",IF($W92&gt;=$AX$5,"⏱時間決済",IF($H92&lt;=$F92*(1-$AX$2*0.7),"⚠️損切接近","保持継続")))))))</f>
      </c>
      <c r="P92" s="491"/>
      <c r="Q92" s="491"/>
      <c r="R92" s="491" t="str">
        <f>IF(OR($F92="",$H92="",$N92=""),"",IF($S92="✅売却済","",IF($C92="売",IF($H92&gt;$F92*(1-$AX$2),$N92,CEILING(MIN($N92,IF($Q92="",$N92,$Q92*1.03)),IF($N92&lt;=3000,1,IF($N92&lt;=5000,5,IF($N92&lt;=30000,10,IF($N92&lt;=50000,50,IF($N92&lt;=300000,100,500))))))),IF($H92&lt;$F92*(1+$AX$2),$N92,FLOOR(MAX($N92,IF($P92="",$N92,$P92*0.97)),IF($N92&lt;=3000,1,IF($N92&lt;=5000,5,IF($N92&lt;=30000,10,IF($N92&lt;=50000,50,IF($N92&lt;=300000,100,500))))))))))</f>
      </c>
      <c r="S92" s="586" t="str">
        <f>IF(B92="","",IF(T92&lt;&gt;"","✅売却済",IF(OR(H92="",L92=""),"📌保有中",IF(L92&gt;=0.06,"🟢利確推奨",IF(L92&gt;=0.05,"🟡利確直近",IF(L92&gt;=0.045,"🔵トレーリング検討",IF(L92&gt;-0.03,"📌保有中",IF(L92&gt;-0.04,"⚠️損切注意","🔴損切り"))))))))</f>
        <v/>
      </c>
      <c r="T92" s="594"/>
      <c r="U92" s="491"/>
      <c r="V92" s="701" t="str">
        <f>IF(OR(F92="",G92="",U92=""),"",IF(C92="売",(F92-U92)*G92,(U92-F92)*G92))</f>
        <v/>
      </c>
      <c r="W92" s="493" t="str">
        <f>IF(OR($E92="",$B92=""),"",IF($T92&lt;&gt;"",$T92-$E92,TODAY()-$E92)+1)</f>
        <v/>
      </c>
      <c r="X92" s="489" t="str">
        <f>IF(OR($AH92="",$AH92="保有中"),"",$AH92)</f>
        <v/>
      </c>
      <c r="Y92" s="488">
        <f>IF($B92="","",IF(COUNTIFS($B$4:$B92,$B92,$C$4:$C92,$C92)&gt;1,"⛔重複"&amp;COUNTIFS($B$4:$B92,$B92,$C$4:$C92,$C92)&amp;"回目",""))</f>
      </c>
      <c r="Z92" s="710"/>
      <c r="AB92">
        <f>IF($F92="","",MAX(100,ROUNDDOWN($AX$4/($F92*$AX$2)/100,0)*100))</f>
      </c>
      <c r="AC92">
        <f>IF(OR($F92="",$G92="",$U92=""),"",ROUND($V92-($F92+$U92)*$G92*$AX$6-IF($C92="売",$F92*$G92*$AX$7*$W92/365,0),0))</f>
      </c>
      <c r="AD92" s="608"/>
      <c r="AE92" s="624" t="str">
        <f>IF($E92="","",WORKDAY($E92,12))</f>
        <v/>
      </c>
      <c r="AF92" s="626"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26"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0" t="str">
        <f>IF(OR($B92="",$M92=""),"",IF(AND(N($AF92)=0,N($AG92)=0),IF(AND(ISNUMBER($H92),$H92&gt;0,IF($C92="売",$H92&gt;=$N92,$H92&lt;=$N92)),"損切確定",IF(AND(ISNUMBER($H92),$H92&gt;0,IF($C92="売",$H92&lt;=$M92,$H92&gt;=$M92)),"利益確定",IF($AE92&lt;=TODAY(),"日数制限","保有中"))),IF(N($AG92)=0,"利益確定",IF(N($AF92)=0,"損切確定",IF($AG92&lt;=$AF92,"損切確定","利益確定")))))</f>
        <v/>
      </c>
      <c r="AI92" s="600" t="str" cm="1">
        <f t="array" ref="AI92">IFERROR(INDEX(始値!$E$6:$BT$305,MATCH(TEXT($B92,"0"),TEXT(銘柄管理!$B$6:$B$305,"0"),0),MATCH($AE92,始値!$E$3:$BT$3,0)),"")</f>
        <v/>
      </c>
      <c r="AJ92" s="905" t="str">
        <f>IF(OR($V92="",$F92="",$G92=""),"",$V92/($F92*$G92))</f>
        <v/>
      </c>
      <c r="AK92" s="629" t="str">
        <f>IF($V92="","",IF($V92&gt;0,"○勝",IF($V92&lt;0,"●負","△引分")))</f>
        <v/>
      </c>
    </row>
    <row r="93" spans="1:37" ht="35.4" customHeight="1">
      <c r="A93" s="619" t="str">
        <f>IF(B93="","",HYPERLINK("https://kabutan.jp/stock/?code="&amp;B93,"株探"))</f>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BT$3,0)=1,1,MATCH($E93,始値!$E$3:$BT$3,0)+1)),_xlpm.v,INDEX(始値!$C$6:$B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IF(OR(F93="",G93="",H93=""),"",IF(C93="売",(F93-H93)*G93,(H93-F93)*G93))</f>
        <v/>
      </c>
      <c r="L93" s="706" t="str">
        <f>IF(OR(F93="",H93=""),"",IF(C93="売",(F93-H93)/F93,(H93-F93)/F93))</f>
        <v/>
      </c>
      <c r="M93" s="491" t="str">
        <f>IF($F93="","",IF($C93="売",CEILING($F93*IF($C93="売",1-$AX$3,1+$AX$3),IF($F93*IF($C93="売",1-$AX$3,1+$AX$3)&lt;=3000,1,IF($F93*IF($C93="売",1-$AX$3,1+$AX$3)&lt;=5000,5,IF($F93*IF($C93="売",1-$AX$3,1+$AX$3)&lt;=30000,10,IF($F93*IF($C93="売",1-$AX$3,1+$AX$3)&lt;=50000,50,IF($F93*IF($C93="売",1-$AX$3,1+$AX$3)&lt;=300000,100,500)))))),FLOOR($F93*IF($C93="売",1-$AX$3,1+$AX$3),IF($F93*IF($C93="売",1-$AX$3,1+$AX$3)&lt;=3000,1,IF($F93*IF($C93="売",1-$AX$3,1+$AX$3)&lt;=5000,5,IF($F93*IF($C93="売",1-$AX$3,1+$AX$3)&lt;=30000,10,IF($F93*IF($C93="売",1-$AX$3,1+$AX$3)&lt;=50000,50,IF($F93*IF($C93="売",1-$AX$3,1+$AX$3)&lt;=300000,100,500))))))))</f>
      </c>
      <c r="N93" s="491" t="str">
        <f>IF($F93="","",IF($C93="売",CEILING($F93*IF($C93="売",1+$AX$2,1-$AX$2),IF($F93*IF($C93="売",1+$AX$2,1-$AX$2)&lt;=3000,1,IF($F93*IF($C93="売",1+$AX$2,1-$AX$2)&lt;=5000,5,IF($F93*IF($C93="売",1+$AX$2,1-$AX$2)&lt;=30000,10,IF($F93*IF($C93="売",1+$AX$2,1-$AX$2)&lt;=50000,50,IF($F93*IF($C93="売",1+$AX$2,1-$AX$2)&lt;=300000,100,500)))))),FLOOR($F93*IF($C93="売",1+$AX$2,1-$AX$2),IF($F93*IF($C93="売",1+$AX$2,1-$AX$2)&lt;=3000,1,IF($F93*IF($C93="売",1+$AX$2,1-$AX$2)&lt;=5000,5,IF($F93*IF($C93="売",1+$AX$2,1-$AX$2)&lt;=30000,10,IF($F93*IF($C93="売",1+$AX$2,1-$AX$2)&lt;=50000,50,IF($F93*IF($C93="売",1+$AX$2,1-$AX$2)&lt;=300000,100,500))))))))</f>
      </c>
      <c r="O93" s="492" t="str">
        <f>IF(OR($B93="",$F93="",$H93=""),"",IF($S93="✅売却済","―決済済―",IF($C93="売",IF($H93&lt;=$M93,"🟢利確",IF(AND($R93&lt;&gt;"",$H93&gt;=$R93),"🟠TRAIL決済",IF($H93&gt;=$N93,"🔴損切",IF($W93&gt;=$AX$5,"⏱時間決済",IF($H93&gt;=$F93*(1+$AX$2*0.7),"⚠️損切接近","保持継続"))))),IF($H93&gt;=$M93,"🟢利確",IF(AND($R93&lt;&gt;"",$H93&lt;=$R93),"🟠TRAIL決済",IF($H93&lt;=$N93,"🔴損切",IF($W93&gt;=$AX$5,"⏱時間決済",IF($H93&lt;=$F93*(1-$AX$2*0.7),"⚠️損切接近","保持継続")))))))</f>
      </c>
      <c r="P93" s="491"/>
      <c r="Q93" s="491"/>
      <c r="R93" s="491" t="str">
        <f>IF(OR($F93="",$H93="",$N93=""),"",IF($S93="✅売却済","",IF($C93="売",IF($H93&gt;$F93*(1-$AX$2),$N93,CEILING(MIN($N93,IF($Q93="",$N93,$Q93*1.03)),IF($N93&lt;=3000,1,IF($N93&lt;=5000,5,IF($N93&lt;=30000,10,IF($N93&lt;=50000,50,IF($N93&lt;=300000,100,500))))))),IF($H93&lt;$F93*(1+$AX$2),$N93,FLOOR(MAX($N93,IF($P93="",$N93,$P93*0.97)),IF($N93&lt;=3000,1,IF($N93&lt;=5000,5,IF($N93&lt;=30000,10,IF($N93&lt;=50000,50,IF($N93&lt;=300000,100,500))))))))))</f>
      </c>
      <c r="S93" s="586" t="str">
        <f>IF(B93="","",IF(T93&lt;&gt;"","✅売却済",IF(OR(H93="",L93=""),"📌保有中",IF(L93&gt;=0.06,"🟢利確推奨",IF(L93&gt;=0.05,"🟡利確直近",IF(L93&gt;=0.045,"🔵トレーリング検討",IF(L93&gt;-0.03,"📌保有中",IF(L93&gt;-0.04,"⚠️損切注意","🔴損切り"))))))))</f>
        <v/>
      </c>
      <c r="T93" s="594"/>
      <c r="U93" s="491"/>
      <c r="V93" s="701" t="str">
        <f>IF(OR(F93="",G93="",U93=""),"",IF(C93="売",(F93-U93)*G93,(U93-F93)*G93))</f>
        <v/>
      </c>
      <c r="W93" s="493" t="str">
        <f>IF(OR($E93="",$B93=""),"",IF($T93&lt;&gt;"",$T93-$E93,TODAY()-$E93)+1)</f>
        <v/>
      </c>
      <c r="X93" s="489" t="str">
        <f>IF(OR($AH93="",$AH93="保有中"),"",$AH93)</f>
        <v/>
      </c>
      <c r="Y93" s="488">
        <f>IF($B93="","",IF(COUNTIFS($B$4:$B93,$B93,$C$4:$C93,$C93)&gt;1,"⛔重複"&amp;COUNTIFS($B$4:$B93,$B93,$C$4:$C93,$C93)&amp;"回目",""))</f>
      </c>
      <c r="Z93" s="710"/>
      <c r="AB93">
        <f>IF($F93="","",MAX(100,ROUNDDOWN($AX$4/($F93*$AX$2)/100,0)*100))</f>
      </c>
      <c r="AC93">
        <f>IF(OR($F93="",$G93="",$U93=""),"",ROUND($V93-($F93+$U93)*$G93*$AX$6-IF($C93="売",$F93*$G93*$AX$7*$W93/365,0),0))</f>
      </c>
      <c r="AD93" s="608"/>
      <c r="AE93" s="624" t="str">
        <f>IF($E93="","",WORKDAY($E93,12))</f>
        <v/>
      </c>
      <c r="AF93" s="626"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26"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0" t="str">
        <f>IF(OR($B93="",$M93=""),"",IF(AND(N($AF93)=0,N($AG93)=0),IF(AND(ISNUMBER($H93),$H93&gt;0,IF($C93="売",$H93&gt;=$N93,$H93&lt;=$N93)),"損切確定",IF(AND(ISNUMBER($H93),$H93&gt;0,IF($C93="売",$H93&lt;=$M93,$H93&gt;=$M93)),"利益確定",IF($AE93&lt;=TODAY(),"日数制限","保有中"))),IF(N($AG93)=0,"利益確定",IF(N($AF93)=0,"損切確定",IF($AG93&lt;=$AF93,"損切確定","利益確定")))))</f>
        <v/>
      </c>
      <c r="AI93" s="600" t="str" cm="1">
        <f t="array" ref="AI93">IFERROR(INDEX(始値!$E$6:$BT$305,MATCH(TEXT($B93,"0"),TEXT(銘柄管理!$B$6:$B$305,"0"),0),MATCH($AE93,始値!$E$3:$BT$3,0)),"")</f>
        <v/>
      </c>
      <c r="AJ93" s="905" t="str">
        <f>IF(OR($V93="",$F93="",$G93=""),"",$V93/($F93*$G93))</f>
        <v/>
      </c>
      <c r="AK93" s="629" t="str">
        <f>IF($V93="","",IF($V93&gt;0,"○勝",IF($V93&lt;0,"●負","△引分")))</f>
        <v/>
      </c>
    </row>
    <row r="94" spans="1:37" ht="35.4" customHeight="1">
      <c r="A94" s="619" t="str">
        <f>IF(B94="","",HYPERLINK("https://kabutan.jp/stock/?code="&amp;B94,"株探"))</f>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BT$3,0)=1,1,MATCH($E94,始値!$E$3:$BT$3,0)+1)),_xlpm.v,INDEX(始値!$C$6:$B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IF(OR(F94="",G94="",H94=""),"",IF(C94="売",(F94-H94)*G94,(H94-F94)*G94))</f>
        <v/>
      </c>
      <c r="L94" s="706" t="str">
        <f>IF(OR(F94="",H94=""),"",IF(C94="売",(F94-H94)/F94,(H94-F94)/F94))</f>
        <v/>
      </c>
      <c r="M94" s="491" t="str">
        <f>IF($F94="","",IF($C94="売",CEILING($F94*IF($C94="売",1-$AX$3,1+$AX$3),IF($F94*IF($C94="売",1-$AX$3,1+$AX$3)&lt;=3000,1,IF($F94*IF($C94="売",1-$AX$3,1+$AX$3)&lt;=5000,5,IF($F94*IF($C94="売",1-$AX$3,1+$AX$3)&lt;=30000,10,IF($F94*IF($C94="売",1-$AX$3,1+$AX$3)&lt;=50000,50,IF($F94*IF($C94="売",1-$AX$3,1+$AX$3)&lt;=300000,100,500)))))),FLOOR($F94*IF($C94="売",1-$AX$3,1+$AX$3),IF($F94*IF($C94="売",1-$AX$3,1+$AX$3)&lt;=3000,1,IF($F94*IF($C94="売",1-$AX$3,1+$AX$3)&lt;=5000,5,IF($F94*IF($C94="売",1-$AX$3,1+$AX$3)&lt;=30000,10,IF($F94*IF($C94="売",1-$AX$3,1+$AX$3)&lt;=50000,50,IF($F94*IF($C94="売",1-$AX$3,1+$AX$3)&lt;=300000,100,500))))))))</f>
      </c>
      <c r="N94" s="491" t="str">
        <f>IF($F94="","",IF($C94="売",CEILING($F94*IF($C94="売",1+$AX$2,1-$AX$2),IF($F94*IF($C94="売",1+$AX$2,1-$AX$2)&lt;=3000,1,IF($F94*IF($C94="売",1+$AX$2,1-$AX$2)&lt;=5000,5,IF($F94*IF($C94="売",1+$AX$2,1-$AX$2)&lt;=30000,10,IF($F94*IF($C94="売",1+$AX$2,1-$AX$2)&lt;=50000,50,IF($F94*IF($C94="売",1+$AX$2,1-$AX$2)&lt;=300000,100,500)))))),FLOOR($F94*IF($C94="売",1+$AX$2,1-$AX$2),IF($F94*IF($C94="売",1+$AX$2,1-$AX$2)&lt;=3000,1,IF($F94*IF($C94="売",1+$AX$2,1-$AX$2)&lt;=5000,5,IF($F94*IF($C94="売",1+$AX$2,1-$AX$2)&lt;=30000,10,IF($F94*IF($C94="売",1+$AX$2,1-$AX$2)&lt;=50000,50,IF($F94*IF($C94="売",1+$AX$2,1-$AX$2)&lt;=300000,100,500))))))))</f>
      </c>
      <c r="O94" s="492" t="str">
        <f>IF(OR($B94="",$F94="",$H94=""),"",IF($S94="✅売却済","―決済済―",IF($C94="売",IF($H94&lt;=$M94,"🟢利確",IF(AND($R94&lt;&gt;"",$H94&gt;=$R94),"🟠TRAIL決済",IF($H94&gt;=$N94,"🔴損切",IF($W94&gt;=$AX$5,"⏱時間決済",IF($H94&gt;=$F94*(1+$AX$2*0.7),"⚠️損切接近","保持継続"))))),IF($H94&gt;=$M94,"🟢利確",IF(AND($R94&lt;&gt;"",$H94&lt;=$R94),"🟠TRAIL決済",IF($H94&lt;=$N94,"🔴損切",IF($W94&gt;=$AX$5,"⏱時間決済",IF($H94&lt;=$F94*(1-$AX$2*0.7),"⚠️損切接近","保持継続")))))))</f>
      </c>
      <c r="P94" s="491"/>
      <c r="Q94" s="491"/>
      <c r="R94" s="491" t="str">
        <f>IF(OR($F94="",$H94="",$N94=""),"",IF($S94="✅売却済","",IF($C94="売",IF($H94&gt;$F94*(1-$AX$2),$N94,CEILING(MIN($N94,IF($Q94="",$N94,$Q94*1.03)),IF($N94&lt;=3000,1,IF($N94&lt;=5000,5,IF($N94&lt;=30000,10,IF($N94&lt;=50000,50,IF($N94&lt;=300000,100,500))))))),IF($H94&lt;$F94*(1+$AX$2),$N94,FLOOR(MAX($N94,IF($P94="",$N94,$P94*0.97)),IF($N94&lt;=3000,1,IF($N94&lt;=5000,5,IF($N94&lt;=30000,10,IF($N94&lt;=50000,50,IF($N94&lt;=300000,100,500))))))))))</f>
      </c>
      <c r="S94" s="586" t="str">
        <f>IF(B94="","",IF(T94&lt;&gt;"","✅売却済",IF(OR(H94="",L94=""),"📌保有中",IF(L94&gt;=0.06,"🟢利確推奨",IF(L94&gt;=0.05,"🟡利確直近",IF(L94&gt;=0.045,"🔵トレーリング検討",IF(L94&gt;-0.03,"📌保有中",IF(L94&gt;-0.04,"⚠️損切注意","🔴損切り"))))))))</f>
        <v/>
      </c>
      <c r="T94" s="594"/>
      <c r="U94" s="491"/>
      <c r="V94" s="701" t="str">
        <f>IF(OR(F94="",G94="",U94=""),"",IF(C94="売",(F94-U94)*G94,(U94-F94)*G94))</f>
        <v/>
      </c>
      <c r="W94" s="493" t="str">
        <f>IF(OR($E94="",$B94=""),"",IF($T94&lt;&gt;"",$T94-$E94,TODAY()-$E94)+1)</f>
        <v/>
      </c>
      <c r="X94" s="489" t="str">
        <f>IF(OR($AH94="",$AH94="保有中"),"",$AH94)</f>
        <v/>
      </c>
      <c r="Y94" s="488">
        <f>IF($B94="","",IF(COUNTIFS($B$4:$B94,$B94,$C$4:$C94,$C94)&gt;1,"⛔重複"&amp;COUNTIFS($B$4:$B94,$B94,$C$4:$C94,$C94)&amp;"回目",""))</f>
      </c>
      <c r="Z94" s="710"/>
      <c r="AB94">
        <f>IF($F94="","",MAX(100,ROUNDDOWN($AX$4/($F94*$AX$2)/100,0)*100))</f>
      </c>
      <c r="AC94">
        <f>IF(OR($F94="",$G94="",$U94=""),"",ROUND($V94-($F94+$U94)*$G94*$AX$6-IF($C94="売",$F94*$G94*$AX$7*$W94/365,0),0))</f>
      </c>
      <c r="AD94" s="608"/>
      <c r="AE94" s="624" t="str">
        <f>IF($E94="","",WORKDAY($E94,12))</f>
        <v/>
      </c>
      <c r="AF94" s="626"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26"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0" t="str">
        <f>IF(OR($B94="",$M94=""),"",IF(AND(N($AF94)=0,N($AG94)=0),IF(AND(ISNUMBER($H94),$H94&gt;0,IF($C94="売",$H94&gt;=$N94,$H94&lt;=$N94)),"損切確定",IF(AND(ISNUMBER($H94),$H94&gt;0,IF($C94="売",$H94&lt;=$M94,$H94&gt;=$M94)),"利益確定",IF($AE94&lt;=TODAY(),"日数制限","保有中"))),IF(N($AG94)=0,"利益確定",IF(N($AF94)=0,"損切確定",IF($AG94&lt;=$AF94,"損切確定","利益確定")))))</f>
        <v/>
      </c>
      <c r="AI94" s="600" t="str" cm="1">
        <f t="array" ref="AI94">IFERROR(INDEX(始値!$E$6:$BT$305,MATCH(TEXT($B94,"0"),TEXT(銘柄管理!$B$6:$B$305,"0"),0),MATCH($AE94,始値!$E$3:$BT$3,0)),"")</f>
        <v/>
      </c>
      <c r="AJ94" s="905" t="str">
        <f>IF(OR($V94="",$F94="",$G94=""),"",$V94/($F94*$G94))</f>
        <v/>
      </c>
      <c r="AK94" s="629" t="str">
        <f>IF($V94="","",IF($V94&gt;0,"○勝",IF($V94&lt;0,"●負","△引分")))</f>
        <v/>
      </c>
    </row>
    <row r="95" spans="1:37" ht="35.4" customHeight="1">
      <c r="A95" s="619" t="str">
        <f>IF(B95="","",HYPERLINK("https://kabutan.jp/stock/?code="&amp;B95,"株探"))</f>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BT$3,0)=1,1,MATCH($E95,始値!$E$3:$BT$3,0)+1)),_xlpm.v,INDEX(始値!$C$6:$B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IF(OR(F95="",G95="",H95=""),"",IF(C95="売",(F95-H95)*G95,(H95-F95)*G95))</f>
        <v/>
      </c>
      <c r="L95" s="706" t="str">
        <f>IF(OR(F95="",H95=""),"",IF(C95="売",(F95-H95)/F95,(H95-F95)/F95))</f>
        <v/>
      </c>
      <c r="M95" s="491" t="str">
        <f>IF($F95="","",IF($C95="売",CEILING($F95*IF($C95="売",1-$AX$3,1+$AX$3),IF($F95*IF($C95="売",1-$AX$3,1+$AX$3)&lt;=3000,1,IF($F95*IF($C95="売",1-$AX$3,1+$AX$3)&lt;=5000,5,IF($F95*IF($C95="売",1-$AX$3,1+$AX$3)&lt;=30000,10,IF($F95*IF($C95="売",1-$AX$3,1+$AX$3)&lt;=50000,50,IF($F95*IF($C95="売",1-$AX$3,1+$AX$3)&lt;=300000,100,500)))))),FLOOR($F95*IF($C95="売",1-$AX$3,1+$AX$3),IF($F95*IF($C95="売",1-$AX$3,1+$AX$3)&lt;=3000,1,IF($F95*IF($C95="売",1-$AX$3,1+$AX$3)&lt;=5000,5,IF($F95*IF($C95="売",1-$AX$3,1+$AX$3)&lt;=30000,10,IF($F95*IF($C95="売",1-$AX$3,1+$AX$3)&lt;=50000,50,IF($F95*IF($C95="売",1-$AX$3,1+$AX$3)&lt;=300000,100,500))))))))</f>
      </c>
      <c r="N95" s="491" t="str">
        <f>IF($F95="","",IF($C95="売",CEILING($F95*IF($C95="売",1+$AX$2,1-$AX$2),IF($F95*IF($C95="売",1+$AX$2,1-$AX$2)&lt;=3000,1,IF($F95*IF($C95="売",1+$AX$2,1-$AX$2)&lt;=5000,5,IF($F95*IF($C95="売",1+$AX$2,1-$AX$2)&lt;=30000,10,IF($F95*IF($C95="売",1+$AX$2,1-$AX$2)&lt;=50000,50,IF($F95*IF($C95="売",1+$AX$2,1-$AX$2)&lt;=300000,100,500)))))),FLOOR($F95*IF($C95="売",1+$AX$2,1-$AX$2),IF($F95*IF($C95="売",1+$AX$2,1-$AX$2)&lt;=3000,1,IF($F95*IF($C95="売",1+$AX$2,1-$AX$2)&lt;=5000,5,IF($F95*IF($C95="売",1+$AX$2,1-$AX$2)&lt;=30000,10,IF($F95*IF($C95="売",1+$AX$2,1-$AX$2)&lt;=50000,50,IF($F95*IF($C95="売",1+$AX$2,1-$AX$2)&lt;=300000,100,500))))))))</f>
      </c>
      <c r="O95" s="492" t="str">
        <f>IF(OR($B95="",$F95="",$H95=""),"",IF($S95="✅売却済","―決済済―",IF($C95="売",IF($H95&lt;=$M95,"🟢利確",IF(AND($R95&lt;&gt;"",$H95&gt;=$R95),"🟠TRAIL決済",IF($H95&gt;=$N95,"🔴損切",IF($W95&gt;=$AX$5,"⏱時間決済",IF($H95&gt;=$F95*(1+$AX$2*0.7),"⚠️損切接近","保持継続"))))),IF($H95&gt;=$M95,"🟢利確",IF(AND($R95&lt;&gt;"",$H95&lt;=$R95),"🟠TRAIL決済",IF($H95&lt;=$N95,"🔴損切",IF($W95&gt;=$AX$5,"⏱時間決済",IF($H95&lt;=$F95*(1-$AX$2*0.7),"⚠️損切接近","保持継続")))))))</f>
      </c>
      <c r="P95" s="491"/>
      <c r="Q95" s="491"/>
      <c r="R95" s="491" t="str">
        <f>IF(OR($F95="",$H95="",$N95=""),"",IF($S95="✅売却済","",IF($C95="売",IF($H95&gt;$F95*(1-$AX$2),$N95,CEILING(MIN($N95,IF($Q95="",$N95,$Q95*1.03)),IF($N95&lt;=3000,1,IF($N95&lt;=5000,5,IF($N95&lt;=30000,10,IF($N95&lt;=50000,50,IF($N95&lt;=300000,100,500))))))),IF($H95&lt;$F95*(1+$AX$2),$N95,FLOOR(MAX($N95,IF($P95="",$N95,$P95*0.97)),IF($N95&lt;=3000,1,IF($N95&lt;=5000,5,IF($N95&lt;=30000,10,IF($N95&lt;=50000,50,IF($N95&lt;=300000,100,500))))))))))</f>
      </c>
      <c r="S95" s="586" t="str">
        <f>IF(B95="","",IF(T95&lt;&gt;"","✅売却済",IF(OR(H95="",L95=""),"📌保有中",IF(L95&gt;=0.06,"🟢利確推奨",IF(L95&gt;=0.05,"🟡利確直近",IF(L95&gt;=0.045,"🔵トレーリング検討",IF(L95&gt;-0.03,"📌保有中",IF(L95&gt;-0.04,"⚠️損切注意","🔴損切り"))))))))</f>
        <v/>
      </c>
      <c r="T95" s="594"/>
      <c r="U95" s="491"/>
      <c r="V95" s="701" t="str">
        <f>IF(OR(F95="",G95="",U95=""),"",IF(C95="売",(F95-U95)*G95,(U95-F95)*G95))</f>
        <v/>
      </c>
      <c r="W95" s="493" t="str">
        <f>IF(OR($E95="",$B95=""),"",IF($T95&lt;&gt;"",$T95-$E95,TODAY()-$E95)+1)</f>
        <v/>
      </c>
      <c r="X95" s="489" t="str">
        <f>IF(OR($AH95="",$AH95="保有中"),"",$AH95)</f>
        <v/>
      </c>
      <c r="Y95" s="488">
        <f>IF($B95="","",IF(COUNTIFS($B$4:$B95,$B95,$C$4:$C95,$C95)&gt;1,"⛔重複"&amp;COUNTIFS($B$4:$B95,$B95,$C$4:$C95,$C95)&amp;"回目",""))</f>
      </c>
      <c r="Z95" s="710"/>
      <c r="AB95">
        <f>IF($F95="","",MAX(100,ROUNDDOWN($AX$4/($F95*$AX$2)/100,0)*100))</f>
      </c>
      <c r="AC95">
        <f>IF(OR($F95="",$G95="",$U95=""),"",ROUND($V95-($F95+$U95)*$G95*$AX$6-IF($C95="売",$F95*$G95*$AX$7*$W95/365,0),0))</f>
      </c>
      <c r="AD95" s="608"/>
      <c r="AE95" s="624" t="str">
        <f>IF($E95="","",WORKDAY($E95,12))</f>
        <v/>
      </c>
      <c r="AF95" s="626"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26"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0" t="str">
        <f>IF(OR($B95="",$M95=""),"",IF(AND(N($AF95)=0,N($AG95)=0),IF(AND(ISNUMBER($H95),$H95&gt;0,IF($C95="売",$H95&gt;=$N95,$H95&lt;=$N95)),"損切確定",IF(AND(ISNUMBER($H95),$H95&gt;0,IF($C95="売",$H95&lt;=$M95,$H95&gt;=$M95)),"利益確定",IF($AE95&lt;=TODAY(),"日数制限","保有中"))),IF(N($AG95)=0,"利益確定",IF(N($AF95)=0,"損切確定",IF($AG95&lt;=$AF95,"損切確定","利益確定")))))</f>
        <v/>
      </c>
      <c r="AI95" s="600" t="str" cm="1">
        <f t="array" ref="AI95">IFERROR(INDEX(始値!$E$6:$BT$305,MATCH(TEXT($B95,"0"),TEXT(銘柄管理!$B$6:$B$305,"0"),0),MATCH($AE95,始値!$E$3:$BT$3,0)),"")</f>
        <v/>
      </c>
      <c r="AJ95" s="905" t="str">
        <f>IF(OR($V95="",$F95="",$G95=""),"",$V95/($F95*$G95))</f>
        <v/>
      </c>
      <c r="AK95" s="629" t="str">
        <f>IF($V95="","",IF($V95&gt;0,"○勝",IF($V95&lt;0,"●負","△引分")))</f>
        <v/>
      </c>
    </row>
    <row r="96" spans="1:37" ht="35.4" customHeight="1">
      <c r="A96" s="619" t="str">
        <f>IF(B96="","",HYPERLINK("https://kabutan.jp/stock/?code="&amp;B96,"株探"))</f>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BT$3,0)=1,1,MATCH($E96,始値!$E$3:$BT$3,0)+1)),_xlpm.v,INDEX(始値!$C$6:$B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IF(OR(F96="",G96="",H96=""),"",IF(C96="売",(F96-H96)*G96,(H96-F96)*G96))</f>
        <v/>
      </c>
      <c r="L96" s="706" t="str">
        <f>IF(OR(F96="",H96=""),"",IF(C96="売",(F96-H96)/F96,(H96-F96)/F96))</f>
        <v/>
      </c>
      <c r="M96" s="491" t="str">
        <f>IF($F96="","",IF($C96="売",CEILING($F96*IF($C96="売",1-$AX$3,1+$AX$3),IF($F96*IF($C96="売",1-$AX$3,1+$AX$3)&lt;=3000,1,IF($F96*IF($C96="売",1-$AX$3,1+$AX$3)&lt;=5000,5,IF($F96*IF($C96="売",1-$AX$3,1+$AX$3)&lt;=30000,10,IF($F96*IF($C96="売",1-$AX$3,1+$AX$3)&lt;=50000,50,IF($F96*IF($C96="売",1-$AX$3,1+$AX$3)&lt;=300000,100,500)))))),FLOOR($F96*IF($C96="売",1-$AX$3,1+$AX$3),IF($F96*IF($C96="売",1-$AX$3,1+$AX$3)&lt;=3000,1,IF($F96*IF($C96="売",1-$AX$3,1+$AX$3)&lt;=5000,5,IF($F96*IF($C96="売",1-$AX$3,1+$AX$3)&lt;=30000,10,IF($F96*IF($C96="売",1-$AX$3,1+$AX$3)&lt;=50000,50,IF($F96*IF($C96="売",1-$AX$3,1+$AX$3)&lt;=300000,100,500))))))))</f>
      </c>
      <c r="N96" s="491" t="str">
        <f>IF($F96="","",IF($C96="売",CEILING($F96*IF($C96="売",1+$AX$2,1-$AX$2),IF($F96*IF($C96="売",1+$AX$2,1-$AX$2)&lt;=3000,1,IF($F96*IF($C96="売",1+$AX$2,1-$AX$2)&lt;=5000,5,IF($F96*IF($C96="売",1+$AX$2,1-$AX$2)&lt;=30000,10,IF($F96*IF($C96="売",1+$AX$2,1-$AX$2)&lt;=50000,50,IF($F96*IF($C96="売",1+$AX$2,1-$AX$2)&lt;=300000,100,500)))))),FLOOR($F96*IF($C96="売",1+$AX$2,1-$AX$2),IF($F96*IF($C96="売",1+$AX$2,1-$AX$2)&lt;=3000,1,IF($F96*IF($C96="売",1+$AX$2,1-$AX$2)&lt;=5000,5,IF($F96*IF($C96="売",1+$AX$2,1-$AX$2)&lt;=30000,10,IF($F96*IF($C96="売",1+$AX$2,1-$AX$2)&lt;=50000,50,IF($F96*IF($C96="売",1+$AX$2,1-$AX$2)&lt;=300000,100,500))))))))</f>
      </c>
      <c r="O96" s="492" t="str">
        <f>IF(OR($B96="",$F96="",$H96=""),"",IF($S96="✅売却済","―決済済―",IF($C96="売",IF($H96&lt;=$M96,"🟢利確",IF(AND($R96&lt;&gt;"",$H96&gt;=$R96),"🟠TRAIL決済",IF($H96&gt;=$N96,"🔴損切",IF($W96&gt;=$AX$5,"⏱時間決済",IF($H96&gt;=$F96*(1+$AX$2*0.7),"⚠️損切接近","保持継続"))))),IF($H96&gt;=$M96,"🟢利確",IF(AND($R96&lt;&gt;"",$H96&lt;=$R96),"🟠TRAIL決済",IF($H96&lt;=$N96,"🔴損切",IF($W96&gt;=$AX$5,"⏱時間決済",IF($H96&lt;=$F96*(1-$AX$2*0.7),"⚠️損切接近","保持継続")))))))</f>
      </c>
      <c r="P96" s="491"/>
      <c r="Q96" s="491"/>
      <c r="R96" s="491" t="str">
        <f>IF(OR($F96="",$H96="",$N96=""),"",IF($S96="✅売却済","",IF($C96="売",IF($H96&gt;$F96*(1-$AX$2),$N96,CEILING(MIN($N96,IF($Q96="",$N96,$Q96*1.03)),IF($N96&lt;=3000,1,IF($N96&lt;=5000,5,IF($N96&lt;=30000,10,IF($N96&lt;=50000,50,IF($N96&lt;=300000,100,500))))))),IF($H96&lt;$F96*(1+$AX$2),$N96,FLOOR(MAX($N96,IF($P96="",$N96,$P96*0.97)),IF($N96&lt;=3000,1,IF($N96&lt;=5000,5,IF($N96&lt;=30000,10,IF($N96&lt;=50000,50,IF($N96&lt;=300000,100,500))))))))))</f>
      </c>
      <c r="S96" s="586" t="str">
        <f>IF(B96="","",IF(T96&lt;&gt;"","✅売却済",IF(OR(H96="",L96=""),"📌保有中",IF(L96&gt;=0.06,"🟢利確推奨",IF(L96&gt;=0.05,"🟡利確直近",IF(L96&gt;=0.045,"🔵トレーリング検討",IF(L96&gt;-0.03,"📌保有中",IF(L96&gt;-0.04,"⚠️損切注意","🔴損切り"))))))))</f>
        <v/>
      </c>
      <c r="T96" s="594"/>
      <c r="U96" s="491"/>
      <c r="V96" s="701" t="str">
        <f>IF(OR(F96="",G96="",U96=""),"",IF(C96="売",(F96-U96)*G96,(U96-F96)*G96))</f>
        <v/>
      </c>
      <c r="W96" s="493" t="str">
        <f>IF(OR($E96="",$B96=""),"",IF($T96&lt;&gt;"",$T96-$E96,TODAY()-$E96)+1)</f>
        <v/>
      </c>
      <c r="X96" s="489" t="str">
        <f>IF(OR($AH96="",$AH96="保有中"),"",$AH96)</f>
        <v/>
      </c>
      <c r="Y96" s="488">
        <f>IF($B96="","",IF(COUNTIFS($B$4:$B96,$B96,$C$4:$C96,$C96)&gt;1,"⛔重複"&amp;COUNTIFS($B$4:$B96,$B96,$C$4:$C96,$C96)&amp;"回目",""))</f>
      </c>
      <c r="Z96" s="710"/>
      <c r="AB96">
        <f>IF($F96="","",MAX(100,ROUNDDOWN($AX$4/($F96*$AX$2)/100,0)*100))</f>
      </c>
      <c r="AC96">
        <f>IF(OR($F96="",$G96="",$U96=""),"",ROUND($V96-($F96+$U96)*$G96*$AX$6-IF($C96="売",$F96*$G96*$AX$7*$W96/365,0),0))</f>
      </c>
      <c r="AD96" s="608"/>
      <c r="AE96" s="624" t="str">
        <f>IF($E96="","",WORKDAY($E96,12))</f>
        <v/>
      </c>
      <c r="AF96" s="626"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26"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0" t="str">
        <f>IF(OR($B96="",$M96=""),"",IF(AND(N($AF96)=0,N($AG96)=0),IF(AND(ISNUMBER($H96),$H96&gt;0,IF($C96="売",$H96&gt;=$N96,$H96&lt;=$N96)),"損切確定",IF(AND(ISNUMBER($H96),$H96&gt;0,IF($C96="売",$H96&lt;=$M96,$H96&gt;=$M96)),"利益確定",IF($AE96&lt;=TODAY(),"日数制限","保有中"))),IF(N($AG96)=0,"利益確定",IF(N($AF96)=0,"損切確定",IF($AG96&lt;=$AF96,"損切確定","利益確定")))))</f>
        <v/>
      </c>
      <c r="AI96" s="600" t="str" cm="1">
        <f t="array" ref="AI96">IFERROR(INDEX(始値!$E$6:$BT$305,MATCH(TEXT($B96,"0"),TEXT(銘柄管理!$B$6:$B$305,"0"),0),MATCH($AE96,始値!$E$3:$BT$3,0)),"")</f>
        <v/>
      </c>
      <c r="AJ96" s="905" t="str">
        <f>IF(OR($V96="",$F96="",$G96=""),"",$V96/($F96*$G96))</f>
        <v/>
      </c>
      <c r="AK96" s="629" t="str">
        <f>IF($V96="","",IF($V96&gt;0,"○勝",IF($V96&lt;0,"●負","△引分")))</f>
        <v/>
      </c>
    </row>
    <row r="97" spans="1:37" ht="35.4" customHeight="1">
      <c r="A97" s="619" t="str">
        <f>IF(B97="","",HYPERLINK("https://kabutan.jp/stock/?code="&amp;B97,"株探"))</f>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BT$3,0)=1,1,MATCH($E97,始値!$E$3:$BT$3,0)+1)),_xlpm.v,INDEX(始値!$C$6:$B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IF(OR(F97="",G97="",H97=""),"",IF(C97="売",(F97-H97)*G97,(H97-F97)*G97))</f>
        <v/>
      </c>
      <c r="L97" s="706" t="str">
        <f>IF(OR(F97="",H97=""),"",IF(C97="売",(F97-H97)/F97,(H97-F97)/F97))</f>
        <v/>
      </c>
      <c r="M97" s="491" t="str">
        <f>IF($F97="","",IF($C97="売",CEILING($F97*IF($C97="売",1-$AX$3,1+$AX$3),IF($F97*IF($C97="売",1-$AX$3,1+$AX$3)&lt;=3000,1,IF($F97*IF($C97="売",1-$AX$3,1+$AX$3)&lt;=5000,5,IF($F97*IF($C97="売",1-$AX$3,1+$AX$3)&lt;=30000,10,IF($F97*IF($C97="売",1-$AX$3,1+$AX$3)&lt;=50000,50,IF($F97*IF($C97="売",1-$AX$3,1+$AX$3)&lt;=300000,100,500)))))),FLOOR($F97*IF($C97="売",1-$AX$3,1+$AX$3),IF($F97*IF($C97="売",1-$AX$3,1+$AX$3)&lt;=3000,1,IF($F97*IF($C97="売",1-$AX$3,1+$AX$3)&lt;=5000,5,IF($F97*IF($C97="売",1-$AX$3,1+$AX$3)&lt;=30000,10,IF($F97*IF($C97="売",1-$AX$3,1+$AX$3)&lt;=50000,50,IF($F97*IF($C97="売",1-$AX$3,1+$AX$3)&lt;=300000,100,500))))))))</f>
      </c>
      <c r="N97" s="491" t="str">
        <f>IF($F97="","",IF($C97="売",CEILING($F97*IF($C97="売",1+$AX$2,1-$AX$2),IF($F97*IF($C97="売",1+$AX$2,1-$AX$2)&lt;=3000,1,IF($F97*IF($C97="売",1+$AX$2,1-$AX$2)&lt;=5000,5,IF($F97*IF($C97="売",1+$AX$2,1-$AX$2)&lt;=30000,10,IF($F97*IF($C97="売",1+$AX$2,1-$AX$2)&lt;=50000,50,IF($F97*IF($C97="売",1+$AX$2,1-$AX$2)&lt;=300000,100,500)))))),FLOOR($F97*IF($C97="売",1+$AX$2,1-$AX$2),IF($F97*IF($C97="売",1+$AX$2,1-$AX$2)&lt;=3000,1,IF($F97*IF($C97="売",1+$AX$2,1-$AX$2)&lt;=5000,5,IF($F97*IF($C97="売",1+$AX$2,1-$AX$2)&lt;=30000,10,IF($F97*IF($C97="売",1+$AX$2,1-$AX$2)&lt;=50000,50,IF($F97*IF($C97="売",1+$AX$2,1-$AX$2)&lt;=300000,100,500))))))))</f>
      </c>
      <c r="O97" s="492" t="str">
        <f>IF(OR($B97="",$F97="",$H97=""),"",IF($S97="✅売却済","―決済済―",IF($C97="売",IF($H97&lt;=$M97,"🟢利確",IF(AND($R97&lt;&gt;"",$H97&gt;=$R97),"🟠TRAIL決済",IF($H97&gt;=$N97,"🔴損切",IF($W97&gt;=$AX$5,"⏱時間決済",IF($H97&gt;=$F97*(1+$AX$2*0.7),"⚠️損切接近","保持継続"))))),IF($H97&gt;=$M97,"🟢利確",IF(AND($R97&lt;&gt;"",$H97&lt;=$R97),"🟠TRAIL決済",IF($H97&lt;=$N97,"🔴損切",IF($W97&gt;=$AX$5,"⏱時間決済",IF($H97&lt;=$F97*(1-$AX$2*0.7),"⚠️損切接近","保持継続")))))))</f>
      </c>
      <c r="P97" s="491"/>
      <c r="Q97" s="491"/>
      <c r="R97" s="491" t="str">
        <f>IF(OR($F97="",$H97="",$N97=""),"",IF($S97="✅売却済","",IF($C97="売",IF($H97&gt;$F97*(1-$AX$2),$N97,CEILING(MIN($N97,IF($Q97="",$N97,$Q97*1.03)),IF($N97&lt;=3000,1,IF($N97&lt;=5000,5,IF($N97&lt;=30000,10,IF($N97&lt;=50000,50,IF($N97&lt;=300000,100,500))))))),IF($H97&lt;$F97*(1+$AX$2),$N97,FLOOR(MAX($N97,IF($P97="",$N97,$P97*0.97)),IF($N97&lt;=3000,1,IF($N97&lt;=5000,5,IF($N97&lt;=30000,10,IF($N97&lt;=50000,50,IF($N97&lt;=300000,100,500))))))))))</f>
      </c>
      <c r="S97" s="586" t="str">
        <f>IF(B97="","",IF(T97&lt;&gt;"","✅売却済",IF(OR(H97="",L97=""),"📌保有中",IF(L97&gt;=0.06,"🟢利確推奨",IF(L97&gt;=0.05,"🟡利確直近",IF(L97&gt;=0.045,"🔵トレーリング検討",IF(L97&gt;-0.03,"📌保有中",IF(L97&gt;-0.04,"⚠️損切注意","🔴損切り"))))))))</f>
        <v/>
      </c>
      <c r="T97" s="594"/>
      <c r="U97" s="491"/>
      <c r="V97" s="701" t="str">
        <f>IF(OR(F97="",G97="",U97=""),"",IF(C97="売",(F97-U97)*G97,(U97-F97)*G97))</f>
        <v/>
      </c>
      <c r="W97" s="493" t="str">
        <f>IF(OR($E97="",$B97=""),"",IF($T97&lt;&gt;"",$T97-$E97,TODAY()-$E97)+1)</f>
        <v/>
      </c>
      <c r="X97" s="489" t="str">
        <f>IF(OR($AH97="",$AH97="保有中"),"",$AH97)</f>
        <v/>
      </c>
      <c r="Y97" s="488">
        <f>IF($B97="","",IF(COUNTIFS($B$4:$B97,$B97,$C$4:$C97,$C97)&gt;1,"⛔重複"&amp;COUNTIFS($B$4:$B97,$B97,$C$4:$C97,$C97)&amp;"回目",""))</f>
      </c>
      <c r="Z97" s="710"/>
      <c r="AB97">
        <f>IF($F97="","",MAX(100,ROUNDDOWN($AX$4/($F97*$AX$2)/100,0)*100))</f>
      </c>
      <c r="AC97">
        <f>IF(OR($F97="",$G97="",$U97=""),"",ROUND($V97-($F97+$U97)*$G97*$AX$6-IF($C97="売",$F97*$G97*$AX$7*$W97/365,0),0))</f>
      </c>
      <c r="AD97" s="608"/>
      <c r="AE97" s="624" t="str">
        <f>IF($E97="","",WORKDAY($E97,12))</f>
        <v/>
      </c>
      <c r="AF97" s="626"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26"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0" t="str">
        <f>IF(OR($B97="",$M97=""),"",IF(AND(N($AF97)=0,N($AG97)=0),IF(AND(ISNUMBER($H97),$H97&gt;0,IF($C97="売",$H97&gt;=$N97,$H97&lt;=$N97)),"損切確定",IF(AND(ISNUMBER($H97),$H97&gt;0,IF($C97="売",$H97&lt;=$M97,$H97&gt;=$M97)),"利益確定",IF($AE97&lt;=TODAY(),"日数制限","保有中"))),IF(N($AG97)=0,"利益確定",IF(N($AF97)=0,"損切確定",IF($AG97&lt;=$AF97,"損切確定","利益確定")))))</f>
        <v/>
      </c>
      <c r="AI97" s="600" t="str" cm="1">
        <f t="array" ref="AI97">IFERROR(INDEX(始値!$E$6:$BT$305,MATCH(TEXT($B97,"0"),TEXT(銘柄管理!$B$6:$B$305,"0"),0),MATCH($AE97,始値!$E$3:$BT$3,0)),"")</f>
        <v/>
      </c>
      <c r="AJ97" s="905" t="str">
        <f>IF(OR($V97="",$F97="",$G97=""),"",$V97/($F97*$G97))</f>
        <v/>
      </c>
      <c r="AK97" s="629" t="str">
        <f>IF($V97="","",IF($V97&gt;0,"○勝",IF($V97&lt;0,"●負","△引分")))</f>
        <v/>
      </c>
    </row>
    <row r="98" spans="1:37" ht="35.4" customHeight="1">
      <c r="A98" s="619" t="str">
        <f>IF(B98="","",HYPERLINK("https://kabutan.jp/stock/?code="&amp;B98,"株探"))</f>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BT$3,0)=1,1,MATCH($E98,始値!$E$3:$BT$3,0)+1)),_xlpm.v,INDEX(始値!$C$6:$B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IF(OR(F98="",G98="",H98=""),"",IF(C98="売",(F98-H98)*G98,(H98-F98)*G98))</f>
        <v/>
      </c>
      <c r="L98" s="706" t="str">
        <f>IF(OR(F98="",H98=""),"",IF(C98="売",(F98-H98)/F98,(H98-F98)/F98))</f>
        <v/>
      </c>
      <c r="M98" s="491" t="str">
        <f>IF($F98="","",IF($C98="売",CEILING($F98*IF($C98="売",1-$AX$3,1+$AX$3),IF($F98*IF($C98="売",1-$AX$3,1+$AX$3)&lt;=3000,1,IF($F98*IF($C98="売",1-$AX$3,1+$AX$3)&lt;=5000,5,IF($F98*IF($C98="売",1-$AX$3,1+$AX$3)&lt;=30000,10,IF($F98*IF($C98="売",1-$AX$3,1+$AX$3)&lt;=50000,50,IF($F98*IF($C98="売",1-$AX$3,1+$AX$3)&lt;=300000,100,500)))))),FLOOR($F98*IF($C98="売",1-$AX$3,1+$AX$3),IF($F98*IF($C98="売",1-$AX$3,1+$AX$3)&lt;=3000,1,IF($F98*IF($C98="売",1-$AX$3,1+$AX$3)&lt;=5000,5,IF($F98*IF($C98="売",1-$AX$3,1+$AX$3)&lt;=30000,10,IF($F98*IF($C98="売",1-$AX$3,1+$AX$3)&lt;=50000,50,IF($F98*IF($C98="売",1-$AX$3,1+$AX$3)&lt;=300000,100,500))))))))</f>
      </c>
      <c r="N98" s="491" t="str">
        <f>IF($F98="","",IF($C98="売",CEILING($F98*IF($C98="売",1+$AX$2,1-$AX$2),IF($F98*IF($C98="売",1+$AX$2,1-$AX$2)&lt;=3000,1,IF($F98*IF($C98="売",1+$AX$2,1-$AX$2)&lt;=5000,5,IF($F98*IF($C98="売",1+$AX$2,1-$AX$2)&lt;=30000,10,IF($F98*IF($C98="売",1+$AX$2,1-$AX$2)&lt;=50000,50,IF($F98*IF($C98="売",1+$AX$2,1-$AX$2)&lt;=300000,100,500)))))),FLOOR($F98*IF($C98="売",1+$AX$2,1-$AX$2),IF($F98*IF($C98="売",1+$AX$2,1-$AX$2)&lt;=3000,1,IF($F98*IF($C98="売",1+$AX$2,1-$AX$2)&lt;=5000,5,IF($F98*IF($C98="売",1+$AX$2,1-$AX$2)&lt;=30000,10,IF($F98*IF($C98="売",1+$AX$2,1-$AX$2)&lt;=50000,50,IF($F98*IF($C98="売",1+$AX$2,1-$AX$2)&lt;=300000,100,500))))))))</f>
      </c>
      <c r="O98" s="492" t="str">
        <f>IF(OR($B98="",$F98="",$H98=""),"",IF($S98="✅売却済","―決済済―",IF($C98="売",IF($H98&lt;=$M98,"🟢利確",IF(AND($R98&lt;&gt;"",$H98&gt;=$R98),"🟠TRAIL決済",IF($H98&gt;=$N98,"🔴損切",IF($W98&gt;=$AX$5,"⏱時間決済",IF($H98&gt;=$F98*(1+$AX$2*0.7),"⚠️損切接近","保持継続"))))),IF($H98&gt;=$M98,"🟢利確",IF(AND($R98&lt;&gt;"",$H98&lt;=$R98),"🟠TRAIL決済",IF($H98&lt;=$N98,"🔴損切",IF($W98&gt;=$AX$5,"⏱時間決済",IF($H98&lt;=$F98*(1-$AX$2*0.7),"⚠️損切接近","保持継続")))))))</f>
      </c>
      <c r="P98" s="491"/>
      <c r="Q98" s="491"/>
      <c r="R98" s="491" t="str">
        <f>IF(OR($F98="",$H98="",$N98=""),"",IF($S98="✅売却済","",IF($C98="売",IF($H98&gt;$F98*(1-$AX$2),$N98,CEILING(MIN($N98,IF($Q98="",$N98,$Q98*1.03)),IF($N98&lt;=3000,1,IF($N98&lt;=5000,5,IF($N98&lt;=30000,10,IF($N98&lt;=50000,50,IF($N98&lt;=300000,100,500))))))),IF($H98&lt;$F98*(1+$AX$2),$N98,FLOOR(MAX($N98,IF($P98="",$N98,$P98*0.97)),IF($N98&lt;=3000,1,IF($N98&lt;=5000,5,IF($N98&lt;=30000,10,IF($N98&lt;=50000,50,IF($N98&lt;=300000,100,500))))))))))</f>
      </c>
      <c r="S98" s="586" t="str">
        <f>IF(B98="","",IF(T98&lt;&gt;"","✅売却済",IF(OR(H98="",L98=""),"📌保有中",IF(L98&gt;=0.06,"🟢利確推奨",IF(L98&gt;=0.05,"🟡利確直近",IF(L98&gt;=0.045,"🔵トレーリング検討",IF(L98&gt;-0.03,"📌保有中",IF(L98&gt;-0.04,"⚠️損切注意","🔴損切り"))))))))</f>
        <v/>
      </c>
      <c r="T98" s="594"/>
      <c r="U98" s="491"/>
      <c r="V98" s="701" t="str">
        <f>IF(OR(F98="",G98="",U98=""),"",IF(C98="売",(F98-U98)*G98,(U98-F98)*G98))</f>
        <v/>
      </c>
      <c r="W98" s="493" t="str">
        <f>IF(OR($E98="",$B98=""),"",IF($T98&lt;&gt;"",$T98-$E98,TODAY()-$E98)+1)</f>
        <v/>
      </c>
      <c r="X98" s="489" t="str">
        <f>IF(OR($AH98="",$AH98="保有中"),"",$AH98)</f>
        <v/>
      </c>
      <c r="Y98" s="488">
        <f>IF($B98="","",IF(COUNTIFS($B$4:$B98,$B98,$C$4:$C98,$C98)&gt;1,"⛔重複"&amp;COUNTIFS($B$4:$B98,$B98,$C$4:$C98,$C98)&amp;"回目",""))</f>
      </c>
      <c r="Z98" s="710"/>
      <c r="AB98">
        <f>IF($F98="","",MAX(100,ROUNDDOWN($AX$4/($F98*$AX$2)/100,0)*100))</f>
      </c>
      <c r="AC98">
        <f>IF(OR($F98="",$G98="",$U98=""),"",ROUND($V98-($F98+$U98)*$G98*$AX$6-IF($C98="売",$F98*$G98*$AX$7*$W98/365,0),0))</f>
      </c>
      <c r="AD98" s="608"/>
      <c r="AE98" s="624" t="str">
        <f>IF($E98="","",WORKDAY($E98,12))</f>
        <v/>
      </c>
      <c r="AF98" s="626"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26"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0" t="str">
        <f>IF(OR($B98="",$M98=""),"",IF(AND(N($AF98)=0,N($AG98)=0),IF(AND(ISNUMBER($H98),$H98&gt;0,IF($C98="売",$H98&gt;=$N98,$H98&lt;=$N98)),"損切確定",IF(AND(ISNUMBER($H98),$H98&gt;0,IF($C98="売",$H98&lt;=$M98,$H98&gt;=$M98)),"利益確定",IF($AE98&lt;=TODAY(),"日数制限","保有中"))),IF(N($AG98)=0,"利益確定",IF(N($AF98)=0,"損切確定",IF($AG98&lt;=$AF98,"損切確定","利益確定")))))</f>
        <v/>
      </c>
      <c r="AI98" s="600" t="str" cm="1">
        <f t="array" ref="AI98">IFERROR(INDEX(始値!$E$6:$BT$305,MATCH(TEXT($B98,"0"),TEXT(銘柄管理!$B$6:$B$305,"0"),0),MATCH($AE98,始値!$E$3:$BT$3,0)),"")</f>
        <v/>
      </c>
      <c r="AJ98" s="905" t="str">
        <f>IF(OR($V98="",$F98="",$G98=""),"",$V98/($F98*$G98))</f>
        <v/>
      </c>
      <c r="AK98" s="629" t="str">
        <f>IF($V98="","",IF($V98&gt;0,"○勝",IF($V98&lt;0,"●負","△引分")))</f>
        <v/>
      </c>
    </row>
    <row r="99" spans="1:37" ht="35.4" customHeight="1">
      <c r="A99" s="619" t="str">
        <f>IF(B99="","",HYPERLINK("https://kabutan.jp/stock/?code="&amp;B99,"株探"))</f>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BT$3,0)=1,1,MATCH($E99,始値!$E$3:$BT$3,0)+1)),_xlpm.v,INDEX(始値!$C$6:$B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IF(OR(F99="",G99="",H99=""),"",IF(C99="売",(F99-H99)*G99,(H99-F99)*G99))</f>
        <v/>
      </c>
      <c r="L99" s="706" t="str">
        <f>IF(OR(F99="",H99=""),"",IF(C99="売",(F99-H99)/F99,(H99-F99)/F99))</f>
        <v/>
      </c>
      <c r="M99" s="491" t="str">
        <f>IF($F99="","",IF($C99="売",CEILING($F99*IF($C99="売",1-$AX$3,1+$AX$3),IF($F99*IF($C99="売",1-$AX$3,1+$AX$3)&lt;=3000,1,IF($F99*IF($C99="売",1-$AX$3,1+$AX$3)&lt;=5000,5,IF($F99*IF($C99="売",1-$AX$3,1+$AX$3)&lt;=30000,10,IF($F99*IF($C99="売",1-$AX$3,1+$AX$3)&lt;=50000,50,IF($F99*IF($C99="売",1-$AX$3,1+$AX$3)&lt;=300000,100,500)))))),FLOOR($F99*IF($C99="売",1-$AX$3,1+$AX$3),IF($F99*IF($C99="売",1-$AX$3,1+$AX$3)&lt;=3000,1,IF($F99*IF($C99="売",1-$AX$3,1+$AX$3)&lt;=5000,5,IF($F99*IF($C99="売",1-$AX$3,1+$AX$3)&lt;=30000,10,IF($F99*IF($C99="売",1-$AX$3,1+$AX$3)&lt;=50000,50,IF($F99*IF($C99="売",1-$AX$3,1+$AX$3)&lt;=300000,100,500))))))))</f>
      </c>
      <c r="N99" s="491" t="str">
        <f>IF($F99="","",IF($C99="売",CEILING($F99*IF($C99="売",1+$AX$2,1-$AX$2),IF($F99*IF($C99="売",1+$AX$2,1-$AX$2)&lt;=3000,1,IF($F99*IF($C99="売",1+$AX$2,1-$AX$2)&lt;=5000,5,IF($F99*IF($C99="売",1+$AX$2,1-$AX$2)&lt;=30000,10,IF($F99*IF($C99="売",1+$AX$2,1-$AX$2)&lt;=50000,50,IF($F99*IF($C99="売",1+$AX$2,1-$AX$2)&lt;=300000,100,500)))))),FLOOR($F99*IF($C99="売",1+$AX$2,1-$AX$2),IF($F99*IF($C99="売",1+$AX$2,1-$AX$2)&lt;=3000,1,IF($F99*IF($C99="売",1+$AX$2,1-$AX$2)&lt;=5000,5,IF($F99*IF($C99="売",1+$AX$2,1-$AX$2)&lt;=30000,10,IF($F99*IF($C99="売",1+$AX$2,1-$AX$2)&lt;=50000,50,IF($F99*IF($C99="売",1+$AX$2,1-$AX$2)&lt;=300000,100,500))))))))</f>
      </c>
      <c r="O99" s="492" t="str">
        <f>IF(OR($B99="",$F99="",$H99=""),"",IF($S99="✅売却済","―決済済―",IF($C99="売",IF($H99&lt;=$M99,"🟢利確",IF(AND($R99&lt;&gt;"",$H99&gt;=$R99),"🟠TRAIL決済",IF($H99&gt;=$N99,"🔴損切",IF($W99&gt;=$AX$5,"⏱時間決済",IF($H99&gt;=$F99*(1+$AX$2*0.7),"⚠️損切接近","保持継続"))))),IF($H99&gt;=$M99,"🟢利確",IF(AND($R99&lt;&gt;"",$H99&lt;=$R99),"🟠TRAIL決済",IF($H99&lt;=$N99,"🔴損切",IF($W99&gt;=$AX$5,"⏱時間決済",IF($H99&lt;=$F99*(1-$AX$2*0.7),"⚠️損切接近","保持継続")))))))</f>
      </c>
      <c r="P99" s="491"/>
      <c r="Q99" s="491"/>
      <c r="R99" s="491" t="str">
        <f>IF(OR($F99="",$H99="",$N99=""),"",IF($S99="✅売却済","",IF($C99="売",IF($H99&gt;$F99*(1-$AX$2),$N99,CEILING(MIN($N99,IF($Q99="",$N99,$Q99*1.03)),IF($N99&lt;=3000,1,IF($N99&lt;=5000,5,IF($N99&lt;=30000,10,IF($N99&lt;=50000,50,IF($N99&lt;=300000,100,500))))))),IF($H99&lt;$F99*(1+$AX$2),$N99,FLOOR(MAX($N99,IF($P99="",$N99,$P99*0.97)),IF($N99&lt;=3000,1,IF($N99&lt;=5000,5,IF($N99&lt;=30000,10,IF($N99&lt;=50000,50,IF($N99&lt;=300000,100,500))))))))))</f>
      </c>
      <c r="S99" s="586" t="str">
        <f>IF(B99="","",IF(T99&lt;&gt;"","✅売却済",IF(OR(H99="",L99=""),"📌保有中",IF(L99&gt;=0.06,"🟢利確推奨",IF(L99&gt;=0.05,"🟡利確直近",IF(L99&gt;=0.045,"🔵トレーリング検討",IF(L99&gt;-0.03,"📌保有中",IF(L99&gt;-0.04,"⚠️損切注意","🔴損切り"))))))))</f>
        <v/>
      </c>
      <c r="T99" s="594"/>
      <c r="U99" s="491"/>
      <c r="V99" s="701" t="str">
        <f>IF(OR(F99="",G99="",U99=""),"",IF(C99="売",(F99-U99)*G99,(U99-F99)*G99))</f>
        <v/>
      </c>
      <c r="W99" s="493" t="str">
        <f>IF(OR($E99="",$B99=""),"",IF($T99&lt;&gt;"",$T99-$E99,TODAY()-$E99)+1)</f>
        <v/>
      </c>
      <c r="X99" s="489" t="str">
        <f>IF(OR($AH99="",$AH99="保有中"),"",$AH99)</f>
        <v/>
      </c>
      <c r="Y99" s="488">
        <f>IF($B99="","",IF(COUNTIFS($B$4:$B99,$B99,$C$4:$C99,$C99)&gt;1,"⛔重複"&amp;COUNTIFS($B$4:$B99,$B99,$C$4:$C99,$C99)&amp;"回目",""))</f>
      </c>
      <c r="Z99" s="710"/>
      <c r="AB99">
        <f>IF($F99="","",MAX(100,ROUNDDOWN($AX$4/($F99*$AX$2)/100,0)*100))</f>
      </c>
      <c r="AC99">
        <f>IF(OR($F99="",$G99="",$U99=""),"",ROUND($V99-($F99+$U99)*$G99*$AX$6-IF($C99="売",$F99*$G99*$AX$7*$W99/365,0),0))</f>
      </c>
      <c r="AD99" s="608"/>
      <c r="AE99" s="624" t="str">
        <f>IF($E99="","",WORKDAY($E99,12))</f>
        <v/>
      </c>
      <c r="AF99" s="626"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26"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0" t="str">
        <f>IF(OR($B99="",$M99=""),"",IF(AND(N($AF99)=0,N($AG99)=0),IF(AND(ISNUMBER($H99),$H99&gt;0,IF($C99="売",$H99&gt;=$N99,$H99&lt;=$N99)),"損切確定",IF(AND(ISNUMBER($H99),$H99&gt;0,IF($C99="売",$H99&lt;=$M99,$H99&gt;=$M99)),"利益確定",IF($AE99&lt;=TODAY(),"日数制限","保有中"))),IF(N($AG99)=0,"利益確定",IF(N($AF99)=0,"損切確定",IF($AG99&lt;=$AF99,"損切確定","利益確定")))))</f>
        <v/>
      </c>
      <c r="AI99" s="600" t="str" cm="1">
        <f t="array" ref="AI99">IFERROR(INDEX(始値!$E$6:$BT$305,MATCH(TEXT($B99,"0"),TEXT(銘柄管理!$B$6:$B$305,"0"),0),MATCH($AE99,始値!$E$3:$BT$3,0)),"")</f>
        <v/>
      </c>
      <c r="AJ99" s="905" t="str">
        <f>IF(OR($V99="",$F99="",$G99=""),"",$V99/($F99*$G99))</f>
        <v/>
      </c>
      <c r="AK99" s="629" t="str">
        <f>IF($V99="","",IF($V99&gt;0,"○勝",IF($V99&lt;0,"●負","△引分")))</f>
        <v/>
      </c>
    </row>
    <row r="100" spans="1:37" ht="35.4" customHeight="1">
      <c r="A100" s="619" t="str">
        <f>IF(B100="","",HYPERLINK("https://kabutan.jp/stock/?code="&amp;B100,"株探"))</f>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BT$3,0)=1,1,MATCH($E100,始値!$E$3:$BT$3,0)+1)),_xlpm.v,INDEX(始値!$C$6:$B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IF(OR(F100="",G100="",H100=""),"",IF(C100="売",(F100-H100)*G100,(H100-F100)*G100))</f>
        <v/>
      </c>
      <c r="L100" s="706" t="str">
        <f>IF(OR(F100="",H100=""),"",IF(C100="売",(F100-H100)/F100,(H100-F100)/F100))</f>
        <v/>
      </c>
      <c r="M100" s="491" t="str">
        <f>IF($F100="","",IF($C100="売",CEILING($F100*IF($C100="売",1-$AX$3,1+$AX$3),IF($F100*IF($C100="売",1-$AX$3,1+$AX$3)&lt;=3000,1,IF($F100*IF($C100="売",1-$AX$3,1+$AX$3)&lt;=5000,5,IF($F100*IF($C100="売",1-$AX$3,1+$AX$3)&lt;=30000,10,IF($F100*IF($C100="売",1-$AX$3,1+$AX$3)&lt;=50000,50,IF($F100*IF($C100="売",1-$AX$3,1+$AX$3)&lt;=300000,100,500)))))),FLOOR($F100*IF($C100="売",1-$AX$3,1+$AX$3),IF($F100*IF($C100="売",1-$AX$3,1+$AX$3)&lt;=3000,1,IF($F100*IF($C100="売",1-$AX$3,1+$AX$3)&lt;=5000,5,IF($F100*IF($C100="売",1-$AX$3,1+$AX$3)&lt;=30000,10,IF($F100*IF($C100="売",1-$AX$3,1+$AX$3)&lt;=50000,50,IF($F100*IF($C100="売",1-$AX$3,1+$AX$3)&lt;=300000,100,500))))))))</f>
      </c>
      <c r="N100" s="491" t="str">
        <f>IF($F100="","",IF($C100="売",CEILING($F100*IF($C100="売",1+$AX$2,1-$AX$2),IF($F100*IF($C100="売",1+$AX$2,1-$AX$2)&lt;=3000,1,IF($F100*IF($C100="売",1+$AX$2,1-$AX$2)&lt;=5000,5,IF($F100*IF($C100="売",1+$AX$2,1-$AX$2)&lt;=30000,10,IF($F100*IF($C100="売",1+$AX$2,1-$AX$2)&lt;=50000,50,IF($F100*IF($C100="売",1+$AX$2,1-$AX$2)&lt;=300000,100,500)))))),FLOOR($F100*IF($C100="売",1+$AX$2,1-$AX$2),IF($F100*IF($C100="売",1+$AX$2,1-$AX$2)&lt;=3000,1,IF($F100*IF($C100="売",1+$AX$2,1-$AX$2)&lt;=5000,5,IF($F100*IF($C100="売",1+$AX$2,1-$AX$2)&lt;=30000,10,IF($F100*IF($C100="売",1+$AX$2,1-$AX$2)&lt;=50000,50,IF($F100*IF($C100="売",1+$AX$2,1-$AX$2)&lt;=300000,100,500))))))))</f>
      </c>
      <c r="O100" s="492" t="str">
        <f>IF(OR($B100="",$F100="",$H100=""),"",IF($S100="✅売却済","―決済済―",IF($C100="売",IF($H100&lt;=$M100,"🟢利確",IF(AND($R100&lt;&gt;"",$H100&gt;=$R100),"🟠TRAIL決済",IF($H100&gt;=$N100,"🔴損切",IF($W100&gt;=$AX$5,"⏱時間決済",IF($H100&gt;=$F100*(1+$AX$2*0.7),"⚠️損切接近","保持継続"))))),IF($H100&gt;=$M100,"🟢利確",IF(AND($R100&lt;&gt;"",$H100&lt;=$R100),"🟠TRAIL決済",IF($H100&lt;=$N100,"🔴損切",IF($W100&gt;=$AX$5,"⏱時間決済",IF($H100&lt;=$F100*(1-$AX$2*0.7),"⚠️損切接近","保持継続")))))))</f>
      </c>
      <c r="P100" s="491"/>
      <c r="Q100" s="491"/>
      <c r="R100" s="491" t="str">
        <f>IF(OR($F100="",$H100="",$N100=""),"",IF($S100="✅売却済","",IF($C100="売",IF($H100&gt;$F100*(1-$AX$2),$N100,CEILING(MIN($N100,IF($Q100="",$N100,$Q100*1.03)),IF($N100&lt;=3000,1,IF($N100&lt;=5000,5,IF($N100&lt;=30000,10,IF($N100&lt;=50000,50,IF($N100&lt;=300000,100,500))))))),IF($H100&lt;$F100*(1+$AX$2),$N100,FLOOR(MAX($N100,IF($P100="",$N100,$P100*0.97)),IF($N100&lt;=3000,1,IF($N100&lt;=5000,5,IF($N100&lt;=30000,10,IF($N100&lt;=50000,50,IF($N100&lt;=300000,100,500))))))))))</f>
      </c>
      <c r="S100" s="586" t="str">
        <f>IF(B100="","",IF(T100&lt;&gt;"","✅売却済",IF(OR(H100="",L100=""),"📌保有中",IF(L100&gt;=0.06,"🟢利確推奨",IF(L100&gt;=0.05,"🟡利確直近",IF(L100&gt;=0.045,"🔵トレーリング検討",IF(L100&gt;-0.03,"📌保有中",IF(L100&gt;-0.04,"⚠️損切注意","🔴損切り"))))))))</f>
        <v/>
      </c>
      <c r="T100" s="594"/>
      <c r="U100" s="491"/>
      <c r="V100" s="701" t="str">
        <f>IF(OR(F100="",G100="",U100=""),"",IF(C100="売",(F100-U100)*G100,(U100-F100)*G100))</f>
        <v/>
      </c>
      <c r="W100" s="493" t="str">
        <f>IF(OR($E100="",$B100=""),"",IF($T100&lt;&gt;"",$T100-$E100,TODAY()-$E100)+1)</f>
        <v/>
      </c>
      <c r="X100" s="489" t="str">
        <f>IF(OR($AH100="",$AH100="保有中"),"",$AH100)</f>
        <v/>
      </c>
      <c r="Y100" s="488">
        <f>IF($B100="","",IF(COUNTIFS($B$4:$B100,$B100,$C$4:$C100,$C100)&gt;1,"⛔重複"&amp;COUNTIFS($B$4:$B100,$B100,$C$4:$C100,$C100)&amp;"回目",""))</f>
      </c>
      <c r="Z100" s="710"/>
      <c r="AB100">
        <f>IF($F100="","",MAX(100,ROUNDDOWN($AX$4/($F100*$AX$2)/100,0)*100))</f>
      </c>
      <c r="AC100">
        <f>IF(OR($F100="",$G100="",$U100=""),"",ROUND($V100-($F100+$U100)*$G100*$AX$6-IF($C100="売",$F100*$G100*$AX$7*$W100/365,0),0))</f>
      </c>
      <c r="AD100" s="608"/>
      <c r="AE100" s="624" t="str">
        <f>IF($E100="","",WORKDAY($E100,12))</f>
        <v/>
      </c>
      <c r="AF100" s="626"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26"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0" t="str">
        <f>IF(OR($B100="",$M100=""),"",IF(AND(N($AF100)=0,N($AG100)=0),IF(AND(ISNUMBER($H100),$H100&gt;0,IF($C100="売",$H100&gt;=$N100,$H100&lt;=$N100)),"損切確定",IF(AND(ISNUMBER($H100),$H100&gt;0,IF($C100="売",$H100&lt;=$M100,$H100&gt;=$M100)),"利益確定",IF($AE100&lt;=TODAY(),"日数制限","保有中"))),IF(N($AG100)=0,"利益確定",IF(N($AF100)=0,"損切確定",IF($AG100&lt;=$AF100,"損切確定","利益確定")))))</f>
        <v/>
      </c>
      <c r="AI100" s="600" t="str" cm="1">
        <f t="array" ref="AI100">IFERROR(INDEX(始値!$E$6:$BT$305,MATCH(TEXT($B100,"0"),TEXT(銘柄管理!$B$6:$B$305,"0"),0),MATCH($AE100,始値!$E$3:$BT$3,0)),"")</f>
        <v/>
      </c>
      <c r="AJ100" s="905" t="str">
        <f>IF(OR($V100="",$F100="",$G100=""),"",$V100/($F100*$G100))</f>
        <v/>
      </c>
      <c r="AK100" s="629" t="str">
        <f>IF($V100="","",IF($V100&gt;0,"○勝",IF($V100&lt;0,"●負","△引分")))</f>
        <v/>
      </c>
    </row>
    <row r="101" spans="1:37" ht="35.4" customHeight="1">
      <c r="A101" s="619" t="str">
        <f>IF(B101="","",HYPERLINK("https://kabutan.jp/stock/?code="&amp;B101,"株探"))</f>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BT$3,0)=1,1,MATCH($E101,始値!$E$3:$BT$3,0)+1)),_xlpm.v,INDEX(始値!$C$6:$B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IF(OR(F101="",G101="",H101=""),"",IF(C101="売",(F101-H101)*G101,(H101-F101)*G101))</f>
        <v/>
      </c>
      <c r="L101" s="706" t="str">
        <f>IF(OR(F101="",H101=""),"",IF(C101="売",(F101-H101)/F101,(H101-F101)/F101))</f>
        <v/>
      </c>
      <c r="M101" s="491" t="str">
        <f>IF($F101="","",IF($C101="売",CEILING($F101*IF($C101="売",1-$AX$3,1+$AX$3),IF($F101*IF($C101="売",1-$AX$3,1+$AX$3)&lt;=3000,1,IF($F101*IF($C101="売",1-$AX$3,1+$AX$3)&lt;=5000,5,IF($F101*IF($C101="売",1-$AX$3,1+$AX$3)&lt;=30000,10,IF($F101*IF($C101="売",1-$AX$3,1+$AX$3)&lt;=50000,50,IF($F101*IF($C101="売",1-$AX$3,1+$AX$3)&lt;=300000,100,500)))))),FLOOR($F101*IF($C101="売",1-$AX$3,1+$AX$3),IF($F101*IF($C101="売",1-$AX$3,1+$AX$3)&lt;=3000,1,IF($F101*IF($C101="売",1-$AX$3,1+$AX$3)&lt;=5000,5,IF($F101*IF($C101="売",1-$AX$3,1+$AX$3)&lt;=30000,10,IF($F101*IF($C101="売",1-$AX$3,1+$AX$3)&lt;=50000,50,IF($F101*IF($C101="売",1-$AX$3,1+$AX$3)&lt;=300000,100,500))))))))</f>
      </c>
      <c r="N101" s="491" t="str">
        <f>IF($F101="","",IF($C101="売",CEILING($F101*IF($C101="売",1+$AX$2,1-$AX$2),IF($F101*IF($C101="売",1+$AX$2,1-$AX$2)&lt;=3000,1,IF($F101*IF($C101="売",1+$AX$2,1-$AX$2)&lt;=5000,5,IF($F101*IF($C101="売",1+$AX$2,1-$AX$2)&lt;=30000,10,IF($F101*IF($C101="売",1+$AX$2,1-$AX$2)&lt;=50000,50,IF($F101*IF($C101="売",1+$AX$2,1-$AX$2)&lt;=300000,100,500)))))),FLOOR($F101*IF($C101="売",1+$AX$2,1-$AX$2),IF($F101*IF($C101="売",1+$AX$2,1-$AX$2)&lt;=3000,1,IF($F101*IF($C101="売",1+$AX$2,1-$AX$2)&lt;=5000,5,IF($F101*IF($C101="売",1+$AX$2,1-$AX$2)&lt;=30000,10,IF($F101*IF($C101="売",1+$AX$2,1-$AX$2)&lt;=50000,50,IF($F101*IF($C101="売",1+$AX$2,1-$AX$2)&lt;=300000,100,500))))))))</f>
      </c>
      <c r="O101" s="492" t="str">
        <f>IF(OR($B101="",$F101="",$H101=""),"",IF($S101="✅売却済","―決済済―",IF($C101="売",IF($H101&lt;=$M101,"🟢利確",IF(AND($R101&lt;&gt;"",$H101&gt;=$R101),"🟠TRAIL決済",IF($H101&gt;=$N101,"🔴損切",IF($W101&gt;=$AX$5,"⏱時間決済",IF($H101&gt;=$F101*(1+$AX$2*0.7),"⚠️損切接近","保持継続"))))),IF($H101&gt;=$M101,"🟢利確",IF(AND($R101&lt;&gt;"",$H101&lt;=$R101),"🟠TRAIL決済",IF($H101&lt;=$N101,"🔴損切",IF($W101&gt;=$AX$5,"⏱時間決済",IF($H101&lt;=$F101*(1-$AX$2*0.7),"⚠️損切接近","保持継続")))))))</f>
      </c>
      <c r="P101" s="491"/>
      <c r="Q101" s="491"/>
      <c r="R101" s="491" t="str">
        <f>IF(OR($F101="",$H101="",$N101=""),"",IF($S101="✅売却済","",IF($C101="売",IF($H101&gt;$F101*(1-$AX$2),$N101,CEILING(MIN($N101,IF($Q101="",$N101,$Q101*1.03)),IF($N101&lt;=3000,1,IF($N101&lt;=5000,5,IF($N101&lt;=30000,10,IF($N101&lt;=50000,50,IF($N101&lt;=300000,100,500))))))),IF($H101&lt;$F101*(1+$AX$2),$N101,FLOOR(MAX($N101,IF($P101="",$N101,$P101*0.97)),IF($N101&lt;=3000,1,IF($N101&lt;=5000,5,IF($N101&lt;=30000,10,IF($N101&lt;=50000,50,IF($N101&lt;=300000,100,500))))))))))</f>
      </c>
      <c r="S101" s="586" t="str">
        <f>IF(B101="","",IF(T101&lt;&gt;"","✅売却済",IF(OR(H101="",L101=""),"📌保有中",IF(L101&gt;=0.06,"🟢利確推奨",IF(L101&gt;=0.05,"🟡利確直近",IF(L101&gt;=0.045,"🔵トレーリング検討",IF(L101&gt;-0.03,"📌保有中",IF(L101&gt;-0.04,"⚠️損切注意","🔴損切り"))))))))</f>
        <v/>
      </c>
      <c r="T101" s="594"/>
      <c r="U101" s="491"/>
      <c r="V101" s="701" t="str">
        <f>IF(OR(F101="",G101="",U101=""),"",IF(C101="売",(F101-U101)*G101,(U101-F101)*G101))</f>
        <v/>
      </c>
      <c r="W101" s="493" t="str">
        <f>IF(OR($E101="",$B101=""),"",IF($T101&lt;&gt;"",$T101-$E101,TODAY()-$E101)+1)</f>
        <v/>
      </c>
      <c r="X101" s="489" t="str">
        <f>IF(OR($AH101="",$AH101="保有中"),"",$AH101)</f>
        <v/>
      </c>
      <c r="Y101" s="488">
        <f>IF($B101="","",IF(COUNTIFS($B$4:$B101,$B101,$C$4:$C101,$C101)&gt;1,"⛔重複"&amp;COUNTIFS($B$4:$B101,$B101,$C$4:$C101,$C101)&amp;"回目",""))</f>
      </c>
      <c r="Z101" s="710"/>
      <c r="AB101">
        <f>IF($F101="","",MAX(100,ROUNDDOWN($AX$4/($F101*$AX$2)/100,0)*100))</f>
      </c>
      <c r="AC101">
        <f>IF(OR($F101="",$G101="",$U101=""),"",ROUND($V101-($F101+$U101)*$G101*$AX$6-IF($C101="売",$F101*$G101*$AX$7*$W101/365,0),0))</f>
      </c>
      <c r="AD101" s="608"/>
      <c r="AE101" s="624" t="str">
        <f>IF($E101="","",WORKDAY($E101,12))</f>
        <v/>
      </c>
      <c r="AF101" s="626"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26"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0" t="str">
        <f>IF(OR($B101="",$M101=""),"",IF(AND(N($AF101)=0,N($AG101)=0),IF(AND(ISNUMBER($H101),$H101&gt;0,IF($C101="売",$H101&gt;=$N101,$H101&lt;=$N101)),"損切確定",IF(AND(ISNUMBER($H101),$H101&gt;0,IF($C101="売",$H101&lt;=$M101,$H101&gt;=$M101)),"利益確定",IF($AE101&lt;=TODAY(),"日数制限","保有中"))),IF(N($AG101)=0,"利益確定",IF(N($AF101)=0,"損切確定",IF($AG101&lt;=$AF101,"損切確定","利益確定")))))</f>
        <v/>
      </c>
      <c r="AI101" s="600" t="str" cm="1">
        <f t="array" ref="AI101">IFERROR(INDEX(始値!$E$6:$BT$305,MATCH(TEXT($B101,"0"),TEXT(銘柄管理!$B$6:$B$305,"0"),0),MATCH($AE101,始値!$E$3:$BT$3,0)),"")</f>
        <v/>
      </c>
      <c r="AJ101" s="905" t="str">
        <f>IF(OR($V101="",$F101="",$G101=""),"",$V101/($F101*$G101))</f>
        <v/>
      </c>
      <c r="AK101" s="629" t="str">
        <f>IF($V101="","",IF($V101&gt;0,"○勝",IF($V101&lt;0,"●負","△引分")))</f>
        <v/>
      </c>
    </row>
    <row r="102" spans="1:37" ht="35.4" customHeight="1">
      <c r="A102" s="619" t="str">
        <f>IF(B102="","",HYPERLINK("https://kabutan.jp/stock/?code="&amp;B102,"株探"))</f>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BT$3,0)=1,1,MATCH($E102,始値!$E$3:$BT$3,0)+1)),_xlpm.v,INDEX(始値!$C$6:$B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IF(OR(F102="",G102="",H102=""),"",IF(C102="売",(F102-H102)*G102,(H102-F102)*G102))</f>
        <v/>
      </c>
      <c r="L102" s="706" t="str">
        <f>IF(OR(F102="",H102=""),"",IF(C102="売",(F102-H102)/F102,(H102-F102)/F102))</f>
        <v/>
      </c>
      <c r="M102" s="491" t="str">
        <f>IF($F102="","",IF($C102="売",CEILING($F102*IF($C102="売",1-$AX$3,1+$AX$3),IF($F102*IF($C102="売",1-$AX$3,1+$AX$3)&lt;=3000,1,IF($F102*IF($C102="売",1-$AX$3,1+$AX$3)&lt;=5000,5,IF($F102*IF($C102="売",1-$AX$3,1+$AX$3)&lt;=30000,10,IF($F102*IF($C102="売",1-$AX$3,1+$AX$3)&lt;=50000,50,IF($F102*IF($C102="売",1-$AX$3,1+$AX$3)&lt;=300000,100,500)))))),FLOOR($F102*IF($C102="売",1-$AX$3,1+$AX$3),IF($F102*IF($C102="売",1-$AX$3,1+$AX$3)&lt;=3000,1,IF($F102*IF($C102="売",1-$AX$3,1+$AX$3)&lt;=5000,5,IF($F102*IF($C102="売",1-$AX$3,1+$AX$3)&lt;=30000,10,IF($F102*IF($C102="売",1-$AX$3,1+$AX$3)&lt;=50000,50,IF($F102*IF($C102="売",1-$AX$3,1+$AX$3)&lt;=300000,100,500))))))))</f>
      </c>
      <c r="N102" s="491" t="str">
        <f>IF($F102="","",IF($C102="売",CEILING($F102*IF($C102="売",1+$AX$2,1-$AX$2),IF($F102*IF($C102="売",1+$AX$2,1-$AX$2)&lt;=3000,1,IF($F102*IF($C102="売",1+$AX$2,1-$AX$2)&lt;=5000,5,IF($F102*IF($C102="売",1+$AX$2,1-$AX$2)&lt;=30000,10,IF($F102*IF($C102="売",1+$AX$2,1-$AX$2)&lt;=50000,50,IF($F102*IF($C102="売",1+$AX$2,1-$AX$2)&lt;=300000,100,500)))))),FLOOR($F102*IF($C102="売",1+$AX$2,1-$AX$2),IF($F102*IF($C102="売",1+$AX$2,1-$AX$2)&lt;=3000,1,IF($F102*IF($C102="売",1+$AX$2,1-$AX$2)&lt;=5000,5,IF($F102*IF($C102="売",1+$AX$2,1-$AX$2)&lt;=30000,10,IF($F102*IF($C102="売",1+$AX$2,1-$AX$2)&lt;=50000,50,IF($F102*IF($C102="売",1+$AX$2,1-$AX$2)&lt;=300000,100,500))))))))</f>
      </c>
      <c r="O102" s="492" t="str">
        <f>IF(OR($B102="",$F102="",$H102=""),"",IF($S102="✅売却済","―決済済―",IF($C102="売",IF($H102&lt;=$M102,"🟢利確",IF(AND($R102&lt;&gt;"",$H102&gt;=$R102),"🟠TRAIL決済",IF($H102&gt;=$N102,"🔴損切",IF($W102&gt;=$AX$5,"⏱時間決済",IF($H102&gt;=$F102*(1+$AX$2*0.7),"⚠️損切接近","保持継続"))))),IF($H102&gt;=$M102,"🟢利確",IF(AND($R102&lt;&gt;"",$H102&lt;=$R102),"🟠TRAIL決済",IF($H102&lt;=$N102,"🔴損切",IF($W102&gt;=$AX$5,"⏱時間決済",IF($H102&lt;=$F102*(1-$AX$2*0.7),"⚠️損切接近","保持継続")))))))</f>
      </c>
      <c r="P102" s="491"/>
      <c r="Q102" s="491"/>
      <c r="R102" s="491" t="str">
        <f>IF(OR($F102="",$H102="",$N102=""),"",IF($S102="✅売却済","",IF($C102="売",IF($H102&gt;$F102*(1-$AX$2),$N102,CEILING(MIN($N102,IF($Q102="",$N102,$Q102*1.03)),IF($N102&lt;=3000,1,IF($N102&lt;=5000,5,IF($N102&lt;=30000,10,IF($N102&lt;=50000,50,IF($N102&lt;=300000,100,500))))))),IF($H102&lt;$F102*(1+$AX$2),$N102,FLOOR(MAX($N102,IF($P102="",$N102,$P102*0.97)),IF($N102&lt;=3000,1,IF($N102&lt;=5000,5,IF($N102&lt;=30000,10,IF($N102&lt;=50000,50,IF($N102&lt;=300000,100,500))))))))))</f>
      </c>
      <c r="S102" s="586" t="str">
        <f>IF(B102="","",IF(T102&lt;&gt;"","✅売却済",IF(OR(H102="",L102=""),"📌保有中",IF(L102&gt;=0.06,"🟢利確推奨",IF(L102&gt;=0.05,"🟡利確直近",IF(L102&gt;=0.045,"🔵トレーリング検討",IF(L102&gt;-0.03,"📌保有中",IF(L102&gt;-0.04,"⚠️損切注意","🔴損切り"))))))))</f>
        <v/>
      </c>
      <c r="T102" s="594"/>
      <c r="U102" s="491"/>
      <c r="V102" s="701" t="str">
        <f>IF(OR(F102="",G102="",U102=""),"",IF(C102="売",(F102-U102)*G102,(U102-F102)*G102))</f>
        <v/>
      </c>
      <c r="W102" s="493" t="str">
        <f>IF(OR($E102="",$B102=""),"",IF($T102&lt;&gt;"",$T102-$E102,TODAY()-$E102)+1)</f>
        <v/>
      </c>
      <c r="X102" s="489" t="str">
        <f>IF(OR($AH102="",$AH102="保有中"),"",$AH102)</f>
        <v/>
      </c>
      <c r="Y102" s="488">
        <f>IF($B102="","",IF(COUNTIFS($B$4:$B102,$B102,$C$4:$C102,$C102)&gt;1,"⛔重複"&amp;COUNTIFS($B$4:$B102,$B102,$C$4:$C102,$C102)&amp;"回目",""))</f>
      </c>
      <c r="Z102" s="710"/>
      <c r="AB102">
        <f>IF($F102="","",MAX(100,ROUNDDOWN($AX$4/($F102*$AX$2)/100,0)*100))</f>
      </c>
      <c r="AC102">
        <f>IF(OR($F102="",$G102="",$U102=""),"",ROUND($V102-($F102+$U102)*$G102*$AX$6-IF($C102="売",$F102*$G102*$AX$7*$W102/365,0),0))</f>
      </c>
      <c r="AD102" s="608"/>
      <c r="AE102" s="624" t="str">
        <f>IF($E102="","",WORKDAY($E102,12))</f>
        <v/>
      </c>
      <c r="AF102" s="626"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26"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0" t="str">
        <f>IF(OR($B102="",$M102=""),"",IF(AND(N($AF102)=0,N($AG102)=0),IF(AND(ISNUMBER($H102),$H102&gt;0,IF($C102="売",$H102&gt;=$N102,$H102&lt;=$N102)),"損切確定",IF(AND(ISNUMBER($H102),$H102&gt;0,IF($C102="売",$H102&lt;=$M102,$H102&gt;=$M102)),"利益確定",IF($AE102&lt;=TODAY(),"日数制限","保有中"))),IF(N($AG102)=0,"利益確定",IF(N($AF102)=0,"損切確定",IF($AG102&lt;=$AF102,"損切確定","利益確定")))))</f>
        <v/>
      </c>
      <c r="AI102" s="600" t="str" cm="1">
        <f t="array" ref="AI102">IFERROR(INDEX(始値!$E$6:$BT$305,MATCH(TEXT($B102,"0"),TEXT(銘柄管理!$B$6:$B$305,"0"),0),MATCH($AE102,始値!$E$3:$BT$3,0)),"")</f>
        <v/>
      </c>
      <c r="AJ102" s="905" t="str">
        <f>IF(OR($V102="",$F102="",$G102=""),"",$V102/($F102*$G102))</f>
        <v/>
      </c>
      <c r="AK102" s="629" t="str">
        <f>IF($V102="","",IF($V102&gt;0,"○勝",IF($V102&lt;0,"●負","△引分")))</f>
        <v/>
      </c>
    </row>
    <row r="103" spans="1:37" ht="35.4" customHeight="1">
      <c r="A103" s="619" t="str">
        <f>IF(B103="","",HYPERLINK("https://kabutan.jp/stock/?code="&amp;B103,"株探"))</f>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BT$3,0)=1,1,MATCH($E103,始値!$E$3:$BT$3,0)+1)),_xlpm.v,INDEX(始値!$C$6:$B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IF(OR(F103="",G103="",H103=""),"",IF(C103="売",(F103-H103)*G103,(H103-F103)*G103))</f>
        <v/>
      </c>
      <c r="L103" s="706" t="str">
        <f>IF(OR(F103="",H103=""),"",IF(C103="売",(F103-H103)/F103,(H103-F103)/F103))</f>
        <v/>
      </c>
      <c r="M103" s="491" t="str">
        <f>IF($F103="","",IF($C103="売",CEILING($F103*IF($C103="売",1-$AX$3,1+$AX$3),IF($F103*IF($C103="売",1-$AX$3,1+$AX$3)&lt;=3000,1,IF($F103*IF($C103="売",1-$AX$3,1+$AX$3)&lt;=5000,5,IF($F103*IF($C103="売",1-$AX$3,1+$AX$3)&lt;=30000,10,IF($F103*IF($C103="売",1-$AX$3,1+$AX$3)&lt;=50000,50,IF($F103*IF($C103="売",1-$AX$3,1+$AX$3)&lt;=300000,100,500)))))),FLOOR($F103*IF($C103="売",1-$AX$3,1+$AX$3),IF($F103*IF($C103="売",1-$AX$3,1+$AX$3)&lt;=3000,1,IF($F103*IF($C103="売",1-$AX$3,1+$AX$3)&lt;=5000,5,IF($F103*IF($C103="売",1-$AX$3,1+$AX$3)&lt;=30000,10,IF($F103*IF($C103="売",1-$AX$3,1+$AX$3)&lt;=50000,50,IF($F103*IF($C103="売",1-$AX$3,1+$AX$3)&lt;=300000,100,500))))))))</f>
      </c>
      <c r="N103" s="491" t="str">
        <f>IF($F103="","",IF($C103="売",CEILING($F103*IF($C103="売",1+$AX$2,1-$AX$2),IF($F103*IF($C103="売",1+$AX$2,1-$AX$2)&lt;=3000,1,IF($F103*IF($C103="売",1+$AX$2,1-$AX$2)&lt;=5000,5,IF($F103*IF($C103="売",1+$AX$2,1-$AX$2)&lt;=30000,10,IF($F103*IF($C103="売",1+$AX$2,1-$AX$2)&lt;=50000,50,IF($F103*IF($C103="売",1+$AX$2,1-$AX$2)&lt;=300000,100,500)))))),FLOOR($F103*IF($C103="売",1+$AX$2,1-$AX$2),IF($F103*IF($C103="売",1+$AX$2,1-$AX$2)&lt;=3000,1,IF($F103*IF($C103="売",1+$AX$2,1-$AX$2)&lt;=5000,5,IF($F103*IF($C103="売",1+$AX$2,1-$AX$2)&lt;=30000,10,IF($F103*IF($C103="売",1+$AX$2,1-$AX$2)&lt;=50000,50,IF($F103*IF($C103="売",1+$AX$2,1-$AX$2)&lt;=300000,100,500))))))))</f>
      </c>
      <c r="O103" s="492" t="str">
        <f>IF(OR($B103="",$F103="",$H103=""),"",IF($S103="✅売却済","―決済済―",IF($C103="売",IF($H103&lt;=$M103,"🟢利確",IF(AND($R103&lt;&gt;"",$H103&gt;=$R103),"🟠TRAIL決済",IF($H103&gt;=$N103,"🔴損切",IF($W103&gt;=$AX$5,"⏱時間決済",IF($H103&gt;=$F103*(1+$AX$2*0.7),"⚠️損切接近","保持継続"))))),IF($H103&gt;=$M103,"🟢利確",IF(AND($R103&lt;&gt;"",$H103&lt;=$R103),"🟠TRAIL決済",IF($H103&lt;=$N103,"🔴損切",IF($W103&gt;=$AX$5,"⏱時間決済",IF($H103&lt;=$F103*(1-$AX$2*0.7),"⚠️損切接近","保持継続")))))))</f>
      </c>
      <c r="P103" s="491"/>
      <c r="Q103" s="491"/>
      <c r="R103" s="491" t="str">
        <f>IF(OR($F103="",$H103="",$N103=""),"",IF($S103="✅売却済","",IF($C103="売",IF($H103&gt;$F103*(1-$AX$2),$N103,CEILING(MIN($N103,IF($Q103="",$N103,$Q103*1.03)),IF($N103&lt;=3000,1,IF($N103&lt;=5000,5,IF($N103&lt;=30000,10,IF($N103&lt;=50000,50,IF($N103&lt;=300000,100,500))))))),IF($H103&lt;$F103*(1+$AX$2),$N103,FLOOR(MAX($N103,IF($P103="",$N103,$P103*0.97)),IF($N103&lt;=3000,1,IF($N103&lt;=5000,5,IF($N103&lt;=30000,10,IF($N103&lt;=50000,50,IF($N103&lt;=300000,100,500))))))))))</f>
      </c>
      <c r="S103" s="586" t="str">
        <f>IF(B103="","",IF(T103&lt;&gt;"","✅売却済",IF(OR(H103="",L103=""),"📌保有中",IF(L103&gt;=0.06,"🟢利確推奨",IF(L103&gt;=0.05,"🟡利確直近",IF(L103&gt;=0.045,"🔵トレーリング検討",IF(L103&gt;-0.03,"📌保有中",IF(L103&gt;-0.04,"⚠️損切注意","🔴損切り"))))))))</f>
        <v/>
      </c>
      <c r="T103" s="594"/>
      <c r="U103" s="491"/>
      <c r="V103" s="701" t="str">
        <f>IF(OR(F103="",G103="",U103=""),"",IF(C103="売",(F103-U103)*G103,(U103-F103)*G103))</f>
        <v/>
      </c>
      <c r="W103" s="493" t="str">
        <f>IF(OR($E103="",$B103=""),"",IF($T103&lt;&gt;"",$T103-$E103,TODAY()-$E103)+1)</f>
        <v/>
      </c>
      <c r="X103" s="489" t="str">
        <f>IF(OR($AH103="",$AH103="保有中"),"",$AH103)</f>
        <v/>
      </c>
      <c r="Y103" s="488">
        <f>IF($B103="","",IF(COUNTIFS($B$4:$B103,$B103,$C$4:$C103,$C103)&gt;1,"⛔重複"&amp;COUNTIFS($B$4:$B103,$B103,$C$4:$C103,$C103)&amp;"回目",""))</f>
      </c>
      <c r="Z103" s="710"/>
      <c r="AB103">
        <f>IF($F103="","",MAX(100,ROUNDDOWN($AX$4/($F103*$AX$2)/100,0)*100))</f>
      </c>
      <c r="AC103">
        <f>IF(OR($F103="",$G103="",$U103=""),"",ROUND($V103-($F103+$U103)*$G103*$AX$6-IF($C103="売",$F103*$G103*$AX$7*$W103/365,0),0))</f>
      </c>
      <c r="AD103" s="608"/>
      <c r="AE103" s="624" t="str">
        <f>IF($E103="","",WORKDAY($E103,12))</f>
        <v/>
      </c>
      <c r="AF103" s="626"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26"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0" t="str">
        <f>IF(OR($B103="",$M103=""),"",IF(AND(N($AF103)=0,N($AG103)=0),IF(AND(ISNUMBER($H103),$H103&gt;0,IF($C103="売",$H103&gt;=$N103,$H103&lt;=$N103)),"損切確定",IF(AND(ISNUMBER($H103),$H103&gt;0,IF($C103="売",$H103&lt;=$M103,$H103&gt;=$M103)),"利益確定",IF($AE103&lt;=TODAY(),"日数制限","保有中"))),IF(N($AG103)=0,"利益確定",IF(N($AF103)=0,"損切確定",IF($AG103&lt;=$AF103,"損切確定","利益確定")))))</f>
        <v/>
      </c>
      <c r="AI103" s="600" t="str" cm="1">
        <f t="array" ref="AI103">IFERROR(INDEX(始値!$E$6:$BT$305,MATCH(TEXT($B103,"0"),TEXT(銘柄管理!$B$6:$B$305,"0"),0),MATCH($AE103,始値!$E$3:$BT$3,0)),"")</f>
        <v/>
      </c>
      <c r="AJ103" s="905" t="str">
        <f>IF(OR($V103="",$F103="",$G103=""),"",$V103/($F103*$G103))</f>
        <v/>
      </c>
      <c r="AK103" s="629" t="str">
        <f>IF($V103="","",IF($V103&gt;0,"○勝",IF($V103&lt;0,"●負","△引分")))</f>
        <v/>
      </c>
    </row>
    <row r="104" spans="1:37" ht="35.4" customHeight="1">
      <c r="A104" s="619" t="str">
        <f>IF(B104="","",HYPERLINK("https://kabutan.jp/stock/?code="&amp;B104,"株探"))</f>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BT$3,0)=1,1,MATCH($E104,始値!$E$3:$BT$3,0)+1)),_xlpm.v,INDEX(始値!$C$6:$B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IF(OR(F104="",G104="",H104=""),"",IF(C104="売",(F104-H104)*G104,(H104-F104)*G104))</f>
        <v/>
      </c>
      <c r="L104" s="706" t="str">
        <f>IF(OR(F104="",H104=""),"",IF(C104="売",(F104-H104)/F104,(H104-F104)/F104))</f>
        <v/>
      </c>
      <c r="M104" s="491" t="str">
        <f>IF($F104="","",IF($C104="売",CEILING($F104*IF($C104="売",1-$AX$3,1+$AX$3),IF($F104*IF($C104="売",1-$AX$3,1+$AX$3)&lt;=3000,1,IF($F104*IF($C104="売",1-$AX$3,1+$AX$3)&lt;=5000,5,IF($F104*IF($C104="売",1-$AX$3,1+$AX$3)&lt;=30000,10,IF($F104*IF($C104="売",1-$AX$3,1+$AX$3)&lt;=50000,50,IF($F104*IF($C104="売",1-$AX$3,1+$AX$3)&lt;=300000,100,500)))))),FLOOR($F104*IF($C104="売",1-$AX$3,1+$AX$3),IF($F104*IF($C104="売",1-$AX$3,1+$AX$3)&lt;=3000,1,IF($F104*IF($C104="売",1-$AX$3,1+$AX$3)&lt;=5000,5,IF($F104*IF($C104="売",1-$AX$3,1+$AX$3)&lt;=30000,10,IF($F104*IF($C104="売",1-$AX$3,1+$AX$3)&lt;=50000,50,IF($F104*IF($C104="売",1-$AX$3,1+$AX$3)&lt;=300000,100,500))))))))</f>
      </c>
      <c r="N104" s="491" t="str">
        <f>IF($F104="","",IF($C104="売",CEILING($F104*IF($C104="売",1+$AX$2,1-$AX$2),IF($F104*IF($C104="売",1+$AX$2,1-$AX$2)&lt;=3000,1,IF($F104*IF($C104="売",1+$AX$2,1-$AX$2)&lt;=5000,5,IF($F104*IF($C104="売",1+$AX$2,1-$AX$2)&lt;=30000,10,IF($F104*IF($C104="売",1+$AX$2,1-$AX$2)&lt;=50000,50,IF($F104*IF($C104="売",1+$AX$2,1-$AX$2)&lt;=300000,100,500)))))),FLOOR($F104*IF($C104="売",1+$AX$2,1-$AX$2),IF($F104*IF($C104="売",1+$AX$2,1-$AX$2)&lt;=3000,1,IF($F104*IF($C104="売",1+$AX$2,1-$AX$2)&lt;=5000,5,IF($F104*IF($C104="売",1+$AX$2,1-$AX$2)&lt;=30000,10,IF($F104*IF($C104="売",1+$AX$2,1-$AX$2)&lt;=50000,50,IF($F104*IF($C104="売",1+$AX$2,1-$AX$2)&lt;=300000,100,500))))))))</f>
      </c>
      <c r="O104" s="492" t="str">
        <f>IF(OR($B104="",$F104="",$H104=""),"",IF($S104="✅売却済","―決済済―",IF($C104="売",IF($H104&lt;=$M104,"🟢利確",IF(AND($R104&lt;&gt;"",$H104&gt;=$R104),"🟠TRAIL決済",IF($H104&gt;=$N104,"🔴損切",IF($W104&gt;=$AX$5,"⏱時間決済",IF($H104&gt;=$F104*(1+$AX$2*0.7),"⚠️損切接近","保持継続"))))),IF($H104&gt;=$M104,"🟢利確",IF(AND($R104&lt;&gt;"",$H104&lt;=$R104),"🟠TRAIL決済",IF($H104&lt;=$N104,"🔴損切",IF($W104&gt;=$AX$5,"⏱時間決済",IF($H104&lt;=$F104*(1-$AX$2*0.7),"⚠️損切接近","保持継続")))))))</f>
      </c>
      <c r="P104" s="491"/>
      <c r="Q104" s="491"/>
      <c r="R104" s="491" t="str">
        <f>IF(OR($F104="",$H104="",$N104=""),"",IF($S104="✅売却済","",IF($C104="売",IF($H104&gt;$F104*(1-$AX$2),$N104,CEILING(MIN($N104,IF($Q104="",$N104,$Q104*1.03)),IF($N104&lt;=3000,1,IF($N104&lt;=5000,5,IF($N104&lt;=30000,10,IF($N104&lt;=50000,50,IF($N104&lt;=300000,100,500))))))),IF($H104&lt;$F104*(1+$AX$2),$N104,FLOOR(MAX($N104,IF($P104="",$N104,$P104*0.97)),IF($N104&lt;=3000,1,IF($N104&lt;=5000,5,IF($N104&lt;=30000,10,IF($N104&lt;=50000,50,IF($N104&lt;=300000,100,500))))))))))</f>
      </c>
      <c r="S104" s="586" t="str">
        <f>IF(B104="","",IF(T104&lt;&gt;"","✅売却済",IF(OR(H104="",L104=""),"📌保有中",IF(L104&gt;=0.06,"🟢利確推奨",IF(L104&gt;=0.05,"🟡利確直近",IF(L104&gt;=0.045,"🔵トレーリング検討",IF(L104&gt;-0.03,"📌保有中",IF(L104&gt;-0.04,"⚠️損切注意","🔴損切り"))))))))</f>
        <v/>
      </c>
      <c r="T104" s="594"/>
      <c r="U104" s="491"/>
      <c r="V104" s="701" t="str">
        <f>IF(OR(F104="",G104="",U104=""),"",IF(C104="売",(F104-U104)*G104,(U104-F104)*G104))</f>
        <v/>
      </c>
      <c r="W104" s="493" t="str">
        <f>IF(OR($E104="",$B104=""),"",IF($T104&lt;&gt;"",$T104-$E104,TODAY()-$E104)+1)</f>
        <v/>
      </c>
      <c r="X104" s="489" t="str">
        <f>IF(OR($AH104="",$AH104="保有中"),"",$AH104)</f>
        <v/>
      </c>
      <c r="Y104" s="488">
        <f>IF($B104="","",IF(COUNTIFS($B$4:$B104,$B104,$C$4:$C104,$C104)&gt;1,"⛔重複"&amp;COUNTIFS($B$4:$B104,$B104,$C$4:$C104,$C104)&amp;"回目",""))</f>
      </c>
      <c r="Z104" s="710"/>
      <c r="AB104">
        <f>IF($F104="","",MAX(100,ROUNDDOWN($AX$4/($F104*$AX$2)/100,0)*100))</f>
      </c>
      <c r="AC104">
        <f>IF(OR($F104="",$G104="",$U104=""),"",ROUND($V104-($F104+$U104)*$G104*$AX$6-IF($C104="売",$F104*$G104*$AX$7*$W104/365,0),0))</f>
      </c>
      <c r="AD104" s="608"/>
      <c r="AE104" s="624" t="str">
        <f>IF($E104="","",WORKDAY($E104,12))</f>
        <v/>
      </c>
      <c r="AF104" s="626"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26"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0" t="str">
        <f>IF(OR($B104="",$M104=""),"",IF(AND(N($AF104)=0,N($AG104)=0),IF(AND(ISNUMBER($H104),$H104&gt;0,IF($C104="売",$H104&gt;=$N104,$H104&lt;=$N104)),"損切確定",IF(AND(ISNUMBER($H104),$H104&gt;0,IF($C104="売",$H104&lt;=$M104,$H104&gt;=$M104)),"利益確定",IF($AE104&lt;=TODAY(),"日数制限","保有中"))),IF(N($AG104)=0,"利益確定",IF(N($AF104)=0,"損切確定",IF($AG104&lt;=$AF104,"損切確定","利益確定")))))</f>
        <v/>
      </c>
      <c r="AI104" s="600" t="str" cm="1">
        <f t="array" ref="AI104">IFERROR(INDEX(始値!$E$6:$BT$305,MATCH(TEXT($B104,"0"),TEXT(銘柄管理!$B$6:$B$305,"0"),0),MATCH($AE104,始値!$E$3:$BT$3,0)),"")</f>
        <v/>
      </c>
      <c r="AJ104" s="905" t="str">
        <f>IF(OR($V104="",$F104="",$G104=""),"",$V104/($F104*$G104))</f>
        <v/>
      </c>
      <c r="AK104" s="629" t="str">
        <f>IF($V104="","",IF($V104&gt;0,"○勝",IF($V104&lt;0,"●負","△引分")))</f>
        <v/>
      </c>
    </row>
    <row r="105" spans="1:37" ht="35.4" customHeight="1">
      <c r="A105" s="619" t="str">
        <f>IF(B105="","",HYPERLINK("https://kabutan.jp/stock/?code="&amp;B105,"株探"))</f>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BT$3,0)=1,1,MATCH($E105,始値!$E$3:$BT$3,0)+1)),_xlpm.v,INDEX(始値!$C$6:$B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IF(OR(F105="",G105="",H105=""),"",IF(C105="売",(F105-H105)*G105,(H105-F105)*G105))</f>
        <v/>
      </c>
      <c r="L105" s="706" t="str">
        <f>IF(OR(F105="",H105=""),"",IF(C105="売",(F105-H105)/F105,(H105-F105)/F105))</f>
        <v/>
      </c>
      <c r="M105" s="491" t="str">
        <f>IF($F105="","",IF($C105="売",CEILING($F105*IF($C105="売",1-$AX$3,1+$AX$3),IF($F105*IF($C105="売",1-$AX$3,1+$AX$3)&lt;=3000,1,IF($F105*IF($C105="売",1-$AX$3,1+$AX$3)&lt;=5000,5,IF($F105*IF($C105="売",1-$AX$3,1+$AX$3)&lt;=30000,10,IF($F105*IF($C105="売",1-$AX$3,1+$AX$3)&lt;=50000,50,IF($F105*IF($C105="売",1-$AX$3,1+$AX$3)&lt;=300000,100,500)))))),FLOOR($F105*IF($C105="売",1-$AX$3,1+$AX$3),IF($F105*IF($C105="売",1-$AX$3,1+$AX$3)&lt;=3000,1,IF($F105*IF($C105="売",1-$AX$3,1+$AX$3)&lt;=5000,5,IF($F105*IF($C105="売",1-$AX$3,1+$AX$3)&lt;=30000,10,IF($F105*IF($C105="売",1-$AX$3,1+$AX$3)&lt;=50000,50,IF($F105*IF($C105="売",1-$AX$3,1+$AX$3)&lt;=300000,100,500))))))))</f>
      </c>
      <c r="N105" s="491" t="str">
        <f>IF($F105="","",IF($C105="売",CEILING($F105*IF($C105="売",1+$AX$2,1-$AX$2),IF($F105*IF($C105="売",1+$AX$2,1-$AX$2)&lt;=3000,1,IF($F105*IF($C105="売",1+$AX$2,1-$AX$2)&lt;=5000,5,IF($F105*IF($C105="売",1+$AX$2,1-$AX$2)&lt;=30000,10,IF($F105*IF($C105="売",1+$AX$2,1-$AX$2)&lt;=50000,50,IF($F105*IF($C105="売",1+$AX$2,1-$AX$2)&lt;=300000,100,500)))))),FLOOR($F105*IF($C105="売",1+$AX$2,1-$AX$2),IF($F105*IF($C105="売",1+$AX$2,1-$AX$2)&lt;=3000,1,IF($F105*IF($C105="売",1+$AX$2,1-$AX$2)&lt;=5000,5,IF($F105*IF($C105="売",1+$AX$2,1-$AX$2)&lt;=30000,10,IF($F105*IF($C105="売",1+$AX$2,1-$AX$2)&lt;=50000,50,IF($F105*IF($C105="売",1+$AX$2,1-$AX$2)&lt;=300000,100,500))))))))</f>
      </c>
      <c r="O105" s="492" t="str">
        <f>IF(OR($B105="",$F105="",$H105=""),"",IF($S105="✅売却済","―決済済―",IF($C105="売",IF($H105&lt;=$M105,"🟢利確",IF(AND($R105&lt;&gt;"",$H105&gt;=$R105),"🟠TRAIL決済",IF($H105&gt;=$N105,"🔴損切",IF($W105&gt;=$AX$5,"⏱時間決済",IF($H105&gt;=$F105*(1+$AX$2*0.7),"⚠️損切接近","保持継続"))))),IF($H105&gt;=$M105,"🟢利確",IF(AND($R105&lt;&gt;"",$H105&lt;=$R105),"🟠TRAIL決済",IF($H105&lt;=$N105,"🔴損切",IF($W105&gt;=$AX$5,"⏱時間決済",IF($H105&lt;=$F105*(1-$AX$2*0.7),"⚠️損切接近","保持継続")))))))</f>
      </c>
      <c r="P105" s="491"/>
      <c r="Q105" s="491"/>
      <c r="R105" s="491" t="str">
        <f>IF(OR($F105="",$H105="",$N105=""),"",IF($S105="✅売却済","",IF($C105="売",IF($H105&gt;$F105*(1-$AX$2),$N105,CEILING(MIN($N105,IF($Q105="",$N105,$Q105*1.03)),IF($N105&lt;=3000,1,IF($N105&lt;=5000,5,IF($N105&lt;=30000,10,IF($N105&lt;=50000,50,IF($N105&lt;=300000,100,500))))))),IF($H105&lt;$F105*(1+$AX$2),$N105,FLOOR(MAX($N105,IF($P105="",$N105,$P105*0.97)),IF($N105&lt;=3000,1,IF($N105&lt;=5000,5,IF($N105&lt;=30000,10,IF($N105&lt;=50000,50,IF($N105&lt;=300000,100,500))))))))))</f>
      </c>
      <c r="S105" s="586" t="str">
        <f>IF(B105="","",IF(T105&lt;&gt;"","✅売却済",IF(OR(H105="",L105=""),"📌保有中",IF(L105&gt;=0.06,"🟢利確推奨",IF(L105&gt;=0.05,"🟡利確直近",IF(L105&gt;=0.045,"🔵トレーリング検討",IF(L105&gt;-0.03,"📌保有中",IF(L105&gt;-0.04,"⚠️損切注意","🔴損切り"))))))))</f>
        <v/>
      </c>
      <c r="T105" s="594"/>
      <c r="U105" s="491"/>
      <c r="V105" s="701" t="str">
        <f>IF(OR(F105="",G105="",U105=""),"",IF(C105="売",(F105-U105)*G105,(U105-F105)*G105))</f>
        <v/>
      </c>
      <c r="W105" s="493" t="str">
        <f>IF(OR($E105="",$B105=""),"",IF($T105&lt;&gt;"",$T105-$E105,TODAY()-$E105)+1)</f>
        <v/>
      </c>
      <c r="X105" s="489" t="str">
        <f>IF(OR($AH105="",$AH105="保有中"),"",$AH105)</f>
        <v/>
      </c>
      <c r="Y105" s="488">
        <f>IF($B105="","",IF(COUNTIFS($B$4:$B105,$B105,$C$4:$C105,$C105)&gt;1,"⛔重複"&amp;COUNTIFS($B$4:$B105,$B105,$C$4:$C105,$C105)&amp;"回目",""))</f>
      </c>
      <c r="Z105" s="710"/>
      <c r="AB105">
        <f>IF($F105="","",MAX(100,ROUNDDOWN($AX$4/($F105*$AX$2)/100,0)*100))</f>
      </c>
      <c r="AC105">
        <f>IF(OR($F105="",$G105="",$U105=""),"",ROUND($V105-($F105+$U105)*$G105*$AX$6-IF($C105="売",$F105*$G105*$AX$7*$W105/365,0),0))</f>
      </c>
      <c r="AD105" s="608"/>
      <c r="AE105" s="624" t="str">
        <f>IF($E105="","",WORKDAY($E105,12))</f>
        <v/>
      </c>
      <c r="AF105" s="626"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26"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0" t="str">
        <f>IF(OR($B105="",$M105=""),"",IF(AND(N($AF105)=0,N($AG105)=0),IF(AND(ISNUMBER($H105),$H105&gt;0,IF($C105="売",$H105&gt;=$N105,$H105&lt;=$N105)),"損切確定",IF(AND(ISNUMBER($H105),$H105&gt;0,IF($C105="売",$H105&lt;=$M105,$H105&gt;=$M105)),"利益確定",IF($AE105&lt;=TODAY(),"日数制限","保有中"))),IF(N($AG105)=0,"利益確定",IF(N($AF105)=0,"損切確定",IF($AG105&lt;=$AF105,"損切確定","利益確定")))))</f>
        <v/>
      </c>
      <c r="AI105" s="600" t="str" cm="1">
        <f t="array" ref="AI105">IFERROR(INDEX(始値!$E$6:$BT$305,MATCH(TEXT($B105,"0"),TEXT(銘柄管理!$B$6:$B$305,"0"),0),MATCH($AE105,始値!$E$3:$BT$3,0)),"")</f>
        <v/>
      </c>
      <c r="AJ105" s="905" t="str">
        <f>IF(OR($V105="",$F105="",$G105=""),"",$V105/($F105*$G105))</f>
        <v/>
      </c>
      <c r="AK105" s="629" t="str">
        <f>IF($V105="","",IF($V105&gt;0,"○勝",IF($V105&lt;0,"●負","△引分")))</f>
        <v/>
      </c>
    </row>
    <row r="106" spans="1:37" ht="35.4" customHeight="1">
      <c r="A106" s="619" t="str">
        <f>IF(B106="","",HYPERLINK("https://kabutan.jp/stock/?code="&amp;B106,"株探"))</f>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BT$3,0)=1,1,MATCH($E106,始値!$E$3:$BT$3,0)+1)),_xlpm.v,INDEX(始値!$C$6:$B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IF(OR(F106="",G106="",H106=""),"",IF(C106="売",(F106-H106)*G106,(H106-F106)*G106))</f>
        <v/>
      </c>
      <c r="L106" s="706" t="str">
        <f>IF(OR(F106="",H106=""),"",IF(C106="売",(F106-H106)/F106,(H106-F106)/F106))</f>
        <v/>
      </c>
      <c r="M106" s="491" t="str">
        <f>IF($F106="","",IF($C106="売",CEILING($F106*IF($C106="売",1-$AX$3,1+$AX$3),IF($F106*IF($C106="売",1-$AX$3,1+$AX$3)&lt;=3000,1,IF($F106*IF($C106="売",1-$AX$3,1+$AX$3)&lt;=5000,5,IF($F106*IF($C106="売",1-$AX$3,1+$AX$3)&lt;=30000,10,IF($F106*IF($C106="売",1-$AX$3,1+$AX$3)&lt;=50000,50,IF($F106*IF($C106="売",1-$AX$3,1+$AX$3)&lt;=300000,100,500)))))),FLOOR($F106*IF($C106="売",1-$AX$3,1+$AX$3),IF($F106*IF($C106="売",1-$AX$3,1+$AX$3)&lt;=3000,1,IF($F106*IF($C106="売",1-$AX$3,1+$AX$3)&lt;=5000,5,IF($F106*IF($C106="売",1-$AX$3,1+$AX$3)&lt;=30000,10,IF($F106*IF($C106="売",1-$AX$3,1+$AX$3)&lt;=50000,50,IF($F106*IF($C106="売",1-$AX$3,1+$AX$3)&lt;=300000,100,500))))))))</f>
      </c>
      <c r="N106" s="491" t="str">
        <f>IF($F106="","",IF($C106="売",CEILING($F106*IF($C106="売",1+$AX$2,1-$AX$2),IF($F106*IF($C106="売",1+$AX$2,1-$AX$2)&lt;=3000,1,IF($F106*IF($C106="売",1+$AX$2,1-$AX$2)&lt;=5000,5,IF($F106*IF($C106="売",1+$AX$2,1-$AX$2)&lt;=30000,10,IF($F106*IF($C106="売",1+$AX$2,1-$AX$2)&lt;=50000,50,IF($F106*IF($C106="売",1+$AX$2,1-$AX$2)&lt;=300000,100,500)))))),FLOOR($F106*IF($C106="売",1+$AX$2,1-$AX$2),IF($F106*IF($C106="売",1+$AX$2,1-$AX$2)&lt;=3000,1,IF($F106*IF($C106="売",1+$AX$2,1-$AX$2)&lt;=5000,5,IF($F106*IF($C106="売",1+$AX$2,1-$AX$2)&lt;=30000,10,IF($F106*IF($C106="売",1+$AX$2,1-$AX$2)&lt;=50000,50,IF($F106*IF($C106="売",1+$AX$2,1-$AX$2)&lt;=300000,100,500))))))))</f>
      </c>
      <c r="O106" s="492" t="str">
        <f>IF(OR($B106="",$F106="",$H106=""),"",IF($S106="✅売却済","―決済済―",IF($C106="売",IF($H106&lt;=$M106,"🟢利確",IF(AND($R106&lt;&gt;"",$H106&gt;=$R106),"🟠TRAIL決済",IF($H106&gt;=$N106,"🔴損切",IF($W106&gt;=$AX$5,"⏱時間決済",IF($H106&gt;=$F106*(1+$AX$2*0.7),"⚠️損切接近","保持継続"))))),IF($H106&gt;=$M106,"🟢利確",IF(AND($R106&lt;&gt;"",$H106&lt;=$R106),"🟠TRAIL決済",IF($H106&lt;=$N106,"🔴損切",IF($W106&gt;=$AX$5,"⏱時間決済",IF($H106&lt;=$F106*(1-$AX$2*0.7),"⚠️損切接近","保持継続")))))))</f>
      </c>
      <c r="P106" s="491"/>
      <c r="Q106" s="491"/>
      <c r="R106" s="491" t="str">
        <f>IF(OR($F106="",$H106="",$N106=""),"",IF($S106="✅売却済","",IF($C106="売",IF($H106&gt;$F106*(1-$AX$2),$N106,CEILING(MIN($N106,IF($Q106="",$N106,$Q106*1.03)),IF($N106&lt;=3000,1,IF($N106&lt;=5000,5,IF($N106&lt;=30000,10,IF($N106&lt;=50000,50,IF($N106&lt;=300000,100,500))))))),IF($H106&lt;$F106*(1+$AX$2),$N106,FLOOR(MAX($N106,IF($P106="",$N106,$P106*0.97)),IF($N106&lt;=3000,1,IF($N106&lt;=5000,5,IF($N106&lt;=30000,10,IF($N106&lt;=50000,50,IF($N106&lt;=300000,100,500))))))))))</f>
      </c>
      <c r="S106" s="586" t="str">
        <f>IF(B106="","",IF(T106&lt;&gt;"","✅売却済",IF(OR(H106="",L106=""),"📌保有中",IF(L106&gt;=0.06,"🟢利確推奨",IF(L106&gt;=0.05,"🟡利確直近",IF(L106&gt;=0.045,"🔵トレーリング検討",IF(L106&gt;-0.03,"📌保有中",IF(L106&gt;-0.04,"⚠️損切注意","🔴損切り"))))))))</f>
        <v/>
      </c>
      <c r="T106" s="594"/>
      <c r="U106" s="491"/>
      <c r="V106" s="701" t="str">
        <f>IF(OR(F106="",G106="",U106=""),"",IF(C106="売",(F106-U106)*G106,(U106-F106)*G106))</f>
        <v/>
      </c>
      <c r="W106" s="493" t="str">
        <f>IF(OR($E106="",$B106=""),"",IF($T106&lt;&gt;"",$T106-$E106,TODAY()-$E106)+1)</f>
        <v/>
      </c>
      <c r="X106" s="489" t="str">
        <f>IF(OR($AH106="",$AH106="保有中"),"",$AH106)</f>
        <v/>
      </c>
      <c r="Y106" s="488">
        <f>IF($B106="","",IF(COUNTIFS($B$4:$B106,$B106,$C$4:$C106,$C106)&gt;1,"⛔重複"&amp;COUNTIFS($B$4:$B106,$B106,$C$4:$C106,$C106)&amp;"回目",""))</f>
      </c>
      <c r="Z106" s="710"/>
      <c r="AB106">
        <f>IF($F106="","",MAX(100,ROUNDDOWN($AX$4/($F106*$AX$2)/100,0)*100))</f>
      </c>
      <c r="AC106">
        <f>IF(OR($F106="",$G106="",$U106=""),"",ROUND($V106-($F106+$U106)*$G106*$AX$6-IF($C106="売",$F106*$G106*$AX$7*$W106/365,0),0))</f>
      </c>
      <c r="AD106" s="608"/>
      <c r="AE106" s="624" t="str">
        <f>IF($E106="","",WORKDAY($E106,12))</f>
        <v/>
      </c>
      <c r="AF106" s="626"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26"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0" t="str">
        <f>IF(OR($B106="",$M106=""),"",IF(AND(N($AF106)=0,N($AG106)=0),IF(AND(ISNUMBER($H106),$H106&gt;0,IF($C106="売",$H106&gt;=$N106,$H106&lt;=$N106)),"損切確定",IF(AND(ISNUMBER($H106),$H106&gt;0,IF($C106="売",$H106&lt;=$M106,$H106&gt;=$M106)),"利益確定",IF($AE106&lt;=TODAY(),"日数制限","保有中"))),IF(N($AG106)=0,"利益確定",IF(N($AF106)=0,"損切確定",IF($AG106&lt;=$AF106,"損切確定","利益確定")))))</f>
        <v/>
      </c>
      <c r="AI106" s="600" t="str" cm="1">
        <f t="array" ref="AI106">IFERROR(INDEX(始値!$E$6:$BT$305,MATCH(TEXT($B106,"0"),TEXT(銘柄管理!$B$6:$B$305,"0"),0),MATCH($AE106,始値!$E$3:$BT$3,0)),"")</f>
        <v/>
      </c>
      <c r="AJ106" s="905" t="str">
        <f>IF(OR($V106="",$F106="",$G106=""),"",$V106/($F106*$G106))</f>
        <v/>
      </c>
      <c r="AK106" s="629" t="str">
        <f>IF($V106="","",IF($V106&gt;0,"○勝",IF($V106&lt;0,"●負","△引分")))</f>
        <v/>
      </c>
    </row>
    <row r="107" spans="1:37" ht="35.4" customHeight="1">
      <c r="A107" s="619" t="str">
        <f>IF(B107="","",HYPERLINK("https://kabutan.jp/stock/?code="&amp;B107,"株探"))</f>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BT$3,0)=1,1,MATCH($E107,始値!$E$3:$BT$3,0)+1)),_xlpm.v,INDEX(始値!$C$6:$B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IF(OR(F107="",G107="",H107=""),"",IF(C107="売",(F107-H107)*G107,(H107-F107)*G107))</f>
        <v/>
      </c>
      <c r="L107" s="706" t="str">
        <f>IF(OR(F107="",H107=""),"",IF(C107="売",(F107-H107)/F107,(H107-F107)/F107))</f>
        <v/>
      </c>
      <c r="M107" s="491" t="str">
        <f>IF($F107="","",IF($C107="売",CEILING($F107*IF($C107="売",1-$AX$3,1+$AX$3),IF($F107*IF($C107="売",1-$AX$3,1+$AX$3)&lt;=3000,1,IF($F107*IF($C107="売",1-$AX$3,1+$AX$3)&lt;=5000,5,IF($F107*IF($C107="売",1-$AX$3,1+$AX$3)&lt;=30000,10,IF($F107*IF($C107="売",1-$AX$3,1+$AX$3)&lt;=50000,50,IF($F107*IF($C107="売",1-$AX$3,1+$AX$3)&lt;=300000,100,500)))))),FLOOR($F107*IF($C107="売",1-$AX$3,1+$AX$3),IF($F107*IF($C107="売",1-$AX$3,1+$AX$3)&lt;=3000,1,IF($F107*IF($C107="売",1-$AX$3,1+$AX$3)&lt;=5000,5,IF($F107*IF($C107="売",1-$AX$3,1+$AX$3)&lt;=30000,10,IF($F107*IF($C107="売",1-$AX$3,1+$AX$3)&lt;=50000,50,IF($F107*IF($C107="売",1-$AX$3,1+$AX$3)&lt;=300000,100,500))))))))</f>
      </c>
      <c r="N107" s="491" t="str">
        <f>IF($F107="","",IF($C107="売",CEILING($F107*IF($C107="売",1+$AX$2,1-$AX$2),IF($F107*IF($C107="売",1+$AX$2,1-$AX$2)&lt;=3000,1,IF($F107*IF($C107="売",1+$AX$2,1-$AX$2)&lt;=5000,5,IF($F107*IF($C107="売",1+$AX$2,1-$AX$2)&lt;=30000,10,IF($F107*IF($C107="売",1+$AX$2,1-$AX$2)&lt;=50000,50,IF($F107*IF($C107="売",1+$AX$2,1-$AX$2)&lt;=300000,100,500)))))),FLOOR($F107*IF($C107="売",1+$AX$2,1-$AX$2),IF($F107*IF($C107="売",1+$AX$2,1-$AX$2)&lt;=3000,1,IF($F107*IF($C107="売",1+$AX$2,1-$AX$2)&lt;=5000,5,IF($F107*IF($C107="売",1+$AX$2,1-$AX$2)&lt;=30000,10,IF($F107*IF($C107="売",1+$AX$2,1-$AX$2)&lt;=50000,50,IF($F107*IF($C107="売",1+$AX$2,1-$AX$2)&lt;=300000,100,500))))))))</f>
      </c>
      <c r="O107" s="492" t="str">
        <f>IF(OR($B107="",$F107="",$H107=""),"",IF($S107="✅売却済","―決済済―",IF($C107="売",IF($H107&lt;=$M107,"🟢利確",IF(AND($R107&lt;&gt;"",$H107&gt;=$R107),"🟠TRAIL決済",IF($H107&gt;=$N107,"🔴損切",IF($W107&gt;=$AX$5,"⏱時間決済",IF($H107&gt;=$F107*(1+$AX$2*0.7),"⚠️損切接近","保持継続"))))),IF($H107&gt;=$M107,"🟢利確",IF(AND($R107&lt;&gt;"",$H107&lt;=$R107),"🟠TRAIL決済",IF($H107&lt;=$N107,"🔴損切",IF($W107&gt;=$AX$5,"⏱時間決済",IF($H107&lt;=$F107*(1-$AX$2*0.7),"⚠️損切接近","保持継続")))))))</f>
      </c>
      <c r="P107" s="491"/>
      <c r="Q107" s="491"/>
      <c r="R107" s="491" t="str">
        <f>IF(OR($F107="",$H107="",$N107=""),"",IF($S107="✅売却済","",IF($C107="売",IF($H107&gt;$F107*(1-$AX$2),$N107,CEILING(MIN($N107,IF($Q107="",$N107,$Q107*1.03)),IF($N107&lt;=3000,1,IF($N107&lt;=5000,5,IF($N107&lt;=30000,10,IF($N107&lt;=50000,50,IF($N107&lt;=300000,100,500))))))),IF($H107&lt;$F107*(1+$AX$2),$N107,FLOOR(MAX($N107,IF($P107="",$N107,$P107*0.97)),IF($N107&lt;=3000,1,IF($N107&lt;=5000,5,IF($N107&lt;=30000,10,IF($N107&lt;=50000,50,IF($N107&lt;=300000,100,500))))))))))</f>
      </c>
      <c r="S107" s="586" t="str">
        <f>IF(B107="","",IF(T107&lt;&gt;"","✅売却済",IF(OR(H107="",L107=""),"📌保有中",IF(L107&gt;=0.06,"🟢利確推奨",IF(L107&gt;=0.05,"🟡利確直近",IF(L107&gt;=0.045,"🔵トレーリング検討",IF(L107&gt;-0.03,"📌保有中",IF(L107&gt;-0.04,"⚠️損切注意","🔴損切り"))))))))</f>
        <v/>
      </c>
      <c r="T107" s="594"/>
      <c r="U107" s="491"/>
      <c r="V107" s="701" t="str">
        <f>IF(OR(F107="",G107="",U107=""),"",IF(C107="売",(F107-U107)*G107,(U107-F107)*G107))</f>
        <v/>
      </c>
      <c r="W107" s="493" t="str">
        <f>IF(OR($E107="",$B107=""),"",IF($T107&lt;&gt;"",$T107-$E107,TODAY()-$E107)+1)</f>
        <v/>
      </c>
      <c r="X107" s="489" t="str">
        <f>IF(OR($AH107="",$AH107="保有中"),"",$AH107)</f>
        <v/>
      </c>
      <c r="Y107" s="488">
        <f>IF($B107="","",IF(COUNTIFS($B$4:$B107,$B107,$C$4:$C107,$C107)&gt;1,"⛔重複"&amp;COUNTIFS($B$4:$B107,$B107,$C$4:$C107,$C107)&amp;"回目",""))</f>
      </c>
      <c r="Z107" s="710"/>
      <c r="AB107">
        <f>IF($F107="","",MAX(100,ROUNDDOWN($AX$4/($F107*$AX$2)/100,0)*100))</f>
      </c>
      <c r="AC107">
        <f>IF(OR($F107="",$G107="",$U107=""),"",ROUND($V107-($F107+$U107)*$G107*$AX$6-IF($C107="売",$F107*$G107*$AX$7*$W107/365,0),0))</f>
      </c>
      <c r="AD107" s="608"/>
      <c r="AE107" s="624" t="str">
        <f>IF($E107="","",WORKDAY($E107,12))</f>
        <v/>
      </c>
      <c r="AF107" s="626"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26"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0" t="str">
        <f>IF(OR($B107="",$M107=""),"",IF(AND(N($AF107)=0,N($AG107)=0),IF(AND(ISNUMBER($H107),$H107&gt;0,IF($C107="売",$H107&gt;=$N107,$H107&lt;=$N107)),"損切確定",IF(AND(ISNUMBER($H107),$H107&gt;0,IF($C107="売",$H107&lt;=$M107,$H107&gt;=$M107)),"利益確定",IF($AE107&lt;=TODAY(),"日数制限","保有中"))),IF(N($AG107)=0,"利益確定",IF(N($AF107)=0,"損切確定",IF($AG107&lt;=$AF107,"損切確定","利益確定")))))</f>
        <v/>
      </c>
      <c r="AI107" s="600" t="str" cm="1">
        <f t="array" ref="AI107">IFERROR(INDEX(始値!$E$6:$BT$305,MATCH(TEXT($B107,"0"),TEXT(銘柄管理!$B$6:$B$305,"0"),0),MATCH($AE107,始値!$E$3:$BT$3,0)),"")</f>
        <v/>
      </c>
      <c r="AJ107" s="905" t="str">
        <f>IF(OR($V107="",$F107="",$G107=""),"",$V107/($F107*$G107))</f>
        <v/>
      </c>
      <c r="AK107" s="629" t="str">
        <f>IF($V107="","",IF($V107&gt;0,"○勝",IF($V107&lt;0,"●負","△引分")))</f>
        <v/>
      </c>
    </row>
    <row r="108" spans="1:37" ht="35.4" customHeight="1">
      <c r="A108" s="619" t="str">
        <f>IF(B108="","",HYPERLINK("https://kabutan.jp/stock/?code="&amp;B108,"株探"))</f>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BT$3,0)=1,1,MATCH($E108,始値!$E$3:$BT$3,0)+1)),_xlpm.v,INDEX(始値!$C$6:$B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IF(OR(F108="",G108="",H108=""),"",IF(C108="売",(F108-H108)*G108,(H108-F108)*G108))</f>
        <v/>
      </c>
      <c r="L108" s="706" t="str">
        <f>IF(OR(F108="",H108=""),"",IF(C108="売",(F108-H108)/F108,(H108-F108)/F108))</f>
        <v/>
      </c>
      <c r="M108" s="491" t="str">
        <f>IF($F108="","",IF($C108="売",CEILING($F108*IF($C108="売",1-$AX$3,1+$AX$3),IF($F108*IF($C108="売",1-$AX$3,1+$AX$3)&lt;=3000,1,IF($F108*IF($C108="売",1-$AX$3,1+$AX$3)&lt;=5000,5,IF($F108*IF($C108="売",1-$AX$3,1+$AX$3)&lt;=30000,10,IF($F108*IF($C108="売",1-$AX$3,1+$AX$3)&lt;=50000,50,IF($F108*IF($C108="売",1-$AX$3,1+$AX$3)&lt;=300000,100,500)))))),FLOOR($F108*IF($C108="売",1-$AX$3,1+$AX$3),IF($F108*IF($C108="売",1-$AX$3,1+$AX$3)&lt;=3000,1,IF($F108*IF($C108="売",1-$AX$3,1+$AX$3)&lt;=5000,5,IF($F108*IF($C108="売",1-$AX$3,1+$AX$3)&lt;=30000,10,IF($F108*IF($C108="売",1-$AX$3,1+$AX$3)&lt;=50000,50,IF($F108*IF($C108="売",1-$AX$3,1+$AX$3)&lt;=300000,100,500))))))))</f>
      </c>
      <c r="N108" s="491" t="str">
        <f>IF($F108="","",IF($C108="売",CEILING($F108*IF($C108="売",1+$AX$2,1-$AX$2),IF($F108*IF($C108="売",1+$AX$2,1-$AX$2)&lt;=3000,1,IF($F108*IF($C108="売",1+$AX$2,1-$AX$2)&lt;=5000,5,IF($F108*IF($C108="売",1+$AX$2,1-$AX$2)&lt;=30000,10,IF($F108*IF($C108="売",1+$AX$2,1-$AX$2)&lt;=50000,50,IF($F108*IF($C108="売",1+$AX$2,1-$AX$2)&lt;=300000,100,500)))))),FLOOR($F108*IF($C108="売",1+$AX$2,1-$AX$2),IF($F108*IF($C108="売",1+$AX$2,1-$AX$2)&lt;=3000,1,IF($F108*IF($C108="売",1+$AX$2,1-$AX$2)&lt;=5000,5,IF($F108*IF($C108="売",1+$AX$2,1-$AX$2)&lt;=30000,10,IF($F108*IF($C108="売",1+$AX$2,1-$AX$2)&lt;=50000,50,IF($F108*IF($C108="売",1+$AX$2,1-$AX$2)&lt;=300000,100,500))))))))</f>
      </c>
      <c r="O108" s="492" t="str">
        <f>IF(OR($B108="",$F108="",$H108=""),"",IF($S108="✅売却済","―決済済―",IF($C108="売",IF($H108&lt;=$M108,"🟢利確",IF(AND($R108&lt;&gt;"",$H108&gt;=$R108),"🟠TRAIL決済",IF($H108&gt;=$N108,"🔴損切",IF($W108&gt;=$AX$5,"⏱時間決済",IF($H108&gt;=$F108*(1+$AX$2*0.7),"⚠️損切接近","保持継続"))))),IF($H108&gt;=$M108,"🟢利確",IF(AND($R108&lt;&gt;"",$H108&lt;=$R108),"🟠TRAIL決済",IF($H108&lt;=$N108,"🔴損切",IF($W108&gt;=$AX$5,"⏱時間決済",IF($H108&lt;=$F108*(1-$AX$2*0.7),"⚠️損切接近","保持継続")))))))</f>
      </c>
      <c r="P108" s="491"/>
      <c r="Q108" s="491"/>
      <c r="R108" s="491" t="str">
        <f>IF(OR($F108="",$H108="",$N108=""),"",IF($S108="✅売却済","",IF($C108="売",IF($H108&gt;$F108*(1-$AX$2),$N108,CEILING(MIN($N108,IF($Q108="",$N108,$Q108*1.03)),IF($N108&lt;=3000,1,IF($N108&lt;=5000,5,IF($N108&lt;=30000,10,IF($N108&lt;=50000,50,IF($N108&lt;=300000,100,500))))))),IF($H108&lt;$F108*(1+$AX$2),$N108,FLOOR(MAX($N108,IF($P108="",$N108,$P108*0.97)),IF($N108&lt;=3000,1,IF($N108&lt;=5000,5,IF($N108&lt;=30000,10,IF($N108&lt;=50000,50,IF($N108&lt;=300000,100,500))))))))))</f>
      </c>
      <c r="S108" s="586" t="str">
        <f>IF(B108="","",IF(T108&lt;&gt;"","✅売却済",IF(OR(H108="",L108=""),"📌保有中",IF(L108&gt;=0.06,"🟢利確推奨",IF(L108&gt;=0.05,"🟡利確直近",IF(L108&gt;=0.045,"🔵トレーリング検討",IF(L108&gt;-0.03,"📌保有中",IF(L108&gt;-0.04,"⚠️損切注意","🔴損切り"))))))))</f>
        <v/>
      </c>
      <c r="T108" s="594"/>
      <c r="U108" s="491"/>
      <c r="V108" s="701" t="str">
        <f>IF(OR(F108="",G108="",U108=""),"",IF(C108="売",(F108-U108)*G108,(U108-F108)*G108))</f>
        <v/>
      </c>
      <c r="W108" s="493" t="str">
        <f>IF(OR($E108="",$B108=""),"",IF($T108&lt;&gt;"",$T108-$E108,TODAY()-$E108)+1)</f>
        <v/>
      </c>
      <c r="X108" s="489" t="str">
        <f>IF(OR($AH108="",$AH108="保有中"),"",$AH108)</f>
        <v/>
      </c>
      <c r="Y108" s="488">
        <f>IF($B108="","",IF(COUNTIFS($B$4:$B108,$B108,$C$4:$C108,$C108)&gt;1,"⛔重複"&amp;COUNTIFS($B$4:$B108,$B108,$C$4:$C108,$C108)&amp;"回目",""))</f>
      </c>
      <c r="Z108" s="710"/>
      <c r="AB108">
        <f>IF($F108="","",MAX(100,ROUNDDOWN($AX$4/($F108*$AX$2)/100,0)*100))</f>
      </c>
      <c r="AC108">
        <f>IF(OR($F108="",$G108="",$U108=""),"",ROUND($V108-($F108+$U108)*$G108*$AX$6-IF($C108="売",$F108*$G108*$AX$7*$W108/365,0),0))</f>
      </c>
      <c r="AD108" s="608"/>
      <c r="AE108" s="624" t="str">
        <f>IF($E108="","",WORKDAY($E108,12))</f>
        <v/>
      </c>
      <c r="AF108" s="626"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26"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0" t="str">
        <f>IF(OR($B108="",$M108=""),"",IF(AND(N($AF108)=0,N($AG108)=0),IF(AND(ISNUMBER($H108),$H108&gt;0,IF($C108="売",$H108&gt;=$N108,$H108&lt;=$N108)),"損切確定",IF(AND(ISNUMBER($H108),$H108&gt;0,IF($C108="売",$H108&lt;=$M108,$H108&gt;=$M108)),"利益確定",IF($AE108&lt;=TODAY(),"日数制限","保有中"))),IF(N($AG108)=0,"利益確定",IF(N($AF108)=0,"損切確定",IF($AG108&lt;=$AF108,"損切確定","利益確定")))))</f>
        <v/>
      </c>
      <c r="AI108" s="600" t="str" cm="1">
        <f t="array" ref="AI108">IFERROR(INDEX(始値!$E$6:$BT$305,MATCH(TEXT($B108,"0"),TEXT(銘柄管理!$B$6:$B$305,"0"),0),MATCH($AE108,始値!$E$3:$BT$3,0)),"")</f>
        <v/>
      </c>
      <c r="AJ108" s="905" t="str">
        <f>IF(OR($V108="",$F108="",$G108=""),"",$V108/($F108*$G108))</f>
        <v/>
      </c>
      <c r="AK108" s="629" t="str">
        <f>IF($V108="","",IF($V108&gt;0,"○勝",IF($V108&lt;0,"●負","△引分")))</f>
        <v/>
      </c>
    </row>
    <row r="109" spans="1:37" ht="35.4" customHeight="1">
      <c r="A109" s="619" t="str">
        <f>IF(B109="","",HYPERLINK("https://kabutan.jp/stock/?code="&amp;B109,"株探"))</f>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BT$3,0)=1,1,MATCH($E109,始値!$E$3:$BT$3,0)+1)),_xlpm.v,INDEX(始値!$C$6:$B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IF(OR(F109="",G109="",H109=""),"",IF(C109="売",(F109-H109)*G109,(H109-F109)*G109))</f>
        <v/>
      </c>
      <c r="L109" s="706" t="str">
        <f>IF(OR(F109="",H109=""),"",IF(C109="売",(F109-H109)/F109,(H109-F109)/F109))</f>
        <v/>
      </c>
      <c r="M109" s="491" t="str">
        <f>IF($F109="","",IF($C109="売",CEILING($F109*IF($C109="売",1-$AX$3,1+$AX$3),IF($F109*IF($C109="売",1-$AX$3,1+$AX$3)&lt;=3000,1,IF($F109*IF($C109="売",1-$AX$3,1+$AX$3)&lt;=5000,5,IF($F109*IF($C109="売",1-$AX$3,1+$AX$3)&lt;=30000,10,IF($F109*IF($C109="売",1-$AX$3,1+$AX$3)&lt;=50000,50,IF($F109*IF($C109="売",1-$AX$3,1+$AX$3)&lt;=300000,100,500)))))),FLOOR($F109*IF($C109="売",1-$AX$3,1+$AX$3),IF($F109*IF($C109="売",1-$AX$3,1+$AX$3)&lt;=3000,1,IF($F109*IF($C109="売",1-$AX$3,1+$AX$3)&lt;=5000,5,IF($F109*IF($C109="売",1-$AX$3,1+$AX$3)&lt;=30000,10,IF($F109*IF($C109="売",1-$AX$3,1+$AX$3)&lt;=50000,50,IF($F109*IF($C109="売",1-$AX$3,1+$AX$3)&lt;=300000,100,500))))))))</f>
      </c>
      <c r="N109" s="491" t="str">
        <f>IF($F109="","",IF($C109="売",CEILING($F109*IF($C109="売",1+$AX$2,1-$AX$2),IF($F109*IF($C109="売",1+$AX$2,1-$AX$2)&lt;=3000,1,IF($F109*IF($C109="売",1+$AX$2,1-$AX$2)&lt;=5000,5,IF($F109*IF($C109="売",1+$AX$2,1-$AX$2)&lt;=30000,10,IF($F109*IF($C109="売",1+$AX$2,1-$AX$2)&lt;=50000,50,IF($F109*IF($C109="売",1+$AX$2,1-$AX$2)&lt;=300000,100,500)))))),FLOOR($F109*IF($C109="売",1+$AX$2,1-$AX$2),IF($F109*IF($C109="売",1+$AX$2,1-$AX$2)&lt;=3000,1,IF($F109*IF($C109="売",1+$AX$2,1-$AX$2)&lt;=5000,5,IF($F109*IF($C109="売",1+$AX$2,1-$AX$2)&lt;=30000,10,IF($F109*IF($C109="売",1+$AX$2,1-$AX$2)&lt;=50000,50,IF($F109*IF($C109="売",1+$AX$2,1-$AX$2)&lt;=300000,100,500))))))))</f>
      </c>
      <c r="O109" s="492" t="str">
        <f>IF(OR($B109="",$F109="",$H109=""),"",IF($S109="✅売却済","―決済済―",IF($C109="売",IF($H109&lt;=$M109,"🟢利確",IF(AND($R109&lt;&gt;"",$H109&gt;=$R109),"🟠TRAIL決済",IF($H109&gt;=$N109,"🔴損切",IF($W109&gt;=$AX$5,"⏱時間決済",IF($H109&gt;=$F109*(1+$AX$2*0.7),"⚠️損切接近","保持継続"))))),IF($H109&gt;=$M109,"🟢利確",IF(AND($R109&lt;&gt;"",$H109&lt;=$R109),"🟠TRAIL決済",IF($H109&lt;=$N109,"🔴損切",IF($W109&gt;=$AX$5,"⏱時間決済",IF($H109&lt;=$F109*(1-$AX$2*0.7),"⚠️損切接近","保持継続")))))))</f>
      </c>
      <c r="P109" s="491"/>
      <c r="Q109" s="491"/>
      <c r="R109" s="491" t="str">
        <f>IF(OR($F109="",$H109="",$N109=""),"",IF($S109="✅売却済","",IF($C109="売",IF($H109&gt;$F109*(1-$AX$2),$N109,CEILING(MIN($N109,IF($Q109="",$N109,$Q109*1.03)),IF($N109&lt;=3000,1,IF($N109&lt;=5000,5,IF($N109&lt;=30000,10,IF($N109&lt;=50000,50,IF($N109&lt;=300000,100,500))))))),IF($H109&lt;$F109*(1+$AX$2),$N109,FLOOR(MAX($N109,IF($P109="",$N109,$P109*0.97)),IF($N109&lt;=3000,1,IF($N109&lt;=5000,5,IF($N109&lt;=30000,10,IF($N109&lt;=50000,50,IF($N109&lt;=300000,100,500))))))))))</f>
      </c>
      <c r="S109" s="586" t="str">
        <f>IF(B109="","",IF(T109&lt;&gt;"","✅売却済",IF(OR(H109="",L109=""),"📌保有中",IF(L109&gt;=0.06,"🟢利確推奨",IF(L109&gt;=0.05,"🟡利確直近",IF(L109&gt;=0.045,"🔵トレーリング検討",IF(L109&gt;-0.03,"📌保有中",IF(L109&gt;-0.04,"⚠️損切注意","🔴損切り"))))))))</f>
        <v/>
      </c>
      <c r="T109" s="594"/>
      <c r="U109" s="491"/>
      <c r="V109" s="701" t="str">
        <f>IF(OR(F109="",G109="",U109=""),"",IF(C109="売",(F109-U109)*G109,(U109-F109)*G109))</f>
        <v/>
      </c>
      <c r="W109" s="493" t="str">
        <f>IF(OR($E109="",$B109=""),"",IF($T109&lt;&gt;"",$T109-$E109,TODAY()-$E109)+1)</f>
        <v/>
      </c>
      <c r="X109" s="489" t="str">
        <f>IF(OR($AH109="",$AH109="保有中"),"",$AH109)</f>
        <v/>
      </c>
      <c r="Y109" s="488">
        <f>IF($B109="","",IF(COUNTIFS($B$4:$B109,$B109,$C$4:$C109,$C109)&gt;1,"⛔重複"&amp;COUNTIFS($B$4:$B109,$B109,$C$4:$C109,$C109)&amp;"回目",""))</f>
      </c>
      <c r="Z109" s="710"/>
      <c r="AB109">
        <f>IF($F109="","",MAX(100,ROUNDDOWN($AX$4/($F109*$AX$2)/100,0)*100))</f>
      </c>
      <c r="AC109">
        <f>IF(OR($F109="",$G109="",$U109=""),"",ROUND($V109-($F109+$U109)*$G109*$AX$6-IF($C109="売",$F109*$G109*$AX$7*$W109/365,0),0))</f>
      </c>
      <c r="AD109" s="608"/>
      <c r="AE109" s="624" t="str">
        <f>IF($E109="","",WORKDAY($E109,12))</f>
        <v/>
      </c>
      <c r="AF109" s="626"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26"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0" t="str">
        <f>IF(OR($B109="",$M109=""),"",IF(AND(N($AF109)=0,N($AG109)=0),IF(AND(ISNUMBER($H109),$H109&gt;0,IF($C109="売",$H109&gt;=$N109,$H109&lt;=$N109)),"損切確定",IF(AND(ISNUMBER($H109),$H109&gt;0,IF($C109="売",$H109&lt;=$M109,$H109&gt;=$M109)),"利益確定",IF($AE109&lt;=TODAY(),"日数制限","保有中"))),IF(N($AG109)=0,"利益確定",IF(N($AF109)=0,"損切確定",IF($AG109&lt;=$AF109,"損切確定","利益確定")))))</f>
        <v/>
      </c>
      <c r="AI109" s="600" t="str" cm="1">
        <f t="array" ref="AI109">IFERROR(INDEX(始値!$E$6:$BT$305,MATCH(TEXT($B109,"0"),TEXT(銘柄管理!$B$6:$B$305,"0"),0),MATCH($AE109,始値!$E$3:$BT$3,0)),"")</f>
        <v/>
      </c>
      <c r="AJ109" s="905" t="str">
        <f>IF(OR($V109="",$F109="",$G109=""),"",$V109/($F109*$G109))</f>
        <v/>
      </c>
      <c r="AK109" s="629" t="str">
        <f>IF($V109="","",IF($V109&gt;0,"○勝",IF($V109&lt;0,"●負","△引分")))</f>
        <v/>
      </c>
    </row>
    <row r="110" spans="1:37" ht="35.4" customHeight="1">
      <c r="A110" s="619" t="str">
        <f>IF(B110="","",HYPERLINK("https://kabutan.jp/stock/?code="&amp;B110,"株探"))</f>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BT$3,0)=1,1,MATCH($E110,始値!$E$3:$BT$3,0)+1)),_xlpm.v,INDEX(始値!$C$6:$B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IF(OR(F110="",G110="",H110=""),"",IF(C110="売",(F110-H110)*G110,(H110-F110)*G110))</f>
        <v/>
      </c>
      <c r="L110" s="706" t="str">
        <f>IF(OR(F110="",H110=""),"",IF(C110="売",(F110-H110)/F110,(H110-F110)/F110))</f>
        <v/>
      </c>
      <c r="M110" s="491" t="str">
        <f>IF($F110="","",IF($C110="売",CEILING($F110*IF($C110="売",1-$AX$3,1+$AX$3),IF($F110*IF($C110="売",1-$AX$3,1+$AX$3)&lt;=3000,1,IF($F110*IF($C110="売",1-$AX$3,1+$AX$3)&lt;=5000,5,IF($F110*IF($C110="売",1-$AX$3,1+$AX$3)&lt;=30000,10,IF($F110*IF($C110="売",1-$AX$3,1+$AX$3)&lt;=50000,50,IF($F110*IF($C110="売",1-$AX$3,1+$AX$3)&lt;=300000,100,500)))))),FLOOR($F110*IF($C110="売",1-$AX$3,1+$AX$3),IF($F110*IF($C110="売",1-$AX$3,1+$AX$3)&lt;=3000,1,IF($F110*IF($C110="売",1-$AX$3,1+$AX$3)&lt;=5000,5,IF($F110*IF($C110="売",1-$AX$3,1+$AX$3)&lt;=30000,10,IF($F110*IF($C110="売",1-$AX$3,1+$AX$3)&lt;=50000,50,IF($F110*IF($C110="売",1-$AX$3,1+$AX$3)&lt;=300000,100,500))))))))</f>
      </c>
      <c r="N110" s="491" t="str">
        <f>IF($F110="","",IF($C110="売",CEILING($F110*IF($C110="売",1+$AX$2,1-$AX$2),IF($F110*IF($C110="売",1+$AX$2,1-$AX$2)&lt;=3000,1,IF($F110*IF($C110="売",1+$AX$2,1-$AX$2)&lt;=5000,5,IF($F110*IF($C110="売",1+$AX$2,1-$AX$2)&lt;=30000,10,IF($F110*IF($C110="売",1+$AX$2,1-$AX$2)&lt;=50000,50,IF($F110*IF($C110="売",1+$AX$2,1-$AX$2)&lt;=300000,100,500)))))),FLOOR($F110*IF($C110="売",1+$AX$2,1-$AX$2),IF($F110*IF($C110="売",1+$AX$2,1-$AX$2)&lt;=3000,1,IF($F110*IF($C110="売",1+$AX$2,1-$AX$2)&lt;=5000,5,IF($F110*IF($C110="売",1+$AX$2,1-$AX$2)&lt;=30000,10,IF($F110*IF($C110="売",1+$AX$2,1-$AX$2)&lt;=50000,50,IF($F110*IF($C110="売",1+$AX$2,1-$AX$2)&lt;=300000,100,500))))))))</f>
      </c>
      <c r="O110" s="492" t="str">
        <f>IF(OR($B110="",$F110="",$H110=""),"",IF($S110="✅売却済","―決済済―",IF($C110="売",IF($H110&lt;=$M110,"🟢利確",IF(AND($R110&lt;&gt;"",$H110&gt;=$R110),"🟠TRAIL決済",IF($H110&gt;=$N110,"🔴損切",IF($W110&gt;=$AX$5,"⏱時間決済",IF($H110&gt;=$F110*(1+$AX$2*0.7),"⚠️損切接近","保持継続"))))),IF($H110&gt;=$M110,"🟢利確",IF(AND($R110&lt;&gt;"",$H110&lt;=$R110),"🟠TRAIL決済",IF($H110&lt;=$N110,"🔴損切",IF($W110&gt;=$AX$5,"⏱時間決済",IF($H110&lt;=$F110*(1-$AX$2*0.7),"⚠️損切接近","保持継続")))))))</f>
      </c>
      <c r="P110" s="491"/>
      <c r="Q110" s="491"/>
      <c r="R110" s="491" t="str">
        <f>IF(OR($F110="",$H110="",$N110=""),"",IF($S110="✅売却済","",IF($C110="売",IF($H110&gt;$F110*(1-$AX$2),$N110,CEILING(MIN($N110,IF($Q110="",$N110,$Q110*1.03)),IF($N110&lt;=3000,1,IF($N110&lt;=5000,5,IF($N110&lt;=30000,10,IF($N110&lt;=50000,50,IF($N110&lt;=300000,100,500))))))),IF($H110&lt;$F110*(1+$AX$2),$N110,FLOOR(MAX($N110,IF($P110="",$N110,$P110*0.97)),IF($N110&lt;=3000,1,IF($N110&lt;=5000,5,IF($N110&lt;=30000,10,IF($N110&lt;=50000,50,IF($N110&lt;=300000,100,500))))))))))</f>
      </c>
      <c r="S110" s="586" t="str">
        <f>IF(B110="","",IF(T110&lt;&gt;"","✅売却済",IF(OR(H110="",L110=""),"📌保有中",IF(L110&gt;=0.06,"🟢利確推奨",IF(L110&gt;=0.05,"🟡利確直近",IF(L110&gt;=0.045,"🔵トレーリング検討",IF(L110&gt;-0.03,"📌保有中",IF(L110&gt;-0.04,"⚠️損切注意","🔴損切り"))))))))</f>
        <v/>
      </c>
      <c r="T110" s="594"/>
      <c r="U110" s="491"/>
      <c r="V110" s="701" t="str">
        <f>IF(OR(F110="",G110="",U110=""),"",IF(C110="売",(F110-U110)*G110,(U110-F110)*G110))</f>
        <v/>
      </c>
      <c r="W110" s="493" t="str">
        <f>IF(OR($E110="",$B110=""),"",IF($T110&lt;&gt;"",$T110-$E110,TODAY()-$E110)+1)</f>
        <v/>
      </c>
      <c r="X110" s="489" t="str">
        <f>IF(OR($AH110="",$AH110="保有中"),"",$AH110)</f>
        <v/>
      </c>
      <c r="Y110" s="488">
        <f>IF($B110="","",IF(COUNTIFS($B$4:$B110,$B110,$C$4:$C110,$C110)&gt;1,"⛔重複"&amp;COUNTIFS($B$4:$B110,$B110,$C$4:$C110,$C110)&amp;"回目",""))</f>
      </c>
      <c r="Z110" s="710"/>
      <c r="AB110">
        <f>IF($F110="","",MAX(100,ROUNDDOWN($AX$4/($F110*$AX$2)/100,0)*100))</f>
      </c>
      <c r="AC110">
        <f>IF(OR($F110="",$G110="",$U110=""),"",ROUND($V110-($F110+$U110)*$G110*$AX$6-IF($C110="売",$F110*$G110*$AX$7*$W110/365,0),0))</f>
      </c>
      <c r="AD110" s="608"/>
      <c r="AE110" s="624" t="str">
        <f>IF($E110="","",WORKDAY($E110,12))</f>
        <v/>
      </c>
      <c r="AF110" s="626"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26"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0" t="str">
        <f>IF(OR($B110="",$M110=""),"",IF(AND(N($AF110)=0,N($AG110)=0),IF(AND(ISNUMBER($H110),$H110&gt;0,IF($C110="売",$H110&gt;=$N110,$H110&lt;=$N110)),"損切確定",IF(AND(ISNUMBER($H110),$H110&gt;0,IF($C110="売",$H110&lt;=$M110,$H110&gt;=$M110)),"利益確定",IF($AE110&lt;=TODAY(),"日数制限","保有中"))),IF(N($AG110)=0,"利益確定",IF(N($AF110)=0,"損切確定",IF($AG110&lt;=$AF110,"損切確定","利益確定")))))</f>
        <v/>
      </c>
      <c r="AI110" s="600" t="str" cm="1">
        <f t="array" ref="AI110">IFERROR(INDEX(始値!$E$6:$BT$305,MATCH(TEXT($B110,"0"),TEXT(銘柄管理!$B$6:$B$305,"0"),0),MATCH($AE110,始値!$E$3:$BT$3,0)),"")</f>
        <v/>
      </c>
      <c r="AJ110" s="905" t="str">
        <f>IF(OR($V110="",$F110="",$G110=""),"",$V110/($F110*$G110))</f>
        <v/>
      </c>
      <c r="AK110" s="629" t="str">
        <f>IF($V110="","",IF($V110&gt;0,"○勝",IF($V110&lt;0,"●負","△引分")))</f>
        <v/>
      </c>
    </row>
    <row r="111" spans="1:37" ht="35.4" customHeight="1">
      <c r="A111" s="619" t="str">
        <f>IF(B111="","",HYPERLINK("https://kabutan.jp/stock/?code="&amp;B111,"株探"))</f>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BT$3,0)=1,1,MATCH($E111,始値!$E$3:$BT$3,0)+1)),_xlpm.v,INDEX(始値!$C$6:$B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IF(OR(F111="",G111="",H111=""),"",IF(C111="売",(F111-H111)*G111,(H111-F111)*G111))</f>
        <v/>
      </c>
      <c r="L111" s="706" t="str">
        <f>IF(OR(F111="",H111=""),"",IF(C111="売",(F111-H111)/F111,(H111-F111)/F111))</f>
        <v/>
      </c>
      <c r="M111" s="491" t="str">
        <f>IF($F111="","",IF($C111="売",CEILING($F111*IF($C111="売",1-$AX$3,1+$AX$3),IF($F111*IF($C111="売",1-$AX$3,1+$AX$3)&lt;=3000,1,IF($F111*IF($C111="売",1-$AX$3,1+$AX$3)&lt;=5000,5,IF($F111*IF($C111="売",1-$AX$3,1+$AX$3)&lt;=30000,10,IF($F111*IF($C111="売",1-$AX$3,1+$AX$3)&lt;=50000,50,IF($F111*IF($C111="売",1-$AX$3,1+$AX$3)&lt;=300000,100,500)))))),FLOOR($F111*IF($C111="売",1-$AX$3,1+$AX$3),IF($F111*IF($C111="売",1-$AX$3,1+$AX$3)&lt;=3000,1,IF($F111*IF($C111="売",1-$AX$3,1+$AX$3)&lt;=5000,5,IF($F111*IF($C111="売",1-$AX$3,1+$AX$3)&lt;=30000,10,IF($F111*IF($C111="売",1-$AX$3,1+$AX$3)&lt;=50000,50,IF($F111*IF($C111="売",1-$AX$3,1+$AX$3)&lt;=300000,100,500))))))))</f>
      </c>
      <c r="N111" s="491" t="str">
        <f>IF($F111="","",IF($C111="売",CEILING($F111*IF($C111="売",1+$AX$2,1-$AX$2),IF($F111*IF($C111="売",1+$AX$2,1-$AX$2)&lt;=3000,1,IF($F111*IF($C111="売",1+$AX$2,1-$AX$2)&lt;=5000,5,IF($F111*IF($C111="売",1+$AX$2,1-$AX$2)&lt;=30000,10,IF($F111*IF($C111="売",1+$AX$2,1-$AX$2)&lt;=50000,50,IF($F111*IF($C111="売",1+$AX$2,1-$AX$2)&lt;=300000,100,500)))))),FLOOR($F111*IF($C111="売",1+$AX$2,1-$AX$2),IF($F111*IF($C111="売",1+$AX$2,1-$AX$2)&lt;=3000,1,IF($F111*IF($C111="売",1+$AX$2,1-$AX$2)&lt;=5000,5,IF($F111*IF($C111="売",1+$AX$2,1-$AX$2)&lt;=30000,10,IF($F111*IF($C111="売",1+$AX$2,1-$AX$2)&lt;=50000,50,IF($F111*IF($C111="売",1+$AX$2,1-$AX$2)&lt;=300000,100,500))))))))</f>
      </c>
      <c r="O111" s="492" t="str">
        <f>IF(OR($B111="",$F111="",$H111=""),"",IF($S111="✅売却済","―決済済―",IF($C111="売",IF($H111&lt;=$M111,"🟢利確",IF(AND($R111&lt;&gt;"",$H111&gt;=$R111),"🟠TRAIL決済",IF($H111&gt;=$N111,"🔴損切",IF($W111&gt;=$AX$5,"⏱時間決済",IF($H111&gt;=$F111*(1+$AX$2*0.7),"⚠️損切接近","保持継続"))))),IF($H111&gt;=$M111,"🟢利確",IF(AND($R111&lt;&gt;"",$H111&lt;=$R111),"🟠TRAIL決済",IF($H111&lt;=$N111,"🔴損切",IF($W111&gt;=$AX$5,"⏱時間決済",IF($H111&lt;=$F111*(1-$AX$2*0.7),"⚠️損切接近","保持継続")))))))</f>
      </c>
      <c r="P111" s="491"/>
      <c r="Q111" s="491"/>
      <c r="R111" s="491" t="str">
        <f>IF(OR($F111="",$H111="",$N111=""),"",IF($S111="✅売却済","",IF($C111="売",IF($H111&gt;$F111*(1-$AX$2),$N111,CEILING(MIN($N111,IF($Q111="",$N111,$Q111*1.03)),IF($N111&lt;=3000,1,IF($N111&lt;=5000,5,IF($N111&lt;=30000,10,IF($N111&lt;=50000,50,IF($N111&lt;=300000,100,500))))))),IF($H111&lt;$F111*(1+$AX$2),$N111,FLOOR(MAX($N111,IF($P111="",$N111,$P111*0.97)),IF($N111&lt;=3000,1,IF($N111&lt;=5000,5,IF($N111&lt;=30000,10,IF($N111&lt;=50000,50,IF($N111&lt;=300000,100,500))))))))))</f>
      </c>
      <c r="S111" s="586" t="str">
        <f>IF(B111="","",IF(T111&lt;&gt;"","✅売却済",IF(OR(H111="",L111=""),"📌保有中",IF(L111&gt;=0.06,"🟢利確推奨",IF(L111&gt;=0.05,"🟡利確直近",IF(L111&gt;=0.045,"🔵トレーリング検討",IF(L111&gt;-0.03,"📌保有中",IF(L111&gt;-0.04,"⚠️損切注意","🔴損切り"))))))))</f>
        <v/>
      </c>
      <c r="T111" s="594"/>
      <c r="U111" s="491"/>
      <c r="V111" s="701" t="str">
        <f>IF(OR(F111="",G111="",U111=""),"",IF(C111="売",(F111-U111)*G111,(U111-F111)*G111))</f>
        <v/>
      </c>
      <c r="W111" s="493" t="str">
        <f>IF(OR($E111="",$B111=""),"",IF($T111&lt;&gt;"",$T111-$E111,TODAY()-$E111)+1)</f>
        <v/>
      </c>
      <c r="X111" s="489" t="str">
        <f>IF(OR($AH111="",$AH111="保有中"),"",$AH111)</f>
        <v/>
      </c>
      <c r="Y111" s="488">
        <f>IF($B111="","",IF(COUNTIFS($B$4:$B111,$B111,$C$4:$C111,$C111)&gt;1,"⛔重複"&amp;COUNTIFS($B$4:$B111,$B111,$C$4:$C111,$C111)&amp;"回目",""))</f>
      </c>
      <c r="Z111" s="710"/>
      <c r="AB111">
        <f>IF($F111="","",MAX(100,ROUNDDOWN($AX$4/($F111*$AX$2)/100,0)*100))</f>
      </c>
      <c r="AC111">
        <f>IF(OR($F111="",$G111="",$U111=""),"",ROUND($V111-($F111+$U111)*$G111*$AX$6-IF($C111="売",$F111*$G111*$AX$7*$W111/365,0),0))</f>
      </c>
      <c r="AD111" s="608"/>
      <c r="AE111" s="624" t="str">
        <f>IF($E111="","",WORKDAY($E111,12))</f>
        <v/>
      </c>
      <c r="AF111" s="626"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26"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0" t="str">
        <f>IF(OR($B111="",$M111=""),"",IF(AND(N($AF111)=0,N($AG111)=0),IF(AND(ISNUMBER($H111),$H111&gt;0,IF($C111="売",$H111&gt;=$N111,$H111&lt;=$N111)),"損切確定",IF(AND(ISNUMBER($H111),$H111&gt;0,IF($C111="売",$H111&lt;=$M111,$H111&gt;=$M111)),"利益確定",IF($AE111&lt;=TODAY(),"日数制限","保有中"))),IF(N($AG111)=0,"利益確定",IF(N($AF111)=0,"損切確定",IF($AG111&lt;=$AF111,"損切確定","利益確定")))))</f>
        <v/>
      </c>
      <c r="AI111" s="600" t="str" cm="1">
        <f t="array" ref="AI111">IFERROR(INDEX(始値!$E$6:$BT$305,MATCH(TEXT($B111,"0"),TEXT(銘柄管理!$B$6:$B$305,"0"),0),MATCH($AE111,始値!$E$3:$BT$3,0)),"")</f>
        <v/>
      </c>
      <c r="AJ111" s="905" t="str">
        <f>IF(OR($V111="",$F111="",$G111=""),"",$V111/($F111*$G111))</f>
        <v/>
      </c>
      <c r="AK111" s="629" t="str">
        <f>IF($V111="","",IF($V111&gt;0,"○勝",IF($V111&lt;0,"●負","△引分")))</f>
        <v/>
      </c>
    </row>
    <row r="112" spans="1:37" ht="35.4" customHeight="1">
      <c r="A112" s="619" t="str">
        <f>IF(B112="","",HYPERLINK("https://kabutan.jp/stock/?code="&amp;B112,"株探"))</f>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BT$3,0)=1,1,MATCH($E112,始値!$E$3:$BT$3,0)+1)),_xlpm.v,INDEX(始値!$C$6:$B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IF(OR(F112="",G112="",H112=""),"",IF(C112="売",(F112-H112)*G112,(H112-F112)*G112))</f>
        <v/>
      </c>
      <c r="L112" s="706" t="str">
        <f>IF(OR(F112="",H112=""),"",IF(C112="売",(F112-H112)/F112,(H112-F112)/F112))</f>
        <v/>
      </c>
      <c r="M112" s="491" t="str">
        <f>IF($F112="","",IF($C112="売",CEILING($F112*IF($C112="売",1-$AX$3,1+$AX$3),IF($F112*IF($C112="売",1-$AX$3,1+$AX$3)&lt;=3000,1,IF($F112*IF($C112="売",1-$AX$3,1+$AX$3)&lt;=5000,5,IF($F112*IF($C112="売",1-$AX$3,1+$AX$3)&lt;=30000,10,IF($F112*IF($C112="売",1-$AX$3,1+$AX$3)&lt;=50000,50,IF($F112*IF($C112="売",1-$AX$3,1+$AX$3)&lt;=300000,100,500)))))),FLOOR($F112*IF($C112="売",1-$AX$3,1+$AX$3),IF($F112*IF($C112="売",1-$AX$3,1+$AX$3)&lt;=3000,1,IF($F112*IF($C112="売",1-$AX$3,1+$AX$3)&lt;=5000,5,IF($F112*IF($C112="売",1-$AX$3,1+$AX$3)&lt;=30000,10,IF($F112*IF($C112="売",1-$AX$3,1+$AX$3)&lt;=50000,50,IF($F112*IF($C112="売",1-$AX$3,1+$AX$3)&lt;=300000,100,500))))))))</f>
      </c>
      <c r="N112" s="491" t="str">
        <f>IF($F112="","",IF($C112="売",CEILING($F112*IF($C112="売",1+$AX$2,1-$AX$2),IF($F112*IF($C112="売",1+$AX$2,1-$AX$2)&lt;=3000,1,IF($F112*IF($C112="売",1+$AX$2,1-$AX$2)&lt;=5000,5,IF($F112*IF($C112="売",1+$AX$2,1-$AX$2)&lt;=30000,10,IF($F112*IF($C112="売",1+$AX$2,1-$AX$2)&lt;=50000,50,IF($F112*IF($C112="売",1+$AX$2,1-$AX$2)&lt;=300000,100,500)))))),FLOOR($F112*IF($C112="売",1+$AX$2,1-$AX$2),IF($F112*IF($C112="売",1+$AX$2,1-$AX$2)&lt;=3000,1,IF($F112*IF($C112="売",1+$AX$2,1-$AX$2)&lt;=5000,5,IF($F112*IF($C112="売",1+$AX$2,1-$AX$2)&lt;=30000,10,IF($F112*IF($C112="売",1+$AX$2,1-$AX$2)&lt;=50000,50,IF($F112*IF($C112="売",1+$AX$2,1-$AX$2)&lt;=300000,100,500))))))))</f>
      </c>
      <c r="O112" s="492" t="str">
        <f>IF(OR($B112="",$F112="",$H112=""),"",IF($S112="✅売却済","―決済済―",IF($C112="売",IF($H112&lt;=$M112,"🟢利確",IF(AND($R112&lt;&gt;"",$H112&gt;=$R112),"🟠TRAIL決済",IF($H112&gt;=$N112,"🔴損切",IF($W112&gt;=$AX$5,"⏱時間決済",IF($H112&gt;=$F112*(1+$AX$2*0.7),"⚠️損切接近","保持継続"))))),IF($H112&gt;=$M112,"🟢利確",IF(AND($R112&lt;&gt;"",$H112&lt;=$R112),"🟠TRAIL決済",IF($H112&lt;=$N112,"🔴損切",IF($W112&gt;=$AX$5,"⏱時間決済",IF($H112&lt;=$F112*(1-$AX$2*0.7),"⚠️損切接近","保持継続")))))))</f>
      </c>
      <c r="P112" s="491"/>
      <c r="Q112" s="491"/>
      <c r="R112" s="491" t="str">
        <f>IF(OR($F112="",$H112="",$N112=""),"",IF($S112="✅売却済","",IF($C112="売",IF($H112&gt;$F112*(1-$AX$2),$N112,CEILING(MIN($N112,IF($Q112="",$N112,$Q112*1.03)),IF($N112&lt;=3000,1,IF($N112&lt;=5000,5,IF($N112&lt;=30000,10,IF($N112&lt;=50000,50,IF($N112&lt;=300000,100,500))))))),IF($H112&lt;$F112*(1+$AX$2),$N112,FLOOR(MAX($N112,IF($P112="",$N112,$P112*0.97)),IF($N112&lt;=3000,1,IF($N112&lt;=5000,5,IF($N112&lt;=30000,10,IF($N112&lt;=50000,50,IF($N112&lt;=300000,100,500))))))))))</f>
      </c>
      <c r="S112" s="586" t="str">
        <f>IF(B112="","",IF(T112&lt;&gt;"","✅売却済",IF(OR(H112="",L112=""),"📌保有中",IF(L112&gt;=0.06,"🟢利確推奨",IF(L112&gt;=0.05,"🟡利確直近",IF(L112&gt;=0.045,"🔵トレーリング検討",IF(L112&gt;-0.03,"📌保有中",IF(L112&gt;-0.04,"⚠️損切注意","🔴損切り"))))))))</f>
        <v/>
      </c>
      <c r="T112" s="594"/>
      <c r="U112" s="491"/>
      <c r="V112" s="701" t="str">
        <f>IF(OR(F112="",G112="",U112=""),"",IF(C112="売",(F112-U112)*G112,(U112-F112)*G112))</f>
        <v/>
      </c>
      <c r="W112" s="493" t="str">
        <f>IF(OR($E112="",$B112=""),"",IF($T112&lt;&gt;"",$T112-$E112,TODAY()-$E112)+1)</f>
        <v/>
      </c>
      <c r="X112" s="489" t="str">
        <f>IF(OR($AH112="",$AH112="保有中"),"",$AH112)</f>
        <v/>
      </c>
      <c r="Y112" s="488">
        <f>IF($B112="","",IF(COUNTIFS($B$4:$B112,$B112,$C$4:$C112,$C112)&gt;1,"⛔重複"&amp;COUNTIFS($B$4:$B112,$B112,$C$4:$C112,$C112)&amp;"回目",""))</f>
      </c>
      <c r="Z112" s="710"/>
      <c r="AB112">
        <f>IF($F112="","",MAX(100,ROUNDDOWN($AX$4/($F112*$AX$2)/100,0)*100))</f>
      </c>
      <c r="AC112">
        <f>IF(OR($F112="",$G112="",$U112=""),"",ROUND($V112-($F112+$U112)*$G112*$AX$6-IF($C112="売",$F112*$G112*$AX$7*$W112/365,0),0))</f>
      </c>
      <c r="AD112" s="608"/>
      <c r="AE112" s="624" t="str">
        <f>IF($E112="","",WORKDAY($E112,12))</f>
        <v/>
      </c>
      <c r="AF112" s="626"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26"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0" t="str">
        <f>IF(OR($B112="",$M112=""),"",IF(AND(N($AF112)=0,N($AG112)=0),IF(AND(ISNUMBER($H112),$H112&gt;0,IF($C112="売",$H112&gt;=$N112,$H112&lt;=$N112)),"損切確定",IF(AND(ISNUMBER($H112),$H112&gt;0,IF($C112="売",$H112&lt;=$M112,$H112&gt;=$M112)),"利益確定",IF($AE112&lt;=TODAY(),"日数制限","保有中"))),IF(N($AG112)=0,"利益確定",IF(N($AF112)=0,"損切確定",IF($AG112&lt;=$AF112,"損切確定","利益確定")))))</f>
        <v/>
      </c>
      <c r="AI112" s="600" t="str" cm="1">
        <f t="array" ref="AI112">IFERROR(INDEX(始値!$E$6:$BT$305,MATCH(TEXT($B112,"0"),TEXT(銘柄管理!$B$6:$B$305,"0"),0),MATCH($AE112,始値!$E$3:$BT$3,0)),"")</f>
        <v/>
      </c>
      <c r="AJ112" s="905" t="str">
        <f>IF(OR($V112="",$F112="",$G112=""),"",$V112/($F112*$G112))</f>
        <v/>
      </c>
      <c r="AK112" s="629" t="str">
        <f>IF($V112="","",IF($V112&gt;0,"○勝",IF($V112&lt;0,"●負","△引分")))</f>
        <v/>
      </c>
    </row>
    <row r="113" spans="1:37" ht="35.4" customHeight="1">
      <c r="A113" s="619" t="str">
        <f>IF(B113="","",HYPERLINK("https://kabutan.jp/stock/?code="&amp;B113,"株探"))</f>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BT$3,0)=1,1,MATCH($E113,始値!$E$3:$BT$3,0)+1)),_xlpm.v,INDEX(始値!$C$6:$B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IF(OR(F113="",G113="",H113=""),"",IF(C113="売",(F113-H113)*G113,(H113-F113)*G113))</f>
        <v/>
      </c>
      <c r="L113" s="706" t="str">
        <f>IF(OR(F113="",H113=""),"",IF(C113="売",(F113-H113)/F113,(H113-F113)/F113))</f>
        <v/>
      </c>
      <c r="M113" s="491" t="str">
        <f>IF($F113="","",IF($C113="売",CEILING($F113*IF($C113="売",1-$AX$3,1+$AX$3),IF($F113*IF($C113="売",1-$AX$3,1+$AX$3)&lt;=3000,1,IF($F113*IF($C113="売",1-$AX$3,1+$AX$3)&lt;=5000,5,IF($F113*IF($C113="売",1-$AX$3,1+$AX$3)&lt;=30000,10,IF($F113*IF($C113="売",1-$AX$3,1+$AX$3)&lt;=50000,50,IF($F113*IF($C113="売",1-$AX$3,1+$AX$3)&lt;=300000,100,500)))))),FLOOR($F113*IF($C113="売",1-$AX$3,1+$AX$3),IF($F113*IF($C113="売",1-$AX$3,1+$AX$3)&lt;=3000,1,IF($F113*IF($C113="売",1-$AX$3,1+$AX$3)&lt;=5000,5,IF($F113*IF($C113="売",1-$AX$3,1+$AX$3)&lt;=30000,10,IF($F113*IF($C113="売",1-$AX$3,1+$AX$3)&lt;=50000,50,IF($F113*IF($C113="売",1-$AX$3,1+$AX$3)&lt;=300000,100,500))))))))</f>
      </c>
      <c r="N113" s="491" t="str">
        <f>IF($F113="","",IF($C113="売",CEILING($F113*IF($C113="売",1+$AX$2,1-$AX$2),IF($F113*IF($C113="売",1+$AX$2,1-$AX$2)&lt;=3000,1,IF($F113*IF($C113="売",1+$AX$2,1-$AX$2)&lt;=5000,5,IF($F113*IF($C113="売",1+$AX$2,1-$AX$2)&lt;=30000,10,IF($F113*IF($C113="売",1+$AX$2,1-$AX$2)&lt;=50000,50,IF($F113*IF($C113="売",1+$AX$2,1-$AX$2)&lt;=300000,100,500)))))),FLOOR($F113*IF($C113="売",1+$AX$2,1-$AX$2),IF($F113*IF($C113="売",1+$AX$2,1-$AX$2)&lt;=3000,1,IF($F113*IF($C113="売",1+$AX$2,1-$AX$2)&lt;=5000,5,IF($F113*IF($C113="売",1+$AX$2,1-$AX$2)&lt;=30000,10,IF($F113*IF($C113="売",1+$AX$2,1-$AX$2)&lt;=50000,50,IF($F113*IF($C113="売",1+$AX$2,1-$AX$2)&lt;=300000,100,500))))))))</f>
      </c>
      <c r="O113" s="492" t="str">
        <f>IF(OR($B113="",$F113="",$H113=""),"",IF($S113="✅売却済","―決済済―",IF($C113="売",IF($H113&lt;=$M113,"🟢利確",IF(AND($R113&lt;&gt;"",$H113&gt;=$R113),"🟠TRAIL決済",IF($H113&gt;=$N113,"🔴損切",IF($W113&gt;=$AX$5,"⏱時間決済",IF($H113&gt;=$F113*(1+$AX$2*0.7),"⚠️損切接近","保持継続"))))),IF($H113&gt;=$M113,"🟢利確",IF(AND($R113&lt;&gt;"",$H113&lt;=$R113),"🟠TRAIL決済",IF($H113&lt;=$N113,"🔴損切",IF($W113&gt;=$AX$5,"⏱時間決済",IF($H113&lt;=$F113*(1-$AX$2*0.7),"⚠️損切接近","保持継続")))))))</f>
      </c>
      <c r="P113" s="491"/>
      <c r="Q113" s="491"/>
      <c r="R113" s="491" t="str">
        <f>IF(OR($F113="",$H113="",$N113=""),"",IF($S113="✅売却済","",IF($C113="売",IF($H113&gt;$F113*(1-$AX$2),$N113,CEILING(MIN($N113,IF($Q113="",$N113,$Q113*1.03)),IF($N113&lt;=3000,1,IF($N113&lt;=5000,5,IF($N113&lt;=30000,10,IF($N113&lt;=50000,50,IF($N113&lt;=300000,100,500))))))),IF($H113&lt;$F113*(1+$AX$2),$N113,FLOOR(MAX($N113,IF($P113="",$N113,$P113*0.97)),IF($N113&lt;=3000,1,IF($N113&lt;=5000,5,IF($N113&lt;=30000,10,IF($N113&lt;=50000,50,IF($N113&lt;=300000,100,500))))))))))</f>
      </c>
      <c r="S113" s="586" t="str">
        <f>IF(B113="","",IF(T113&lt;&gt;"","✅売却済",IF(OR(H113="",L113=""),"📌保有中",IF(L113&gt;=0.06,"🟢利確推奨",IF(L113&gt;=0.05,"🟡利確直近",IF(L113&gt;=0.045,"🔵トレーリング検討",IF(L113&gt;-0.03,"📌保有中",IF(L113&gt;-0.04,"⚠️損切注意","🔴損切り"))))))))</f>
        <v/>
      </c>
      <c r="T113" s="594"/>
      <c r="U113" s="491"/>
      <c r="V113" s="701" t="str">
        <f>IF(OR(F113="",G113="",U113=""),"",IF(C113="売",(F113-U113)*G113,(U113-F113)*G113))</f>
        <v/>
      </c>
      <c r="W113" s="493" t="str">
        <f>IF(OR($E113="",$B113=""),"",IF($T113&lt;&gt;"",$T113-$E113,TODAY()-$E113)+1)</f>
        <v/>
      </c>
      <c r="X113" s="489" t="str">
        <f>IF(OR($AH113="",$AH113="保有中"),"",$AH113)</f>
        <v/>
      </c>
      <c r="Y113" s="488">
        <f>IF($B113="","",IF(COUNTIFS($B$4:$B113,$B113,$C$4:$C113,$C113)&gt;1,"⛔重複"&amp;COUNTIFS($B$4:$B113,$B113,$C$4:$C113,$C113)&amp;"回目",""))</f>
      </c>
      <c r="Z113" s="710"/>
      <c r="AB113">
        <f>IF($F113="","",MAX(100,ROUNDDOWN($AX$4/($F113*$AX$2)/100,0)*100))</f>
      </c>
      <c r="AC113">
        <f>IF(OR($F113="",$G113="",$U113=""),"",ROUND($V113-($F113+$U113)*$G113*$AX$6-IF($C113="売",$F113*$G113*$AX$7*$W113/365,0),0))</f>
      </c>
      <c r="AD113" s="608"/>
      <c r="AE113" s="624" t="str">
        <f>IF($E113="","",WORKDAY($E113,12))</f>
        <v/>
      </c>
      <c r="AF113" s="626"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26"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0" t="str">
        <f>IF(OR($B113="",$M113=""),"",IF(AND(N($AF113)=0,N($AG113)=0),IF(AND(ISNUMBER($H113),$H113&gt;0,IF($C113="売",$H113&gt;=$N113,$H113&lt;=$N113)),"損切確定",IF(AND(ISNUMBER($H113),$H113&gt;0,IF($C113="売",$H113&lt;=$M113,$H113&gt;=$M113)),"利益確定",IF($AE113&lt;=TODAY(),"日数制限","保有中"))),IF(N($AG113)=0,"利益確定",IF(N($AF113)=0,"損切確定",IF($AG113&lt;=$AF113,"損切確定","利益確定")))))</f>
        <v/>
      </c>
      <c r="AI113" s="600" t="str" cm="1">
        <f t="array" ref="AI113">IFERROR(INDEX(始値!$E$6:$BT$305,MATCH(TEXT($B113,"0"),TEXT(銘柄管理!$B$6:$B$305,"0"),0),MATCH($AE113,始値!$E$3:$BT$3,0)),"")</f>
        <v/>
      </c>
      <c r="AJ113" s="905" t="str">
        <f>IF(OR($V113="",$F113="",$G113=""),"",$V113/($F113*$G113))</f>
        <v/>
      </c>
      <c r="AK113" s="629" t="str">
        <f>IF($V113="","",IF($V113&gt;0,"○勝",IF($V113&lt;0,"●負","△引分")))</f>
        <v/>
      </c>
    </row>
    <row r="114" spans="1:37" ht="35.4" customHeight="1">
      <c r="A114" s="619" t="str">
        <f>IF(B114="","",HYPERLINK("https://kabutan.jp/stock/?code="&amp;B114,"株探"))</f>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BT$3,0)=1,1,MATCH($E114,始値!$E$3:$BT$3,0)+1)),_xlpm.v,INDEX(始値!$C$6:$B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IF(OR(F114="",G114="",H114=""),"",IF(C114="売",(F114-H114)*G114,(H114-F114)*G114))</f>
        <v/>
      </c>
      <c r="L114" s="706" t="str">
        <f>IF(OR(F114="",H114=""),"",IF(C114="売",(F114-H114)/F114,(H114-F114)/F114))</f>
        <v/>
      </c>
      <c r="M114" s="491" t="str">
        <f>IF($F114="","",IF($C114="売",CEILING($F114*IF($C114="売",1-$AX$3,1+$AX$3),IF($F114*IF($C114="売",1-$AX$3,1+$AX$3)&lt;=3000,1,IF($F114*IF($C114="売",1-$AX$3,1+$AX$3)&lt;=5000,5,IF($F114*IF($C114="売",1-$AX$3,1+$AX$3)&lt;=30000,10,IF($F114*IF($C114="売",1-$AX$3,1+$AX$3)&lt;=50000,50,IF($F114*IF($C114="売",1-$AX$3,1+$AX$3)&lt;=300000,100,500)))))),FLOOR($F114*IF($C114="売",1-$AX$3,1+$AX$3),IF($F114*IF($C114="売",1-$AX$3,1+$AX$3)&lt;=3000,1,IF($F114*IF($C114="売",1-$AX$3,1+$AX$3)&lt;=5000,5,IF($F114*IF($C114="売",1-$AX$3,1+$AX$3)&lt;=30000,10,IF($F114*IF($C114="売",1-$AX$3,1+$AX$3)&lt;=50000,50,IF($F114*IF($C114="売",1-$AX$3,1+$AX$3)&lt;=300000,100,500))))))))</f>
      </c>
      <c r="N114" s="491" t="str">
        <f>IF($F114="","",IF($C114="売",CEILING($F114*IF($C114="売",1+$AX$2,1-$AX$2),IF($F114*IF($C114="売",1+$AX$2,1-$AX$2)&lt;=3000,1,IF($F114*IF($C114="売",1+$AX$2,1-$AX$2)&lt;=5000,5,IF($F114*IF($C114="売",1+$AX$2,1-$AX$2)&lt;=30000,10,IF($F114*IF($C114="売",1+$AX$2,1-$AX$2)&lt;=50000,50,IF($F114*IF($C114="売",1+$AX$2,1-$AX$2)&lt;=300000,100,500)))))),FLOOR($F114*IF($C114="売",1+$AX$2,1-$AX$2),IF($F114*IF($C114="売",1+$AX$2,1-$AX$2)&lt;=3000,1,IF($F114*IF($C114="売",1+$AX$2,1-$AX$2)&lt;=5000,5,IF($F114*IF($C114="売",1+$AX$2,1-$AX$2)&lt;=30000,10,IF($F114*IF($C114="売",1+$AX$2,1-$AX$2)&lt;=50000,50,IF($F114*IF($C114="売",1+$AX$2,1-$AX$2)&lt;=300000,100,500))))))))</f>
      </c>
      <c r="O114" s="492" t="str">
        <f>IF(OR($B114="",$F114="",$H114=""),"",IF($S114="✅売却済","―決済済―",IF($C114="売",IF($H114&lt;=$M114,"🟢利確",IF(AND($R114&lt;&gt;"",$H114&gt;=$R114),"🟠TRAIL決済",IF($H114&gt;=$N114,"🔴損切",IF($W114&gt;=$AX$5,"⏱時間決済",IF($H114&gt;=$F114*(1+$AX$2*0.7),"⚠️損切接近","保持継続"))))),IF($H114&gt;=$M114,"🟢利確",IF(AND($R114&lt;&gt;"",$H114&lt;=$R114),"🟠TRAIL決済",IF($H114&lt;=$N114,"🔴損切",IF($W114&gt;=$AX$5,"⏱時間決済",IF($H114&lt;=$F114*(1-$AX$2*0.7),"⚠️損切接近","保持継続")))))))</f>
      </c>
      <c r="P114" s="491"/>
      <c r="Q114" s="491"/>
      <c r="R114" s="491" t="str">
        <f>IF(OR($F114="",$H114="",$N114=""),"",IF($S114="✅売却済","",IF($C114="売",IF($H114&gt;$F114*(1-$AX$2),$N114,CEILING(MIN($N114,IF($Q114="",$N114,$Q114*1.03)),IF($N114&lt;=3000,1,IF($N114&lt;=5000,5,IF($N114&lt;=30000,10,IF($N114&lt;=50000,50,IF($N114&lt;=300000,100,500))))))),IF($H114&lt;$F114*(1+$AX$2),$N114,FLOOR(MAX($N114,IF($P114="",$N114,$P114*0.97)),IF($N114&lt;=3000,1,IF($N114&lt;=5000,5,IF($N114&lt;=30000,10,IF($N114&lt;=50000,50,IF($N114&lt;=300000,100,500))))))))))</f>
      </c>
      <c r="S114" s="586" t="str">
        <f>IF(B114="","",IF(T114&lt;&gt;"","✅売却済",IF(OR(H114="",L114=""),"📌保有中",IF(L114&gt;=0.06,"🟢利確推奨",IF(L114&gt;=0.05,"🟡利確直近",IF(L114&gt;=0.045,"🔵トレーリング検討",IF(L114&gt;-0.03,"📌保有中",IF(L114&gt;-0.04,"⚠️損切注意","🔴損切り"))))))))</f>
        <v/>
      </c>
      <c r="T114" s="594"/>
      <c r="U114" s="491"/>
      <c r="V114" s="701" t="str">
        <f>IF(OR(F114="",G114="",U114=""),"",IF(C114="売",(F114-U114)*G114,(U114-F114)*G114))</f>
        <v/>
      </c>
      <c r="W114" s="493" t="str">
        <f>IF(OR($E114="",$B114=""),"",IF($T114&lt;&gt;"",$T114-$E114,TODAY()-$E114)+1)</f>
        <v/>
      </c>
      <c r="X114" s="489" t="str">
        <f>IF(OR($AH114="",$AH114="保有中"),"",$AH114)</f>
        <v/>
      </c>
      <c r="Y114" s="488">
        <f>IF($B114="","",IF(COUNTIFS($B$4:$B114,$B114,$C$4:$C114,$C114)&gt;1,"⛔重複"&amp;COUNTIFS($B$4:$B114,$B114,$C$4:$C114,$C114)&amp;"回目",""))</f>
      </c>
      <c r="Z114" s="710"/>
      <c r="AB114">
        <f>IF($F114="","",MAX(100,ROUNDDOWN($AX$4/($F114*$AX$2)/100,0)*100))</f>
      </c>
      <c r="AC114">
        <f>IF(OR($F114="",$G114="",$U114=""),"",ROUND($V114-($F114+$U114)*$G114*$AX$6-IF($C114="売",$F114*$G114*$AX$7*$W114/365,0),0))</f>
      </c>
      <c r="AD114" s="608"/>
      <c r="AE114" s="624" t="str">
        <f>IF($E114="","",WORKDAY($E114,12))</f>
        <v/>
      </c>
      <c r="AF114" s="626"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26"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0" t="str">
        <f>IF(OR($B114="",$M114=""),"",IF(AND(N($AF114)=0,N($AG114)=0),IF(AND(ISNUMBER($H114),$H114&gt;0,IF($C114="売",$H114&gt;=$N114,$H114&lt;=$N114)),"損切確定",IF(AND(ISNUMBER($H114),$H114&gt;0,IF($C114="売",$H114&lt;=$M114,$H114&gt;=$M114)),"利益確定",IF($AE114&lt;=TODAY(),"日数制限","保有中"))),IF(N($AG114)=0,"利益確定",IF(N($AF114)=0,"損切確定",IF($AG114&lt;=$AF114,"損切確定","利益確定")))))</f>
        <v/>
      </c>
      <c r="AI114" s="600" t="str" cm="1">
        <f t="array" ref="AI114">IFERROR(INDEX(始値!$E$6:$BT$305,MATCH(TEXT($B114,"0"),TEXT(銘柄管理!$B$6:$B$305,"0"),0),MATCH($AE114,始値!$E$3:$BT$3,0)),"")</f>
        <v/>
      </c>
      <c r="AJ114" s="905" t="str">
        <f>IF(OR($V114="",$F114="",$G114=""),"",$V114/($F114*$G114))</f>
        <v/>
      </c>
      <c r="AK114" s="629" t="str">
        <f>IF($V114="","",IF($V114&gt;0,"○勝",IF($V114&lt;0,"●負","△引分")))</f>
        <v/>
      </c>
    </row>
    <row r="115" spans="1:37" ht="35.4" customHeight="1">
      <c r="A115" s="619" t="str">
        <f>IF(B115="","",HYPERLINK("https://kabutan.jp/stock/?code="&amp;B115,"株探"))</f>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BT$3,0)=1,1,MATCH($E115,始値!$E$3:$BT$3,0)+1)),_xlpm.v,INDEX(始値!$C$6:$B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IF(OR(F115="",G115="",H115=""),"",IF(C115="売",(F115-H115)*G115,(H115-F115)*G115))</f>
        <v/>
      </c>
      <c r="L115" s="706" t="str">
        <f>IF(OR(F115="",H115=""),"",IF(C115="売",(F115-H115)/F115,(H115-F115)/F115))</f>
        <v/>
      </c>
      <c r="M115" s="491" t="str">
        <f>IF($F115="","",IF($C115="売",CEILING($F115*IF($C115="売",1-$AX$3,1+$AX$3),IF($F115*IF($C115="売",1-$AX$3,1+$AX$3)&lt;=3000,1,IF($F115*IF($C115="売",1-$AX$3,1+$AX$3)&lt;=5000,5,IF($F115*IF($C115="売",1-$AX$3,1+$AX$3)&lt;=30000,10,IF($F115*IF($C115="売",1-$AX$3,1+$AX$3)&lt;=50000,50,IF($F115*IF($C115="売",1-$AX$3,1+$AX$3)&lt;=300000,100,500)))))),FLOOR($F115*IF($C115="売",1-$AX$3,1+$AX$3),IF($F115*IF($C115="売",1-$AX$3,1+$AX$3)&lt;=3000,1,IF($F115*IF($C115="売",1-$AX$3,1+$AX$3)&lt;=5000,5,IF($F115*IF($C115="売",1-$AX$3,1+$AX$3)&lt;=30000,10,IF($F115*IF($C115="売",1-$AX$3,1+$AX$3)&lt;=50000,50,IF($F115*IF($C115="売",1-$AX$3,1+$AX$3)&lt;=300000,100,500))))))))</f>
      </c>
      <c r="N115" s="491" t="str">
        <f>IF($F115="","",IF($C115="売",CEILING($F115*IF($C115="売",1+$AX$2,1-$AX$2),IF($F115*IF($C115="売",1+$AX$2,1-$AX$2)&lt;=3000,1,IF($F115*IF($C115="売",1+$AX$2,1-$AX$2)&lt;=5000,5,IF($F115*IF($C115="売",1+$AX$2,1-$AX$2)&lt;=30000,10,IF($F115*IF($C115="売",1+$AX$2,1-$AX$2)&lt;=50000,50,IF($F115*IF($C115="売",1+$AX$2,1-$AX$2)&lt;=300000,100,500)))))),FLOOR($F115*IF($C115="売",1+$AX$2,1-$AX$2),IF($F115*IF($C115="売",1+$AX$2,1-$AX$2)&lt;=3000,1,IF($F115*IF($C115="売",1+$AX$2,1-$AX$2)&lt;=5000,5,IF($F115*IF($C115="売",1+$AX$2,1-$AX$2)&lt;=30000,10,IF($F115*IF($C115="売",1+$AX$2,1-$AX$2)&lt;=50000,50,IF($F115*IF($C115="売",1+$AX$2,1-$AX$2)&lt;=300000,100,500))))))))</f>
      </c>
      <c r="O115" s="492" t="str">
        <f>IF(OR($B115="",$F115="",$H115=""),"",IF($S115="✅売却済","―決済済―",IF($C115="売",IF($H115&lt;=$M115,"🟢利確",IF(AND($R115&lt;&gt;"",$H115&gt;=$R115),"🟠TRAIL決済",IF($H115&gt;=$N115,"🔴損切",IF($W115&gt;=$AX$5,"⏱時間決済",IF($H115&gt;=$F115*(1+$AX$2*0.7),"⚠️損切接近","保持継続"))))),IF($H115&gt;=$M115,"🟢利確",IF(AND($R115&lt;&gt;"",$H115&lt;=$R115),"🟠TRAIL決済",IF($H115&lt;=$N115,"🔴損切",IF($W115&gt;=$AX$5,"⏱時間決済",IF($H115&lt;=$F115*(1-$AX$2*0.7),"⚠️損切接近","保持継続")))))))</f>
      </c>
      <c r="P115" s="491"/>
      <c r="Q115" s="491"/>
      <c r="R115" s="491" t="str">
        <f>IF(OR($F115="",$H115="",$N115=""),"",IF($S115="✅売却済","",IF($C115="売",IF($H115&gt;$F115*(1-$AX$2),$N115,CEILING(MIN($N115,IF($Q115="",$N115,$Q115*1.03)),IF($N115&lt;=3000,1,IF($N115&lt;=5000,5,IF($N115&lt;=30000,10,IF($N115&lt;=50000,50,IF($N115&lt;=300000,100,500))))))),IF($H115&lt;$F115*(1+$AX$2),$N115,FLOOR(MAX($N115,IF($P115="",$N115,$P115*0.97)),IF($N115&lt;=3000,1,IF($N115&lt;=5000,5,IF($N115&lt;=30000,10,IF($N115&lt;=50000,50,IF($N115&lt;=300000,100,500))))))))))</f>
      </c>
      <c r="S115" s="586" t="str">
        <f>IF(B115="","",IF(T115&lt;&gt;"","✅売却済",IF(OR(H115="",L115=""),"📌保有中",IF(L115&gt;=0.06,"🟢利確推奨",IF(L115&gt;=0.05,"🟡利確直近",IF(L115&gt;=0.045,"🔵トレーリング検討",IF(L115&gt;-0.03,"📌保有中",IF(L115&gt;-0.04,"⚠️損切注意","🔴損切り"))))))))</f>
        <v/>
      </c>
      <c r="T115" s="594"/>
      <c r="U115" s="491"/>
      <c r="V115" s="701" t="str">
        <f>IF(OR(F115="",G115="",U115=""),"",IF(C115="売",(F115-U115)*G115,(U115-F115)*G115))</f>
        <v/>
      </c>
      <c r="W115" s="493" t="str">
        <f>IF(OR($E115="",$B115=""),"",IF($T115&lt;&gt;"",$T115-$E115,TODAY()-$E115)+1)</f>
        <v/>
      </c>
      <c r="X115" s="489" t="str">
        <f>IF(OR($AH115="",$AH115="保有中"),"",$AH115)</f>
        <v/>
      </c>
      <c r="Y115" s="488">
        <f>IF($B115="","",IF(COUNTIFS($B$4:$B115,$B115,$C$4:$C115,$C115)&gt;1,"⛔重複"&amp;COUNTIFS($B$4:$B115,$B115,$C$4:$C115,$C115)&amp;"回目",""))</f>
      </c>
      <c r="Z115" s="710"/>
      <c r="AB115">
        <f>IF($F115="","",MAX(100,ROUNDDOWN($AX$4/($F115*$AX$2)/100,0)*100))</f>
      </c>
      <c r="AC115">
        <f>IF(OR($F115="",$G115="",$U115=""),"",ROUND($V115-($F115+$U115)*$G115*$AX$6-IF($C115="売",$F115*$G115*$AX$7*$W115/365,0),0))</f>
      </c>
      <c r="AD115" s="608"/>
      <c r="AE115" s="624" t="str">
        <f>IF($E115="","",WORKDAY($E115,12))</f>
        <v/>
      </c>
      <c r="AF115" s="626"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26"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0" t="str">
        <f>IF(OR($B115="",$M115=""),"",IF(AND(N($AF115)=0,N($AG115)=0),IF(AND(ISNUMBER($H115),$H115&gt;0,IF($C115="売",$H115&gt;=$N115,$H115&lt;=$N115)),"損切確定",IF(AND(ISNUMBER($H115),$H115&gt;0,IF($C115="売",$H115&lt;=$M115,$H115&gt;=$M115)),"利益確定",IF($AE115&lt;=TODAY(),"日数制限","保有中"))),IF(N($AG115)=0,"利益確定",IF(N($AF115)=0,"損切確定",IF($AG115&lt;=$AF115,"損切確定","利益確定")))))</f>
        <v/>
      </c>
      <c r="AI115" s="600" t="str" cm="1">
        <f t="array" ref="AI115">IFERROR(INDEX(始値!$E$6:$BT$305,MATCH(TEXT($B115,"0"),TEXT(銘柄管理!$B$6:$B$305,"0"),0),MATCH($AE115,始値!$E$3:$BT$3,0)),"")</f>
        <v/>
      </c>
      <c r="AJ115" s="905" t="str">
        <f>IF(OR($V115="",$F115="",$G115=""),"",$V115/($F115*$G115))</f>
        <v/>
      </c>
      <c r="AK115" s="629" t="str">
        <f>IF($V115="","",IF($V115&gt;0,"○勝",IF($V115&lt;0,"●負","△引分")))</f>
        <v/>
      </c>
    </row>
    <row r="116" spans="1:37" ht="35.4" customHeight="1">
      <c r="A116" s="619" t="str">
        <f>IF(B116="","",HYPERLINK("https://kabutan.jp/stock/?code="&amp;B116,"株探"))</f>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BT$3,0)=1,1,MATCH($E116,始値!$E$3:$BT$3,0)+1)),_xlpm.v,INDEX(始値!$C$6:$B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IF(OR(F116="",G116="",H116=""),"",IF(C116="売",(F116-H116)*G116,(H116-F116)*G116))</f>
        <v/>
      </c>
      <c r="L116" s="706" t="str">
        <f>IF(OR(F116="",H116=""),"",IF(C116="売",(F116-H116)/F116,(H116-F116)/F116))</f>
        <v/>
      </c>
      <c r="M116" s="491" t="str">
        <f>IF($F116="","",IF($C116="売",CEILING($F116*IF($C116="売",1-$AX$3,1+$AX$3),IF($F116*IF($C116="売",1-$AX$3,1+$AX$3)&lt;=3000,1,IF($F116*IF($C116="売",1-$AX$3,1+$AX$3)&lt;=5000,5,IF($F116*IF($C116="売",1-$AX$3,1+$AX$3)&lt;=30000,10,IF($F116*IF($C116="売",1-$AX$3,1+$AX$3)&lt;=50000,50,IF($F116*IF($C116="売",1-$AX$3,1+$AX$3)&lt;=300000,100,500)))))),FLOOR($F116*IF($C116="売",1-$AX$3,1+$AX$3),IF($F116*IF($C116="売",1-$AX$3,1+$AX$3)&lt;=3000,1,IF($F116*IF($C116="売",1-$AX$3,1+$AX$3)&lt;=5000,5,IF($F116*IF($C116="売",1-$AX$3,1+$AX$3)&lt;=30000,10,IF($F116*IF($C116="売",1-$AX$3,1+$AX$3)&lt;=50000,50,IF($F116*IF($C116="売",1-$AX$3,1+$AX$3)&lt;=300000,100,500))))))))</f>
      </c>
      <c r="N116" s="491" t="str">
        <f>IF($F116="","",IF($C116="売",CEILING($F116*IF($C116="売",1+$AX$2,1-$AX$2),IF($F116*IF($C116="売",1+$AX$2,1-$AX$2)&lt;=3000,1,IF($F116*IF($C116="売",1+$AX$2,1-$AX$2)&lt;=5000,5,IF($F116*IF($C116="売",1+$AX$2,1-$AX$2)&lt;=30000,10,IF($F116*IF($C116="売",1+$AX$2,1-$AX$2)&lt;=50000,50,IF($F116*IF($C116="売",1+$AX$2,1-$AX$2)&lt;=300000,100,500)))))),FLOOR($F116*IF($C116="売",1+$AX$2,1-$AX$2),IF($F116*IF($C116="売",1+$AX$2,1-$AX$2)&lt;=3000,1,IF($F116*IF($C116="売",1+$AX$2,1-$AX$2)&lt;=5000,5,IF($F116*IF($C116="売",1+$AX$2,1-$AX$2)&lt;=30000,10,IF($F116*IF($C116="売",1+$AX$2,1-$AX$2)&lt;=50000,50,IF($F116*IF($C116="売",1+$AX$2,1-$AX$2)&lt;=300000,100,500))))))))</f>
      </c>
      <c r="O116" s="492" t="str">
        <f>IF(OR($B116="",$F116="",$H116=""),"",IF($S116="✅売却済","―決済済―",IF($C116="売",IF($H116&lt;=$M116,"🟢利確",IF(AND($R116&lt;&gt;"",$H116&gt;=$R116),"🟠TRAIL決済",IF($H116&gt;=$N116,"🔴損切",IF($W116&gt;=$AX$5,"⏱時間決済",IF($H116&gt;=$F116*(1+$AX$2*0.7),"⚠️損切接近","保持継続"))))),IF($H116&gt;=$M116,"🟢利確",IF(AND($R116&lt;&gt;"",$H116&lt;=$R116),"🟠TRAIL決済",IF($H116&lt;=$N116,"🔴損切",IF($W116&gt;=$AX$5,"⏱時間決済",IF($H116&lt;=$F116*(1-$AX$2*0.7),"⚠️損切接近","保持継続")))))))</f>
      </c>
      <c r="P116" s="491"/>
      <c r="Q116" s="491"/>
      <c r="R116" s="491" t="str">
        <f>IF(OR($F116="",$H116="",$N116=""),"",IF($S116="✅売却済","",IF($C116="売",IF($H116&gt;$F116*(1-$AX$2),$N116,CEILING(MIN($N116,IF($Q116="",$N116,$Q116*1.03)),IF($N116&lt;=3000,1,IF($N116&lt;=5000,5,IF($N116&lt;=30000,10,IF($N116&lt;=50000,50,IF($N116&lt;=300000,100,500))))))),IF($H116&lt;$F116*(1+$AX$2),$N116,FLOOR(MAX($N116,IF($P116="",$N116,$P116*0.97)),IF($N116&lt;=3000,1,IF($N116&lt;=5000,5,IF($N116&lt;=30000,10,IF($N116&lt;=50000,50,IF($N116&lt;=300000,100,500))))))))))</f>
      </c>
      <c r="S116" s="586" t="str">
        <f>IF(B116="","",IF(T116&lt;&gt;"","✅売却済",IF(OR(H116="",L116=""),"📌保有中",IF(L116&gt;=0.06,"🟢利確推奨",IF(L116&gt;=0.05,"🟡利確直近",IF(L116&gt;=0.045,"🔵トレーリング検討",IF(L116&gt;-0.03,"📌保有中",IF(L116&gt;-0.04,"⚠️損切注意","🔴損切り"))))))))</f>
        <v/>
      </c>
      <c r="T116" s="594"/>
      <c r="U116" s="491"/>
      <c r="V116" s="701" t="str">
        <f>IF(OR(F116="",G116="",U116=""),"",IF(C116="売",(F116-U116)*G116,(U116-F116)*G116))</f>
        <v/>
      </c>
      <c r="W116" s="493" t="str">
        <f>IF(OR($E116="",$B116=""),"",IF($T116&lt;&gt;"",$T116-$E116,TODAY()-$E116)+1)</f>
        <v/>
      </c>
      <c r="X116" s="489" t="str">
        <f>IF(OR($AH116="",$AH116="保有中"),"",$AH116)</f>
        <v/>
      </c>
      <c r="Y116" s="488">
        <f>IF($B116="","",IF(COUNTIFS($B$4:$B116,$B116,$C$4:$C116,$C116)&gt;1,"⛔重複"&amp;COUNTIFS($B$4:$B116,$B116,$C$4:$C116,$C116)&amp;"回目",""))</f>
      </c>
      <c r="Z116" s="710"/>
      <c r="AB116">
        <f>IF($F116="","",MAX(100,ROUNDDOWN($AX$4/($F116*$AX$2)/100,0)*100))</f>
      </c>
      <c r="AC116">
        <f>IF(OR($F116="",$G116="",$U116=""),"",ROUND($V116-($F116+$U116)*$G116*$AX$6-IF($C116="売",$F116*$G116*$AX$7*$W116/365,0),0))</f>
      </c>
      <c r="AD116" s="608"/>
      <c r="AE116" s="624" t="str">
        <f>IF($E116="","",WORKDAY($E116,12))</f>
        <v/>
      </c>
      <c r="AF116" s="626"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26"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0" t="str">
        <f>IF(OR($B116="",$M116=""),"",IF(AND(N($AF116)=0,N($AG116)=0),IF(AND(ISNUMBER($H116),$H116&gt;0,IF($C116="売",$H116&gt;=$N116,$H116&lt;=$N116)),"損切確定",IF(AND(ISNUMBER($H116),$H116&gt;0,IF($C116="売",$H116&lt;=$M116,$H116&gt;=$M116)),"利益確定",IF($AE116&lt;=TODAY(),"日数制限","保有中"))),IF(N($AG116)=0,"利益確定",IF(N($AF116)=0,"損切確定",IF($AG116&lt;=$AF116,"損切確定","利益確定")))))</f>
        <v/>
      </c>
      <c r="AI116" s="600" t="str" cm="1">
        <f t="array" ref="AI116">IFERROR(INDEX(始値!$E$6:$BT$305,MATCH(TEXT($B116,"0"),TEXT(銘柄管理!$B$6:$B$305,"0"),0),MATCH($AE116,始値!$E$3:$BT$3,0)),"")</f>
        <v/>
      </c>
      <c r="AJ116" s="905" t="str">
        <f>IF(OR($V116="",$F116="",$G116=""),"",$V116/($F116*$G116))</f>
        <v/>
      </c>
      <c r="AK116" s="629" t="str">
        <f>IF($V116="","",IF($V116&gt;0,"○勝",IF($V116&lt;0,"●負","△引分")))</f>
        <v/>
      </c>
    </row>
    <row r="117" spans="1:37" ht="35.4" customHeight="1">
      <c r="A117" s="619" t="str">
        <f>IF(B117="","",HYPERLINK("https://kabutan.jp/stock/?code="&amp;B117,"株探"))</f>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BT$3,0)=1,1,MATCH($E117,始値!$E$3:$BT$3,0)+1)),_xlpm.v,INDEX(始値!$C$6:$B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IF(OR(F117="",G117="",H117=""),"",IF(C117="売",(F117-H117)*G117,(H117-F117)*G117))</f>
        <v/>
      </c>
      <c r="L117" s="706" t="str">
        <f>IF(OR(F117="",H117=""),"",IF(C117="売",(F117-H117)/F117,(H117-F117)/F117))</f>
        <v/>
      </c>
      <c r="M117" s="491" t="str">
        <f>IF($F117="","",IF($C117="売",CEILING($F117*IF($C117="売",1-$AX$3,1+$AX$3),IF($F117*IF($C117="売",1-$AX$3,1+$AX$3)&lt;=3000,1,IF($F117*IF($C117="売",1-$AX$3,1+$AX$3)&lt;=5000,5,IF($F117*IF($C117="売",1-$AX$3,1+$AX$3)&lt;=30000,10,IF($F117*IF($C117="売",1-$AX$3,1+$AX$3)&lt;=50000,50,IF($F117*IF($C117="売",1-$AX$3,1+$AX$3)&lt;=300000,100,500)))))),FLOOR($F117*IF($C117="売",1-$AX$3,1+$AX$3),IF($F117*IF($C117="売",1-$AX$3,1+$AX$3)&lt;=3000,1,IF($F117*IF($C117="売",1-$AX$3,1+$AX$3)&lt;=5000,5,IF($F117*IF($C117="売",1-$AX$3,1+$AX$3)&lt;=30000,10,IF($F117*IF($C117="売",1-$AX$3,1+$AX$3)&lt;=50000,50,IF($F117*IF($C117="売",1-$AX$3,1+$AX$3)&lt;=300000,100,500))))))))</f>
      </c>
      <c r="N117" s="491" t="str">
        <f>IF($F117="","",IF($C117="売",CEILING($F117*IF($C117="売",1+$AX$2,1-$AX$2),IF($F117*IF($C117="売",1+$AX$2,1-$AX$2)&lt;=3000,1,IF($F117*IF($C117="売",1+$AX$2,1-$AX$2)&lt;=5000,5,IF($F117*IF($C117="売",1+$AX$2,1-$AX$2)&lt;=30000,10,IF($F117*IF($C117="売",1+$AX$2,1-$AX$2)&lt;=50000,50,IF($F117*IF($C117="売",1+$AX$2,1-$AX$2)&lt;=300000,100,500)))))),FLOOR($F117*IF($C117="売",1+$AX$2,1-$AX$2),IF($F117*IF($C117="売",1+$AX$2,1-$AX$2)&lt;=3000,1,IF($F117*IF($C117="売",1+$AX$2,1-$AX$2)&lt;=5000,5,IF($F117*IF($C117="売",1+$AX$2,1-$AX$2)&lt;=30000,10,IF($F117*IF($C117="売",1+$AX$2,1-$AX$2)&lt;=50000,50,IF($F117*IF($C117="売",1+$AX$2,1-$AX$2)&lt;=300000,100,500))))))))</f>
      </c>
      <c r="O117" s="492" t="str">
        <f>IF(OR($B117="",$F117="",$H117=""),"",IF($S117="✅売却済","―決済済―",IF($C117="売",IF($H117&lt;=$M117,"🟢利確",IF(AND($R117&lt;&gt;"",$H117&gt;=$R117),"🟠TRAIL決済",IF($H117&gt;=$N117,"🔴損切",IF($W117&gt;=$AX$5,"⏱時間決済",IF($H117&gt;=$F117*(1+$AX$2*0.7),"⚠️損切接近","保持継続"))))),IF($H117&gt;=$M117,"🟢利確",IF(AND($R117&lt;&gt;"",$H117&lt;=$R117),"🟠TRAIL決済",IF($H117&lt;=$N117,"🔴損切",IF($W117&gt;=$AX$5,"⏱時間決済",IF($H117&lt;=$F117*(1-$AX$2*0.7),"⚠️損切接近","保持継続")))))))</f>
      </c>
      <c r="P117" s="491"/>
      <c r="Q117" s="491"/>
      <c r="R117" s="491" t="str">
        <f>IF(OR($F117="",$H117="",$N117=""),"",IF($S117="✅売却済","",IF($C117="売",IF($H117&gt;$F117*(1-$AX$2),$N117,CEILING(MIN($N117,IF($Q117="",$N117,$Q117*1.03)),IF($N117&lt;=3000,1,IF($N117&lt;=5000,5,IF($N117&lt;=30000,10,IF($N117&lt;=50000,50,IF($N117&lt;=300000,100,500))))))),IF($H117&lt;$F117*(1+$AX$2),$N117,FLOOR(MAX($N117,IF($P117="",$N117,$P117*0.97)),IF($N117&lt;=3000,1,IF($N117&lt;=5000,5,IF($N117&lt;=30000,10,IF($N117&lt;=50000,50,IF($N117&lt;=300000,100,500))))))))))</f>
      </c>
      <c r="S117" s="586" t="str">
        <f>IF(B117="","",IF(T117&lt;&gt;"","✅売却済",IF(OR(H117="",L117=""),"📌保有中",IF(L117&gt;=0.06,"🟢利確推奨",IF(L117&gt;=0.05,"🟡利確直近",IF(L117&gt;=0.045,"🔵トレーリング検討",IF(L117&gt;-0.03,"📌保有中",IF(L117&gt;-0.04,"⚠️損切注意","🔴損切り"))))))))</f>
        <v/>
      </c>
      <c r="T117" s="594"/>
      <c r="U117" s="491"/>
      <c r="V117" s="701" t="str">
        <f>IF(OR(F117="",G117="",U117=""),"",IF(C117="売",(F117-U117)*G117,(U117-F117)*G117))</f>
        <v/>
      </c>
      <c r="W117" s="493" t="str">
        <f>IF(OR($E117="",$B117=""),"",IF($T117&lt;&gt;"",$T117-$E117,TODAY()-$E117)+1)</f>
        <v/>
      </c>
      <c r="X117" s="489" t="str">
        <f>IF(OR($AH117="",$AH117="保有中"),"",$AH117)</f>
        <v/>
      </c>
      <c r="Y117" s="488">
        <f>IF($B117="","",IF(COUNTIFS($B$4:$B117,$B117,$C$4:$C117,$C117)&gt;1,"⛔重複"&amp;COUNTIFS($B$4:$B117,$B117,$C$4:$C117,$C117)&amp;"回目",""))</f>
      </c>
      <c r="Z117" s="710"/>
      <c r="AB117">
        <f>IF($F117="","",MAX(100,ROUNDDOWN($AX$4/($F117*$AX$2)/100,0)*100))</f>
      </c>
      <c r="AC117">
        <f>IF(OR($F117="",$G117="",$U117=""),"",ROUND($V117-($F117+$U117)*$G117*$AX$6-IF($C117="売",$F117*$G117*$AX$7*$W117/365,0),0))</f>
      </c>
      <c r="AD117" s="608"/>
      <c r="AE117" s="624" t="str">
        <f>IF($E117="","",WORKDAY($E117,12))</f>
        <v/>
      </c>
      <c r="AF117" s="626"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26"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0" t="str">
        <f>IF(OR($B117="",$M117=""),"",IF(AND(N($AF117)=0,N($AG117)=0),IF(AND(ISNUMBER($H117),$H117&gt;0,IF($C117="売",$H117&gt;=$N117,$H117&lt;=$N117)),"損切確定",IF(AND(ISNUMBER($H117),$H117&gt;0,IF($C117="売",$H117&lt;=$M117,$H117&gt;=$M117)),"利益確定",IF($AE117&lt;=TODAY(),"日数制限","保有中"))),IF(N($AG117)=0,"利益確定",IF(N($AF117)=0,"損切確定",IF($AG117&lt;=$AF117,"損切確定","利益確定")))))</f>
        <v/>
      </c>
      <c r="AI117" s="600" t="str" cm="1">
        <f t="array" ref="AI117">IFERROR(INDEX(始値!$E$6:$BT$305,MATCH(TEXT($B117,"0"),TEXT(銘柄管理!$B$6:$B$305,"0"),0),MATCH($AE117,始値!$E$3:$BT$3,0)),"")</f>
        <v/>
      </c>
      <c r="AJ117" s="905" t="str">
        <f>IF(OR($V117="",$F117="",$G117=""),"",$V117/($F117*$G117))</f>
        <v/>
      </c>
      <c r="AK117" s="629" t="str">
        <f>IF($V117="","",IF($V117&gt;0,"○勝",IF($V117&lt;0,"●負","△引分")))</f>
        <v/>
      </c>
    </row>
    <row r="118" spans="1:37" ht="35.4" customHeight="1">
      <c r="A118" s="619" t="str">
        <f>IF(B118="","",HYPERLINK("https://kabutan.jp/stock/?code="&amp;B118,"株探"))</f>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BT$3,0)=1,1,MATCH($E118,始値!$E$3:$BT$3,0)+1)),_xlpm.v,INDEX(始値!$C$6:$B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IF(OR(F118="",G118="",H118=""),"",IF(C118="売",(F118-H118)*G118,(H118-F118)*G118))</f>
        <v/>
      </c>
      <c r="L118" s="706" t="str">
        <f>IF(OR(F118="",H118=""),"",IF(C118="売",(F118-H118)/F118,(H118-F118)/F118))</f>
        <v/>
      </c>
      <c r="M118" s="491" t="str">
        <f>IF($F118="","",IF($C118="売",CEILING($F118*IF($C118="売",1-$AX$3,1+$AX$3),IF($F118*IF($C118="売",1-$AX$3,1+$AX$3)&lt;=3000,1,IF($F118*IF($C118="売",1-$AX$3,1+$AX$3)&lt;=5000,5,IF($F118*IF($C118="売",1-$AX$3,1+$AX$3)&lt;=30000,10,IF($F118*IF($C118="売",1-$AX$3,1+$AX$3)&lt;=50000,50,IF($F118*IF($C118="売",1-$AX$3,1+$AX$3)&lt;=300000,100,500)))))),FLOOR($F118*IF($C118="売",1-$AX$3,1+$AX$3),IF($F118*IF($C118="売",1-$AX$3,1+$AX$3)&lt;=3000,1,IF($F118*IF($C118="売",1-$AX$3,1+$AX$3)&lt;=5000,5,IF($F118*IF($C118="売",1-$AX$3,1+$AX$3)&lt;=30000,10,IF($F118*IF($C118="売",1-$AX$3,1+$AX$3)&lt;=50000,50,IF($F118*IF($C118="売",1-$AX$3,1+$AX$3)&lt;=300000,100,500))))))))</f>
      </c>
      <c r="N118" s="491" t="str">
        <f>IF($F118="","",IF($C118="売",CEILING($F118*IF($C118="売",1+$AX$2,1-$AX$2),IF($F118*IF($C118="売",1+$AX$2,1-$AX$2)&lt;=3000,1,IF($F118*IF($C118="売",1+$AX$2,1-$AX$2)&lt;=5000,5,IF($F118*IF($C118="売",1+$AX$2,1-$AX$2)&lt;=30000,10,IF($F118*IF($C118="売",1+$AX$2,1-$AX$2)&lt;=50000,50,IF($F118*IF($C118="売",1+$AX$2,1-$AX$2)&lt;=300000,100,500)))))),FLOOR($F118*IF($C118="売",1+$AX$2,1-$AX$2),IF($F118*IF($C118="売",1+$AX$2,1-$AX$2)&lt;=3000,1,IF($F118*IF($C118="売",1+$AX$2,1-$AX$2)&lt;=5000,5,IF($F118*IF($C118="売",1+$AX$2,1-$AX$2)&lt;=30000,10,IF($F118*IF($C118="売",1+$AX$2,1-$AX$2)&lt;=50000,50,IF($F118*IF($C118="売",1+$AX$2,1-$AX$2)&lt;=300000,100,500))))))))</f>
      </c>
      <c r="O118" s="492" t="str">
        <f>IF(OR($B118="",$F118="",$H118=""),"",IF($S118="✅売却済","―決済済―",IF($C118="売",IF($H118&lt;=$M118,"🟢利確",IF(AND($R118&lt;&gt;"",$H118&gt;=$R118),"🟠TRAIL決済",IF($H118&gt;=$N118,"🔴損切",IF($W118&gt;=$AX$5,"⏱時間決済",IF($H118&gt;=$F118*(1+$AX$2*0.7),"⚠️損切接近","保持継続"))))),IF($H118&gt;=$M118,"🟢利確",IF(AND($R118&lt;&gt;"",$H118&lt;=$R118),"🟠TRAIL決済",IF($H118&lt;=$N118,"🔴損切",IF($W118&gt;=$AX$5,"⏱時間決済",IF($H118&lt;=$F118*(1-$AX$2*0.7),"⚠️損切接近","保持継続")))))))</f>
      </c>
      <c r="P118" s="491"/>
      <c r="Q118" s="491"/>
      <c r="R118" s="491" t="str">
        <f>IF(OR($F118="",$H118="",$N118=""),"",IF($S118="✅売却済","",IF($C118="売",IF($H118&gt;$F118*(1-$AX$2),$N118,CEILING(MIN($N118,IF($Q118="",$N118,$Q118*1.03)),IF($N118&lt;=3000,1,IF($N118&lt;=5000,5,IF($N118&lt;=30000,10,IF($N118&lt;=50000,50,IF($N118&lt;=300000,100,500))))))),IF($H118&lt;$F118*(1+$AX$2),$N118,FLOOR(MAX($N118,IF($P118="",$N118,$P118*0.97)),IF($N118&lt;=3000,1,IF($N118&lt;=5000,5,IF($N118&lt;=30000,10,IF($N118&lt;=50000,50,IF($N118&lt;=300000,100,500))))))))))</f>
      </c>
      <c r="S118" s="586" t="str">
        <f>IF(B118="","",IF(T118&lt;&gt;"","✅売却済",IF(OR(H118="",L118=""),"📌保有中",IF(L118&gt;=0.06,"🟢利確推奨",IF(L118&gt;=0.05,"🟡利確直近",IF(L118&gt;=0.045,"🔵トレーリング検討",IF(L118&gt;-0.03,"📌保有中",IF(L118&gt;-0.04,"⚠️損切注意","🔴損切り"))))))))</f>
        <v/>
      </c>
      <c r="T118" s="594"/>
      <c r="U118" s="491"/>
      <c r="V118" s="701" t="str">
        <f>IF(OR(F118="",G118="",U118=""),"",IF(C118="売",(F118-U118)*G118,(U118-F118)*G118))</f>
        <v/>
      </c>
      <c r="W118" s="493" t="str">
        <f>IF(OR($E118="",$B118=""),"",IF($T118&lt;&gt;"",$T118-$E118,TODAY()-$E118)+1)</f>
        <v/>
      </c>
      <c r="X118" s="489" t="str">
        <f>IF(OR($AH118="",$AH118="保有中"),"",$AH118)</f>
        <v/>
      </c>
      <c r="Y118" s="488">
        <f>IF($B118="","",IF(COUNTIFS($B$4:$B118,$B118,$C$4:$C118,$C118)&gt;1,"⛔重複"&amp;COUNTIFS($B$4:$B118,$B118,$C$4:$C118,$C118)&amp;"回目",""))</f>
      </c>
      <c r="Z118" s="710"/>
      <c r="AB118">
        <f>IF($F118="","",MAX(100,ROUNDDOWN($AX$4/($F118*$AX$2)/100,0)*100))</f>
      </c>
      <c r="AC118">
        <f>IF(OR($F118="",$G118="",$U118=""),"",ROUND($V118-($F118+$U118)*$G118*$AX$6-IF($C118="売",$F118*$G118*$AX$7*$W118/365,0),0))</f>
      </c>
      <c r="AD118" s="608"/>
      <c r="AE118" s="624" t="str">
        <f>IF($E118="","",WORKDAY($E118,12))</f>
        <v/>
      </c>
      <c r="AF118" s="626"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26"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0" t="str">
        <f>IF(OR($B118="",$M118=""),"",IF(AND(N($AF118)=0,N($AG118)=0),IF(AND(ISNUMBER($H118),$H118&gt;0,IF($C118="売",$H118&gt;=$N118,$H118&lt;=$N118)),"損切確定",IF(AND(ISNUMBER($H118),$H118&gt;0,IF($C118="売",$H118&lt;=$M118,$H118&gt;=$M118)),"利益確定",IF($AE118&lt;=TODAY(),"日数制限","保有中"))),IF(N($AG118)=0,"利益確定",IF(N($AF118)=0,"損切確定",IF($AG118&lt;=$AF118,"損切確定","利益確定")))))</f>
        <v/>
      </c>
      <c r="AI118" s="600" t="str" cm="1">
        <f t="array" ref="AI118">IFERROR(INDEX(始値!$E$6:$BT$305,MATCH(TEXT($B118,"0"),TEXT(銘柄管理!$B$6:$B$305,"0"),0),MATCH($AE118,始値!$E$3:$BT$3,0)),"")</f>
        <v/>
      </c>
      <c r="AJ118" s="905" t="str">
        <f>IF(OR($V118="",$F118="",$G118=""),"",$V118/($F118*$G118))</f>
        <v/>
      </c>
      <c r="AK118" s="629" t="str">
        <f>IF($V118="","",IF($V118&gt;0,"○勝",IF($V118&lt;0,"●負","△引分")))</f>
        <v/>
      </c>
    </row>
    <row r="119" spans="1:37" ht="35.4" customHeight="1">
      <c r="A119" s="619" t="str">
        <f>IF(B119="","",HYPERLINK("https://kabutan.jp/stock/?code="&amp;B119,"株探"))</f>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BT$3,0)=1,1,MATCH($E119,始値!$E$3:$BT$3,0)+1)),_xlpm.v,INDEX(始値!$C$6:$B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IF(OR(F119="",G119="",H119=""),"",IF(C119="売",(F119-H119)*G119,(H119-F119)*G119))</f>
        <v/>
      </c>
      <c r="L119" s="706" t="str">
        <f>IF(OR(F119="",H119=""),"",IF(C119="売",(F119-H119)/F119,(H119-F119)/F119))</f>
        <v/>
      </c>
      <c r="M119" s="491" t="str">
        <f>IF($F119="","",IF($C119="売",CEILING($F119*IF($C119="売",1-$AX$3,1+$AX$3),IF($F119*IF($C119="売",1-$AX$3,1+$AX$3)&lt;=3000,1,IF($F119*IF($C119="売",1-$AX$3,1+$AX$3)&lt;=5000,5,IF($F119*IF($C119="売",1-$AX$3,1+$AX$3)&lt;=30000,10,IF($F119*IF($C119="売",1-$AX$3,1+$AX$3)&lt;=50000,50,IF($F119*IF($C119="売",1-$AX$3,1+$AX$3)&lt;=300000,100,500)))))),FLOOR($F119*IF($C119="売",1-$AX$3,1+$AX$3),IF($F119*IF($C119="売",1-$AX$3,1+$AX$3)&lt;=3000,1,IF($F119*IF($C119="売",1-$AX$3,1+$AX$3)&lt;=5000,5,IF($F119*IF($C119="売",1-$AX$3,1+$AX$3)&lt;=30000,10,IF($F119*IF($C119="売",1-$AX$3,1+$AX$3)&lt;=50000,50,IF($F119*IF($C119="売",1-$AX$3,1+$AX$3)&lt;=300000,100,500))))))))</f>
      </c>
      <c r="N119" s="491" t="str">
        <f>IF($F119="","",IF($C119="売",CEILING($F119*IF($C119="売",1+$AX$2,1-$AX$2),IF($F119*IF($C119="売",1+$AX$2,1-$AX$2)&lt;=3000,1,IF($F119*IF($C119="売",1+$AX$2,1-$AX$2)&lt;=5000,5,IF($F119*IF($C119="売",1+$AX$2,1-$AX$2)&lt;=30000,10,IF($F119*IF($C119="売",1+$AX$2,1-$AX$2)&lt;=50000,50,IF($F119*IF($C119="売",1+$AX$2,1-$AX$2)&lt;=300000,100,500)))))),FLOOR($F119*IF($C119="売",1+$AX$2,1-$AX$2),IF($F119*IF($C119="売",1+$AX$2,1-$AX$2)&lt;=3000,1,IF($F119*IF($C119="売",1+$AX$2,1-$AX$2)&lt;=5000,5,IF($F119*IF($C119="売",1+$AX$2,1-$AX$2)&lt;=30000,10,IF($F119*IF($C119="売",1+$AX$2,1-$AX$2)&lt;=50000,50,IF($F119*IF($C119="売",1+$AX$2,1-$AX$2)&lt;=300000,100,500))))))))</f>
      </c>
      <c r="O119" s="492" t="str">
        <f>IF(OR($B119="",$F119="",$H119=""),"",IF($S119="✅売却済","―決済済―",IF($C119="売",IF($H119&lt;=$M119,"🟢利確",IF(AND($R119&lt;&gt;"",$H119&gt;=$R119),"🟠TRAIL決済",IF($H119&gt;=$N119,"🔴損切",IF($W119&gt;=$AX$5,"⏱時間決済",IF($H119&gt;=$F119*(1+$AX$2*0.7),"⚠️損切接近","保持継続"))))),IF($H119&gt;=$M119,"🟢利確",IF(AND($R119&lt;&gt;"",$H119&lt;=$R119),"🟠TRAIL決済",IF($H119&lt;=$N119,"🔴損切",IF($W119&gt;=$AX$5,"⏱時間決済",IF($H119&lt;=$F119*(1-$AX$2*0.7),"⚠️損切接近","保持継続")))))))</f>
      </c>
      <c r="P119" s="491"/>
      <c r="Q119" s="491"/>
      <c r="R119" s="491" t="str">
        <f>IF(OR($F119="",$H119="",$N119=""),"",IF($S119="✅売却済","",IF($C119="売",IF($H119&gt;$F119*(1-$AX$2),$N119,CEILING(MIN($N119,IF($Q119="",$N119,$Q119*1.03)),IF($N119&lt;=3000,1,IF($N119&lt;=5000,5,IF($N119&lt;=30000,10,IF($N119&lt;=50000,50,IF($N119&lt;=300000,100,500))))))),IF($H119&lt;$F119*(1+$AX$2),$N119,FLOOR(MAX($N119,IF($P119="",$N119,$P119*0.97)),IF($N119&lt;=3000,1,IF($N119&lt;=5000,5,IF($N119&lt;=30000,10,IF($N119&lt;=50000,50,IF($N119&lt;=300000,100,500))))))))))</f>
      </c>
      <c r="S119" s="586" t="str">
        <f>IF(B119="","",IF(T119&lt;&gt;"","✅売却済",IF(OR(H119="",L119=""),"📌保有中",IF(L119&gt;=0.06,"🟢利確推奨",IF(L119&gt;=0.05,"🟡利確直近",IF(L119&gt;=0.045,"🔵トレーリング検討",IF(L119&gt;-0.03,"📌保有中",IF(L119&gt;-0.04,"⚠️損切注意","🔴損切り"))))))))</f>
        <v/>
      </c>
      <c r="T119" s="594"/>
      <c r="U119" s="491"/>
      <c r="V119" s="701" t="str">
        <f>IF(OR(F119="",G119="",U119=""),"",IF(C119="売",(F119-U119)*G119,(U119-F119)*G119))</f>
        <v/>
      </c>
      <c r="W119" s="493" t="str">
        <f>IF(OR($E119="",$B119=""),"",IF($T119&lt;&gt;"",$T119-$E119,TODAY()-$E119)+1)</f>
        <v/>
      </c>
      <c r="X119" s="489" t="str">
        <f>IF(OR($AH119="",$AH119="保有中"),"",$AH119)</f>
        <v/>
      </c>
      <c r="Y119" s="488">
        <f>IF($B119="","",IF(COUNTIFS($B$4:$B119,$B119,$C$4:$C119,$C119)&gt;1,"⛔重複"&amp;COUNTIFS($B$4:$B119,$B119,$C$4:$C119,$C119)&amp;"回目",""))</f>
      </c>
      <c r="Z119" s="710"/>
      <c r="AB119">
        <f>IF($F119="","",MAX(100,ROUNDDOWN($AX$4/($F119*$AX$2)/100,0)*100))</f>
      </c>
      <c r="AC119">
        <f>IF(OR($F119="",$G119="",$U119=""),"",ROUND($V119-($F119+$U119)*$G119*$AX$6-IF($C119="売",$F119*$G119*$AX$7*$W119/365,0),0))</f>
      </c>
      <c r="AD119" s="608"/>
      <c r="AE119" s="624" t="str">
        <f>IF($E119="","",WORKDAY($E119,12))</f>
        <v/>
      </c>
      <c r="AF119" s="626"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26"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0" t="str">
        <f>IF(OR($B119="",$M119=""),"",IF(AND(N($AF119)=0,N($AG119)=0),IF(AND(ISNUMBER($H119),$H119&gt;0,IF($C119="売",$H119&gt;=$N119,$H119&lt;=$N119)),"損切確定",IF(AND(ISNUMBER($H119),$H119&gt;0,IF($C119="売",$H119&lt;=$M119,$H119&gt;=$M119)),"利益確定",IF($AE119&lt;=TODAY(),"日数制限","保有中"))),IF(N($AG119)=0,"利益確定",IF(N($AF119)=0,"損切確定",IF($AG119&lt;=$AF119,"損切確定","利益確定")))))</f>
        <v/>
      </c>
      <c r="AI119" s="600" t="str" cm="1">
        <f t="array" ref="AI119">IFERROR(INDEX(始値!$E$6:$BT$305,MATCH(TEXT($B119,"0"),TEXT(銘柄管理!$B$6:$B$305,"0"),0),MATCH($AE119,始値!$E$3:$BT$3,0)),"")</f>
        <v/>
      </c>
      <c r="AJ119" s="905" t="str">
        <f>IF(OR($V119="",$F119="",$G119=""),"",$V119/($F119*$G119))</f>
        <v/>
      </c>
      <c r="AK119" s="629" t="str">
        <f>IF($V119="","",IF($V119&gt;0,"○勝",IF($V119&lt;0,"●負","△引分")))</f>
        <v/>
      </c>
    </row>
    <row r="120" spans="1:37" ht="35.4" customHeight="1">
      <c r="A120" s="619" t="str">
        <f>IF(B120="","",HYPERLINK("https://kabutan.jp/stock/?code="&amp;B120,"株探"))</f>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BT$3,0)=1,1,MATCH($E120,始値!$E$3:$BT$3,0)+1)),_xlpm.v,INDEX(始値!$C$6:$B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IF(OR(F120="",G120="",H120=""),"",IF(C120="売",(F120-H120)*G120,(H120-F120)*G120))</f>
        <v/>
      </c>
      <c r="L120" s="706" t="str">
        <f>IF(OR(F120="",H120=""),"",IF(C120="売",(F120-H120)/F120,(H120-F120)/F120))</f>
        <v/>
      </c>
      <c r="M120" s="491" t="str">
        <f>IF($F120="","",IF($C120="売",CEILING($F120*IF($C120="売",1-$AX$3,1+$AX$3),IF($F120*IF($C120="売",1-$AX$3,1+$AX$3)&lt;=3000,1,IF($F120*IF($C120="売",1-$AX$3,1+$AX$3)&lt;=5000,5,IF($F120*IF($C120="売",1-$AX$3,1+$AX$3)&lt;=30000,10,IF($F120*IF($C120="売",1-$AX$3,1+$AX$3)&lt;=50000,50,IF($F120*IF($C120="売",1-$AX$3,1+$AX$3)&lt;=300000,100,500)))))),FLOOR($F120*IF($C120="売",1-$AX$3,1+$AX$3),IF($F120*IF($C120="売",1-$AX$3,1+$AX$3)&lt;=3000,1,IF($F120*IF($C120="売",1-$AX$3,1+$AX$3)&lt;=5000,5,IF($F120*IF($C120="売",1-$AX$3,1+$AX$3)&lt;=30000,10,IF($F120*IF($C120="売",1-$AX$3,1+$AX$3)&lt;=50000,50,IF($F120*IF($C120="売",1-$AX$3,1+$AX$3)&lt;=300000,100,500))))))))</f>
      </c>
      <c r="N120" s="491" t="str">
        <f>IF($F120="","",IF($C120="売",CEILING($F120*IF($C120="売",1+$AX$2,1-$AX$2),IF($F120*IF($C120="売",1+$AX$2,1-$AX$2)&lt;=3000,1,IF($F120*IF($C120="売",1+$AX$2,1-$AX$2)&lt;=5000,5,IF($F120*IF($C120="売",1+$AX$2,1-$AX$2)&lt;=30000,10,IF($F120*IF($C120="売",1+$AX$2,1-$AX$2)&lt;=50000,50,IF($F120*IF($C120="売",1+$AX$2,1-$AX$2)&lt;=300000,100,500)))))),FLOOR($F120*IF($C120="売",1+$AX$2,1-$AX$2),IF($F120*IF($C120="売",1+$AX$2,1-$AX$2)&lt;=3000,1,IF($F120*IF($C120="売",1+$AX$2,1-$AX$2)&lt;=5000,5,IF($F120*IF($C120="売",1+$AX$2,1-$AX$2)&lt;=30000,10,IF($F120*IF($C120="売",1+$AX$2,1-$AX$2)&lt;=50000,50,IF($F120*IF($C120="売",1+$AX$2,1-$AX$2)&lt;=300000,100,500))))))))</f>
      </c>
      <c r="O120" s="492" t="str">
        <f>IF(OR($B120="",$F120="",$H120=""),"",IF($S120="✅売却済","―決済済―",IF($C120="売",IF($H120&lt;=$M120,"🟢利確",IF(AND($R120&lt;&gt;"",$H120&gt;=$R120),"🟠TRAIL決済",IF($H120&gt;=$N120,"🔴損切",IF($W120&gt;=$AX$5,"⏱時間決済",IF($H120&gt;=$F120*(1+$AX$2*0.7),"⚠️損切接近","保持継続"))))),IF($H120&gt;=$M120,"🟢利確",IF(AND($R120&lt;&gt;"",$H120&lt;=$R120),"🟠TRAIL決済",IF($H120&lt;=$N120,"🔴損切",IF($W120&gt;=$AX$5,"⏱時間決済",IF($H120&lt;=$F120*(1-$AX$2*0.7),"⚠️損切接近","保持継続")))))))</f>
      </c>
      <c r="P120" s="491"/>
      <c r="Q120" s="491"/>
      <c r="R120" s="491" t="str">
        <f>IF(OR($F120="",$H120="",$N120=""),"",IF($S120="✅売却済","",IF($C120="売",IF($H120&gt;$F120*(1-$AX$2),$N120,CEILING(MIN($N120,IF($Q120="",$N120,$Q120*1.03)),IF($N120&lt;=3000,1,IF($N120&lt;=5000,5,IF($N120&lt;=30000,10,IF($N120&lt;=50000,50,IF($N120&lt;=300000,100,500))))))),IF($H120&lt;$F120*(1+$AX$2),$N120,FLOOR(MAX($N120,IF($P120="",$N120,$P120*0.97)),IF($N120&lt;=3000,1,IF($N120&lt;=5000,5,IF($N120&lt;=30000,10,IF($N120&lt;=50000,50,IF($N120&lt;=300000,100,500))))))))))</f>
      </c>
      <c r="S120" s="586" t="str">
        <f>IF(B120="","",IF(T120&lt;&gt;"","✅売却済",IF(OR(H120="",L120=""),"📌保有中",IF(L120&gt;=0.06,"🟢利確推奨",IF(L120&gt;=0.05,"🟡利確直近",IF(L120&gt;=0.045,"🔵トレーリング検討",IF(L120&gt;-0.03,"📌保有中",IF(L120&gt;-0.04,"⚠️損切注意","🔴損切り"))))))))</f>
        <v/>
      </c>
      <c r="T120" s="594"/>
      <c r="U120" s="491"/>
      <c r="V120" s="701" t="str">
        <f>IF(OR(F120="",G120="",U120=""),"",IF(C120="売",(F120-U120)*G120,(U120-F120)*G120))</f>
        <v/>
      </c>
      <c r="W120" s="493" t="str">
        <f>IF(OR($E120="",$B120=""),"",IF($T120&lt;&gt;"",$T120-$E120,TODAY()-$E120)+1)</f>
        <v/>
      </c>
      <c r="X120" s="489" t="str">
        <f>IF(OR($AH120="",$AH120="保有中"),"",$AH120)</f>
        <v/>
      </c>
      <c r="Y120" s="488">
        <f>IF($B120="","",IF(COUNTIFS($B$4:$B120,$B120,$C$4:$C120,$C120)&gt;1,"⛔重複"&amp;COUNTIFS($B$4:$B120,$B120,$C$4:$C120,$C120)&amp;"回目",""))</f>
      </c>
      <c r="Z120" s="710"/>
      <c r="AB120">
        <f>IF($F120="","",MAX(100,ROUNDDOWN($AX$4/($F120*$AX$2)/100,0)*100))</f>
      </c>
      <c r="AC120">
        <f>IF(OR($F120="",$G120="",$U120=""),"",ROUND($V120-($F120+$U120)*$G120*$AX$6-IF($C120="売",$F120*$G120*$AX$7*$W120/365,0),0))</f>
      </c>
      <c r="AD120" s="608"/>
      <c r="AE120" s="624" t="str">
        <f>IF($E120="","",WORKDAY($E120,12))</f>
        <v/>
      </c>
      <c r="AF120" s="626"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26"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0" t="str">
        <f>IF(OR($B120="",$M120=""),"",IF(AND(N($AF120)=0,N($AG120)=0),IF(AND(ISNUMBER($H120),$H120&gt;0,IF($C120="売",$H120&gt;=$N120,$H120&lt;=$N120)),"損切確定",IF(AND(ISNUMBER($H120),$H120&gt;0,IF($C120="売",$H120&lt;=$M120,$H120&gt;=$M120)),"利益確定",IF($AE120&lt;=TODAY(),"日数制限","保有中"))),IF(N($AG120)=0,"利益確定",IF(N($AF120)=0,"損切確定",IF($AG120&lt;=$AF120,"損切確定","利益確定")))))</f>
        <v/>
      </c>
      <c r="AI120" s="600" t="str" cm="1">
        <f t="array" ref="AI120">IFERROR(INDEX(始値!$E$6:$BT$305,MATCH(TEXT($B120,"0"),TEXT(銘柄管理!$B$6:$B$305,"0"),0),MATCH($AE120,始値!$E$3:$BT$3,0)),"")</f>
        <v/>
      </c>
      <c r="AJ120" s="905" t="str">
        <f>IF(OR($V120="",$F120="",$G120=""),"",$V120/($F120*$G120))</f>
        <v/>
      </c>
      <c r="AK120" s="629" t="str">
        <f>IF($V120="","",IF($V120&gt;0,"○勝",IF($V120&lt;0,"●負","△引分")))</f>
        <v/>
      </c>
    </row>
    <row r="121" spans="1:37" ht="35.4" customHeight="1">
      <c r="A121" s="619" t="str">
        <f>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IF(OR(F121="",G121="",H121=""),"",IF(C121="売",(F121-H121)*G121,(H121-F121)*G121))</f>
        <v/>
      </c>
      <c r="L121" s="706" t="str">
        <f>IF(OR(F121="",H121=""),"",IF(C121="売",(F121-H121)/F121,(H121-F121)/F121))</f>
        <v/>
      </c>
      <c r="M121" s="491" t="str">
        <f>IF($F121="","",IF($C121="売",CEILING($F121*IF($C121="売",1-$AX$3,1+$AX$3),IF($F121*IF($C121="売",1-$AX$3,1+$AX$3)&lt;=3000,1,IF($F121*IF($C121="売",1-$AX$3,1+$AX$3)&lt;=5000,5,IF($F121*IF($C121="売",1-$AX$3,1+$AX$3)&lt;=30000,10,IF($F121*IF($C121="売",1-$AX$3,1+$AX$3)&lt;=50000,50,IF($F121*IF($C121="売",1-$AX$3,1+$AX$3)&lt;=300000,100,500)))))),FLOOR($F121*IF($C121="売",1-$AX$3,1+$AX$3),IF($F121*IF($C121="売",1-$AX$3,1+$AX$3)&lt;=3000,1,IF($F121*IF($C121="売",1-$AX$3,1+$AX$3)&lt;=5000,5,IF($F121*IF($C121="売",1-$AX$3,1+$AX$3)&lt;=30000,10,IF($F121*IF($C121="売",1-$AX$3,1+$AX$3)&lt;=50000,50,IF($F121*IF($C121="売",1-$AX$3,1+$AX$3)&lt;=300000,100,500))))))))</f>
      </c>
      <c r="N121" s="491" t="str">
        <f>IF($F121="","",IF($C121="売",CEILING($F121*IF($C121="売",1+$AX$2,1-$AX$2),IF($F121*IF($C121="売",1+$AX$2,1-$AX$2)&lt;=3000,1,IF($F121*IF($C121="売",1+$AX$2,1-$AX$2)&lt;=5000,5,IF($F121*IF($C121="売",1+$AX$2,1-$AX$2)&lt;=30000,10,IF($F121*IF($C121="売",1+$AX$2,1-$AX$2)&lt;=50000,50,IF($F121*IF($C121="売",1+$AX$2,1-$AX$2)&lt;=300000,100,500)))))),FLOOR($F121*IF($C121="売",1+$AX$2,1-$AX$2),IF($F121*IF($C121="売",1+$AX$2,1-$AX$2)&lt;=3000,1,IF($F121*IF($C121="売",1+$AX$2,1-$AX$2)&lt;=5000,5,IF($F121*IF($C121="売",1+$AX$2,1-$AX$2)&lt;=30000,10,IF($F121*IF($C121="売",1+$AX$2,1-$AX$2)&lt;=50000,50,IF($F121*IF($C121="売",1+$AX$2,1-$AX$2)&lt;=300000,100,500))))))))</f>
      </c>
      <c r="O121" s="492" t="str">
        <f>IF(OR($B121="",$F121="",$H121=""),"",IF($S121="✅売却済","―決済済―",IF($C121="売",IF($H121&lt;=$M121,"🟢利確",IF(AND($R121&lt;&gt;"",$H121&gt;=$R121),"🟠TRAIL決済",IF($H121&gt;=$N121,"🔴損切",IF($W121&gt;=$AX$5,"⏱時間決済",IF($H121&gt;=$F121*(1+$AX$2*0.7),"⚠️損切接近","保持継続"))))),IF($H121&gt;=$M121,"🟢利確",IF(AND($R121&lt;&gt;"",$H121&lt;=$R121),"🟠TRAIL決済",IF($H121&lt;=$N121,"🔴損切",IF($W121&gt;=$AX$5,"⏱時間決済",IF($H121&lt;=$F121*(1-$AX$2*0.7),"⚠️損切接近","保持継続")))))))</f>
      </c>
      <c r="P121" s="491"/>
      <c r="Q121" s="491"/>
      <c r="R121" s="491" t="str">
        <f>IF(OR($F121="",$H121="",$N121=""),"",IF($S121="✅売却済","",IF($C121="売",IF($H121&gt;$F121*(1-$AX$2),$N121,CEILING(MIN($N121,IF($Q121="",$N121,$Q121*1.03)),IF($N121&lt;=3000,1,IF($N121&lt;=5000,5,IF($N121&lt;=30000,10,IF($N121&lt;=50000,50,IF($N121&lt;=300000,100,500))))))),IF($H121&lt;$F121*(1+$AX$2),$N121,FLOOR(MAX($N121,IF($P121="",$N121,$P121*0.97)),IF($N121&lt;=3000,1,IF($N121&lt;=5000,5,IF($N121&lt;=30000,10,IF($N121&lt;=50000,50,IF($N121&lt;=300000,100,500))))))))))</f>
      </c>
      <c r="S121" s="586" t="str">
        <f>IF(B121="","",IF(T121&lt;&gt;"","✅売却済",IF(OR(H121="",L121=""),"📌保有中",IF(L121&gt;=0.06,"🟢利確推奨",IF(L121&gt;=0.05,"🟡利確直近",IF(L121&gt;=0.045,"🔵トレーリング検討",IF(L121&gt;-0.03,"📌保有中",IF(L121&gt;-0.04,"⚠️損切注意","🔴損切り"))))))))</f>
        <v/>
      </c>
      <c r="T121" s="594"/>
      <c r="U121" s="491"/>
      <c r="V121" s="701" t="str">
        <f>IF(OR(F121="",G121="",U121=""),"",IF(C121="売",(F121-U121)*G121,(U121-F121)*G121))</f>
        <v/>
      </c>
      <c r="W121" s="493" t="str">
        <f>IF(OR($E121="",$B121=""),"",IF($T121&lt;&gt;"",$T121-$E121,TODAY()-$E121)+1)</f>
        <v/>
      </c>
      <c r="X121" s="489" t="str">
        <f>IF(OR($AH121="",$AH121="保有中"),"",$AH121)</f>
        <v/>
      </c>
      <c r="Y121" s="488">
        <f>IF($B121="","",IF(COUNTIFS($B$4:$B121,$B121,$C$4:$C121,$C121)&gt;1,"⛔重複"&amp;COUNTIFS($B$4:$B121,$B121,$C$4:$C121,$C121)&amp;"回目",""))</f>
      </c>
      <c r="Z121" s="710"/>
      <c r="AB121">
        <f>IF($F121="","",MAX(100,ROUNDDOWN($AX$4/($F121*$AX$2)/100,0)*100))</f>
      </c>
      <c r="AC121">
        <f>IF(OR($F121="",$G121="",$U121=""),"",ROUND($V121-($F121+$U121)*$G121*$AX$6-IF($C121="売",$F121*$G121*$AX$7*$W121/365,0),0))</f>
      </c>
      <c r="AD121" s="608"/>
      <c r="AE121" s="600" t="str">
        <f>IF($E121="","",WORKDAY($E121,12))</f>
        <v/>
      </c>
      <c r="AF121" s="600"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0"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0" t="str">
        <f>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IFERROR(INDEX(始値!$E$6:$BT$305,MATCH(TEXT($B121,"0"),TEXT(銘柄管理!$B$6:$B$305,"0"),0),MATCH($AE121,始値!$E$3:$BT$3,0)),"")</f>
        <v/>
      </c>
      <c r="AJ121" s="608" t="str">
        <f>IF(OR($V121="",$F121="",$G121=""),"",$V121/($F121*$G121))</f>
        <v/>
      </c>
      <c r="AK121" s="600" t="str">
        <f>IF($V121="","",IF($V121&gt;0,"○勝",IF($V121&lt;0,"●負","△引分")))</f>
        <v/>
      </c>
    </row>
    <row r="122" spans="1:37" ht="35.4" customHeight="1">
      <c r="A122" s="619" t="str">
        <f>IF(B122="","",HYPERLINK("https://kabutan.jp/stock/?code="&amp;B122,"株探"))</f>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IF(OR(F122="",G122="",H122=""),"",IF(C122="売",(F122-H122)*G122,(H122-F122)*G122))</f>
        <v/>
      </c>
      <c r="L122" s="706" t="str">
        <f>IF(OR(F122="",H122=""),"",IF(C122="売",(F122-H122)/F122,(H122-F122)/F122))</f>
        <v/>
      </c>
      <c r="M122" s="491" t="str">
        <f>IF($F122="","",IF($C122="売",CEILING($F122*IF($C122="売",1-$AX$3,1+$AX$3),IF($F122*IF($C122="売",1-$AX$3,1+$AX$3)&lt;=3000,1,IF($F122*IF($C122="売",1-$AX$3,1+$AX$3)&lt;=5000,5,IF($F122*IF($C122="売",1-$AX$3,1+$AX$3)&lt;=30000,10,IF($F122*IF($C122="売",1-$AX$3,1+$AX$3)&lt;=50000,50,IF($F122*IF($C122="売",1-$AX$3,1+$AX$3)&lt;=300000,100,500)))))),FLOOR($F122*IF($C122="売",1-$AX$3,1+$AX$3),IF($F122*IF($C122="売",1-$AX$3,1+$AX$3)&lt;=3000,1,IF($F122*IF($C122="売",1-$AX$3,1+$AX$3)&lt;=5000,5,IF($F122*IF($C122="売",1-$AX$3,1+$AX$3)&lt;=30000,10,IF($F122*IF($C122="売",1-$AX$3,1+$AX$3)&lt;=50000,50,IF($F122*IF($C122="売",1-$AX$3,1+$AX$3)&lt;=300000,100,500))))))))</f>
      </c>
      <c r="N122" s="491" t="str">
        <f>IF($F122="","",IF($C122="売",CEILING($F122*IF($C122="売",1+$AX$2,1-$AX$2),IF($F122*IF($C122="売",1+$AX$2,1-$AX$2)&lt;=3000,1,IF($F122*IF($C122="売",1+$AX$2,1-$AX$2)&lt;=5000,5,IF($F122*IF($C122="売",1+$AX$2,1-$AX$2)&lt;=30000,10,IF($F122*IF($C122="売",1+$AX$2,1-$AX$2)&lt;=50000,50,IF($F122*IF($C122="売",1+$AX$2,1-$AX$2)&lt;=300000,100,500)))))),FLOOR($F122*IF($C122="売",1+$AX$2,1-$AX$2),IF($F122*IF($C122="売",1+$AX$2,1-$AX$2)&lt;=3000,1,IF($F122*IF($C122="売",1+$AX$2,1-$AX$2)&lt;=5000,5,IF($F122*IF($C122="売",1+$AX$2,1-$AX$2)&lt;=30000,10,IF($F122*IF($C122="売",1+$AX$2,1-$AX$2)&lt;=50000,50,IF($F122*IF($C122="売",1+$AX$2,1-$AX$2)&lt;=300000,100,500))))))))</f>
      </c>
      <c r="O122" s="492" t="str">
        <f>IF(OR($B122="",$F122="",$H122=""),"",IF($S122="✅売却済","―決済済―",IF($C122="売",IF($H122&lt;=$M122,"🟢利確",IF(AND($R122&lt;&gt;"",$H122&gt;=$R122),"🟠TRAIL決済",IF($H122&gt;=$N122,"🔴損切",IF($W122&gt;=$AX$5,"⏱時間決済",IF($H122&gt;=$F122*(1+$AX$2*0.7),"⚠️損切接近","保持継続"))))),IF($H122&gt;=$M122,"🟢利確",IF(AND($R122&lt;&gt;"",$H122&lt;=$R122),"🟠TRAIL決済",IF($H122&lt;=$N122,"🔴損切",IF($W122&gt;=$AX$5,"⏱時間決済",IF($H122&lt;=$F122*(1-$AX$2*0.7),"⚠️損切接近","保持継続")))))))</f>
      </c>
      <c r="P122" s="491"/>
      <c r="Q122" s="491"/>
      <c r="R122" s="491" t="str">
        <f>IF(OR($F122="",$H122="",$N122=""),"",IF($S122="✅売却済","",IF($C122="売",IF($H122&gt;$F122*(1-$AX$2),$N122,CEILING(MIN($N122,IF($Q122="",$N122,$Q122*1.03)),IF($N122&lt;=3000,1,IF($N122&lt;=5000,5,IF($N122&lt;=30000,10,IF($N122&lt;=50000,50,IF($N122&lt;=300000,100,500))))))),IF($H122&lt;$F122*(1+$AX$2),$N122,FLOOR(MAX($N122,IF($P122="",$N122,$P122*0.97)),IF($N122&lt;=3000,1,IF($N122&lt;=5000,5,IF($N122&lt;=30000,10,IF($N122&lt;=50000,50,IF($N122&lt;=300000,100,500))))))))))</f>
      </c>
      <c r="S122" s="586" t="str">
        <f>IF(B122="","",IF(T122&lt;&gt;"","✅売却済",IF(OR(H122="",L122=""),"📌保有中",IF(L122&gt;=0.06,"🟢利確推奨",IF(L122&gt;=0.05,"🟡利確直近",IF(L122&gt;=0.045,"🔵トレーリング検討",IF(L122&gt;-0.03,"📌保有中",IF(L122&gt;-0.04,"⚠️損切注意","🔴損切り"))))))))</f>
        <v/>
      </c>
      <c r="T122" s="594"/>
      <c r="U122" s="491"/>
      <c r="V122" s="701" t="str">
        <f>IF(OR(F122="",G122="",U122=""),"",IF(C122="売",(F122-U122)*G122,(U122-F122)*G122))</f>
        <v/>
      </c>
      <c r="W122" s="493" t="str">
        <f>IF(OR($E122="",$B122=""),"",IF($T122&lt;&gt;"",$T122-$E122,TODAY()-$E122)+1)</f>
        <v/>
      </c>
      <c r="X122" s="489" t="str">
        <f>IF(OR($AH122="",$AH122="保有中"),"",$AH122)</f>
        <v/>
      </c>
      <c r="Y122" s="488">
        <f>IF($B122="","",IF(COUNTIFS($B$4:$B122,$B122,$C$4:$C122,$C122)&gt;1,"⛔重複"&amp;COUNTIFS($B$4:$B122,$B122,$C$4:$C122,$C122)&amp;"回目",""))</f>
      </c>
      <c r="Z122" s="710"/>
      <c r="AB122">
        <f>IF($F122="","",MAX(100,ROUNDDOWN($AX$4/($F122*$AX$2)/100,0)*100))</f>
      </c>
      <c r="AC122">
        <f>IF(OR($F122="",$G122="",$U122=""),"",ROUND($V122-($F122+$U122)*$G122*$AX$6-IF($C122="売",$F122*$G122*$AX$7*$W122/365,0),0))</f>
      </c>
      <c r="AD122" s="608"/>
      <c r="AE122" s="600" t="str">
        <f>IF($E122="","",WORKDAY($E122,12))</f>
        <v/>
      </c>
      <c r="AF122" s="600"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0"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0" t="str">
        <f>IF(OR($B122="",$M122=""),"",IF(AND(N($AF122)=0,N($AG122)=0),IF(AND(ISNUMBER($H122),$H122&gt;0,IF($C122="売",$H122&gt;=$N122,$H122&lt;=$N122)),"損切確定",IF(AND(ISNUMBER($H122),$H122&gt;0,IF($C122="売",$H122&lt;=$M122,$H122&gt;=$M122)),"利益確定",IF($AE122&lt;=TODAY(),"日数制限","保有中"))),IF(N($AG122)=0,"利益確定",IF(N($AF122)=0,"損切確定",IF($AG122&lt;=$AF122,"損切確定","利益確定")))))</f>
        <v/>
      </c>
      <c r="AI122" s="600" t="str" cm="1">
        <f t="array" ref="AI122">IFERROR(INDEX(始値!$E$6:$BT$305,MATCH(TEXT($B122,"0"),TEXT(銘柄管理!$B$6:$B$305,"0"),0),MATCH($AE122,始値!$E$3:$BT$3,0)),"")</f>
        <v/>
      </c>
      <c r="AJ122" s="608" t="str">
        <f>IF(OR($V122="",$F122="",$G122=""),"",$V122/($F122*$G122))</f>
        <v/>
      </c>
      <c r="AK122" s="600" t="str">
        <f>IF($V122="","",IF($V122&gt;0,"○勝",IF($V122&lt;0,"●負","△引分")))</f>
        <v/>
      </c>
    </row>
    <row r="123" spans="1:37" ht="35.4" customHeight="1">
      <c r="A123" s="619" t="str">
        <f>IF(B123="","",HYPERLINK("https://kabutan.jp/stock/?code="&amp;B123,"株探"))</f>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IF(OR(F123="",G123="",H123=""),"",IF(C123="売",(F123-H123)*G123,(H123-F123)*G123))</f>
        <v/>
      </c>
      <c r="L123" s="706" t="str">
        <f>IF(OR(F123="",H123=""),"",IF(C123="売",(F123-H123)/F123,(H123-F123)/F123))</f>
        <v/>
      </c>
      <c r="M123" s="491" t="str">
        <f>IF($F123="","",IF($C123="売",CEILING($F123*IF($C123="売",1-$AX$3,1+$AX$3),IF($F123*IF($C123="売",1-$AX$3,1+$AX$3)&lt;=3000,1,IF($F123*IF($C123="売",1-$AX$3,1+$AX$3)&lt;=5000,5,IF($F123*IF($C123="売",1-$AX$3,1+$AX$3)&lt;=30000,10,IF($F123*IF($C123="売",1-$AX$3,1+$AX$3)&lt;=50000,50,IF($F123*IF($C123="売",1-$AX$3,1+$AX$3)&lt;=300000,100,500)))))),FLOOR($F123*IF($C123="売",1-$AX$3,1+$AX$3),IF($F123*IF($C123="売",1-$AX$3,1+$AX$3)&lt;=3000,1,IF($F123*IF($C123="売",1-$AX$3,1+$AX$3)&lt;=5000,5,IF($F123*IF($C123="売",1-$AX$3,1+$AX$3)&lt;=30000,10,IF($F123*IF($C123="売",1-$AX$3,1+$AX$3)&lt;=50000,50,IF($F123*IF($C123="売",1-$AX$3,1+$AX$3)&lt;=300000,100,500))))))))</f>
      </c>
      <c r="N123" s="491" t="str">
        <f>IF($F123="","",IF($C123="売",CEILING($F123*IF($C123="売",1+$AX$2,1-$AX$2),IF($F123*IF($C123="売",1+$AX$2,1-$AX$2)&lt;=3000,1,IF($F123*IF($C123="売",1+$AX$2,1-$AX$2)&lt;=5000,5,IF($F123*IF($C123="売",1+$AX$2,1-$AX$2)&lt;=30000,10,IF($F123*IF($C123="売",1+$AX$2,1-$AX$2)&lt;=50000,50,IF($F123*IF($C123="売",1+$AX$2,1-$AX$2)&lt;=300000,100,500)))))),FLOOR($F123*IF($C123="売",1+$AX$2,1-$AX$2),IF($F123*IF($C123="売",1+$AX$2,1-$AX$2)&lt;=3000,1,IF($F123*IF($C123="売",1+$AX$2,1-$AX$2)&lt;=5000,5,IF($F123*IF($C123="売",1+$AX$2,1-$AX$2)&lt;=30000,10,IF($F123*IF($C123="売",1+$AX$2,1-$AX$2)&lt;=50000,50,IF($F123*IF($C123="売",1+$AX$2,1-$AX$2)&lt;=300000,100,500))))))))</f>
      </c>
      <c r="O123" s="492" t="str">
        <f>IF(OR($B123="",$F123="",$H123=""),"",IF($S123="✅売却済","―決済済―",IF($C123="売",IF($H123&lt;=$M123,"🟢利確",IF(AND($R123&lt;&gt;"",$H123&gt;=$R123),"🟠TRAIL決済",IF($H123&gt;=$N123,"🔴損切",IF($W123&gt;=$AX$5,"⏱時間決済",IF($H123&gt;=$F123*(1+$AX$2*0.7),"⚠️損切接近","保持継続"))))),IF($H123&gt;=$M123,"🟢利確",IF(AND($R123&lt;&gt;"",$H123&lt;=$R123),"🟠TRAIL決済",IF($H123&lt;=$N123,"🔴損切",IF($W123&gt;=$AX$5,"⏱時間決済",IF($H123&lt;=$F123*(1-$AX$2*0.7),"⚠️損切接近","保持継続")))))))</f>
      </c>
      <c r="P123" s="491"/>
      <c r="Q123" s="491"/>
      <c r="R123" s="491" t="str">
        <f>IF(OR($F123="",$H123="",$N123=""),"",IF($S123="✅売却済","",IF($C123="売",IF($H123&gt;$F123*(1-$AX$2),$N123,CEILING(MIN($N123,IF($Q123="",$N123,$Q123*1.03)),IF($N123&lt;=3000,1,IF($N123&lt;=5000,5,IF($N123&lt;=30000,10,IF($N123&lt;=50000,50,IF($N123&lt;=300000,100,500))))))),IF($H123&lt;$F123*(1+$AX$2),$N123,FLOOR(MAX($N123,IF($P123="",$N123,$P123*0.97)),IF($N123&lt;=3000,1,IF($N123&lt;=5000,5,IF($N123&lt;=30000,10,IF($N123&lt;=50000,50,IF($N123&lt;=300000,100,500))))))))))</f>
      </c>
      <c r="S123" s="586" t="str">
        <f>IF(B123="","",IF(T123&lt;&gt;"","✅売却済",IF(OR(H123="",L123=""),"📌保有中",IF(L123&gt;=0.06,"🟢利確推奨",IF(L123&gt;=0.05,"🟡利確直近",IF(L123&gt;=0.045,"🔵トレーリング検討",IF(L123&gt;-0.03,"📌保有中",IF(L123&gt;-0.04,"⚠️損切注意","🔴損切り"))))))))</f>
        <v/>
      </c>
      <c r="T123" s="594"/>
      <c r="U123" s="491"/>
      <c r="V123" s="701" t="str">
        <f>IF(OR(F123="",G123="",U123=""),"",IF(C123="売",(F123-U123)*G123,(U123-F123)*G123))</f>
        <v/>
      </c>
      <c r="W123" s="493" t="str">
        <f>IF(OR($E123="",$B123=""),"",IF($T123&lt;&gt;"",$T123-$E123,TODAY()-$E123)+1)</f>
        <v/>
      </c>
      <c r="X123" s="489" t="str">
        <f>IF(OR($AH123="",$AH123="保有中"),"",$AH123)</f>
        <v/>
      </c>
      <c r="Y123" s="488">
        <f>IF($B123="","",IF(COUNTIFS($B$4:$B123,$B123,$C$4:$C123,$C123)&gt;1,"⛔重複"&amp;COUNTIFS($B$4:$B123,$B123,$C$4:$C123,$C123)&amp;"回目",""))</f>
      </c>
      <c r="Z123" s="710"/>
      <c r="AB123">
        <f>IF($F123="","",MAX(100,ROUNDDOWN($AX$4/($F123*$AX$2)/100,0)*100))</f>
      </c>
      <c r="AC123">
        <f>IF(OR($F123="",$G123="",$U123=""),"",ROUND($V123-($F123+$U123)*$G123*$AX$6-IF($C123="売",$F123*$G123*$AX$7*$W123/365,0),0))</f>
      </c>
      <c r="AD123" s="608"/>
      <c r="AE123" s="600" t="str">
        <f>IF($E123="","",WORKDAY($E123,12))</f>
        <v/>
      </c>
      <c r="AF123" s="600"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0"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0" t="str">
        <f>IF(OR($B123="",$M123=""),"",IF(AND(N($AF123)=0,N($AG123)=0),IF(AND(ISNUMBER($H123),$H123&gt;0,IF($C123="売",$H123&gt;=$N123,$H123&lt;=$N123)),"損切確定",IF(AND(ISNUMBER($H123),$H123&gt;0,IF($C123="売",$H123&lt;=$M123,$H123&gt;=$M123)),"利益確定",IF($AE123&lt;=TODAY(),"日数制限","保有中"))),IF(N($AG123)=0,"利益確定",IF(N($AF123)=0,"損切確定",IF($AG123&lt;=$AF123,"損切確定","利益確定")))))</f>
        <v/>
      </c>
      <c r="AI123" s="600" t="str" cm="1">
        <f t="array" ref="AI123">IFERROR(INDEX(始値!$E$6:$BT$305,MATCH(TEXT($B123,"0"),TEXT(銘柄管理!$B$6:$B$305,"0"),0),MATCH($AE123,始値!$E$3:$BT$3,0)),"")</f>
        <v/>
      </c>
      <c r="AJ123" s="608" t="str">
        <f>IF(OR($V123="",$F123="",$G123=""),"",$V123/($F123*$G123))</f>
        <v/>
      </c>
      <c r="AK123" s="600" t="str">
        <f>IF($V123="","",IF($V123&gt;0,"○勝",IF($V123&lt;0,"●負","△引分")))</f>
        <v/>
      </c>
    </row>
    <row r="124" spans="1:37" ht="35.4" customHeight="1">
      <c r="A124" s="619" t="str">
        <f>IF(B124="","",HYPERLINK("https://kabutan.jp/stock/?code="&amp;B124,"株探"))</f>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IF(OR(F124="",G124="",H124=""),"",IF(C124="売",(F124-H124)*G124,(H124-F124)*G124))</f>
        <v/>
      </c>
      <c r="L124" s="706" t="str">
        <f>IF(OR(F124="",H124=""),"",IF(C124="売",(F124-H124)/F124,(H124-F124)/F124))</f>
        <v/>
      </c>
      <c r="M124" s="491" t="str">
        <f>IF($F124="","",IF($C124="売",CEILING($F124*IF($C124="売",1-$AX$3,1+$AX$3),IF($F124*IF($C124="売",1-$AX$3,1+$AX$3)&lt;=3000,1,IF($F124*IF($C124="売",1-$AX$3,1+$AX$3)&lt;=5000,5,IF($F124*IF($C124="売",1-$AX$3,1+$AX$3)&lt;=30000,10,IF($F124*IF($C124="売",1-$AX$3,1+$AX$3)&lt;=50000,50,IF($F124*IF($C124="売",1-$AX$3,1+$AX$3)&lt;=300000,100,500)))))),FLOOR($F124*IF($C124="売",1-$AX$3,1+$AX$3),IF($F124*IF($C124="売",1-$AX$3,1+$AX$3)&lt;=3000,1,IF($F124*IF($C124="売",1-$AX$3,1+$AX$3)&lt;=5000,5,IF($F124*IF($C124="売",1-$AX$3,1+$AX$3)&lt;=30000,10,IF($F124*IF($C124="売",1-$AX$3,1+$AX$3)&lt;=50000,50,IF($F124*IF($C124="売",1-$AX$3,1+$AX$3)&lt;=300000,100,500))))))))</f>
      </c>
      <c r="N124" s="491" t="str">
        <f>IF($F124="","",IF($C124="売",CEILING($F124*IF($C124="売",1+$AX$2,1-$AX$2),IF($F124*IF($C124="売",1+$AX$2,1-$AX$2)&lt;=3000,1,IF($F124*IF($C124="売",1+$AX$2,1-$AX$2)&lt;=5000,5,IF($F124*IF($C124="売",1+$AX$2,1-$AX$2)&lt;=30000,10,IF($F124*IF($C124="売",1+$AX$2,1-$AX$2)&lt;=50000,50,IF($F124*IF($C124="売",1+$AX$2,1-$AX$2)&lt;=300000,100,500)))))),FLOOR($F124*IF($C124="売",1+$AX$2,1-$AX$2),IF($F124*IF($C124="売",1+$AX$2,1-$AX$2)&lt;=3000,1,IF($F124*IF($C124="売",1+$AX$2,1-$AX$2)&lt;=5000,5,IF($F124*IF($C124="売",1+$AX$2,1-$AX$2)&lt;=30000,10,IF($F124*IF($C124="売",1+$AX$2,1-$AX$2)&lt;=50000,50,IF($F124*IF($C124="売",1+$AX$2,1-$AX$2)&lt;=300000,100,500))))))))</f>
      </c>
      <c r="O124" s="492" t="str">
        <f>IF(OR($B124="",$F124="",$H124=""),"",IF($S124="✅売却済","―決済済―",IF($C124="売",IF($H124&lt;=$M124,"🟢利確",IF(AND($R124&lt;&gt;"",$H124&gt;=$R124),"🟠TRAIL決済",IF($H124&gt;=$N124,"🔴損切",IF($W124&gt;=$AX$5,"⏱時間決済",IF($H124&gt;=$F124*(1+$AX$2*0.7),"⚠️損切接近","保持継続"))))),IF($H124&gt;=$M124,"🟢利確",IF(AND($R124&lt;&gt;"",$H124&lt;=$R124),"🟠TRAIL決済",IF($H124&lt;=$N124,"🔴損切",IF($W124&gt;=$AX$5,"⏱時間決済",IF($H124&lt;=$F124*(1-$AX$2*0.7),"⚠️損切接近","保持継続")))))))</f>
      </c>
      <c r="P124" s="491"/>
      <c r="Q124" s="491"/>
      <c r="R124" s="491" t="str">
        <f>IF(OR($F124="",$H124="",$N124=""),"",IF($S124="✅売却済","",IF($C124="売",IF($H124&gt;$F124*(1-$AX$2),$N124,CEILING(MIN($N124,IF($Q124="",$N124,$Q124*1.03)),IF($N124&lt;=3000,1,IF($N124&lt;=5000,5,IF($N124&lt;=30000,10,IF($N124&lt;=50000,50,IF($N124&lt;=300000,100,500))))))),IF($H124&lt;$F124*(1+$AX$2),$N124,FLOOR(MAX($N124,IF($P124="",$N124,$P124*0.97)),IF($N124&lt;=3000,1,IF($N124&lt;=5000,5,IF($N124&lt;=30000,10,IF($N124&lt;=50000,50,IF($N124&lt;=300000,100,500))))))))))</f>
      </c>
      <c r="S124" s="586" t="str">
        <f>IF(B124="","",IF(T124&lt;&gt;"","✅売却済",IF(OR(H124="",L124=""),"📌保有中",IF(L124&gt;=0.06,"🟢利確推奨",IF(L124&gt;=0.05,"🟡利確直近",IF(L124&gt;=0.045,"🔵トレーリング検討",IF(L124&gt;-0.03,"📌保有中",IF(L124&gt;-0.04,"⚠️損切注意","🔴損切り"))))))))</f>
        <v/>
      </c>
      <c r="T124" s="594"/>
      <c r="U124" s="491"/>
      <c r="V124" s="701" t="str">
        <f>IF(OR(F124="",G124="",U124=""),"",IF(C124="売",(F124-U124)*G124,(U124-F124)*G124))</f>
        <v/>
      </c>
      <c r="W124" s="493" t="str">
        <f>IF(OR($E124="",$B124=""),"",IF($T124&lt;&gt;"",$T124-$E124,TODAY()-$E124)+1)</f>
        <v/>
      </c>
      <c r="X124" s="489" t="str">
        <f>IF(OR($AH124="",$AH124="保有中"),"",$AH124)</f>
        <v/>
      </c>
      <c r="Y124" s="488">
        <f>IF($B124="","",IF(COUNTIFS($B$4:$B124,$B124,$C$4:$C124,$C124)&gt;1,"⛔重複"&amp;COUNTIFS($B$4:$B124,$B124,$C$4:$C124,$C124)&amp;"回目",""))</f>
      </c>
      <c r="Z124" s="710"/>
      <c r="AB124">
        <f>IF($F124="","",MAX(100,ROUNDDOWN($AX$4/($F124*$AX$2)/100,0)*100))</f>
      </c>
      <c r="AC124">
        <f>IF(OR($F124="",$G124="",$U124=""),"",ROUND($V124-($F124+$U124)*$G124*$AX$6-IF($C124="売",$F124*$G124*$AX$7*$W124/365,0),0))</f>
      </c>
      <c r="AD124" s="608"/>
      <c r="AE124" s="600" t="str">
        <f>IF($E124="","",WORKDAY($E124,12))</f>
        <v/>
      </c>
      <c r="AF124" s="600"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0"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0" t="str">
        <f>IF(OR($B124="",$M124=""),"",IF(AND(N($AF124)=0,N($AG124)=0),IF(AND(ISNUMBER($H124),$H124&gt;0,IF($C124="売",$H124&gt;=$N124,$H124&lt;=$N124)),"損切確定",IF(AND(ISNUMBER($H124),$H124&gt;0,IF($C124="売",$H124&lt;=$M124,$H124&gt;=$M124)),"利益確定",IF($AE124&lt;=TODAY(),"日数制限","保有中"))),IF(N($AG124)=0,"利益確定",IF(N($AF124)=0,"損切確定",IF($AG124&lt;=$AF124,"損切確定","利益確定")))))</f>
        <v/>
      </c>
      <c r="AI124" s="600" t="str" cm="1">
        <f t="array" ref="AI124">IFERROR(INDEX(始値!$E$6:$BT$305,MATCH(TEXT($B124,"0"),TEXT(銘柄管理!$B$6:$B$305,"0"),0),MATCH($AE124,始値!$E$3:$BT$3,0)),"")</f>
        <v/>
      </c>
      <c r="AJ124" s="608" t="str">
        <f>IF(OR($V124="",$F124="",$G124=""),"",$V124/($F124*$G124))</f>
        <v/>
      </c>
      <c r="AK124" s="600" t="str">
        <f>IF($V124="","",IF($V124&gt;0,"○勝",IF($V124&lt;0,"●負","△引分")))</f>
        <v/>
      </c>
    </row>
    <row r="125" spans="1:37" ht="35.4" customHeight="1">
      <c r="A125" s="619" t="str">
        <f>IF(B125="","",HYPERLINK("https://kabutan.jp/stock/?code="&amp;B125,"株探"))</f>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IF(OR(F125="",G125="",H125=""),"",IF(C125="売",(F125-H125)*G125,(H125-F125)*G125))</f>
        <v/>
      </c>
      <c r="L125" s="706" t="str">
        <f>IF(OR(F125="",H125=""),"",IF(C125="売",(F125-H125)/F125,(H125-F125)/F125))</f>
        <v/>
      </c>
      <c r="M125" s="491" t="str">
        <f>IF($F125="","",IF($C125="売",CEILING($F125*IF($C125="売",1-$AX$3,1+$AX$3),IF($F125*IF($C125="売",1-$AX$3,1+$AX$3)&lt;=3000,1,IF($F125*IF($C125="売",1-$AX$3,1+$AX$3)&lt;=5000,5,IF($F125*IF($C125="売",1-$AX$3,1+$AX$3)&lt;=30000,10,IF($F125*IF($C125="売",1-$AX$3,1+$AX$3)&lt;=50000,50,IF($F125*IF($C125="売",1-$AX$3,1+$AX$3)&lt;=300000,100,500)))))),FLOOR($F125*IF($C125="売",1-$AX$3,1+$AX$3),IF($F125*IF($C125="売",1-$AX$3,1+$AX$3)&lt;=3000,1,IF($F125*IF($C125="売",1-$AX$3,1+$AX$3)&lt;=5000,5,IF($F125*IF($C125="売",1-$AX$3,1+$AX$3)&lt;=30000,10,IF($F125*IF($C125="売",1-$AX$3,1+$AX$3)&lt;=50000,50,IF($F125*IF($C125="売",1-$AX$3,1+$AX$3)&lt;=300000,100,500))))))))</f>
      </c>
      <c r="N125" s="491" t="str">
        <f>IF($F125="","",IF($C125="売",CEILING($F125*IF($C125="売",1+$AX$2,1-$AX$2),IF($F125*IF($C125="売",1+$AX$2,1-$AX$2)&lt;=3000,1,IF($F125*IF($C125="売",1+$AX$2,1-$AX$2)&lt;=5000,5,IF($F125*IF($C125="売",1+$AX$2,1-$AX$2)&lt;=30000,10,IF($F125*IF($C125="売",1+$AX$2,1-$AX$2)&lt;=50000,50,IF($F125*IF($C125="売",1+$AX$2,1-$AX$2)&lt;=300000,100,500)))))),FLOOR($F125*IF($C125="売",1+$AX$2,1-$AX$2),IF($F125*IF($C125="売",1+$AX$2,1-$AX$2)&lt;=3000,1,IF($F125*IF($C125="売",1+$AX$2,1-$AX$2)&lt;=5000,5,IF($F125*IF($C125="売",1+$AX$2,1-$AX$2)&lt;=30000,10,IF($F125*IF($C125="売",1+$AX$2,1-$AX$2)&lt;=50000,50,IF($F125*IF($C125="売",1+$AX$2,1-$AX$2)&lt;=300000,100,500))))))))</f>
      </c>
      <c r="O125" s="492" t="str">
        <f>IF(OR($B125="",$F125="",$H125=""),"",IF($S125="✅売却済","―決済済―",IF($C125="売",IF($H125&lt;=$M125,"🟢利確",IF(AND($R125&lt;&gt;"",$H125&gt;=$R125),"🟠TRAIL決済",IF($H125&gt;=$N125,"🔴損切",IF($W125&gt;=$AX$5,"⏱時間決済",IF($H125&gt;=$F125*(1+$AX$2*0.7),"⚠️損切接近","保持継続"))))),IF($H125&gt;=$M125,"🟢利確",IF(AND($R125&lt;&gt;"",$H125&lt;=$R125),"🟠TRAIL決済",IF($H125&lt;=$N125,"🔴損切",IF($W125&gt;=$AX$5,"⏱時間決済",IF($H125&lt;=$F125*(1-$AX$2*0.7),"⚠️損切接近","保持継続")))))))</f>
      </c>
      <c r="P125" s="491"/>
      <c r="Q125" s="491"/>
      <c r="R125" s="491" t="str">
        <f>IF(OR($F125="",$H125="",$N125=""),"",IF($S125="✅売却済","",IF($C125="売",IF($H125&gt;$F125*(1-$AX$2),$N125,CEILING(MIN($N125,IF($Q125="",$N125,$Q125*1.03)),IF($N125&lt;=3000,1,IF($N125&lt;=5000,5,IF($N125&lt;=30000,10,IF($N125&lt;=50000,50,IF($N125&lt;=300000,100,500))))))),IF($H125&lt;$F125*(1+$AX$2),$N125,FLOOR(MAX($N125,IF($P125="",$N125,$P125*0.97)),IF($N125&lt;=3000,1,IF($N125&lt;=5000,5,IF($N125&lt;=30000,10,IF($N125&lt;=50000,50,IF($N125&lt;=300000,100,500))))))))))</f>
      </c>
      <c r="S125" s="586" t="str">
        <f>IF(B125="","",IF(T125&lt;&gt;"","✅売却済",IF(OR(H125="",L125=""),"📌保有中",IF(L125&gt;=0.06,"🟢利確推奨",IF(L125&gt;=0.05,"🟡利確直近",IF(L125&gt;=0.045,"🔵トレーリング検討",IF(L125&gt;-0.03,"📌保有中",IF(L125&gt;-0.04,"⚠️損切注意","🔴損切り"))))))))</f>
        <v/>
      </c>
      <c r="T125" s="594"/>
      <c r="U125" s="491"/>
      <c r="V125" s="701" t="str">
        <f>IF(OR(F125="",G125="",U125=""),"",IF(C125="売",(F125-U125)*G125,(U125-F125)*G125))</f>
        <v/>
      </c>
      <c r="W125" s="493" t="str">
        <f>IF(OR($E125="",$B125=""),"",IF($T125&lt;&gt;"",$T125-$E125,TODAY()-$E125)+1)</f>
        <v/>
      </c>
      <c r="X125" s="489" t="str">
        <f>IF(OR($AH125="",$AH125="保有中"),"",$AH125)</f>
        <v/>
      </c>
      <c r="Y125" s="488">
        <f>IF($B125="","",IF(COUNTIFS($B$4:$B125,$B125,$C$4:$C125,$C125)&gt;1,"⛔重複"&amp;COUNTIFS($B$4:$B125,$B125,$C$4:$C125,$C125)&amp;"回目",""))</f>
      </c>
      <c r="Z125" s="710"/>
      <c r="AB125">
        <f>IF($F125="","",MAX(100,ROUNDDOWN($AX$4/($F125*$AX$2)/100,0)*100))</f>
      </c>
      <c r="AC125">
        <f>IF(OR($F125="",$G125="",$U125=""),"",ROUND($V125-($F125+$U125)*$G125*$AX$6-IF($C125="売",$F125*$G125*$AX$7*$W125/365,0),0))</f>
      </c>
      <c r="AD125" s="608"/>
      <c r="AE125" s="600" t="str">
        <f>IF($E125="","",WORKDAY($E125,12))</f>
        <v/>
      </c>
      <c r="AF125" s="600"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0"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0" t="str">
        <f>IF(OR($B125="",$M125=""),"",IF(AND(N($AF125)=0,N($AG125)=0),IF(AND(ISNUMBER($H125),$H125&gt;0,IF($C125="売",$H125&gt;=$N125,$H125&lt;=$N125)),"損切確定",IF(AND(ISNUMBER($H125),$H125&gt;0,IF($C125="売",$H125&lt;=$M125,$H125&gt;=$M125)),"利益確定",IF($AE125&lt;=TODAY(),"日数制限","保有中"))),IF(N($AG125)=0,"利益確定",IF(N($AF125)=0,"損切確定",IF($AG125&lt;=$AF125,"損切確定","利益確定")))))</f>
        <v/>
      </c>
      <c r="AI125" s="600" t="str" cm="1">
        <f t="array" ref="AI125">IFERROR(INDEX(始値!$E$6:$BT$305,MATCH(TEXT($B125,"0"),TEXT(銘柄管理!$B$6:$B$305,"0"),0),MATCH($AE125,始値!$E$3:$BT$3,0)),"")</f>
        <v/>
      </c>
      <c r="AJ125" s="608" t="str">
        <f>IF(OR($V125="",$F125="",$G125=""),"",$V125/($F125*$G125))</f>
        <v/>
      </c>
      <c r="AK125" s="600" t="str">
        <f>IF($V125="","",IF($V125&gt;0,"○勝",IF($V125&lt;0,"●負","△引分")))</f>
        <v/>
      </c>
    </row>
    <row r="126" spans="1:37" ht="35.4" customHeight="1">
      <c r="A126" s="619" t="str">
        <f>IF(B126="","",HYPERLINK("https://kabutan.jp/stock/?code="&amp;B126,"株探"))</f>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IF(OR(F126="",G126="",H126=""),"",IF(C126="売",(F126-H126)*G126,(H126-F126)*G126))</f>
        <v/>
      </c>
      <c r="L126" s="706" t="str">
        <f>IF(OR(F126="",H126=""),"",IF(C126="売",(F126-H126)/F126,(H126-F126)/F126))</f>
        <v/>
      </c>
      <c r="M126" s="491" t="str">
        <f>IF($F126="","",IF($C126="売",CEILING($F126*IF($C126="売",1-$AX$3,1+$AX$3),IF($F126*IF($C126="売",1-$AX$3,1+$AX$3)&lt;=3000,1,IF($F126*IF($C126="売",1-$AX$3,1+$AX$3)&lt;=5000,5,IF($F126*IF($C126="売",1-$AX$3,1+$AX$3)&lt;=30000,10,IF($F126*IF($C126="売",1-$AX$3,1+$AX$3)&lt;=50000,50,IF($F126*IF($C126="売",1-$AX$3,1+$AX$3)&lt;=300000,100,500)))))),FLOOR($F126*IF($C126="売",1-$AX$3,1+$AX$3),IF($F126*IF($C126="売",1-$AX$3,1+$AX$3)&lt;=3000,1,IF($F126*IF($C126="売",1-$AX$3,1+$AX$3)&lt;=5000,5,IF($F126*IF($C126="売",1-$AX$3,1+$AX$3)&lt;=30000,10,IF($F126*IF($C126="売",1-$AX$3,1+$AX$3)&lt;=50000,50,IF($F126*IF($C126="売",1-$AX$3,1+$AX$3)&lt;=300000,100,500))))))))</f>
      </c>
      <c r="N126" s="491" t="str">
        <f>IF($F126="","",IF($C126="売",CEILING($F126*IF($C126="売",1+$AX$2,1-$AX$2),IF($F126*IF($C126="売",1+$AX$2,1-$AX$2)&lt;=3000,1,IF($F126*IF($C126="売",1+$AX$2,1-$AX$2)&lt;=5000,5,IF($F126*IF($C126="売",1+$AX$2,1-$AX$2)&lt;=30000,10,IF($F126*IF($C126="売",1+$AX$2,1-$AX$2)&lt;=50000,50,IF($F126*IF($C126="売",1+$AX$2,1-$AX$2)&lt;=300000,100,500)))))),FLOOR($F126*IF($C126="売",1+$AX$2,1-$AX$2),IF($F126*IF($C126="売",1+$AX$2,1-$AX$2)&lt;=3000,1,IF($F126*IF($C126="売",1+$AX$2,1-$AX$2)&lt;=5000,5,IF($F126*IF($C126="売",1+$AX$2,1-$AX$2)&lt;=30000,10,IF($F126*IF($C126="売",1+$AX$2,1-$AX$2)&lt;=50000,50,IF($F126*IF($C126="売",1+$AX$2,1-$AX$2)&lt;=300000,100,500))))))))</f>
      </c>
      <c r="O126" s="492" t="str">
        <f>IF(OR($B126="",$F126="",$H126=""),"",IF($S126="✅売却済","―決済済―",IF($C126="売",IF($H126&lt;=$M126,"🟢利確",IF(AND($R126&lt;&gt;"",$H126&gt;=$R126),"🟠TRAIL決済",IF($H126&gt;=$N126,"🔴損切",IF($W126&gt;=$AX$5,"⏱時間決済",IF($H126&gt;=$F126*(1+$AX$2*0.7),"⚠️損切接近","保持継続"))))),IF($H126&gt;=$M126,"🟢利確",IF(AND($R126&lt;&gt;"",$H126&lt;=$R126),"🟠TRAIL決済",IF($H126&lt;=$N126,"🔴損切",IF($W126&gt;=$AX$5,"⏱時間決済",IF($H126&lt;=$F126*(1-$AX$2*0.7),"⚠️損切接近","保持継続")))))))</f>
      </c>
      <c r="P126" s="491"/>
      <c r="Q126" s="491"/>
      <c r="R126" s="491" t="str">
        <f>IF(OR($F126="",$H126="",$N126=""),"",IF($S126="✅売却済","",IF($C126="売",IF($H126&gt;$F126*(1-$AX$2),$N126,CEILING(MIN($N126,IF($Q126="",$N126,$Q126*1.03)),IF($N126&lt;=3000,1,IF($N126&lt;=5000,5,IF($N126&lt;=30000,10,IF($N126&lt;=50000,50,IF($N126&lt;=300000,100,500))))))),IF($H126&lt;$F126*(1+$AX$2),$N126,FLOOR(MAX($N126,IF($P126="",$N126,$P126*0.97)),IF($N126&lt;=3000,1,IF($N126&lt;=5000,5,IF($N126&lt;=30000,10,IF($N126&lt;=50000,50,IF($N126&lt;=300000,100,500))))))))))</f>
      </c>
      <c r="S126" s="586" t="str">
        <f>IF(B126="","",IF(T126&lt;&gt;"","✅売却済",IF(OR(H126="",L126=""),"📌保有中",IF(L126&gt;=0.06,"🟢利確推奨",IF(L126&gt;=0.05,"🟡利確直近",IF(L126&gt;=0.045,"🔵トレーリング検討",IF(L126&gt;-0.03,"📌保有中",IF(L126&gt;-0.04,"⚠️損切注意","🔴損切り"))))))))</f>
        <v/>
      </c>
      <c r="T126" s="594"/>
      <c r="U126" s="491"/>
      <c r="V126" s="701" t="str">
        <f>IF(OR(F126="",G126="",U126=""),"",IF(C126="売",(F126-U126)*G126,(U126-F126)*G126))</f>
        <v/>
      </c>
      <c r="W126" s="493" t="str">
        <f>IF(OR($E126="",$B126=""),"",IF($T126&lt;&gt;"",$T126-$E126,TODAY()-$E126)+1)</f>
        <v/>
      </c>
      <c r="X126" s="489" t="str">
        <f>IF(OR($AH126="",$AH126="保有中"),"",$AH126)</f>
        <v/>
      </c>
      <c r="Y126" s="488">
        <f>IF($B126="","",IF(COUNTIFS($B$4:$B126,$B126,$C$4:$C126,$C126)&gt;1,"⛔重複"&amp;COUNTIFS($B$4:$B126,$B126,$C$4:$C126,$C126)&amp;"回目",""))</f>
      </c>
      <c r="Z126" s="710"/>
      <c r="AB126">
        <f>IF($F126="","",MAX(100,ROUNDDOWN($AX$4/($F126*$AX$2)/100,0)*100))</f>
      </c>
      <c r="AC126">
        <f>IF(OR($F126="",$G126="",$U126=""),"",ROUND($V126-($F126+$U126)*$G126*$AX$6-IF($C126="売",$F126*$G126*$AX$7*$W126/365,0),0))</f>
      </c>
      <c r="AD126" s="608"/>
      <c r="AE126" s="600" t="str">
        <f>IF($E126="","",WORKDAY($E126,12))</f>
        <v/>
      </c>
      <c r="AF126" s="600"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0"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0" t="str">
        <f>IF(OR($B126="",$M126=""),"",IF(AND(N($AF126)=0,N($AG126)=0),IF(AND(ISNUMBER($H126),$H126&gt;0,IF($C126="売",$H126&gt;=$N126,$H126&lt;=$N126)),"損切確定",IF(AND(ISNUMBER($H126),$H126&gt;0,IF($C126="売",$H126&lt;=$M126,$H126&gt;=$M126)),"利益確定",IF($AE126&lt;=TODAY(),"日数制限","保有中"))),IF(N($AG126)=0,"利益確定",IF(N($AF126)=0,"損切確定",IF($AG126&lt;=$AF126,"損切確定","利益確定")))))</f>
        <v/>
      </c>
      <c r="AI126" s="600" t="str" cm="1">
        <f t="array" ref="AI126">IFERROR(INDEX(始値!$E$6:$BT$305,MATCH(TEXT($B126,"0"),TEXT(銘柄管理!$B$6:$B$305,"0"),0),MATCH($AE126,始値!$E$3:$BT$3,0)),"")</f>
        <v/>
      </c>
      <c r="AJ126" s="608" t="str">
        <f>IF(OR($V126="",$F126="",$G126=""),"",$V126/($F126*$G126))</f>
        <v/>
      </c>
      <c r="AK126" s="600" t="str">
        <f>IF($V126="","",IF($V126&gt;0,"○勝",IF($V126&lt;0,"●負","△引分")))</f>
        <v/>
      </c>
    </row>
    <row r="127" spans="1:37" ht="35.4" customHeight="1">
      <c r="A127" s="619" t="str">
        <f>IF(B127="","",HYPERLINK("https://kabutan.jp/stock/?code="&amp;B127,"株探"))</f>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IF(OR(F127="",G127="",H127=""),"",IF(C127="売",(F127-H127)*G127,(H127-F127)*G127))</f>
        <v/>
      </c>
      <c r="L127" s="706" t="str">
        <f>IF(OR(F127="",H127=""),"",IF(C127="売",(F127-H127)/F127,(H127-F127)/F127))</f>
        <v/>
      </c>
      <c r="M127" s="491" t="str">
        <f>IF($F127="","",IF($C127="売",CEILING($F127*IF($C127="売",1-$AX$3,1+$AX$3),IF($F127*IF($C127="売",1-$AX$3,1+$AX$3)&lt;=3000,1,IF($F127*IF($C127="売",1-$AX$3,1+$AX$3)&lt;=5000,5,IF($F127*IF($C127="売",1-$AX$3,1+$AX$3)&lt;=30000,10,IF($F127*IF($C127="売",1-$AX$3,1+$AX$3)&lt;=50000,50,IF($F127*IF($C127="売",1-$AX$3,1+$AX$3)&lt;=300000,100,500)))))),FLOOR($F127*IF($C127="売",1-$AX$3,1+$AX$3),IF($F127*IF($C127="売",1-$AX$3,1+$AX$3)&lt;=3000,1,IF($F127*IF($C127="売",1-$AX$3,1+$AX$3)&lt;=5000,5,IF($F127*IF($C127="売",1-$AX$3,1+$AX$3)&lt;=30000,10,IF($F127*IF($C127="売",1-$AX$3,1+$AX$3)&lt;=50000,50,IF($F127*IF($C127="売",1-$AX$3,1+$AX$3)&lt;=300000,100,500))))))))</f>
      </c>
      <c r="N127" s="491" t="str">
        <f>IF($F127="","",IF($C127="売",CEILING($F127*IF($C127="売",1+$AX$2,1-$AX$2),IF($F127*IF($C127="売",1+$AX$2,1-$AX$2)&lt;=3000,1,IF($F127*IF($C127="売",1+$AX$2,1-$AX$2)&lt;=5000,5,IF($F127*IF($C127="売",1+$AX$2,1-$AX$2)&lt;=30000,10,IF($F127*IF($C127="売",1+$AX$2,1-$AX$2)&lt;=50000,50,IF($F127*IF($C127="売",1+$AX$2,1-$AX$2)&lt;=300000,100,500)))))),FLOOR($F127*IF($C127="売",1+$AX$2,1-$AX$2),IF($F127*IF($C127="売",1+$AX$2,1-$AX$2)&lt;=3000,1,IF($F127*IF($C127="売",1+$AX$2,1-$AX$2)&lt;=5000,5,IF($F127*IF($C127="売",1+$AX$2,1-$AX$2)&lt;=30000,10,IF($F127*IF($C127="売",1+$AX$2,1-$AX$2)&lt;=50000,50,IF($F127*IF($C127="売",1+$AX$2,1-$AX$2)&lt;=300000,100,500))))))))</f>
      </c>
      <c r="O127" s="492" t="str">
        <f>IF(OR($B127="",$F127="",$H127=""),"",IF($S127="✅売却済","―決済済―",IF($C127="売",IF($H127&lt;=$M127,"🟢利確",IF(AND($R127&lt;&gt;"",$H127&gt;=$R127),"🟠TRAIL決済",IF($H127&gt;=$N127,"🔴損切",IF($W127&gt;=$AX$5,"⏱時間決済",IF($H127&gt;=$F127*(1+$AX$2*0.7),"⚠️損切接近","保持継続"))))),IF($H127&gt;=$M127,"🟢利確",IF(AND($R127&lt;&gt;"",$H127&lt;=$R127),"🟠TRAIL決済",IF($H127&lt;=$N127,"🔴損切",IF($W127&gt;=$AX$5,"⏱時間決済",IF($H127&lt;=$F127*(1-$AX$2*0.7),"⚠️損切接近","保持継続")))))))</f>
      </c>
      <c r="P127" s="491"/>
      <c r="Q127" s="491"/>
      <c r="R127" s="491" t="str">
        <f>IF(OR($F127="",$H127="",$N127=""),"",IF($S127="✅売却済","",IF($C127="売",IF($H127&gt;$F127*(1-$AX$2),$N127,CEILING(MIN($N127,IF($Q127="",$N127,$Q127*1.03)),IF($N127&lt;=3000,1,IF($N127&lt;=5000,5,IF($N127&lt;=30000,10,IF($N127&lt;=50000,50,IF($N127&lt;=300000,100,500))))))),IF($H127&lt;$F127*(1+$AX$2),$N127,FLOOR(MAX($N127,IF($P127="",$N127,$P127*0.97)),IF($N127&lt;=3000,1,IF($N127&lt;=5000,5,IF($N127&lt;=30000,10,IF($N127&lt;=50000,50,IF($N127&lt;=300000,100,500))))))))))</f>
      </c>
      <c r="S127" s="586" t="str">
        <f>IF(B127="","",IF(T127&lt;&gt;"","✅売却済",IF(OR(H127="",L127=""),"📌保有中",IF(L127&gt;=0.06,"🟢利確推奨",IF(L127&gt;=0.05,"🟡利確直近",IF(L127&gt;=0.045,"🔵トレーリング検討",IF(L127&gt;-0.03,"📌保有中",IF(L127&gt;-0.04,"⚠️損切注意","🔴損切り"))))))))</f>
        <v/>
      </c>
      <c r="T127" s="594"/>
      <c r="U127" s="491"/>
      <c r="V127" s="701" t="str">
        <f>IF(OR(F127="",G127="",U127=""),"",IF(C127="売",(F127-U127)*G127,(U127-F127)*G127))</f>
        <v/>
      </c>
      <c r="W127" s="493" t="str">
        <f>IF(OR($E127="",$B127=""),"",IF($T127&lt;&gt;"",$T127-$E127,TODAY()-$E127)+1)</f>
        <v/>
      </c>
      <c r="X127" s="489" t="str">
        <f>IF(OR($AH127="",$AH127="保有中"),"",$AH127)</f>
        <v/>
      </c>
      <c r="Y127" s="488">
        <f>IF($B127="","",IF(COUNTIFS($B$4:$B127,$B127,$C$4:$C127,$C127)&gt;1,"⛔重複"&amp;COUNTIFS($B$4:$B127,$B127,$C$4:$C127,$C127)&amp;"回目",""))</f>
      </c>
      <c r="Z127" s="710"/>
      <c r="AB127">
        <f>IF($F127="","",MAX(100,ROUNDDOWN($AX$4/($F127*$AX$2)/100,0)*100))</f>
      </c>
      <c r="AC127">
        <f>IF(OR($F127="",$G127="",$U127=""),"",ROUND($V127-($F127+$U127)*$G127*$AX$6-IF($C127="売",$F127*$G127*$AX$7*$W127/365,0),0))</f>
      </c>
      <c r="AD127" s="608"/>
      <c r="AE127" s="600" t="str">
        <f>IF($E127="","",WORKDAY($E127,12))</f>
        <v/>
      </c>
      <c r="AF127" s="600"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0"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0" t="str">
        <f>IF(OR($B127="",$M127=""),"",IF(AND(N($AF127)=0,N($AG127)=0),IF(AND(ISNUMBER($H127),$H127&gt;0,IF($C127="売",$H127&gt;=$N127,$H127&lt;=$N127)),"損切確定",IF(AND(ISNUMBER($H127),$H127&gt;0,IF($C127="売",$H127&lt;=$M127,$H127&gt;=$M127)),"利益確定",IF($AE127&lt;=TODAY(),"日数制限","保有中"))),IF(N($AG127)=0,"利益確定",IF(N($AF127)=0,"損切確定",IF($AG127&lt;=$AF127,"損切確定","利益確定")))))</f>
        <v/>
      </c>
      <c r="AI127" s="600" t="str" cm="1">
        <f t="array" ref="AI127">IFERROR(INDEX(始値!$E$6:$BT$305,MATCH(TEXT($B127,"0"),TEXT(銘柄管理!$B$6:$B$305,"0"),0),MATCH($AE127,始値!$E$3:$BT$3,0)),"")</f>
        <v/>
      </c>
      <c r="AJ127" s="608" t="str">
        <f>IF(OR($V127="",$F127="",$G127=""),"",$V127/($F127*$G127))</f>
        <v/>
      </c>
      <c r="AK127" s="600" t="str">
        <f>IF($V127="","",IF($V127&gt;0,"○勝",IF($V127&lt;0,"●負","△引分")))</f>
        <v/>
      </c>
    </row>
    <row r="128" spans="1:37" ht="35.4" customHeight="1">
      <c r="A128" s="619" t="str">
        <f>IF(B128="","",HYPERLINK("https://kabutan.jp/stock/?code="&amp;B128,"株探"))</f>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IF(OR(F128="",G128="",H128=""),"",IF(C128="売",(F128-H128)*G128,(H128-F128)*G128))</f>
        <v/>
      </c>
      <c r="L128" s="706" t="str">
        <f>IF(OR(F128="",H128=""),"",IF(C128="売",(F128-H128)/F128,(H128-F128)/F128))</f>
        <v/>
      </c>
      <c r="M128" s="491" t="str">
        <f>IF($F128="","",IF($C128="売",CEILING($F128*IF($C128="売",1-$AX$3,1+$AX$3),IF($F128*IF($C128="売",1-$AX$3,1+$AX$3)&lt;=3000,1,IF($F128*IF($C128="売",1-$AX$3,1+$AX$3)&lt;=5000,5,IF($F128*IF($C128="売",1-$AX$3,1+$AX$3)&lt;=30000,10,IF($F128*IF($C128="売",1-$AX$3,1+$AX$3)&lt;=50000,50,IF($F128*IF($C128="売",1-$AX$3,1+$AX$3)&lt;=300000,100,500)))))),FLOOR($F128*IF($C128="売",1-$AX$3,1+$AX$3),IF($F128*IF($C128="売",1-$AX$3,1+$AX$3)&lt;=3000,1,IF($F128*IF($C128="売",1-$AX$3,1+$AX$3)&lt;=5000,5,IF($F128*IF($C128="売",1-$AX$3,1+$AX$3)&lt;=30000,10,IF($F128*IF($C128="売",1-$AX$3,1+$AX$3)&lt;=50000,50,IF($F128*IF($C128="売",1-$AX$3,1+$AX$3)&lt;=300000,100,500))))))))</f>
      </c>
      <c r="N128" s="491" t="str">
        <f>IF($F128="","",IF($C128="売",CEILING($F128*IF($C128="売",1+$AX$2,1-$AX$2),IF($F128*IF($C128="売",1+$AX$2,1-$AX$2)&lt;=3000,1,IF($F128*IF($C128="売",1+$AX$2,1-$AX$2)&lt;=5000,5,IF($F128*IF($C128="売",1+$AX$2,1-$AX$2)&lt;=30000,10,IF($F128*IF($C128="売",1+$AX$2,1-$AX$2)&lt;=50000,50,IF($F128*IF($C128="売",1+$AX$2,1-$AX$2)&lt;=300000,100,500)))))),FLOOR($F128*IF($C128="売",1+$AX$2,1-$AX$2),IF($F128*IF($C128="売",1+$AX$2,1-$AX$2)&lt;=3000,1,IF($F128*IF($C128="売",1+$AX$2,1-$AX$2)&lt;=5000,5,IF($F128*IF($C128="売",1+$AX$2,1-$AX$2)&lt;=30000,10,IF($F128*IF($C128="売",1+$AX$2,1-$AX$2)&lt;=50000,50,IF($F128*IF($C128="売",1+$AX$2,1-$AX$2)&lt;=300000,100,500))))))))</f>
      </c>
      <c r="O128" s="492" t="str">
        <f>IF(OR($B128="",$F128="",$H128=""),"",IF($S128="✅売却済","―決済済―",IF($C128="売",IF($H128&lt;=$M128,"🟢利確",IF(AND($R128&lt;&gt;"",$H128&gt;=$R128),"🟠TRAIL決済",IF($H128&gt;=$N128,"🔴損切",IF($W128&gt;=$AX$5,"⏱時間決済",IF($H128&gt;=$F128*(1+$AX$2*0.7),"⚠️損切接近","保持継続"))))),IF($H128&gt;=$M128,"🟢利確",IF(AND($R128&lt;&gt;"",$H128&lt;=$R128),"🟠TRAIL決済",IF($H128&lt;=$N128,"🔴損切",IF($W128&gt;=$AX$5,"⏱時間決済",IF($H128&lt;=$F128*(1-$AX$2*0.7),"⚠️損切接近","保持継続")))))))</f>
      </c>
      <c r="P128" s="491"/>
      <c r="Q128" s="491"/>
      <c r="R128" s="491" t="str">
        <f>IF(OR($F128="",$H128="",$N128=""),"",IF($S128="✅売却済","",IF($C128="売",IF($H128&gt;$F128*(1-$AX$2),$N128,CEILING(MIN($N128,IF($Q128="",$N128,$Q128*1.03)),IF($N128&lt;=3000,1,IF($N128&lt;=5000,5,IF($N128&lt;=30000,10,IF($N128&lt;=50000,50,IF($N128&lt;=300000,100,500))))))),IF($H128&lt;$F128*(1+$AX$2),$N128,FLOOR(MAX($N128,IF($P128="",$N128,$P128*0.97)),IF($N128&lt;=3000,1,IF($N128&lt;=5000,5,IF($N128&lt;=30000,10,IF($N128&lt;=50000,50,IF($N128&lt;=300000,100,500))))))))))</f>
      </c>
      <c r="S128" s="586" t="str">
        <f>IF(B128="","",IF(T128&lt;&gt;"","✅売却済",IF(OR(H128="",L128=""),"📌保有中",IF(L128&gt;=0.06,"🟢利確推奨",IF(L128&gt;=0.05,"🟡利確直近",IF(L128&gt;=0.045,"🔵トレーリング検討",IF(L128&gt;-0.03,"📌保有中",IF(L128&gt;-0.04,"⚠️損切注意","🔴損切り"))))))))</f>
        <v/>
      </c>
      <c r="T128" s="594"/>
      <c r="U128" s="491"/>
      <c r="V128" s="701" t="str">
        <f>IF(OR(F128="",G128="",U128=""),"",IF(C128="売",(F128-U128)*G128,(U128-F128)*G128))</f>
        <v/>
      </c>
      <c r="W128" s="493" t="str">
        <f>IF(OR($E128="",$B128=""),"",IF($T128&lt;&gt;"",$T128-$E128,TODAY()-$E128)+1)</f>
        <v/>
      </c>
      <c r="X128" s="489" t="str">
        <f>IF(OR($AH128="",$AH128="保有中"),"",$AH128)</f>
        <v/>
      </c>
      <c r="Y128" s="488">
        <f>IF($B128="","",IF(COUNTIFS($B$4:$B128,$B128,$C$4:$C128,$C128)&gt;1,"⛔重複"&amp;COUNTIFS($B$4:$B128,$B128,$C$4:$C128,$C128)&amp;"回目",""))</f>
      </c>
      <c r="Z128" s="710"/>
      <c r="AB128">
        <f>IF($F128="","",MAX(100,ROUNDDOWN($AX$4/($F128*$AX$2)/100,0)*100))</f>
      </c>
      <c r="AC128">
        <f>IF(OR($F128="",$G128="",$U128=""),"",ROUND($V128-($F128+$U128)*$G128*$AX$6-IF($C128="売",$F128*$G128*$AX$7*$W128/365,0),0))</f>
      </c>
      <c r="AD128" s="608"/>
      <c r="AE128" s="600" t="str">
        <f>IF($E128="","",WORKDAY($E128,12))</f>
        <v/>
      </c>
      <c r="AF128" s="600"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0"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0" t="str">
        <f>IF(OR($B128="",$M128=""),"",IF(AND(N($AF128)=0,N($AG128)=0),IF(AND(ISNUMBER($H128),$H128&gt;0,IF($C128="売",$H128&gt;=$N128,$H128&lt;=$N128)),"損切確定",IF(AND(ISNUMBER($H128),$H128&gt;0,IF($C128="売",$H128&lt;=$M128,$H128&gt;=$M128)),"利益確定",IF($AE128&lt;=TODAY(),"日数制限","保有中"))),IF(N($AG128)=0,"利益確定",IF(N($AF128)=0,"損切確定",IF($AG128&lt;=$AF128,"損切確定","利益確定")))))</f>
        <v/>
      </c>
      <c r="AI128" s="600" t="str" cm="1">
        <f t="array" ref="AI128">IFERROR(INDEX(始値!$E$6:$BT$305,MATCH(TEXT($B128,"0"),TEXT(銘柄管理!$B$6:$B$305,"0"),0),MATCH($AE128,始値!$E$3:$BT$3,0)),"")</f>
        <v/>
      </c>
      <c r="AJ128" s="608" t="str">
        <f>IF(OR($V128="",$F128="",$G128=""),"",$V128/($F128*$G128))</f>
        <v/>
      </c>
      <c r="AK128" s="600" t="str">
        <f>IF($V128="","",IF($V128&gt;0,"○勝",IF($V128&lt;0,"●負","△引分")))</f>
        <v/>
      </c>
    </row>
    <row r="129" spans="1:37" ht="35.4" customHeight="1">
      <c r="A129" s="619" t="str">
        <f>IF(B129="","",HYPERLINK("https://kabutan.jp/stock/?code="&amp;B129,"株探"))</f>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IF(OR(F129="",G129="",H129=""),"",IF(C129="売",(F129-H129)*G129,(H129-F129)*G129))</f>
        <v/>
      </c>
      <c r="L129" s="706" t="str">
        <f>IF(OR(F129="",H129=""),"",IF(C129="売",(F129-H129)/F129,(H129-F129)/F129))</f>
        <v/>
      </c>
      <c r="M129" s="491" t="str">
        <f>IF($F129="","",IF($C129="売",CEILING($F129*IF($C129="売",1-$AX$3,1+$AX$3),IF($F129*IF($C129="売",1-$AX$3,1+$AX$3)&lt;=3000,1,IF($F129*IF($C129="売",1-$AX$3,1+$AX$3)&lt;=5000,5,IF($F129*IF($C129="売",1-$AX$3,1+$AX$3)&lt;=30000,10,IF($F129*IF($C129="売",1-$AX$3,1+$AX$3)&lt;=50000,50,IF($F129*IF($C129="売",1-$AX$3,1+$AX$3)&lt;=300000,100,500)))))),FLOOR($F129*IF($C129="売",1-$AX$3,1+$AX$3),IF($F129*IF($C129="売",1-$AX$3,1+$AX$3)&lt;=3000,1,IF($F129*IF($C129="売",1-$AX$3,1+$AX$3)&lt;=5000,5,IF($F129*IF($C129="売",1-$AX$3,1+$AX$3)&lt;=30000,10,IF($F129*IF($C129="売",1-$AX$3,1+$AX$3)&lt;=50000,50,IF($F129*IF($C129="売",1-$AX$3,1+$AX$3)&lt;=300000,100,500))))))))</f>
      </c>
      <c r="N129" s="491" t="str">
        <f>IF($F129="","",IF($C129="売",CEILING($F129*IF($C129="売",1+$AX$2,1-$AX$2),IF($F129*IF($C129="売",1+$AX$2,1-$AX$2)&lt;=3000,1,IF($F129*IF($C129="売",1+$AX$2,1-$AX$2)&lt;=5000,5,IF($F129*IF($C129="売",1+$AX$2,1-$AX$2)&lt;=30000,10,IF($F129*IF($C129="売",1+$AX$2,1-$AX$2)&lt;=50000,50,IF($F129*IF($C129="売",1+$AX$2,1-$AX$2)&lt;=300000,100,500)))))),FLOOR($F129*IF($C129="売",1+$AX$2,1-$AX$2),IF($F129*IF($C129="売",1+$AX$2,1-$AX$2)&lt;=3000,1,IF($F129*IF($C129="売",1+$AX$2,1-$AX$2)&lt;=5000,5,IF($F129*IF($C129="売",1+$AX$2,1-$AX$2)&lt;=30000,10,IF($F129*IF($C129="売",1+$AX$2,1-$AX$2)&lt;=50000,50,IF($F129*IF($C129="売",1+$AX$2,1-$AX$2)&lt;=300000,100,500))))))))</f>
      </c>
      <c r="O129" s="492" t="str">
        <f>IF(OR($B129="",$F129="",$H129=""),"",IF($S129="✅売却済","―決済済―",IF($C129="売",IF($H129&lt;=$M129,"🟢利確",IF(AND($R129&lt;&gt;"",$H129&gt;=$R129),"🟠TRAIL決済",IF($H129&gt;=$N129,"🔴損切",IF($W129&gt;=$AX$5,"⏱時間決済",IF($H129&gt;=$F129*(1+$AX$2*0.7),"⚠️損切接近","保持継続"))))),IF($H129&gt;=$M129,"🟢利確",IF(AND($R129&lt;&gt;"",$H129&lt;=$R129),"🟠TRAIL決済",IF($H129&lt;=$N129,"🔴損切",IF($W129&gt;=$AX$5,"⏱時間決済",IF($H129&lt;=$F129*(1-$AX$2*0.7),"⚠️損切接近","保持継続")))))))</f>
      </c>
      <c r="P129" s="491"/>
      <c r="Q129" s="491"/>
      <c r="R129" s="491" t="str">
        <f>IF(OR($F129="",$H129="",$N129=""),"",IF($S129="✅売却済","",IF($C129="売",IF($H129&gt;$F129*(1-$AX$2),$N129,CEILING(MIN($N129,IF($Q129="",$N129,$Q129*1.03)),IF($N129&lt;=3000,1,IF($N129&lt;=5000,5,IF($N129&lt;=30000,10,IF($N129&lt;=50000,50,IF($N129&lt;=300000,100,500))))))),IF($H129&lt;$F129*(1+$AX$2),$N129,FLOOR(MAX($N129,IF($P129="",$N129,$P129*0.97)),IF($N129&lt;=3000,1,IF($N129&lt;=5000,5,IF($N129&lt;=30000,10,IF($N129&lt;=50000,50,IF($N129&lt;=300000,100,500))))))))))</f>
      </c>
      <c r="S129" s="586" t="str">
        <f>IF(B129="","",IF(T129&lt;&gt;"","✅売却済",IF(OR(H129="",L129=""),"📌保有中",IF(L129&gt;=0.06,"🟢利確推奨",IF(L129&gt;=0.05,"🟡利確直近",IF(L129&gt;=0.045,"🔵トレーリング検討",IF(L129&gt;-0.03,"📌保有中",IF(L129&gt;-0.04,"⚠️損切注意","🔴損切り"))))))))</f>
        <v/>
      </c>
      <c r="T129" s="594"/>
      <c r="U129" s="491"/>
      <c r="V129" s="701" t="str">
        <f>IF(OR(F129="",G129="",U129=""),"",IF(C129="売",(F129-U129)*G129,(U129-F129)*G129))</f>
        <v/>
      </c>
      <c r="W129" s="493" t="str">
        <f>IF(OR($E129="",$B129=""),"",IF($T129&lt;&gt;"",$T129-$E129,TODAY()-$E129)+1)</f>
        <v/>
      </c>
      <c r="X129" s="489" t="str">
        <f>IF(OR($AH129="",$AH129="保有中"),"",$AH129)</f>
        <v/>
      </c>
      <c r="Y129" s="488">
        <f>IF($B129="","",IF(COUNTIFS($B$4:$B129,$B129,$C$4:$C129,$C129)&gt;1,"⛔重複"&amp;COUNTIFS($B$4:$B129,$B129,$C$4:$C129,$C129)&amp;"回目",""))</f>
      </c>
      <c r="Z129" s="710"/>
      <c r="AB129">
        <f>IF($F129="","",MAX(100,ROUNDDOWN($AX$4/($F129*$AX$2)/100,0)*100))</f>
      </c>
      <c r="AC129">
        <f>IF(OR($F129="",$G129="",$U129=""),"",ROUND($V129-($F129+$U129)*$G129*$AX$6-IF($C129="売",$F129*$G129*$AX$7*$W129/365,0),0))</f>
      </c>
      <c r="AD129" s="608"/>
      <c r="AE129" s="600" t="str">
        <f>IF($E129="","",WORKDAY($E129,12))</f>
        <v/>
      </c>
      <c r="AF129" s="600"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0"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0" t="str">
        <f>IF(OR($B129="",$M129=""),"",IF(AND(N($AF129)=0,N($AG129)=0),IF(AND(ISNUMBER($H129),$H129&gt;0,IF($C129="売",$H129&gt;=$N129,$H129&lt;=$N129)),"損切確定",IF(AND(ISNUMBER($H129),$H129&gt;0,IF($C129="売",$H129&lt;=$M129,$H129&gt;=$M129)),"利益確定",IF($AE129&lt;=TODAY(),"日数制限","保有中"))),IF(N($AG129)=0,"利益確定",IF(N($AF129)=0,"損切確定",IF($AG129&lt;=$AF129,"損切確定","利益確定")))))</f>
        <v/>
      </c>
      <c r="AI129" s="600" t="str" cm="1">
        <f t="array" ref="AI129">IFERROR(INDEX(始値!$E$6:$BT$305,MATCH(TEXT($B129,"0"),TEXT(銘柄管理!$B$6:$B$305,"0"),0),MATCH($AE129,始値!$E$3:$BT$3,0)),"")</f>
        <v/>
      </c>
      <c r="AJ129" s="608" t="str">
        <f>IF(OR($V129="",$F129="",$G129=""),"",$V129/($F129*$G129))</f>
        <v/>
      </c>
      <c r="AK129" s="600" t="str">
        <f>IF($V129="","",IF($V129&gt;0,"○勝",IF($V129&lt;0,"●負","△引分")))</f>
        <v/>
      </c>
    </row>
    <row r="130" spans="1:37" ht="35.4" customHeight="1">
      <c r="A130" s="619" t="str">
        <f>IF(B130="","",HYPERLINK("https://kabutan.jp/stock/?code="&amp;B130,"株探"))</f>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IF(OR(F130="",G130="",H130=""),"",IF(C130="売",(F130-H130)*G130,(H130-F130)*G130))</f>
        <v/>
      </c>
      <c r="L130" s="706" t="str">
        <f>IF(OR(F130="",H130=""),"",IF(C130="売",(F130-H130)/F130,(H130-F130)/F130))</f>
        <v/>
      </c>
      <c r="M130" s="491" t="str">
        <f>IF($F130="","",IF($C130="売",CEILING($F130*IF($C130="売",1-$AX$3,1+$AX$3),IF($F130*IF($C130="売",1-$AX$3,1+$AX$3)&lt;=3000,1,IF($F130*IF($C130="売",1-$AX$3,1+$AX$3)&lt;=5000,5,IF($F130*IF($C130="売",1-$AX$3,1+$AX$3)&lt;=30000,10,IF($F130*IF($C130="売",1-$AX$3,1+$AX$3)&lt;=50000,50,IF($F130*IF($C130="売",1-$AX$3,1+$AX$3)&lt;=300000,100,500)))))),FLOOR($F130*IF($C130="売",1-$AX$3,1+$AX$3),IF($F130*IF($C130="売",1-$AX$3,1+$AX$3)&lt;=3000,1,IF($F130*IF($C130="売",1-$AX$3,1+$AX$3)&lt;=5000,5,IF($F130*IF($C130="売",1-$AX$3,1+$AX$3)&lt;=30000,10,IF($F130*IF($C130="売",1-$AX$3,1+$AX$3)&lt;=50000,50,IF($F130*IF($C130="売",1-$AX$3,1+$AX$3)&lt;=300000,100,500))))))))</f>
      </c>
      <c r="N130" s="491" t="str">
        <f>IF($F130="","",IF($C130="売",CEILING($F130*IF($C130="売",1+$AX$2,1-$AX$2),IF($F130*IF($C130="売",1+$AX$2,1-$AX$2)&lt;=3000,1,IF($F130*IF($C130="売",1+$AX$2,1-$AX$2)&lt;=5000,5,IF($F130*IF($C130="売",1+$AX$2,1-$AX$2)&lt;=30000,10,IF($F130*IF($C130="売",1+$AX$2,1-$AX$2)&lt;=50000,50,IF($F130*IF($C130="売",1+$AX$2,1-$AX$2)&lt;=300000,100,500)))))),FLOOR($F130*IF($C130="売",1+$AX$2,1-$AX$2),IF($F130*IF($C130="売",1+$AX$2,1-$AX$2)&lt;=3000,1,IF($F130*IF($C130="売",1+$AX$2,1-$AX$2)&lt;=5000,5,IF($F130*IF($C130="売",1+$AX$2,1-$AX$2)&lt;=30000,10,IF($F130*IF($C130="売",1+$AX$2,1-$AX$2)&lt;=50000,50,IF($F130*IF($C130="売",1+$AX$2,1-$AX$2)&lt;=300000,100,500))))))))</f>
      </c>
      <c r="O130" s="492" t="str">
        <f>IF(OR($B130="",$F130="",$H130=""),"",IF($S130="✅売却済","―決済済―",IF($C130="売",IF($H130&lt;=$M130,"🟢利確",IF(AND($R130&lt;&gt;"",$H130&gt;=$R130),"🟠TRAIL決済",IF($H130&gt;=$N130,"🔴損切",IF($W130&gt;=$AX$5,"⏱時間決済",IF($H130&gt;=$F130*(1+$AX$2*0.7),"⚠️損切接近","保持継続"))))),IF($H130&gt;=$M130,"🟢利確",IF(AND($R130&lt;&gt;"",$H130&lt;=$R130),"🟠TRAIL決済",IF($H130&lt;=$N130,"🔴損切",IF($W130&gt;=$AX$5,"⏱時間決済",IF($H130&lt;=$F130*(1-$AX$2*0.7),"⚠️損切接近","保持継続")))))))</f>
      </c>
      <c r="P130" s="491"/>
      <c r="Q130" s="491"/>
      <c r="R130" s="491" t="str">
        <f>IF(OR($F130="",$H130="",$N130=""),"",IF($S130="✅売却済","",IF($C130="売",IF($H130&gt;$F130*(1-$AX$2),$N130,CEILING(MIN($N130,IF($Q130="",$N130,$Q130*1.03)),IF($N130&lt;=3000,1,IF($N130&lt;=5000,5,IF($N130&lt;=30000,10,IF($N130&lt;=50000,50,IF($N130&lt;=300000,100,500))))))),IF($H130&lt;$F130*(1+$AX$2),$N130,FLOOR(MAX($N130,IF($P130="",$N130,$P130*0.97)),IF($N130&lt;=3000,1,IF($N130&lt;=5000,5,IF($N130&lt;=30000,10,IF($N130&lt;=50000,50,IF($N130&lt;=300000,100,500))))))))))</f>
      </c>
      <c r="S130" s="586" t="str">
        <f>IF(B130="","",IF(T130&lt;&gt;"","✅売却済",IF(OR(H130="",L130=""),"📌保有中",IF(L130&gt;=0.06,"🟢利確推奨",IF(L130&gt;=0.05,"🟡利確直近",IF(L130&gt;=0.045,"🔵トレーリング検討",IF(L130&gt;-0.03,"📌保有中",IF(L130&gt;-0.04,"⚠️損切注意","🔴損切り"))))))))</f>
        <v/>
      </c>
      <c r="T130" s="594"/>
      <c r="U130" s="491"/>
      <c r="V130" s="701" t="str">
        <f>IF(OR(F130="",G130="",U130=""),"",IF(C130="売",(F130-U130)*G130,(U130-F130)*G130))</f>
        <v/>
      </c>
      <c r="W130" s="493" t="str">
        <f>IF(OR($E130="",$B130=""),"",IF($T130&lt;&gt;"",$T130-$E130,TODAY()-$E130)+1)</f>
        <v/>
      </c>
      <c r="X130" s="489" t="str">
        <f>IF(OR($AH130="",$AH130="保有中"),"",$AH130)</f>
        <v/>
      </c>
      <c r="Y130" s="488">
        <f>IF($B130="","",IF(COUNTIFS($B$4:$B130,$B130,$C$4:$C130,$C130)&gt;1,"⛔重複"&amp;COUNTIFS($B$4:$B130,$B130,$C$4:$C130,$C130)&amp;"回目",""))</f>
      </c>
      <c r="Z130" s="710"/>
      <c r="AB130">
        <f>IF($F130="","",MAX(100,ROUNDDOWN($AX$4/($F130*$AX$2)/100,0)*100))</f>
      </c>
      <c r="AC130">
        <f>IF(OR($F130="",$G130="",$U130=""),"",ROUND($V130-($F130+$U130)*$G130*$AX$6-IF($C130="売",$F130*$G130*$AX$7*$W130/365,0),0))</f>
      </c>
      <c r="AD130" s="608"/>
      <c r="AE130" s="600" t="str">
        <f>IF($E130="","",WORKDAY($E130,12))</f>
        <v/>
      </c>
      <c r="AF130" s="600"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0"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0" t="str">
        <f>IF(OR($B130="",$M130=""),"",IF(AND(N($AF130)=0,N($AG130)=0),IF(AND(ISNUMBER($H130),$H130&gt;0,IF($C130="売",$H130&gt;=$N130,$H130&lt;=$N130)),"損切確定",IF(AND(ISNUMBER($H130),$H130&gt;0,IF($C130="売",$H130&lt;=$M130,$H130&gt;=$M130)),"利益確定",IF($AE130&lt;=TODAY(),"日数制限","保有中"))),IF(N($AG130)=0,"利益確定",IF(N($AF130)=0,"損切確定",IF($AG130&lt;=$AF130,"損切確定","利益確定")))))</f>
        <v/>
      </c>
      <c r="AI130" s="600" t="str" cm="1">
        <f t="array" ref="AI130">IFERROR(INDEX(始値!$E$6:$BT$305,MATCH(TEXT($B130,"0"),TEXT(銘柄管理!$B$6:$B$305,"0"),0),MATCH($AE130,始値!$E$3:$BT$3,0)),"")</f>
        <v/>
      </c>
      <c r="AJ130" s="608" t="str">
        <f>IF(OR($V130="",$F130="",$G130=""),"",$V130/($F130*$G130))</f>
        <v/>
      </c>
      <c r="AK130" s="600" t="str">
        <f>IF($V130="","",IF($V130&gt;0,"○勝",IF($V130&lt;0,"●負","△引分")))</f>
        <v/>
      </c>
    </row>
    <row r="131" spans="1:37" ht="35.4" customHeight="1">
      <c r="A131" s="619" t="str">
        <f>IF(B131="","",HYPERLINK("https://kabutan.jp/stock/?code="&amp;B131,"株探"))</f>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IF(OR(F131="",G131="",H131=""),"",IF(C131="売",(F131-H131)*G131,(H131-F131)*G131))</f>
        <v/>
      </c>
      <c r="L131" s="706" t="str">
        <f>IF(OR(F131="",H131=""),"",IF(C131="売",(F131-H131)/F131,(H131-F131)/F131))</f>
        <v/>
      </c>
      <c r="M131" s="491" t="str">
        <f>IF($F131="","",IF($C131="売",CEILING($F131*IF($C131="売",1-$AX$3,1+$AX$3),IF($F131*IF($C131="売",1-$AX$3,1+$AX$3)&lt;=3000,1,IF($F131*IF($C131="売",1-$AX$3,1+$AX$3)&lt;=5000,5,IF($F131*IF($C131="売",1-$AX$3,1+$AX$3)&lt;=30000,10,IF($F131*IF($C131="売",1-$AX$3,1+$AX$3)&lt;=50000,50,IF($F131*IF($C131="売",1-$AX$3,1+$AX$3)&lt;=300000,100,500)))))),FLOOR($F131*IF($C131="売",1-$AX$3,1+$AX$3),IF($F131*IF($C131="売",1-$AX$3,1+$AX$3)&lt;=3000,1,IF($F131*IF($C131="売",1-$AX$3,1+$AX$3)&lt;=5000,5,IF($F131*IF($C131="売",1-$AX$3,1+$AX$3)&lt;=30000,10,IF($F131*IF($C131="売",1-$AX$3,1+$AX$3)&lt;=50000,50,IF($F131*IF($C131="売",1-$AX$3,1+$AX$3)&lt;=300000,100,500))))))))</f>
      </c>
      <c r="N131" s="491" t="str">
        <f>IF($F131="","",IF($C131="売",CEILING($F131*IF($C131="売",1+$AX$2,1-$AX$2),IF($F131*IF($C131="売",1+$AX$2,1-$AX$2)&lt;=3000,1,IF($F131*IF($C131="売",1+$AX$2,1-$AX$2)&lt;=5000,5,IF($F131*IF($C131="売",1+$AX$2,1-$AX$2)&lt;=30000,10,IF($F131*IF($C131="売",1+$AX$2,1-$AX$2)&lt;=50000,50,IF($F131*IF($C131="売",1+$AX$2,1-$AX$2)&lt;=300000,100,500)))))),FLOOR($F131*IF($C131="売",1+$AX$2,1-$AX$2),IF($F131*IF($C131="売",1+$AX$2,1-$AX$2)&lt;=3000,1,IF($F131*IF($C131="売",1+$AX$2,1-$AX$2)&lt;=5000,5,IF($F131*IF($C131="売",1+$AX$2,1-$AX$2)&lt;=30000,10,IF($F131*IF($C131="売",1+$AX$2,1-$AX$2)&lt;=50000,50,IF($F131*IF($C131="売",1+$AX$2,1-$AX$2)&lt;=300000,100,500))))))))</f>
      </c>
      <c r="O131" s="492" t="str">
        <f>IF(OR($B131="",$F131="",$H131=""),"",IF($S131="✅売却済","―決済済―",IF($C131="売",IF($H131&lt;=$M131,"🟢利確",IF(AND($R131&lt;&gt;"",$H131&gt;=$R131),"🟠TRAIL決済",IF($H131&gt;=$N131,"🔴損切",IF($W131&gt;=$AX$5,"⏱時間決済",IF($H131&gt;=$F131*(1+$AX$2*0.7),"⚠️損切接近","保持継続"))))),IF($H131&gt;=$M131,"🟢利確",IF(AND($R131&lt;&gt;"",$H131&lt;=$R131),"🟠TRAIL決済",IF($H131&lt;=$N131,"🔴損切",IF($W131&gt;=$AX$5,"⏱時間決済",IF($H131&lt;=$F131*(1-$AX$2*0.7),"⚠️損切接近","保持継続")))))))</f>
      </c>
      <c r="P131" s="491"/>
      <c r="Q131" s="491"/>
      <c r="R131" s="491" t="str">
        <f>IF(OR($F131="",$H131="",$N131=""),"",IF($S131="✅売却済","",IF($C131="売",IF($H131&gt;$F131*(1-$AX$2),$N131,CEILING(MIN($N131,IF($Q131="",$N131,$Q131*1.03)),IF($N131&lt;=3000,1,IF($N131&lt;=5000,5,IF($N131&lt;=30000,10,IF($N131&lt;=50000,50,IF($N131&lt;=300000,100,500))))))),IF($H131&lt;$F131*(1+$AX$2),$N131,FLOOR(MAX($N131,IF($P131="",$N131,$P131*0.97)),IF($N131&lt;=3000,1,IF($N131&lt;=5000,5,IF($N131&lt;=30000,10,IF($N131&lt;=50000,50,IF($N131&lt;=300000,100,500))))))))))</f>
      </c>
      <c r="S131" s="586" t="str">
        <f>IF(B131="","",IF(T131&lt;&gt;"","✅売却済",IF(OR(H131="",L131=""),"📌保有中",IF(L131&gt;=0.06,"🟢利確推奨",IF(L131&gt;=0.05,"🟡利確直近",IF(L131&gt;=0.045,"🔵トレーリング検討",IF(L131&gt;-0.03,"📌保有中",IF(L131&gt;-0.04,"⚠️損切注意","🔴損切り"))))))))</f>
        <v/>
      </c>
      <c r="T131" s="594"/>
      <c r="U131" s="491"/>
      <c r="V131" s="701" t="str">
        <f>IF(OR(F131="",G131="",U131=""),"",IF(C131="売",(F131-U131)*G131,(U131-F131)*G131))</f>
        <v/>
      </c>
      <c r="W131" s="493" t="str">
        <f>IF(OR($E131="",$B131=""),"",IF($T131&lt;&gt;"",$T131-$E131,TODAY()-$E131)+1)</f>
        <v/>
      </c>
      <c r="X131" s="489" t="str">
        <f>IF(OR($AH131="",$AH131="保有中"),"",$AH131)</f>
        <v/>
      </c>
      <c r="Y131" s="488">
        <f>IF($B131="","",IF(COUNTIFS($B$4:$B131,$B131,$C$4:$C131,$C131)&gt;1,"⛔重複"&amp;COUNTIFS($B$4:$B131,$B131,$C$4:$C131,$C131)&amp;"回目",""))</f>
      </c>
      <c r="Z131" s="710"/>
      <c r="AB131">
        <f>IF($F131="","",MAX(100,ROUNDDOWN($AX$4/($F131*$AX$2)/100,0)*100))</f>
      </c>
      <c r="AC131">
        <f>IF(OR($F131="",$G131="",$U131=""),"",ROUND($V131-($F131+$U131)*$G131*$AX$6-IF($C131="売",$F131*$G131*$AX$7*$W131/365,0),0))</f>
      </c>
      <c r="AD131" s="608"/>
      <c r="AE131" s="600" t="str">
        <f>IF($E131="","",WORKDAY($E131,12))</f>
        <v/>
      </c>
      <c r="AF131" s="600"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0"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0" t="str">
        <f>IF(OR($B131="",$M131=""),"",IF(AND(N($AF131)=0,N($AG131)=0),IF(AND(ISNUMBER($H131),$H131&gt;0,IF($C131="売",$H131&gt;=$N131,$H131&lt;=$N131)),"損切確定",IF(AND(ISNUMBER($H131),$H131&gt;0,IF($C131="売",$H131&lt;=$M131,$H131&gt;=$M131)),"利益確定",IF($AE131&lt;=TODAY(),"日数制限","保有中"))),IF(N($AG131)=0,"利益確定",IF(N($AF131)=0,"損切確定",IF($AG131&lt;=$AF131,"損切確定","利益確定")))))</f>
        <v/>
      </c>
      <c r="AI131" s="600" t="str" cm="1">
        <f t="array" ref="AI131">IFERROR(INDEX(始値!$E$6:$BT$305,MATCH(TEXT($B131,"0"),TEXT(銘柄管理!$B$6:$B$305,"0"),0),MATCH($AE131,始値!$E$3:$BT$3,0)),"")</f>
        <v/>
      </c>
      <c r="AJ131" s="608" t="str">
        <f>IF(OR($V131="",$F131="",$G131=""),"",$V131/($F131*$G131))</f>
        <v/>
      </c>
      <c r="AK131" s="600" t="str">
        <f>IF($V131="","",IF($V131&gt;0,"○勝",IF($V131&lt;0,"●負","△引分")))</f>
        <v/>
      </c>
    </row>
    <row r="132" spans="1:37" ht="35.4" customHeight="1">
      <c r="A132" s="619" t="str">
        <f>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IF(OR(F132="",G132="",H132=""),"",IF(C132="売",(F132-H132)*G132,(H132-F132)*G132))</f>
        <v/>
      </c>
      <c r="L132" s="706" t="str">
        <f>IF(OR(F132="",H132=""),"",IF(C132="売",(F132-H132)/F132,(H132-F132)/F132))</f>
        <v/>
      </c>
      <c r="M132" s="491" t="str">
        <f>IF($F132="","",IF($C132="売",CEILING($F132*IF($C132="売",1-$AX$3,1+$AX$3),IF($F132*IF($C132="売",1-$AX$3,1+$AX$3)&lt;=3000,1,IF($F132*IF($C132="売",1-$AX$3,1+$AX$3)&lt;=5000,5,IF($F132*IF($C132="売",1-$AX$3,1+$AX$3)&lt;=30000,10,IF($F132*IF($C132="売",1-$AX$3,1+$AX$3)&lt;=50000,50,IF($F132*IF($C132="売",1-$AX$3,1+$AX$3)&lt;=300000,100,500)))))),FLOOR($F132*IF($C132="売",1-$AX$3,1+$AX$3),IF($F132*IF($C132="売",1-$AX$3,1+$AX$3)&lt;=3000,1,IF($F132*IF($C132="売",1-$AX$3,1+$AX$3)&lt;=5000,5,IF($F132*IF($C132="売",1-$AX$3,1+$AX$3)&lt;=30000,10,IF($F132*IF($C132="売",1-$AX$3,1+$AX$3)&lt;=50000,50,IF($F132*IF($C132="売",1-$AX$3,1+$AX$3)&lt;=300000,100,500))))))))</f>
      </c>
      <c r="N132" s="491" t="str">
        <f>IF($F132="","",IF($C132="売",CEILING($F132*IF($C132="売",1+$AX$2,1-$AX$2),IF($F132*IF($C132="売",1+$AX$2,1-$AX$2)&lt;=3000,1,IF($F132*IF($C132="売",1+$AX$2,1-$AX$2)&lt;=5000,5,IF($F132*IF($C132="売",1+$AX$2,1-$AX$2)&lt;=30000,10,IF($F132*IF($C132="売",1+$AX$2,1-$AX$2)&lt;=50000,50,IF($F132*IF($C132="売",1+$AX$2,1-$AX$2)&lt;=300000,100,500)))))),FLOOR($F132*IF($C132="売",1+$AX$2,1-$AX$2),IF($F132*IF($C132="売",1+$AX$2,1-$AX$2)&lt;=3000,1,IF($F132*IF($C132="売",1+$AX$2,1-$AX$2)&lt;=5000,5,IF($F132*IF($C132="売",1+$AX$2,1-$AX$2)&lt;=30000,10,IF($F132*IF($C132="売",1+$AX$2,1-$AX$2)&lt;=50000,50,IF($F132*IF($C132="売",1+$AX$2,1-$AX$2)&lt;=300000,100,500))))))))</f>
      </c>
      <c r="O132" s="492" t="str">
        <f>IF(OR($B132="",$F132="",$H132=""),"",IF($S132="✅売却済","―決済済―",IF($C132="売",IF($H132&lt;=$M132,"🟢利確",IF(AND($R132&lt;&gt;"",$H132&gt;=$R132),"🟠TRAIL決済",IF($H132&gt;=$N132,"🔴損切",IF($W132&gt;=$AX$5,"⏱時間決済",IF($H132&gt;=$F132*(1+$AX$2*0.7),"⚠️損切接近","保持継続"))))),IF($H132&gt;=$M132,"🟢利確",IF(AND($R132&lt;&gt;"",$H132&lt;=$R132),"🟠TRAIL決済",IF($H132&lt;=$N132,"🔴損切",IF($W132&gt;=$AX$5,"⏱時間決済",IF($H132&lt;=$F132*(1-$AX$2*0.7),"⚠️損切接近","保持継続")))))))</f>
      </c>
      <c r="P132" s="491"/>
      <c r="Q132" s="491"/>
      <c r="R132" s="491" t="str">
        <f>IF(OR($F132="",$H132="",$N132=""),"",IF($S132="✅売却済","",IF($C132="売",IF($H132&gt;$F132*(1-$AX$2),$N132,CEILING(MIN($N132,IF($Q132="",$N132,$Q132*1.03)),IF($N132&lt;=3000,1,IF($N132&lt;=5000,5,IF($N132&lt;=30000,10,IF($N132&lt;=50000,50,IF($N132&lt;=300000,100,500))))))),IF($H132&lt;$F132*(1+$AX$2),$N132,FLOOR(MAX($N132,IF($P132="",$N132,$P132*0.97)),IF($N132&lt;=3000,1,IF($N132&lt;=5000,5,IF($N132&lt;=30000,10,IF($N132&lt;=50000,50,IF($N132&lt;=300000,100,500))))))))))</f>
      </c>
      <c r="S132" s="586" t="str">
        <f>IF(B132="","",IF(T132&lt;&gt;"","✅売却済",IF(OR(H132="",L132=""),"📌保有中",IF(L132&gt;=0.06,"🟢利確推奨",IF(L132&gt;=0.05,"🟡利確直近",IF(L132&gt;=0.045,"🔵トレーリング検討",IF(L132&gt;-0.03,"📌保有中",IF(L132&gt;-0.04,"⚠️損切注意","🔴損切り"))))))))</f>
        <v/>
      </c>
      <c r="T132" s="594"/>
      <c r="U132" s="491"/>
      <c r="V132" s="701" t="str">
        <f>IF(OR(F132="",G132="",U132=""),"",IF(C132="売",(F132-U132)*G132,(U132-F132)*G132))</f>
        <v/>
      </c>
      <c r="W132" s="493" t="str">
        <f>IF(OR($E132="",$B132=""),"",IF($T132&lt;&gt;"",$T132-$E132,TODAY()-$E132)+1)</f>
        <v/>
      </c>
      <c r="X132" s="489" t="str">
        <f>IF(OR($AH132="",$AH132="保有中"),"",$AH132)</f>
        <v/>
      </c>
      <c r="Y132" s="488">
        <f>IF($B132="","",IF(COUNTIFS($B$4:$B132,$B132,$C$4:$C132,$C132)&gt;1,"⛔重複"&amp;COUNTIFS($B$4:$B132,$B132,$C$4:$C132,$C132)&amp;"回目",""))</f>
      </c>
      <c r="Z132" s="710"/>
      <c r="AB132">
        <f>IF($F132="","",MAX(100,ROUNDDOWN($AX$4/($F132*$AX$2)/100,0)*100))</f>
      </c>
      <c r="AC132">
        <f>IF(OR($F132="",$G132="",$U132=""),"",ROUND($V132-($F132+$U132)*$G132*$AX$6-IF($C132="売",$F132*$G132*$AX$7*$W132/365,0),0))</f>
      </c>
      <c r="AD132" s="608"/>
      <c r="AE132" s="600" t="str">
        <f>IF($E132="","",WORKDAY($E132,12))</f>
        <v/>
      </c>
      <c r="AF132" s="600"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0"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0" t="str">
        <f>IF(OR($B132="",$M132=""),"",IF(AND(N($AF132)=0,N($AG132)=0),IF(AND(ISNUMBER($H132),$H132&gt;0,IF($C132="売",$H132&gt;=$N132,$H132&lt;=$N132)),"損切確定",IF(AND(ISNUMBER($H132),$H132&gt;0,IF($C132="売",$H132&lt;=$M132,$H132&gt;=$M132)),"利益確定",IF($AE132&lt;=TODAY(),"日数制限","保有中"))),IF(N($AG132)=0,"利益確定",IF(N($AF132)=0,"損切確定",IF($AG132&lt;=$AF132,"損切確定","利益確定")))))</f>
        <v/>
      </c>
      <c r="AI132" s="600" t="str" cm="1">
        <f t="array" ref="AI132">IFERROR(INDEX(始値!$E$6:$BT$305,MATCH(TEXT($B132,"0"),TEXT(銘柄管理!$B$6:$B$305,"0"),0),MATCH($AE132,始値!$E$3:$BT$3,0)),"")</f>
        <v/>
      </c>
      <c r="AJ132" s="608" t="str">
        <f>IF(OR($V132="",$F132="",$G132=""),"",$V132/($F132*$G132))</f>
        <v/>
      </c>
      <c r="AK132" s="600" t="str">
        <f>IF($V132="","",IF($V132&gt;0,"○勝",IF($V132&lt;0,"●負","△引分")))</f>
        <v/>
      </c>
    </row>
    <row r="133" spans="1:37" ht="35.4" customHeight="1">
      <c r="A133" s="619" t="str">
        <f>IF(B133="","",HYPERLINK("https://kabutan.jp/stock/?code="&amp;B133,"株探"))</f>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IF(OR(F133="",G133="",H133=""),"",IF(C133="売",(F133-H133)*G133,(H133-F133)*G133))</f>
        <v/>
      </c>
      <c r="L133" s="706" t="str">
        <f>IF(OR(F133="",H133=""),"",IF(C133="売",(F133-H133)/F133,(H133-F133)/F133))</f>
        <v/>
      </c>
      <c r="M133" s="491" t="str">
        <f>IF($F133="","",IF($C133="売",CEILING($F133*IF($C133="売",1-$AX$3,1+$AX$3),IF($F133*IF($C133="売",1-$AX$3,1+$AX$3)&lt;=3000,1,IF($F133*IF($C133="売",1-$AX$3,1+$AX$3)&lt;=5000,5,IF($F133*IF($C133="売",1-$AX$3,1+$AX$3)&lt;=30000,10,IF($F133*IF($C133="売",1-$AX$3,1+$AX$3)&lt;=50000,50,IF($F133*IF($C133="売",1-$AX$3,1+$AX$3)&lt;=300000,100,500)))))),FLOOR($F133*IF($C133="売",1-$AX$3,1+$AX$3),IF($F133*IF($C133="売",1-$AX$3,1+$AX$3)&lt;=3000,1,IF($F133*IF($C133="売",1-$AX$3,1+$AX$3)&lt;=5000,5,IF($F133*IF($C133="売",1-$AX$3,1+$AX$3)&lt;=30000,10,IF($F133*IF($C133="売",1-$AX$3,1+$AX$3)&lt;=50000,50,IF($F133*IF($C133="売",1-$AX$3,1+$AX$3)&lt;=300000,100,500))))))))</f>
      </c>
      <c r="N133" s="491" t="str">
        <f>IF($F133="","",IF($C133="売",CEILING($F133*IF($C133="売",1+$AX$2,1-$AX$2),IF($F133*IF($C133="売",1+$AX$2,1-$AX$2)&lt;=3000,1,IF($F133*IF($C133="売",1+$AX$2,1-$AX$2)&lt;=5000,5,IF($F133*IF($C133="売",1+$AX$2,1-$AX$2)&lt;=30000,10,IF($F133*IF($C133="売",1+$AX$2,1-$AX$2)&lt;=50000,50,IF($F133*IF($C133="売",1+$AX$2,1-$AX$2)&lt;=300000,100,500)))))),FLOOR($F133*IF($C133="売",1+$AX$2,1-$AX$2),IF($F133*IF($C133="売",1+$AX$2,1-$AX$2)&lt;=3000,1,IF($F133*IF($C133="売",1+$AX$2,1-$AX$2)&lt;=5000,5,IF($F133*IF($C133="売",1+$AX$2,1-$AX$2)&lt;=30000,10,IF($F133*IF($C133="売",1+$AX$2,1-$AX$2)&lt;=50000,50,IF($F133*IF($C133="売",1+$AX$2,1-$AX$2)&lt;=300000,100,500))))))))</f>
      </c>
      <c r="O133" s="492" t="str">
        <f>IF(OR($B133="",$F133="",$H133=""),"",IF($S133="✅売却済","―決済済―",IF($C133="売",IF($H133&lt;=$M133,"🟢利確",IF(AND($R133&lt;&gt;"",$H133&gt;=$R133),"🟠TRAIL決済",IF($H133&gt;=$N133,"🔴損切",IF($W133&gt;=$AX$5,"⏱時間決済",IF($H133&gt;=$F133*(1+$AX$2*0.7),"⚠️損切接近","保持継続"))))),IF($H133&gt;=$M133,"🟢利確",IF(AND($R133&lt;&gt;"",$H133&lt;=$R133),"🟠TRAIL決済",IF($H133&lt;=$N133,"🔴損切",IF($W133&gt;=$AX$5,"⏱時間決済",IF($H133&lt;=$F133*(1-$AX$2*0.7),"⚠️損切接近","保持継続")))))))</f>
      </c>
      <c r="P133" s="491"/>
      <c r="Q133" s="491"/>
      <c r="R133" s="491" t="str">
        <f>IF(OR($F133="",$H133="",$N133=""),"",IF($S133="✅売却済","",IF($C133="売",IF($H133&gt;$F133*(1-$AX$2),$N133,CEILING(MIN($N133,IF($Q133="",$N133,$Q133*1.03)),IF($N133&lt;=3000,1,IF($N133&lt;=5000,5,IF($N133&lt;=30000,10,IF($N133&lt;=50000,50,IF($N133&lt;=300000,100,500))))))),IF($H133&lt;$F133*(1+$AX$2),$N133,FLOOR(MAX($N133,IF($P133="",$N133,$P133*0.97)),IF($N133&lt;=3000,1,IF($N133&lt;=5000,5,IF($N133&lt;=30000,10,IF($N133&lt;=50000,50,IF($N133&lt;=300000,100,500))))))))))</f>
      </c>
      <c r="S133" s="586" t="str">
        <f>IF(B133="","",IF(T133&lt;&gt;"","✅売却済",IF(OR(H133="",L133=""),"📌保有中",IF(L133&gt;=0.06,"🟢利確推奨",IF(L133&gt;=0.05,"🟡利確直近",IF(L133&gt;=0.045,"🔵トレーリング検討",IF(L133&gt;-0.03,"📌保有中",IF(L133&gt;-0.04,"⚠️損切注意","🔴損切り"))))))))</f>
        <v/>
      </c>
      <c r="T133" s="594"/>
      <c r="U133" s="491"/>
      <c r="V133" s="701" t="str">
        <f>IF(OR(F133="",G133="",U133=""),"",IF(C133="売",(F133-U133)*G133,(U133-F133)*G133))</f>
        <v/>
      </c>
      <c r="W133" s="493" t="str">
        <f>IF(OR($E133="",$B133=""),"",IF($T133&lt;&gt;"",$T133-$E133,TODAY()-$E133)+1)</f>
        <v/>
      </c>
      <c r="X133" s="489" t="str">
        <f>IF(OR($AH133="",$AH133="保有中"),"",$AH133)</f>
        <v/>
      </c>
      <c r="Y133" s="488">
        <f>IF($B133="","",IF(COUNTIFS($B$4:$B133,$B133,$C$4:$C133,$C133)&gt;1,"⛔重複"&amp;COUNTIFS($B$4:$B133,$B133,$C$4:$C133,$C133)&amp;"回目",""))</f>
      </c>
      <c r="Z133" s="710"/>
      <c r="AB133">
        <f>IF($F133="","",MAX(100,ROUNDDOWN($AX$4/($F133*$AX$2)/100,0)*100))</f>
      </c>
      <c r="AC133">
        <f>IF(OR($F133="",$G133="",$U133=""),"",ROUND($V133-($F133+$U133)*$G133*$AX$6-IF($C133="売",$F133*$G133*$AX$7*$W133/365,0),0))</f>
      </c>
      <c r="AD133" s="608"/>
      <c r="AE133" s="600" t="str">
        <f>IF($E133="","",WORKDAY($E133,12))</f>
        <v/>
      </c>
      <c r="AF133" s="600"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0"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0" t="str">
        <f>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IFERROR(INDEX(始値!$E$6:$BT$305,MATCH(TEXT($B133,"0"),TEXT(銘柄管理!$B$6:$B$305,"0"),0),MATCH($AE133,始値!$E$3:$BT$3,0)),"")</f>
        <v/>
      </c>
      <c r="AJ133" s="608" t="str">
        <f>IF(OR($V133="",$F133="",$G133=""),"",$V133/($F133*$G133))</f>
        <v/>
      </c>
      <c r="AK133" s="600" t="str">
        <f>IF($V133="","",IF($V133&gt;0,"○勝",IF($V133&lt;0,"●負","△引分")))</f>
        <v/>
      </c>
    </row>
    <row r="134" spans="1:37" ht="35.4" customHeight="1">
      <c r="A134" s="619" t="str">
        <f>IF(B134="","",HYPERLINK("https://kabutan.jp/stock/?code="&amp;B134,"株探"))</f>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IF(OR(F134="",G134="",H134=""),"",IF(C134="売",(F134-H134)*G134,(H134-F134)*G134))</f>
        <v/>
      </c>
      <c r="L134" s="706" t="str">
        <f>IF(OR(F134="",H134=""),"",IF(C134="売",(F134-H134)/F134,(H134-F134)/F134))</f>
        <v/>
      </c>
      <c r="M134" s="491" t="str">
        <f>IF($F134="","",IF($C134="売",CEILING($F134*IF($C134="売",1-$AX$3,1+$AX$3),IF($F134*IF($C134="売",1-$AX$3,1+$AX$3)&lt;=3000,1,IF($F134*IF($C134="売",1-$AX$3,1+$AX$3)&lt;=5000,5,IF($F134*IF($C134="売",1-$AX$3,1+$AX$3)&lt;=30000,10,IF($F134*IF($C134="売",1-$AX$3,1+$AX$3)&lt;=50000,50,IF($F134*IF($C134="売",1-$AX$3,1+$AX$3)&lt;=300000,100,500)))))),FLOOR($F134*IF($C134="売",1-$AX$3,1+$AX$3),IF($F134*IF($C134="売",1-$AX$3,1+$AX$3)&lt;=3000,1,IF($F134*IF($C134="売",1-$AX$3,1+$AX$3)&lt;=5000,5,IF($F134*IF($C134="売",1-$AX$3,1+$AX$3)&lt;=30000,10,IF($F134*IF($C134="売",1-$AX$3,1+$AX$3)&lt;=50000,50,IF($F134*IF($C134="売",1-$AX$3,1+$AX$3)&lt;=300000,100,500))))))))</f>
      </c>
      <c r="N134" s="491" t="str">
        <f>IF($F134="","",IF($C134="売",CEILING($F134*IF($C134="売",1+$AX$2,1-$AX$2),IF($F134*IF($C134="売",1+$AX$2,1-$AX$2)&lt;=3000,1,IF($F134*IF($C134="売",1+$AX$2,1-$AX$2)&lt;=5000,5,IF($F134*IF($C134="売",1+$AX$2,1-$AX$2)&lt;=30000,10,IF($F134*IF($C134="売",1+$AX$2,1-$AX$2)&lt;=50000,50,IF($F134*IF($C134="売",1+$AX$2,1-$AX$2)&lt;=300000,100,500)))))),FLOOR($F134*IF($C134="売",1+$AX$2,1-$AX$2),IF($F134*IF($C134="売",1+$AX$2,1-$AX$2)&lt;=3000,1,IF($F134*IF($C134="売",1+$AX$2,1-$AX$2)&lt;=5000,5,IF($F134*IF($C134="売",1+$AX$2,1-$AX$2)&lt;=30000,10,IF($F134*IF($C134="売",1+$AX$2,1-$AX$2)&lt;=50000,50,IF($F134*IF($C134="売",1+$AX$2,1-$AX$2)&lt;=300000,100,500))))))))</f>
      </c>
      <c r="O134" s="492" t="str">
        <f>IF(OR($B134="",$F134="",$H134=""),"",IF($S134="✅売却済","―決済済―",IF($C134="売",IF($H134&lt;=$M134,"🟢利確",IF(AND($R134&lt;&gt;"",$H134&gt;=$R134),"🟠TRAIL決済",IF($H134&gt;=$N134,"🔴損切",IF($W134&gt;=$AX$5,"⏱時間決済",IF($H134&gt;=$F134*(1+$AX$2*0.7),"⚠️損切接近","保持継続"))))),IF($H134&gt;=$M134,"🟢利確",IF(AND($R134&lt;&gt;"",$H134&lt;=$R134),"🟠TRAIL決済",IF($H134&lt;=$N134,"🔴損切",IF($W134&gt;=$AX$5,"⏱時間決済",IF($H134&lt;=$F134*(1-$AX$2*0.7),"⚠️損切接近","保持継続")))))))</f>
      </c>
      <c r="P134" s="491"/>
      <c r="Q134" s="491"/>
      <c r="R134" s="491" t="str">
        <f>IF(OR($F134="",$H134="",$N134=""),"",IF($S134="✅売却済","",IF($C134="売",IF($H134&gt;$F134*(1-$AX$2),$N134,CEILING(MIN($N134,IF($Q134="",$N134,$Q134*1.03)),IF($N134&lt;=3000,1,IF($N134&lt;=5000,5,IF($N134&lt;=30000,10,IF($N134&lt;=50000,50,IF($N134&lt;=300000,100,500))))))),IF($H134&lt;$F134*(1+$AX$2),$N134,FLOOR(MAX($N134,IF($P134="",$N134,$P134*0.97)),IF($N134&lt;=3000,1,IF($N134&lt;=5000,5,IF($N134&lt;=30000,10,IF($N134&lt;=50000,50,IF($N134&lt;=300000,100,500))))))))))</f>
      </c>
      <c r="S134" s="586" t="str">
        <f>IF(B134="","",IF(T134&lt;&gt;"","✅売却済",IF(OR(H134="",L134=""),"📌保有中",IF(L134&gt;=0.06,"🟢利確推奨",IF(L134&gt;=0.05,"🟡利確直近",IF(L134&gt;=0.045,"🔵トレーリング検討",IF(L134&gt;-0.03,"📌保有中",IF(L134&gt;-0.04,"⚠️損切注意","🔴損切り"))))))))</f>
        <v/>
      </c>
      <c r="T134" s="594"/>
      <c r="U134" s="491"/>
      <c r="V134" s="701" t="str">
        <f>IF(OR(F134="",G134="",U134=""),"",IF(C134="売",(F134-U134)*G134,(U134-F134)*G134))</f>
        <v/>
      </c>
      <c r="W134" s="493" t="str">
        <f>IF(OR($E134="",$B134=""),"",IF($T134&lt;&gt;"",$T134-$E134,TODAY()-$E134)+1)</f>
        <v/>
      </c>
      <c r="X134" s="489" t="str">
        <f>IF(OR($AH134="",$AH134="保有中"),"",$AH134)</f>
        <v/>
      </c>
      <c r="Y134" s="488">
        <f>IF($B134="","",IF(COUNTIFS($B$4:$B134,$B134,$C$4:$C134,$C134)&gt;1,"⛔重複"&amp;COUNTIFS($B$4:$B134,$B134,$C$4:$C134,$C134)&amp;"回目",""))</f>
      </c>
      <c r="Z134" s="710"/>
      <c r="AB134">
        <f>IF($F134="","",MAX(100,ROUNDDOWN($AX$4/($F134*$AX$2)/100,0)*100))</f>
      </c>
      <c r="AC134">
        <f>IF(OR($F134="",$G134="",$U134=""),"",ROUND($V134-($F134+$U134)*$G134*$AX$6-IF($C134="売",$F134*$G134*$AX$7*$W134/365,0),0))</f>
      </c>
      <c r="AD134" s="608"/>
      <c r="AE134" s="600" t="str">
        <f>IF($E134="","",WORKDAY($E134,12))</f>
        <v/>
      </c>
      <c r="AF134" s="600"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0"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0" t="str">
        <f>IF(OR($B134="",$M134=""),"",IF(AND(N($AF134)=0,N($AG134)=0),IF(AND(ISNUMBER($H134),$H134&gt;0,IF($C134="売",$H134&gt;=$N134,$H134&lt;=$N134)),"損切確定",IF(AND(ISNUMBER($H134),$H134&gt;0,IF($C134="売",$H134&lt;=$M134,$H134&gt;=$M134)),"利益確定",IF($AE134&lt;=TODAY(),"日数制限","保有中"))),IF(N($AG134)=0,"利益確定",IF(N($AF134)=0,"損切確定",IF($AG134&lt;=$AF134,"損切確定","利益確定")))))</f>
        <v/>
      </c>
      <c r="AI134" s="600" t="str" cm="1">
        <f t="array" ref="AI134">IFERROR(INDEX(始値!$E$6:$BT$305,MATCH(TEXT($B134,"0"),TEXT(銘柄管理!$B$6:$B$305,"0"),0),MATCH($AE134,始値!$E$3:$BT$3,0)),"")</f>
        <v/>
      </c>
      <c r="AJ134" s="608" t="str">
        <f>IF(OR($V134="",$F134="",$G134=""),"",$V134/($F134*$G134))</f>
        <v/>
      </c>
      <c r="AK134" s="600" t="str">
        <f>IF($V134="","",IF($V134&gt;0,"○勝",IF($V134&lt;0,"●負","△引分")))</f>
        <v/>
      </c>
    </row>
    <row r="135" spans="1:37" ht="35.4" customHeight="1">
      <c r="A135" s="619" t="str">
        <f>IF(B135="","",HYPERLINK("https://kabutan.jp/stock/?code="&amp;B135,"株探"))</f>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IF(OR(F135="",G135="",H135=""),"",IF(C135="売",(F135-H135)*G135,(H135-F135)*G135))</f>
        <v/>
      </c>
      <c r="L135" s="706" t="str">
        <f>IF(OR(F135="",H135=""),"",IF(C135="売",(F135-H135)/F135,(H135-F135)/F135))</f>
        <v/>
      </c>
      <c r="M135" s="491" t="str">
        <f>IF($F135="","",IF($C135="売",CEILING($F135*IF($C135="売",1-$AX$3,1+$AX$3),IF($F135*IF($C135="売",1-$AX$3,1+$AX$3)&lt;=3000,1,IF($F135*IF($C135="売",1-$AX$3,1+$AX$3)&lt;=5000,5,IF($F135*IF($C135="売",1-$AX$3,1+$AX$3)&lt;=30000,10,IF($F135*IF($C135="売",1-$AX$3,1+$AX$3)&lt;=50000,50,IF($F135*IF($C135="売",1-$AX$3,1+$AX$3)&lt;=300000,100,500)))))),FLOOR($F135*IF($C135="売",1-$AX$3,1+$AX$3),IF($F135*IF($C135="売",1-$AX$3,1+$AX$3)&lt;=3000,1,IF($F135*IF($C135="売",1-$AX$3,1+$AX$3)&lt;=5000,5,IF($F135*IF($C135="売",1-$AX$3,1+$AX$3)&lt;=30000,10,IF($F135*IF($C135="売",1-$AX$3,1+$AX$3)&lt;=50000,50,IF($F135*IF($C135="売",1-$AX$3,1+$AX$3)&lt;=300000,100,500))))))))</f>
      </c>
      <c r="N135" s="491" t="str">
        <f>IF($F135="","",IF($C135="売",CEILING($F135*IF($C135="売",1+$AX$2,1-$AX$2),IF($F135*IF($C135="売",1+$AX$2,1-$AX$2)&lt;=3000,1,IF($F135*IF($C135="売",1+$AX$2,1-$AX$2)&lt;=5000,5,IF($F135*IF($C135="売",1+$AX$2,1-$AX$2)&lt;=30000,10,IF($F135*IF($C135="売",1+$AX$2,1-$AX$2)&lt;=50000,50,IF($F135*IF($C135="売",1+$AX$2,1-$AX$2)&lt;=300000,100,500)))))),FLOOR($F135*IF($C135="売",1+$AX$2,1-$AX$2),IF($F135*IF($C135="売",1+$AX$2,1-$AX$2)&lt;=3000,1,IF($F135*IF($C135="売",1+$AX$2,1-$AX$2)&lt;=5000,5,IF($F135*IF($C135="売",1+$AX$2,1-$AX$2)&lt;=30000,10,IF($F135*IF($C135="売",1+$AX$2,1-$AX$2)&lt;=50000,50,IF($F135*IF($C135="売",1+$AX$2,1-$AX$2)&lt;=300000,100,500))))))))</f>
      </c>
      <c r="O135" s="492" t="str">
        <f>IF(OR($B135="",$F135="",$H135=""),"",IF($S135="✅売却済","―決済済―",IF($C135="売",IF($H135&lt;=$M135,"🟢利確",IF(AND($R135&lt;&gt;"",$H135&gt;=$R135),"🟠TRAIL決済",IF($H135&gt;=$N135,"🔴損切",IF($W135&gt;=$AX$5,"⏱時間決済",IF($H135&gt;=$F135*(1+$AX$2*0.7),"⚠️損切接近","保持継続"))))),IF($H135&gt;=$M135,"🟢利確",IF(AND($R135&lt;&gt;"",$H135&lt;=$R135),"🟠TRAIL決済",IF($H135&lt;=$N135,"🔴損切",IF($W135&gt;=$AX$5,"⏱時間決済",IF($H135&lt;=$F135*(1-$AX$2*0.7),"⚠️損切接近","保持継続")))))))</f>
      </c>
      <c r="P135" s="491"/>
      <c r="Q135" s="491"/>
      <c r="R135" s="491" t="str">
        <f>IF(OR($F135="",$H135="",$N135=""),"",IF($S135="✅売却済","",IF($C135="売",IF($H135&gt;$F135*(1-$AX$2),$N135,CEILING(MIN($N135,IF($Q135="",$N135,$Q135*1.03)),IF($N135&lt;=3000,1,IF($N135&lt;=5000,5,IF($N135&lt;=30000,10,IF($N135&lt;=50000,50,IF($N135&lt;=300000,100,500))))))),IF($H135&lt;$F135*(1+$AX$2),$N135,FLOOR(MAX($N135,IF($P135="",$N135,$P135*0.97)),IF($N135&lt;=3000,1,IF($N135&lt;=5000,5,IF($N135&lt;=30000,10,IF($N135&lt;=50000,50,IF($N135&lt;=300000,100,500))))))))))</f>
      </c>
      <c r="S135" s="586" t="str">
        <f>IF(B135="","",IF(T135&lt;&gt;"","✅売却済",IF(OR(H135="",L135=""),"📌保有中",IF(L135&gt;=0.06,"🟢利確推奨",IF(L135&gt;=0.05,"🟡利確直近",IF(L135&gt;=0.045,"🔵トレーリング検討",IF(L135&gt;-0.03,"📌保有中",IF(L135&gt;-0.04,"⚠️損切注意","🔴損切り"))))))))</f>
        <v/>
      </c>
      <c r="T135" s="594"/>
      <c r="U135" s="491"/>
      <c r="V135" s="701" t="str">
        <f>IF(OR(F135="",G135="",U135=""),"",IF(C135="売",(F135-U135)*G135,(U135-F135)*G135))</f>
        <v/>
      </c>
      <c r="W135" s="493" t="str">
        <f>IF(OR($E135="",$B135=""),"",IF($T135&lt;&gt;"",$T135-$E135,TODAY()-$E135)+1)</f>
        <v/>
      </c>
      <c r="X135" s="489" t="str">
        <f>IF(OR($AH135="",$AH135="保有中"),"",$AH135)</f>
        <v/>
      </c>
      <c r="Y135" s="488">
        <f>IF($B135="","",IF(COUNTIFS($B$4:$B135,$B135,$C$4:$C135,$C135)&gt;1,"⛔重複"&amp;COUNTIFS($B$4:$B135,$B135,$C$4:$C135,$C135)&amp;"回目",""))</f>
      </c>
      <c r="Z135" s="710"/>
      <c r="AB135">
        <f>IF($F135="","",MAX(100,ROUNDDOWN($AX$4/($F135*$AX$2)/100,0)*100))</f>
      </c>
      <c r="AC135">
        <f>IF(OR($F135="",$G135="",$U135=""),"",ROUND($V135-($F135+$U135)*$G135*$AX$6-IF($C135="売",$F135*$G135*$AX$7*$W135/365,0),0))</f>
      </c>
      <c r="AD135" s="608"/>
      <c r="AE135" s="600" t="str">
        <f>IF($E135="","",WORKDAY($E135,12))</f>
        <v/>
      </c>
      <c r="AF135" s="600"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0"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0" t="str">
        <f>IF(OR($B135="",$M135=""),"",IF(AND(N($AF135)=0,N($AG135)=0),IF(AND(ISNUMBER($H135),$H135&gt;0,IF($C135="売",$H135&gt;=$N135,$H135&lt;=$N135)),"損切確定",IF(AND(ISNUMBER($H135),$H135&gt;0,IF($C135="売",$H135&lt;=$M135,$H135&gt;=$M135)),"利益確定",IF($AE135&lt;=TODAY(),"日数制限","保有中"))),IF(N($AG135)=0,"利益確定",IF(N($AF135)=0,"損切確定",IF($AG135&lt;=$AF135,"損切確定","利益確定")))))</f>
        <v/>
      </c>
      <c r="AI135" s="600" t="str" cm="1">
        <f t="array" ref="AI135">IFERROR(INDEX(始値!$E$6:$BT$305,MATCH(TEXT($B135,"0"),TEXT(銘柄管理!$B$6:$B$305,"0"),0),MATCH($AE135,始値!$E$3:$BT$3,0)),"")</f>
        <v/>
      </c>
      <c r="AJ135" s="608" t="str">
        <f>IF(OR($V135="",$F135="",$G135=""),"",$V135/($F135*$G135))</f>
        <v/>
      </c>
      <c r="AK135" s="600" t="str">
        <f>IF($V135="","",IF($V135&gt;0,"○勝",IF($V135&lt;0,"●負","△引分")))</f>
        <v/>
      </c>
    </row>
    <row r="136" spans="1:37" ht="35.4" customHeight="1">
      <c r="A136" s="619" t="str">
        <f>IF(B136="","",HYPERLINK("https://kabutan.jp/stock/?code="&amp;B136,"株探"))</f>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IF(OR(F136="",G136="",H136=""),"",IF(C136="売",(F136-H136)*G136,(H136-F136)*G136))</f>
        <v/>
      </c>
      <c r="L136" s="706" t="str">
        <f>IF(OR(F136="",H136=""),"",IF(C136="売",(F136-H136)/F136,(H136-F136)/F136))</f>
        <v/>
      </c>
      <c r="M136" s="491" t="str">
        <f>IF($F136="","",IF($C136="売",CEILING($F136*IF($C136="売",1-$AX$3,1+$AX$3),IF($F136*IF($C136="売",1-$AX$3,1+$AX$3)&lt;=3000,1,IF($F136*IF($C136="売",1-$AX$3,1+$AX$3)&lt;=5000,5,IF($F136*IF($C136="売",1-$AX$3,1+$AX$3)&lt;=30000,10,IF($F136*IF($C136="売",1-$AX$3,1+$AX$3)&lt;=50000,50,IF($F136*IF($C136="売",1-$AX$3,1+$AX$3)&lt;=300000,100,500)))))),FLOOR($F136*IF($C136="売",1-$AX$3,1+$AX$3),IF($F136*IF($C136="売",1-$AX$3,1+$AX$3)&lt;=3000,1,IF($F136*IF($C136="売",1-$AX$3,1+$AX$3)&lt;=5000,5,IF($F136*IF($C136="売",1-$AX$3,1+$AX$3)&lt;=30000,10,IF($F136*IF($C136="売",1-$AX$3,1+$AX$3)&lt;=50000,50,IF($F136*IF($C136="売",1-$AX$3,1+$AX$3)&lt;=300000,100,500))))))))</f>
      </c>
      <c r="N136" s="491" t="str">
        <f>IF($F136="","",IF($C136="売",CEILING($F136*IF($C136="売",1+$AX$2,1-$AX$2),IF($F136*IF($C136="売",1+$AX$2,1-$AX$2)&lt;=3000,1,IF($F136*IF($C136="売",1+$AX$2,1-$AX$2)&lt;=5000,5,IF($F136*IF($C136="売",1+$AX$2,1-$AX$2)&lt;=30000,10,IF($F136*IF($C136="売",1+$AX$2,1-$AX$2)&lt;=50000,50,IF($F136*IF($C136="売",1+$AX$2,1-$AX$2)&lt;=300000,100,500)))))),FLOOR($F136*IF($C136="売",1+$AX$2,1-$AX$2),IF($F136*IF($C136="売",1+$AX$2,1-$AX$2)&lt;=3000,1,IF($F136*IF($C136="売",1+$AX$2,1-$AX$2)&lt;=5000,5,IF($F136*IF($C136="売",1+$AX$2,1-$AX$2)&lt;=30000,10,IF($F136*IF($C136="売",1+$AX$2,1-$AX$2)&lt;=50000,50,IF($F136*IF($C136="売",1+$AX$2,1-$AX$2)&lt;=300000,100,500))))))))</f>
      </c>
      <c r="O136" s="492" t="str">
        <f>IF(OR($B136="",$F136="",$H136=""),"",IF($S136="✅売却済","―決済済―",IF($C136="売",IF($H136&lt;=$M136,"🟢利確",IF(AND($R136&lt;&gt;"",$H136&gt;=$R136),"🟠TRAIL決済",IF($H136&gt;=$N136,"🔴損切",IF($W136&gt;=$AX$5,"⏱時間決済",IF($H136&gt;=$F136*(1+$AX$2*0.7),"⚠️損切接近","保持継続"))))),IF($H136&gt;=$M136,"🟢利確",IF(AND($R136&lt;&gt;"",$H136&lt;=$R136),"🟠TRAIL決済",IF($H136&lt;=$N136,"🔴損切",IF($W136&gt;=$AX$5,"⏱時間決済",IF($H136&lt;=$F136*(1-$AX$2*0.7),"⚠️損切接近","保持継続")))))))</f>
      </c>
      <c r="P136" s="491"/>
      <c r="Q136" s="491"/>
      <c r="R136" s="491" t="str">
        <f>IF(OR($F136="",$H136="",$N136=""),"",IF($S136="✅売却済","",IF($C136="売",IF($H136&gt;$F136*(1-$AX$2),$N136,CEILING(MIN($N136,IF($Q136="",$N136,$Q136*1.03)),IF($N136&lt;=3000,1,IF($N136&lt;=5000,5,IF($N136&lt;=30000,10,IF($N136&lt;=50000,50,IF($N136&lt;=300000,100,500))))))),IF($H136&lt;$F136*(1+$AX$2),$N136,FLOOR(MAX($N136,IF($P136="",$N136,$P136*0.97)),IF($N136&lt;=3000,1,IF($N136&lt;=5000,5,IF($N136&lt;=30000,10,IF($N136&lt;=50000,50,IF($N136&lt;=300000,100,500))))))))))</f>
      </c>
      <c r="S136" s="586" t="str">
        <f>IF(B136="","",IF(T136&lt;&gt;"","✅売却済",IF(OR(H136="",L136=""),"📌保有中",IF(L136&gt;=0.06,"🟢利確推奨",IF(L136&gt;=0.05,"🟡利確直近",IF(L136&gt;=0.045,"🔵トレーリング検討",IF(L136&gt;-0.03,"📌保有中",IF(L136&gt;-0.04,"⚠️損切注意","🔴損切り"))))))))</f>
        <v/>
      </c>
      <c r="T136" s="594"/>
      <c r="U136" s="491"/>
      <c r="V136" s="701" t="str">
        <f>IF(OR(F136="",G136="",U136=""),"",IF(C136="売",(F136-U136)*G136,(U136-F136)*G136))</f>
        <v/>
      </c>
      <c r="W136" s="493" t="str">
        <f>IF(OR($E136="",$B136=""),"",IF($T136&lt;&gt;"",$T136-$E136,TODAY()-$E136)+1)</f>
        <v/>
      </c>
      <c r="X136" s="489" t="str">
        <f>IF(OR($AH136="",$AH136="保有中"),"",$AH136)</f>
        <v/>
      </c>
      <c r="Y136" s="488">
        <f>IF($B136="","",IF(COUNTIFS($B$4:$B136,$B136,$C$4:$C136,$C136)&gt;1,"⛔重複"&amp;COUNTIFS($B$4:$B136,$B136,$C$4:$C136,$C136)&amp;"回目",""))</f>
      </c>
      <c r="Z136" s="710"/>
      <c r="AB136">
        <f>IF($F136="","",MAX(100,ROUNDDOWN($AX$4/($F136*$AX$2)/100,0)*100))</f>
      </c>
      <c r="AC136">
        <f>IF(OR($F136="",$G136="",$U136=""),"",ROUND($V136-($F136+$U136)*$G136*$AX$6-IF($C136="売",$F136*$G136*$AX$7*$W136/365,0),0))</f>
      </c>
      <c r="AD136" s="608"/>
      <c r="AE136" s="600" t="str">
        <f>IF($E136="","",WORKDAY($E136,12))</f>
        <v/>
      </c>
      <c r="AF136" s="600"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0"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0" t="str">
        <f>IF(OR($B136="",$M136=""),"",IF(AND(N($AF136)=0,N($AG136)=0),IF(AND(ISNUMBER($H136),$H136&gt;0,IF($C136="売",$H136&gt;=$N136,$H136&lt;=$N136)),"損切確定",IF(AND(ISNUMBER($H136),$H136&gt;0,IF($C136="売",$H136&lt;=$M136,$H136&gt;=$M136)),"利益確定",IF($AE136&lt;=TODAY(),"日数制限","保有中"))),IF(N($AG136)=0,"利益確定",IF(N($AF136)=0,"損切確定",IF($AG136&lt;=$AF136,"損切確定","利益確定")))))</f>
        <v/>
      </c>
      <c r="AI136" s="600" t="str" cm="1">
        <f t="array" ref="AI136">IFERROR(INDEX(始値!$E$6:$BT$305,MATCH(TEXT($B136,"0"),TEXT(銘柄管理!$B$6:$B$305,"0"),0),MATCH($AE136,始値!$E$3:$BT$3,0)),"")</f>
        <v/>
      </c>
      <c r="AJ136" s="608" t="str">
        <f>IF(OR($V136="",$F136="",$G136=""),"",$V136/($F136*$G136))</f>
        <v/>
      </c>
      <c r="AK136" s="600" t="str">
        <f>IF($V136="","",IF($V136&gt;0,"○勝",IF($V136&lt;0,"●負","△引分")))</f>
        <v/>
      </c>
    </row>
    <row r="137" spans="1:37" ht="35.4" customHeight="1">
      <c r="A137" s="619" t="str">
        <f>IF(B137="","",HYPERLINK("https://kabutan.jp/stock/?code="&amp;B137,"株探"))</f>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IF(OR(F137="",G137="",H137=""),"",IF(C137="売",(F137-H137)*G137,(H137-F137)*G137))</f>
        <v/>
      </c>
      <c r="L137" s="706" t="str">
        <f>IF(OR(F137="",H137=""),"",IF(C137="売",(F137-H137)/F137,(H137-F137)/F137))</f>
        <v/>
      </c>
      <c r="M137" s="491" t="str">
        <f>IF($F137="","",IF($C137="売",CEILING($F137*IF($C137="売",1-$AX$3,1+$AX$3),IF($F137*IF($C137="売",1-$AX$3,1+$AX$3)&lt;=3000,1,IF($F137*IF($C137="売",1-$AX$3,1+$AX$3)&lt;=5000,5,IF($F137*IF($C137="売",1-$AX$3,1+$AX$3)&lt;=30000,10,IF($F137*IF($C137="売",1-$AX$3,1+$AX$3)&lt;=50000,50,IF($F137*IF($C137="売",1-$AX$3,1+$AX$3)&lt;=300000,100,500)))))),FLOOR($F137*IF($C137="売",1-$AX$3,1+$AX$3),IF($F137*IF($C137="売",1-$AX$3,1+$AX$3)&lt;=3000,1,IF($F137*IF($C137="売",1-$AX$3,1+$AX$3)&lt;=5000,5,IF($F137*IF($C137="売",1-$AX$3,1+$AX$3)&lt;=30000,10,IF($F137*IF($C137="売",1-$AX$3,1+$AX$3)&lt;=50000,50,IF($F137*IF($C137="売",1-$AX$3,1+$AX$3)&lt;=300000,100,500))))))))</f>
      </c>
      <c r="N137" s="491" t="str">
        <f>IF($F137="","",IF($C137="売",CEILING($F137*IF($C137="売",1+$AX$2,1-$AX$2),IF($F137*IF($C137="売",1+$AX$2,1-$AX$2)&lt;=3000,1,IF($F137*IF($C137="売",1+$AX$2,1-$AX$2)&lt;=5000,5,IF($F137*IF($C137="売",1+$AX$2,1-$AX$2)&lt;=30000,10,IF($F137*IF($C137="売",1+$AX$2,1-$AX$2)&lt;=50000,50,IF($F137*IF($C137="売",1+$AX$2,1-$AX$2)&lt;=300000,100,500)))))),FLOOR($F137*IF($C137="売",1+$AX$2,1-$AX$2),IF($F137*IF($C137="売",1+$AX$2,1-$AX$2)&lt;=3000,1,IF($F137*IF($C137="売",1+$AX$2,1-$AX$2)&lt;=5000,5,IF($F137*IF($C137="売",1+$AX$2,1-$AX$2)&lt;=30000,10,IF($F137*IF($C137="売",1+$AX$2,1-$AX$2)&lt;=50000,50,IF($F137*IF($C137="売",1+$AX$2,1-$AX$2)&lt;=300000,100,500))))))))</f>
      </c>
      <c r="O137" s="492" t="str">
        <f>IF(OR($B137="",$F137="",$H137=""),"",IF($S137="✅売却済","―決済済―",IF($C137="売",IF($H137&lt;=$M137,"🟢利確",IF(AND($R137&lt;&gt;"",$H137&gt;=$R137),"🟠TRAIL決済",IF($H137&gt;=$N137,"🔴損切",IF($W137&gt;=$AX$5,"⏱時間決済",IF($H137&gt;=$F137*(1+$AX$2*0.7),"⚠️損切接近","保持継続"))))),IF($H137&gt;=$M137,"🟢利確",IF(AND($R137&lt;&gt;"",$H137&lt;=$R137),"🟠TRAIL決済",IF($H137&lt;=$N137,"🔴損切",IF($W137&gt;=$AX$5,"⏱時間決済",IF($H137&lt;=$F137*(1-$AX$2*0.7),"⚠️損切接近","保持継続")))))))</f>
      </c>
      <c r="P137" s="491"/>
      <c r="Q137" s="491"/>
      <c r="R137" s="491" t="str">
        <f>IF(OR($F137="",$H137="",$N137=""),"",IF($S137="✅売却済","",IF($C137="売",IF($H137&gt;$F137*(1-$AX$2),$N137,CEILING(MIN($N137,IF($Q137="",$N137,$Q137*1.03)),IF($N137&lt;=3000,1,IF($N137&lt;=5000,5,IF($N137&lt;=30000,10,IF($N137&lt;=50000,50,IF($N137&lt;=300000,100,500))))))),IF($H137&lt;$F137*(1+$AX$2),$N137,FLOOR(MAX($N137,IF($P137="",$N137,$P137*0.97)),IF($N137&lt;=3000,1,IF($N137&lt;=5000,5,IF($N137&lt;=30000,10,IF($N137&lt;=50000,50,IF($N137&lt;=300000,100,500))))))))))</f>
      </c>
      <c r="S137" s="586" t="str">
        <f>IF(B137="","",IF(T137&lt;&gt;"","✅売却済",IF(OR(H137="",L137=""),"📌保有中",IF(L137&gt;=0.06,"🟢利確推奨",IF(L137&gt;=0.05,"🟡利確直近",IF(L137&gt;=0.045,"🔵トレーリング検討",IF(L137&gt;-0.03,"📌保有中",IF(L137&gt;-0.04,"⚠️損切注意","🔴損切り"))))))))</f>
        <v/>
      </c>
      <c r="T137" s="594"/>
      <c r="U137" s="491"/>
      <c r="V137" s="701" t="str">
        <f>IF(OR(F137="",G137="",U137=""),"",IF(C137="売",(F137-U137)*G137,(U137-F137)*G137))</f>
        <v/>
      </c>
      <c r="W137" s="493" t="str">
        <f>IF(OR($E137="",$B137=""),"",IF($T137&lt;&gt;"",$T137-$E137,TODAY()-$E137)+1)</f>
        <v/>
      </c>
      <c r="X137" s="489" t="str">
        <f>IF(OR($AH137="",$AH137="保有中"),"",$AH137)</f>
        <v/>
      </c>
      <c r="Y137" s="488">
        <f>IF($B137="","",IF(COUNTIFS($B$4:$B137,$B137,$C$4:$C137,$C137)&gt;1,"⛔重複"&amp;COUNTIFS($B$4:$B137,$B137,$C$4:$C137,$C137)&amp;"回目",""))</f>
      </c>
      <c r="Z137" s="710"/>
      <c r="AB137">
        <f>IF($F137="","",MAX(100,ROUNDDOWN($AX$4/($F137*$AX$2)/100,0)*100))</f>
      </c>
      <c r="AC137">
        <f>IF(OR($F137="",$G137="",$U137=""),"",ROUND($V137-($F137+$U137)*$G137*$AX$6-IF($C137="売",$F137*$G137*$AX$7*$W137/365,0),0))</f>
      </c>
      <c r="AD137" s="608"/>
      <c r="AE137" s="600" t="str">
        <f>IF($E137="","",WORKDAY($E137,12))</f>
        <v/>
      </c>
      <c r="AF137" s="600"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0"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0" t="str">
        <f>IF(OR($B137="",$M137=""),"",IF(AND(N($AF137)=0,N($AG137)=0),IF(AND(ISNUMBER($H137),$H137&gt;0,IF($C137="売",$H137&gt;=$N137,$H137&lt;=$N137)),"損切確定",IF(AND(ISNUMBER($H137),$H137&gt;0,IF($C137="売",$H137&lt;=$M137,$H137&gt;=$M137)),"利益確定",IF($AE137&lt;=TODAY(),"日数制限","保有中"))),IF(N($AG137)=0,"利益確定",IF(N($AF137)=0,"損切確定",IF($AG137&lt;=$AF137,"損切確定","利益確定")))))</f>
        <v/>
      </c>
      <c r="AI137" s="600" t="str" cm="1">
        <f t="array" ref="AI137">IFERROR(INDEX(始値!$E$6:$BT$305,MATCH(TEXT($B137,"0"),TEXT(銘柄管理!$B$6:$B$305,"0"),0),MATCH($AE137,始値!$E$3:$BT$3,0)),"")</f>
        <v/>
      </c>
      <c r="AJ137" s="608" t="str">
        <f>IF(OR($V137="",$F137="",$G137=""),"",$V137/($F137*$G137))</f>
        <v/>
      </c>
      <c r="AK137" s="600" t="str">
        <f>IF($V137="","",IF($V137&gt;0,"○勝",IF($V137&lt;0,"●負","△引分")))</f>
        <v/>
      </c>
    </row>
    <row r="138" spans="1:37" ht="35.4" customHeight="1">
      <c r="A138" s="619" t="str">
        <f>IF(B138="","",HYPERLINK("https://kabutan.jp/stock/?code="&amp;B138,"株探"))</f>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IF(OR(F138="",G138="",H138=""),"",IF(C138="売",(F138-H138)*G138,(H138-F138)*G138))</f>
        <v/>
      </c>
      <c r="L138" s="706" t="str">
        <f>IF(OR(F138="",H138=""),"",IF(C138="売",(F138-H138)/F138,(H138-F138)/F138))</f>
        <v/>
      </c>
      <c r="M138" s="491" t="str">
        <f>IF($F138="","",IF($C138="売",CEILING($F138*IF($C138="売",1-$AX$3,1+$AX$3),IF($F138*IF($C138="売",1-$AX$3,1+$AX$3)&lt;=3000,1,IF($F138*IF($C138="売",1-$AX$3,1+$AX$3)&lt;=5000,5,IF($F138*IF($C138="売",1-$AX$3,1+$AX$3)&lt;=30000,10,IF($F138*IF($C138="売",1-$AX$3,1+$AX$3)&lt;=50000,50,IF($F138*IF($C138="売",1-$AX$3,1+$AX$3)&lt;=300000,100,500)))))),FLOOR($F138*IF($C138="売",1-$AX$3,1+$AX$3),IF($F138*IF($C138="売",1-$AX$3,1+$AX$3)&lt;=3000,1,IF($F138*IF($C138="売",1-$AX$3,1+$AX$3)&lt;=5000,5,IF($F138*IF($C138="売",1-$AX$3,1+$AX$3)&lt;=30000,10,IF($F138*IF($C138="売",1-$AX$3,1+$AX$3)&lt;=50000,50,IF($F138*IF($C138="売",1-$AX$3,1+$AX$3)&lt;=300000,100,500))))))))</f>
      </c>
      <c r="N138" s="491" t="str">
        <f>IF($F138="","",IF($C138="売",CEILING($F138*IF($C138="売",1+$AX$2,1-$AX$2),IF($F138*IF($C138="売",1+$AX$2,1-$AX$2)&lt;=3000,1,IF($F138*IF($C138="売",1+$AX$2,1-$AX$2)&lt;=5000,5,IF($F138*IF($C138="売",1+$AX$2,1-$AX$2)&lt;=30000,10,IF($F138*IF($C138="売",1+$AX$2,1-$AX$2)&lt;=50000,50,IF($F138*IF($C138="売",1+$AX$2,1-$AX$2)&lt;=300000,100,500)))))),FLOOR($F138*IF($C138="売",1+$AX$2,1-$AX$2),IF($F138*IF($C138="売",1+$AX$2,1-$AX$2)&lt;=3000,1,IF($F138*IF($C138="売",1+$AX$2,1-$AX$2)&lt;=5000,5,IF($F138*IF($C138="売",1+$AX$2,1-$AX$2)&lt;=30000,10,IF($F138*IF($C138="売",1+$AX$2,1-$AX$2)&lt;=50000,50,IF($F138*IF($C138="売",1+$AX$2,1-$AX$2)&lt;=300000,100,500))))))))</f>
      </c>
      <c r="O138" s="492" t="str">
        <f>IF(OR($B138="",$F138="",$H138=""),"",IF($S138="✅売却済","―決済済―",IF($C138="売",IF($H138&lt;=$M138,"🟢利確",IF(AND($R138&lt;&gt;"",$H138&gt;=$R138),"🟠TRAIL決済",IF($H138&gt;=$N138,"🔴損切",IF($W138&gt;=$AX$5,"⏱時間決済",IF($H138&gt;=$F138*(1+$AX$2*0.7),"⚠️損切接近","保持継続"))))),IF($H138&gt;=$M138,"🟢利確",IF(AND($R138&lt;&gt;"",$H138&lt;=$R138),"🟠TRAIL決済",IF($H138&lt;=$N138,"🔴損切",IF($W138&gt;=$AX$5,"⏱時間決済",IF($H138&lt;=$F138*(1-$AX$2*0.7),"⚠️損切接近","保持継続")))))))</f>
      </c>
      <c r="P138" s="491"/>
      <c r="Q138" s="491"/>
      <c r="R138" s="491" t="str">
        <f>IF(OR($F138="",$H138="",$N138=""),"",IF($S138="✅売却済","",IF($C138="売",IF($H138&gt;$F138*(1-$AX$2),$N138,CEILING(MIN($N138,IF($Q138="",$N138,$Q138*1.03)),IF($N138&lt;=3000,1,IF($N138&lt;=5000,5,IF($N138&lt;=30000,10,IF($N138&lt;=50000,50,IF($N138&lt;=300000,100,500))))))),IF($H138&lt;$F138*(1+$AX$2),$N138,FLOOR(MAX($N138,IF($P138="",$N138,$P138*0.97)),IF($N138&lt;=3000,1,IF($N138&lt;=5000,5,IF($N138&lt;=30000,10,IF($N138&lt;=50000,50,IF($N138&lt;=300000,100,500))))))))))</f>
      </c>
      <c r="S138" s="586" t="str">
        <f>IF(B138="","",IF(T138&lt;&gt;"","✅売却済",IF(OR(H138="",L138=""),"📌保有中",IF(L138&gt;=0.06,"🟢利確推奨",IF(L138&gt;=0.05,"🟡利確直近",IF(L138&gt;=0.045,"🔵トレーリング検討",IF(L138&gt;-0.03,"📌保有中",IF(L138&gt;-0.04,"⚠️損切注意","🔴損切り"))))))))</f>
        <v/>
      </c>
      <c r="T138" s="594"/>
      <c r="U138" s="491"/>
      <c r="V138" s="701" t="str">
        <f>IF(OR(F138="",G138="",U138=""),"",IF(C138="売",(F138-U138)*G138,(U138-F138)*G138))</f>
        <v/>
      </c>
      <c r="W138" s="493" t="str">
        <f>IF(OR($E138="",$B138=""),"",IF($T138&lt;&gt;"",$T138-$E138,TODAY()-$E138)+1)</f>
        <v/>
      </c>
      <c r="X138" s="489" t="str">
        <f>IF(OR($AH138="",$AH138="保有中"),"",$AH138)</f>
        <v/>
      </c>
      <c r="Y138" s="488">
        <f>IF($B138="","",IF(COUNTIFS($B$4:$B138,$B138,$C$4:$C138,$C138)&gt;1,"⛔重複"&amp;COUNTIFS($B$4:$B138,$B138,$C$4:$C138,$C138)&amp;"回目",""))</f>
      </c>
      <c r="Z138" s="710"/>
      <c r="AB138">
        <f>IF($F138="","",MAX(100,ROUNDDOWN($AX$4/($F138*$AX$2)/100,0)*100))</f>
      </c>
      <c r="AC138">
        <f>IF(OR($F138="",$G138="",$U138=""),"",ROUND($V138-($F138+$U138)*$G138*$AX$6-IF($C138="売",$F138*$G138*$AX$7*$W138/365,0),0))</f>
      </c>
      <c r="AD138" s="608"/>
      <c r="AE138" s="600" t="str">
        <f>IF($E138="","",WORKDAY($E138,12))</f>
        <v/>
      </c>
      <c r="AF138" s="600"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0"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0" t="str">
        <f>IF(OR($B138="",$M138=""),"",IF(AND(N($AF138)=0,N($AG138)=0),IF(AND(ISNUMBER($H138),$H138&gt;0,IF($C138="売",$H138&gt;=$N138,$H138&lt;=$N138)),"損切確定",IF(AND(ISNUMBER($H138),$H138&gt;0,IF($C138="売",$H138&lt;=$M138,$H138&gt;=$M138)),"利益確定",IF($AE138&lt;=TODAY(),"日数制限","保有中"))),IF(N($AG138)=0,"利益確定",IF(N($AF138)=0,"損切確定",IF($AG138&lt;=$AF138,"損切確定","利益確定")))))</f>
        <v/>
      </c>
      <c r="AI138" s="600" t="str" cm="1">
        <f t="array" ref="AI138">IFERROR(INDEX(始値!$E$6:$BT$305,MATCH(TEXT($B138,"0"),TEXT(銘柄管理!$B$6:$B$305,"0"),0),MATCH($AE138,始値!$E$3:$BT$3,0)),"")</f>
        <v/>
      </c>
      <c r="AJ138" s="608" t="str">
        <f>IF(OR($V138="",$F138="",$G138=""),"",$V138/($F138*$G138))</f>
        <v/>
      </c>
      <c r="AK138" s="600" t="str">
        <f>IF($V138="","",IF($V138&gt;0,"○勝",IF($V138&lt;0,"●負","△引分")))</f>
        <v/>
      </c>
    </row>
    <row r="139" spans="1:37" ht="35.4" customHeight="1">
      <c r="A139" s="619" t="str">
        <f>IF(B139="","",HYPERLINK("https://kabutan.jp/stock/?code="&amp;B139,"株探"))</f>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IF(OR(F139="",G139="",H139=""),"",IF(C139="売",(F139-H139)*G139,(H139-F139)*G139))</f>
        <v/>
      </c>
      <c r="L139" s="706" t="str">
        <f>IF(OR(F139="",H139=""),"",IF(C139="売",(F139-H139)/F139,(H139-F139)/F139))</f>
        <v/>
      </c>
      <c r="M139" s="491" t="str">
        <f>IF($F139="","",IF($C139="売",CEILING($F139*IF($C139="売",1-$AX$3,1+$AX$3),IF($F139*IF($C139="売",1-$AX$3,1+$AX$3)&lt;=3000,1,IF($F139*IF($C139="売",1-$AX$3,1+$AX$3)&lt;=5000,5,IF($F139*IF($C139="売",1-$AX$3,1+$AX$3)&lt;=30000,10,IF($F139*IF($C139="売",1-$AX$3,1+$AX$3)&lt;=50000,50,IF($F139*IF($C139="売",1-$AX$3,1+$AX$3)&lt;=300000,100,500)))))),FLOOR($F139*IF($C139="売",1-$AX$3,1+$AX$3),IF($F139*IF($C139="売",1-$AX$3,1+$AX$3)&lt;=3000,1,IF($F139*IF($C139="売",1-$AX$3,1+$AX$3)&lt;=5000,5,IF($F139*IF($C139="売",1-$AX$3,1+$AX$3)&lt;=30000,10,IF($F139*IF($C139="売",1-$AX$3,1+$AX$3)&lt;=50000,50,IF($F139*IF($C139="売",1-$AX$3,1+$AX$3)&lt;=300000,100,500))))))))</f>
      </c>
      <c r="N139" s="491" t="str">
        <f>IF($F139="","",IF($C139="売",CEILING($F139*IF($C139="売",1+$AX$2,1-$AX$2),IF($F139*IF($C139="売",1+$AX$2,1-$AX$2)&lt;=3000,1,IF($F139*IF($C139="売",1+$AX$2,1-$AX$2)&lt;=5000,5,IF($F139*IF($C139="売",1+$AX$2,1-$AX$2)&lt;=30000,10,IF($F139*IF($C139="売",1+$AX$2,1-$AX$2)&lt;=50000,50,IF($F139*IF($C139="売",1+$AX$2,1-$AX$2)&lt;=300000,100,500)))))),FLOOR($F139*IF($C139="売",1+$AX$2,1-$AX$2),IF($F139*IF($C139="売",1+$AX$2,1-$AX$2)&lt;=3000,1,IF($F139*IF($C139="売",1+$AX$2,1-$AX$2)&lt;=5000,5,IF($F139*IF($C139="売",1+$AX$2,1-$AX$2)&lt;=30000,10,IF($F139*IF($C139="売",1+$AX$2,1-$AX$2)&lt;=50000,50,IF($F139*IF($C139="売",1+$AX$2,1-$AX$2)&lt;=300000,100,500))))))))</f>
      </c>
      <c r="O139" s="492" t="str">
        <f>IF(OR($B139="",$F139="",$H139=""),"",IF($S139="✅売却済","―決済済―",IF($C139="売",IF($H139&lt;=$M139,"🟢利確",IF(AND($R139&lt;&gt;"",$H139&gt;=$R139),"🟠TRAIL決済",IF($H139&gt;=$N139,"🔴損切",IF($W139&gt;=$AX$5,"⏱時間決済",IF($H139&gt;=$F139*(1+$AX$2*0.7),"⚠️損切接近","保持継続"))))),IF($H139&gt;=$M139,"🟢利確",IF(AND($R139&lt;&gt;"",$H139&lt;=$R139),"🟠TRAIL決済",IF($H139&lt;=$N139,"🔴損切",IF($W139&gt;=$AX$5,"⏱時間決済",IF($H139&lt;=$F139*(1-$AX$2*0.7),"⚠️損切接近","保持継続")))))))</f>
      </c>
      <c r="P139" s="491"/>
      <c r="Q139" s="491"/>
      <c r="R139" s="491" t="str">
        <f>IF(OR($F139="",$H139="",$N139=""),"",IF($S139="✅売却済","",IF($C139="売",IF($H139&gt;$F139*(1-$AX$2),$N139,CEILING(MIN($N139,IF($Q139="",$N139,$Q139*1.03)),IF($N139&lt;=3000,1,IF($N139&lt;=5000,5,IF($N139&lt;=30000,10,IF($N139&lt;=50000,50,IF($N139&lt;=300000,100,500))))))),IF($H139&lt;$F139*(1+$AX$2),$N139,FLOOR(MAX($N139,IF($P139="",$N139,$P139*0.97)),IF($N139&lt;=3000,1,IF($N139&lt;=5000,5,IF($N139&lt;=30000,10,IF($N139&lt;=50000,50,IF($N139&lt;=300000,100,500))))))))))</f>
      </c>
      <c r="S139" s="586" t="str">
        <f>IF(B139="","",IF(T139&lt;&gt;"","✅売却済",IF(OR(H139="",L139=""),"📌保有中",IF(L139&gt;=0.06,"🟢利確推奨",IF(L139&gt;=0.05,"🟡利確直近",IF(L139&gt;=0.045,"🔵トレーリング検討",IF(L139&gt;-0.03,"📌保有中",IF(L139&gt;-0.04,"⚠️損切注意","🔴損切り"))))))))</f>
        <v/>
      </c>
      <c r="T139" s="594"/>
      <c r="U139" s="491"/>
      <c r="V139" s="701" t="str">
        <f>IF(OR(F139="",G139="",U139=""),"",IF(C139="売",(F139-U139)*G139,(U139-F139)*G139))</f>
        <v/>
      </c>
      <c r="W139" s="493" t="str">
        <f>IF(OR($E139="",$B139=""),"",IF($T139&lt;&gt;"",$T139-$E139,TODAY()-$E139)+1)</f>
        <v/>
      </c>
      <c r="X139" s="489" t="str">
        <f>IF(OR($AH139="",$AH139="保有中"),"",$AH139)</f>
        <v/>
      </c>
      <c r="Y139" s="488">
        <f>IF($B139="","",IF(COUNTIFS($B$4:$B139,$B139,$C$4:$C139,$C139)&gt;1,"⛔重複"&amp;COUNTIFS($B$4:$B139,$B139,$C$4:$C139,$C139)&amp;"回目",""))</f>
      </c>
      <c r="Z139" s="710"/>
      <c r="AB139">
        <f>IF($F139="","",MAX(100,ROUNDDOWN($AX$4/($F139*$AX$2)/100,0)*100))</f>
      </c>
      <c r="AC139">
        <f>IF(OR($F139="",$G139="",$U139=""),"",ROUND($V139-($F139+$U139)*$G139*$AX$6-IF($C139="売",$F139*$G139*$AX$7*$W139/365,0),0))</f>
      </c>
      <c r="AD139" s="608"/>
      <c r="AE139" s="600" t="str">
        <f>IF($E139="","",WORKDAY($E139,12))</f>
        <v/>
      </c>
      <c r="AF139" s="600"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0"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0" t="str">
        <f>IF(OR($B139="",$M139=""),"",IF(AND(N($AF139)=0,N($AG139)=0),IF(AND(ISNUMBER($H139),$H139&gt;0,IF($C139="売",$H139&gt;=$N139,$H139&lt;=$N139)),"損切確定",IF(AND(ISNUMBER($H139),$H139&gt;0,IF($C139="売",$H139&lt;=$M139,$H139&gt;=$M139)),"利益確定",IF($AE139&lt;=TODAY(),"日数制限","保有中"))),IF(N($AG139)=0,"利益確定",IF(N($AF139)=0,"損切確定",IF($AG139&lt;=$AF139,"損切確定","利益確定")))))</f>
        <v/>
      </c>
      <c r="AI139" s="600" t="str" cm="1">
        <f t="array" ref="AI139">IFERROR(INDEX(始値!$E$6:$BT$305,MATCH(TEXT($B139,"0"),TEXT(銘柄管理!$B$6:$B$305,"0"),0),MATCH($AE139,始値!$E$3:$BT$3,0)),"")</f>
        <v/>
      </c>
      <c r="AJ139" s="608" t="str">
        <f>IF(OR($V139="",$F139="",$G139=""),"",$V139/($F139*$G139))</f>
        <v/>
      </c>
      <c r="AK139" s="600" t="str">
        <f>IF($V139="","",IF($V139&gt;0,"○勝",IF($V139&lt;0,"●負","△引分")))</f>
        <v/>
      </c>
    </row>
    <row r="140" spans="1:37" ht="35.4" customHeight="1">
      <c r="A140" s="619" t="str">
        <f>IF(B140="","",HYPERLINK("https://kabutan.jp/stock/?code="&amp;B140,"株探"))</f>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IF(OR(F140="",G140="",H140=""),"",IF(C140="売",(F140-H140)*G140,(H140-F140)*G140))</f>
        <v/>
      </c>
      <c r="L140" s="706" t="str">
        <f>IF(OR(F140="",H140=""),"",IF(C140="売",(F140-H140)/F140,(H140-F140)/F140))</f>
        <v/>
      </c>
      <c r="M140" s="491" t="str">
        <f>IF($F140="","",IF($C140="売",CEILING($F140*IF($C140="売",1-$AX$3,1+$AX$3),IF($F140*IF($C140="売",1-$AX$3,1+$AX$3)&lt;=3000,1,IF($F140*IF($C140="売",1-$AX$3,1+$AX$3)&lt;=5000,5,IF($F140*IF($C140="売",1-$AX$3,1+$AX$3)&lt;=30000,10,IF($F140*IF($C140="売",1-$AX$3,1+$AX$3)&lt;=50000,50,IF($F140*IF($C140="売",1-$AX$3,1+$AX$3)&lt;=300000,100,500)))))),FLOOR($F140*IF($C140="売",1-$AX$3,1+$AX$3),IF($F140*IF($C140="売",1-$AX$3,1+$AX$3)&lt;=3000,1,IF($F140*IF($C140="売",1-$AX$3,1+$AX$3)&lt;=5000,5,IF($F140*IF($C140="売",1-$AX$3,1+$AX$3)&lt;=30000,10,IF($F140*IF($C140="売",1-$AX$3,1+$AX$3)&lt;=50000,50,IF($F140*IF($C140="売",1-$AX$3,1+$AX$3)&lt;=300000,100,500))))))))</f>
      </c>
      <c r="N140" s="491" t="str">
        <f>IF($F140="","",IF($C140="売",CEILING($F140*IF($C140="売",1+$AX$2,1-$AX$2),IF($F140*IF($C140="売",1+$AX$2,1-$AX$2)&lt;=3000,1,IF($F140*IF($C140="売",1+$AX$2,1-$AX$2)&lt;=5000,5,IF($F140*IF($C140="売",1+$AX$2,1-$AX$2)&lt;=30000,10,IF($F140*IF($C140="売",1+$AX$2,1-$AX$2)&lt;=50000,50,IF($F140*IF($C140="売",1+$AX$2,1-$AX$2)&lt;=300000,100,500)))))),FLOOR($F140*IF($C140="売",1+$AX$2,1-$AX$2),IF($F140*IF($C140="売",1+$AX$2,1-$AX$2)&lt;=3000,1,IF($F140*IF($C140="売",1+$AX$2,1-$AX$2)&lt;=5000,5,IF($F140*IF($C140="売",1+$AX$2,1-$AX$2)&lt;=30000,10,IF($F140*IF($C140="売",1+$AX$2,1-$AX$2)&lt;=50000,50,IF($F140*IF($C140="売",1+$AX$2,1-$AX$2)&lt;=300000,100,500))))))))</f>
      </c>
      <c r="O140" s="492" t="str">
        <f>IF(OR($B140="",$F140="",$H140=""),"",IF($S140="✅売却済","―決済済―",IF($C140="売",IF($H140&lt;=$M140,"🟢利確",IF(AND($R140&lt;&gt;"",$H140&gt;=$R140),"🟠TRAIL決済",IF($H140&gt;=$N140,"🔴損切",IF($W140&gt;=$AX$5,"⏱時間決済",IF($H140&gt;=$F140*(1+$AX$2*0.7),"⚠️損切接近","保持継続"))))),IF($H140&gt;=$M140,"🟢利確",IF(AND($R140&lt;&gt;"",$H140&lt;=$R140),"🟠TRAIL決済",IF($H140&lt;=$N140,"🔴損切",IF($W140&gt;=$AX$5,"⏱時間決済",IF($H140&lt;=$F140*(1-$AX$2*0.7),"⚠️損切接近","保持継続")))))))</f>
      </c>
      <c r="P140" s="491"/>
      <c r="Q140" s="491"/>
      <c r="R140" s="491" t="str">
        <f>IF(OR($F140="",$H140="",$N140=""),"",IF($S140="✅売却済","",IF($C140="売",IF($H140&gt;$F140*(1-$AX$2),$N140,CEILING(MIN($N140,IF($Q140="",$N140,$Q140*1.03)),IF($N140&lt;=3000,1,IF($N140&lt;=5000,5,IF($N140&lt;=30000,10,IF($N140&lt;=50000,50,IF($N140&lt;=300000,100,500))))))),IF($H140&lt;$F140*(1+$AX$2),$N140,FLOOR(MAX($N140,IF($P140="",$N140,$P140*0.97)),IF($N140&lt;=3000,1,IF($N140&lt;=5000,5,IF($N140&lt;=30000,10,IF($N140&lt;=50000,50,IF($N140&lt;=300000,100,500))))))))))</f>
      </c>
      <c r="S140" s="586" t="str">
        <f>IF(B140="","",IF(T140&lt;&gt;"","✅売却済",IF(OR(H140="",L140=""),"📌保有中",IF(L140&gt;=0.06,"🟢利確推奨",IF(L140&gt;=0.05,"🟡利確直近",IF(L140&gt;=0.045,"🔵トレーリング検討",IF(L140&gt;-0.03,"📌保有中",IF(L140&gt;-0.04,"⚠️損切注意","🔴損切り"))))))))</f>
        <v/>
      </c>
      <c r="T140" s="594"/>
      <c r="U140" s="491"/>
      <c r="V140" s="701" t="str">
        <f>IF(OR(F140="",G140="",U140=""),"",IF(C140="売",(F140-U140)*G140,(U140-F140)*G140))</f>
        <v/>
      </c>
      <c r="W140" s="493" t="str">
        <f>IF(OR($E140="",$B140=""),"",IF($T140&lt;&gt;"",$T140-$E140,TODAY()-$E140)+1)</f>
        <v/>
      </c>
      <c r="X140" s="489" t="str">
        <f>IF(OR($AH140="",$AH140="保有中"),"",$AH140)</f>
        <v/>
      </c>
      <c r="Y140" s="488">
        <f>IF($B140="","",IF(COUNTIFS($B$4:$B140,$B140,$C$4:$C140,$C140)&gt;1,"⛔重複"&amp;COUNTIFS($B$4:$B140,$B140,$C$4:$C140,$C140)&amp;"回目",""))</f>
      </c>
      <c r="Z140" s="710"/>
      <c r="AB140">
        <f>IF($F140="","",MAX(100,ROUNDDOWN($AX$4/($F140*$AX$2)/100,0)*100))</f>
      </c>
      <c r="AC140">
        <f>IF(OR($F140="",$G140="",$U140=""),"",ROUND($V140-($F140+$U140)*$G140*$AX$6-IF($C140="売",$F140*$G140*$AX$7*$W140/365,0),0))</f>
      </c>
      <c r="AD140" s="608"/>
      <c r="AE140" s="600" t="str">
        <f>IF($E140="","",WORKDAY($E140,12))</f>
        <v/>
      </c>
      <c r="AF140" s="600"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0"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0" t="str">
        <f>IF(OR($B140="",$M140=""),"",IF(AND(N($AF140)=0,N($AG140)=0),IF(AND(ISNUMBER($H140),$H140&gt;0,IF($C140="売",$H140&gt;=$N140,$H140&lt;=$N140)),"損切確定",IF(AND(ISNUMBER($H140),$H140&gt;0,IF($C140="売",$H140&lt;=$M140,$H140&gt;=$M140)),"利益確定",IF($AE140&lt;=TODAY(),"日数制限","保有中"))),IF(N($AG140)=0,"利益確定",IF(N($AF140)=0,"損切確定",IF($AG140&lt;=$AF140,"損切確定","利益確定")))))</f>
        <v/>
      </c>
      <c r="AI140" s="600" t="str" cm="1">
        <f t="array" ref="AI140">IFERROR(INDEX(始値!$E$6:$BT$305,MATCH(TEXT($B140,"0"),TEXT(銘柄管理!$B$6:$B$305,"0"),0),MATCH($AE140,始値!$E$3:$BT$3,0)),"")</f>
        <v/>
      </c>
      <c r="AJ140" s="608" t="str">
        <f>IF(OR($V140="",$F140="",$G140=""),"",$V140/($F140*$G140))</f>
        <v/>
      </c>
      <c r="AK140" s="600" t="str">
        <f>IF($V140="","",IF($V140&gt;0,"○勝",IF($V140&lt;0,"●負","△引分")))</f>
        <v/>
      </c>
    </row>
    <row r="141" spans="1:37" ht="35.4" customHeight="1">
      <c r="A141" s="619" t="str">
        <f>IF(B141="","",HYPERLINK("https://kabutan.jp/stock/?code="&amp;B141,"株探"))</f>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IF(OR(F141="",G141="",H141=""),"",IF(C141="売",(F141-H141)*G141,(H141-F141)*G141))</f>
        <v/>
      </c>
      <c r="L141" s="706" t="str">
        <f>IF(OR(F141="",H141=""),"",IF(C141="売",(F141-H141)/F141,(H141-F141)/F141))</f>
        <v/>
      </c>
      <c r="M141" s="491" t="str">
        <f>IF($F141="","",IF($C141="売",CEILING($F141*IF($C141="売",1-$AX$3,1+$AX$3),IF($F141*IF($C141="売",1-$AX$3,1+$AX$3)&lt;=3000,1,IF($F141*IF($C141="売",1-$AX$3,1+$AX$3)&lt;=5000,5,IF($F141*IF($C141="売",1-$AX$3,1+$AX$3)&lt;=30000,10,IF($F141*IF($C141="売",1-$AX$3,1+$AX$3)&lt;=50000,50,IF($F141*IF($C141="売",1-$AX$3,1+$AX$3)&lt;=300000,100,500)))))),FLOOR($F141*IF($C141="売",1-$AX$3,1+$AX$3),IF($F141*IF($C141="売",1-$AX$3,1+$AX$3)&lt;=3000,1,IF($F141*IF($C141="売",1-$AX$3,1+$AX$3)&lt;=5000,5,IF($F141*IF($C141="売",1-$AX$3,1+$AX$3)&lt;=30000,10,IF($F141*IF($C141="売",1-$AX$3,1+$AX$3)&lt;=50000,50,IF($F141*IF($C141="売",1-$AX$3,1+$AX$3)&lt;=300000,100,500))))))))</f>
      </c>
      <c r="N141" s="491" t="str">
        <f>IF($F141="","",IF($C141="売",CEILING($F141*IF($C141="売",1+$AX$2,1-$AX$2),IF($F141*IF($C141="売",1+$AX$2,1-$AX$2)&lt;=3000,1,IF($F141*IF($C141="売",1+$AX$2,1-$AX$2)&lt;=5000,5,IF($F141*IF($C141="売",1+$AX$2,1-$AX$2)&lt;=30000,10,IF($F141*IF($C141="売",1+$AX$2,1-$AX$2)&lt;=50000,50,IF($F141*IF($C141="売",1+$AX$2,1-$AX$2)&lt;=300000,100,500)))))),FLOOR($F141*IF($C141="売",1+$AX$2,1-$AX$2),IF($F141*IF($C141="売",1+$AX$2,1-$AX$2)&lt;=3000,1,IF($F141*IF($C141="売",1+$AX$2,1-$AX$2)&lt;=5000,5,IF($F141*IF($C141="売",1+$AX$2,1-$AX$2)&lt;=30000,10,IF($F141*IF($C141="売",1+$AX$2,1-$AX$2)&lt;=50000,50,IF($F141*IF($C141="売",1+$AX$2,1-$AX$2)&lt;=300000,100,500))))))))</f>
      </c>
      <c r="O141" s="492" t="str">
        <f>IF(OR($B141="",$F141="",$H141=""),"",IF($S141="✅売却済","―決済済―",IF($C141="売",IF($H141&lt;=$M141,"🟢利確",IF(AND($R141&lt;&gt;"",$H141&gt;=$R141),"🟠TRAIL決済",IF($H141&gt;=$N141,"🔴損切",IF($W141&gt;=$AX$5,"⏱時間決済",IF($H141&gt;=$F141*(1+$AX$2*0.7),"⚠️損切接近","保持継続"))))),IF($H141&gt;=$M141,"🟢利確",IF(AND($R141&lt;&gt;"",$H141&lt;=$R141),"🟠TRAIL決済",IF($H141&lt;=$N141,"🔴損切",IF($W141&gt;=$AX$5,"⏱時間決済",IF($H141&lt;=$F141*(1-$AX$2*0.7),"⚠️損切接近","保持継続")))))))</f>
      </c>
      <c r="P141" s="491"/>
      <c r="Q141" s="491"/>
      <c r="R141" s="491" t="str">
        <f>IF(OR($F141="",$H141="",$N141=""),"",IF($S141="✅売却済","",IF($C141="売",IF($H141&gt;$F141*(1-$AX$2),$N141,CEILING(MIN($N141,IF($Q141="",$N141,$Q141*1.03)),IF($N141&lt;=3000,1,IF($N141&lt;=5000,5,IF($N141&lt;=30000,10,IF($N141&lt;=50000,50,IF($N141&lt;=300000,100,500))))))),IF($H141&lt;$F141*(1+$AX$2),$N141,FLOOR(MAX($N141,IF($P141="",$N141,$P141*0.97)),IF($N141&lt;=3000,1,IF($N141&lt;=5000,5,IF($N141&lt;=30000,10,IF($N141&lt;=50000,50,IF($N141&lt;=300000,100,500))))))))))</f>
      </c>
      <c r="S141" s="586" t="str">
        <f>IF(B141="","",IF(T141&lt;&gt;"","✅売却済",IF(OR(H141="",L141=""),"📌保有中",IF(L141&gt;=0.06,"🟢利確推奨",IF(L141&gt;=0.05,"🟡利確直近",IF(L141&gt;=0.045,"🔵トレーリング検討",IF(L141&gt;-0.03,"📌保有中",IF(L141&gt;-0.04,"⚠️損切注意","🔴損切り"))))))))</f>
        <v/>
      </c>
      <c r="T141" s="594"/>
      <c r="U141" s="491"/>
      <c r="V141" s="701" t="str">
        <f>IF(OR(F141="",G141="",U141=""),"",IF(C141="売",(F141-U141)*G141,(U141-F141)*G141))</f>
        <v/>
      </c>
      <c r="W141" s="493" t="str">
        <f>IF(OR($E141="",$B141=""),"",IF($T141&lt;&gt;"",$T141-$E141,TODAY()-$E141)+1)</f>
        <v/>
      </c>
      <c r="X141" s="489" t="str">
        <f>IF(OR($AH141="",$AH141="保有中"),"",$AH141)</f>
        <v/>
      </c>
      <c r="Y141" s="488">
        <f>IF($B141="","",IF(COUNTIFS($B$4:$B141,$B141,$C$4:$C141,$C141)&gt;1,"⛔重複"&amp;COUNTIFS($B$4:$B141,$B141,$C$4:$C141,$C141)&amp;"回目",""))</f>
      </c>
      <c r="Z141" s="710"/>
      <c r="AB141">
        <f>IF($F141="","",MAX(100,ROUNDDOWN($AX$4/($F141*$AX$2)/100,0)*100))</f>
      </c>
      <c r="AC141">
        <f>IF(OR($F141="",$G141="",$U141=""),"",ROUND($V141-($F141+$U141)*$G141*$AX$6-IF($C141="売",$F141*$G141*$AX$7*$W141/365,0),0))</f>
      </c>
      <c r="AD141" s="608"/>
      <c r="AE141" s="600" t="str">
        <f>IF($E141="","",WORKDAY($E141,12))</f>
        <v/>
      </c>
      <c r="AF141" s="600"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0"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0" t="str">
        <f>IF(OR($B141="",$M141=""),"",IF(AND(N($AF141)=0,N($AG141)=0),IF(AND(ISNUMBER($H141),$H141&gt;0,IF($C141="売",$H141&gt;=$N141,$H141&lt;=$N141)),"損切確定",IF(AND(ISNUMBER($H141),$H141&gt;0,IF($C141="売",$H141&lt;=$M141,$H141&gt;=$M141)),"利益確定",IF($AE141&lt;=TODAY(),"日数制限","保有中"))),IF(N($AG141)=0,"利益確定",IF(N($AF141)=0,"損切確定",IF($AG141&lt;=$AF141,"損切確定","利益確定")))))</f>
        <v/>
      </c>
      <c r="AI141" s="600" t="str" cm="1">
        <f t="array" ref="AI141">IFERROR(INDEX(始値!$E$6:$BT$305,MATCH(TEXT($B141,"0"),TEXT(銘柄管理!$B$6:$B$305,"0"),0),MATCH($AE141,始値!$E$3:$BT$3,0)),"")</f>
        <v/>
      </c>
      <c r="AJ141" s="608" t="str">
        <f>IF(OR($V141="",$F141="",$G141=""),"",$V141/($F141*$G141))</f>
        <v/>
      </c>
      <c r="AK141" s="600" t="str">
        <f>IF($V141="","",IF($V141&gt;0,"○勝",IF($V141&lt;0,"●負","△引分")))</f>
        <v/>
      </c>
    </row>
    <row r="142" spans="1:37" ht="35.4" customHeight="1">
      <c r="A142" s="619" t="str">
        <f>IF(B142="","",HYPERLINK("https://kabutan.jp/stock/?code="&amp;B142,"株探"))</f>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IF(OR(F142="",G142="",H142=""),"",IF(C142="売",(F142-H142)*G142,(H142-F142)*G142))</f>
        <v/>
      </c>
      <c r="L142" s="706" t="str">
        <f>IF(OR(F142="",H142=""),"",IF(C142="売",(F142-H142)/F142,(H142-F142)/F142))</f>
        <v/>
      </c>
      <c r="M142" s="491" t="str">
        <f>IF($F142="","",IF($C142="売",CEILING($F142*IF($C142="売",1-$AX$3,1+$AX$3),IF($F142*IF($C142="売",1-$AX$3,1+$AX$3)&lt;=3000,1,IF($F142*IF($C142="売",1-$AX$3,1+$AX$3)&lt;=5000,5,IF($F142*IF($C142="売",1-$AX$3,1+$AX$3)&lt;=30000,10,IF($F142*IF($C142="売",1-$AX$3,1+$AX$3)&lt;=50000,50,IF($F142*IF($C142="売",1-$AX$3,1+$AX$3)&lt;=300000,100,500)))))),FLOOR($F142*IF($C142="売",1-$AX$3,1+$AX$3),IF($F142*IF($C142="売",1-$AX$3,1+$AX$3)&lt;=3000,1,IF($F142*IF($C142="売",1-$AX$3,1+$AX$3)&lt;=5000,5,IF($F142*IF($C142="売",1-$AX$3,1+$AX$3)&lt;=30000,10,IF($F142*IF($C142="売",1-$AX$3,1+$AX$3)&lt;=50000,50,IF($F142*IF($C142="売",1-$AX$3,1+$AX$3)&lt;=300000,100,500))))))))</f>
      </c>
      <c r="N142" s="491" t="str">
        <f>IF($F142="","",IF($C142="売",CEILING($F142*IF($C142="売",1+$AX$2,1-$AX$2),IF($F142*IF($C142="売",1+$AX$2,1-$AX$2)&lt;=3000,1,IF($F142*IF($C142="売",1+$AX$2,1-$AX$2)&lt;=5000,5,IF($F142*IF($C142="売",1+$AX$2,1-$AX$2)&lt;=30000,10,IF($F142*IF($C142="売",1+$AX$2,1-$AX$2)&lt;=50000,50,IF($F142*IF($C142="売",1+$AX$2,1-$AX$2)&lt;=300000,100,500)))))),FLOOR($F142*IF($C142="売",1+$AX$2,1-$AX$2),IF($F142*IF($C142="売",1+$AX$2,1-$AX$2)&lt;=3000,1,IF($F142*IF($C142="売",1+$AX$2,1-$AX$2)&lt;=5000,5,IF($F142*IF($C142="売",1+$AX$2,1-$AX$2)&lt;=30000,10,IF($F142*IF($C142="売",1+$AX$2,1-$AX$2)&lt;=50000,50,IF($F142*IF($C142="売",1+$AX$2,1-$AX$2)&lt;=300000,100,500))))))))</f>
      </c>
      <c r="O142" s="492" t="str">
        <f>IF(OR($B142="",$F142="",$H142=""),"",IF($S142="✅売却済","―決済済―",IF($C142="売",IF($H142&lt;=$M142,"🟢利確",IF(AND($R142&lt;&gt;"",$H142&gt;=$R142),"🟠TRAIL決済",IF($H142&gt;=$N142,"🔴損切",IF($W142&gt;=$AX$5,"⏱時間決済",IF($H142&gt;=$F142*(1+$AX$2*0.7),"⚠️損切接近","保持継続"))))),IF($H142&gt;=$M142,"🟢利確",IF(AND($R142&lt;&gt;"",$H142&lt;=$R142),"🟠TRAIL決済",IF($H142&lt;=$N142,"🔴損切",IF($W142&gt;=$AX$5,"⏱時間決済",IF($H142&lt;=$F142*(1-$AX$2*0.7),"⚠️損切接近","保持継続")))))))</f>
      </c>
      <c r="P142" s="491"/>
      <c r="Q142" s="491"/>
      <c r="R142" s="491" t="str">
        <f>IF(OR($F142="",$H142="",$N142=""),"",IF($S142="✅売却済","",IF($C142="売",IF($H142&gt;$F142*(1-$AX$2),$N142,CEILING(MIN($N142,IF($Q142="",$N142,$Q142*1.03)),IF($N142&lt;=3000,1,IF($N142&lt;=5000,5,IF($N142&lt;=30000,10,IF($N142&lt;=50000,50,IF($N142&lt;=300000,100,500))))))),IF($H142&lt;$F142*(1+$AX$2),$N142,FLOOR(MAX($N142,IF($P142="",$N142,$P142*0.97)),IF($N142&lt;=3000,1,IF($N142&lt;=5000,5,IF($N142&lt;=30000,10,IF($N142&lt;=50000,50,IF($N142&lt;=300000,100,500))))))))))</f>
      </c>
      <c r="S142" s="586" t="str">
        <f>IF(B142="","",IF(T142&lt;&gt;"","✅売却済",IF(OR(H142="",L142=""),"📌保有中",IF(L142&gt;=0.06,"🟢利確推奨",IF(L142&gt;=0.05,"🟡利確直近",IF(L142&gt;=0.045,"🔵トレーリング検討",IF(L142&gt;-0.03,"📌保有中",IF(L142&gt;-0.04,"⚠️損切注意","🔴損切り"))))))))</f>
        <v/>
      </c>
      <c r="T142" s="594"/>
      <c r="U142" s="491"/>
      <c r="V142" s="701" t="str">
        <f>IF(OR(F142="",G142="",U142=""),"",IF(C142="売",(F142-U142)*G142,(U142-F142)*G142))</f>
        <v/>
      </c>
      <c r="W142" s="493" t="str">
        <f>IF(OR($E142="",$B142=""),"",IF($T142&lt;&gt;"",$T142-$E142,TODAY()-$E142)+1)</f>
        <v/>
      </c>
      <c r="X142" s="489" t="str">
        <f>IF(OR($AH142="",$AH142="保有中"),"",$AH142)</f>
        <v/>
      </c>
      <c r="Y142" s="488">
        <f>IF($B142="","",IF(COUNTIFS($B$4:$B142,$B142,$C$4:$C142,$C142)&gt;1,"⛔重複"&amp;COUNTIFS($B$4:$B142,$B142,$C$4:$C142,$C142)&amp;"回目",""))</f>
      </c>
      <c r="Z142" s="710"/>
      <c r="AB142">
        <f>IF($F142="","",MAX(100,ROUNDDOWN($AX$4/($F142*$AX$2)/100,0)*100))</f>
      </c>
      <c r="AC142">
        <f>IF(OR($F142="",$G142="",$U142=""),"",ROUND($V142-($F142+$U142)*$G142*$AX$6-IF($C142="売",$F142*$G142*$AX$7*$W142/365,0),0))</f>
      </c>
      <c r="AD142" s="608"/>
      <c r="AE142" s="600" t="str">
        <f>IF($E142="","",WORKDAY($E142,12))</f>
        <v/>
      </c>
      <c r="AF142" s="600"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0"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0" t="str">
        <f>IF(OR($B142="",$M142=""),"",IF(AND(N($AF142)=0,N($AG142)=0),IF(AND(ISNUMBER($H142),$H142&gt;0,IF($C142="売",$H142&gt;=$N142,$H142&lt;=$N142)),"損切確定",IF(AND(ISNUMBER($H142),$H142&gt;0,IF($C142="売",$H142&lt;=$M142,$H142&gt;=$M142)),"利益確定",IF($AE142&lt;=TODAY(),"日数制限","保有中"))),IF(N($AG142)=0,"利益確定",IF(N($AF142)=0,"損切確定",IF($AG142&lt;=$AF142,"損切確定","利益確定")))))</f>
        <v/>
      </c>
      <c r="AI142" s="600" t="str" cm="1">
        <f t="array" ref="AI142">IFERROR(INDEX(始値!$E$6:$BT$305,MATCH(TEXT($B142,"0"),TEXT(銘柄管理!$B$6:$B$305,"0"),0),MATCH($AE142,始値!$E$3:$BT$3,0)),"")</f>
        <v/>
      </c>
      <c r="AJ142" s="608" t="str">
        <f>IF(OR($V142="",$F142="",$G142=""),"",$V142/($F142*$G142))</f>
        <v/>
      </c>
      <c r="AK142" s="600" t="str">
        <f>IF($V142="","",IF($V142&gt;0,"○勝",IF($V142&lt;0,"●負","△引分")))</f>
        <v/>
      </c>
    </row>
    <row r="143" spans="1:37" ht="35.4" customHeight="1">
      <c r="A143" s="619" t="str">
        <f>IF(B143="","",HYPERLINK("https://kabutan.jp/stock/?code="&amp;B143,"株探"))</f>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IF(OR(F143="",G143="",H143=""),"",IF(C143="売",(F143-H143)*G143,(H143-F143)*G143))</f>
        <v/>
      </c>
      <c r="L143" s="706" t="str">
        <f>IF(OR(F143="",H143=""),"",IF(C143="売",(F143-H143)/F143,(H143-F143)/F143))</f>
        <v/>
      </c>
      <c r="M143" s="491" t="str">
        <f>IF($F143="","",IF($C143="売",CEILING($F143*IF($C143="売",1-$AX$3,1+$AX$3),IF($F143*IF($C143="売",1-$AX$3,1+$AX$3)&lt;=3000,1,IF($F143*IF($C143="売",1-$AX$3,1+$AX$3)&lt;=5000,5,IF($F143*IF($C143="売",1-$AX$3,1+$AX$3)&lt;=30000,10,IF($F143*IF($C143="売",1-$AX$3,1+$AX$3)&lt;=50000,50,IF($F143*IF($C143="売",1-$AX$3,1+$AX$3)&lt;=300000,100,500)))))),FLOOR($F143*IF($C143="売",1-$AX$3,1+$AX$3),IF($F143*IF($C143="売",1-$AX$3,1+$AX$3)&lt;=3000,1,IF($F143*IF($C143="売",1-$AX$3,1+$AX$3)&lt;=5000,5,IF($F143*IF($C143="売",1-$AX$3,1+$AX$3)&lt;=30000,10,IF($F143*IF($C143="売",1-$AX$3,1+$AX$3)&lt;=50000,50,IF($F143*IF($C143="売",1-$AX$3,1+$AX$3)&lt;=300000,100,500))))))))</f>
      </c>
      <c r="N143" s="491" t="str">
        <f>IF($F143="","",IF($C143="売",CEILING($F143*IF($C143="売",1+$AX$2,1-$AX$2),IF($F143*IF($C143="売",1+$AX$2,1-$AX$2)&lt;=3000,1,IF($F143*IF($C143="売",1+$AX$2,1-$AX$2)&lt;=5000,5,IF($F143*IF($C143="売",1+$AX$2,1-$AX$2)&lt;=30000,10,IF($F143*IF($C143="売",1+$AX$2,1-$AX$2)&lt;=50000,50,IF($F143*IF($C143="売",1+$AX$2,1-$AX$2)&lt;=300000,100,500)))))),FLOOR($F143*IF($C143="売",1+$AX$2,1-$AX$2),IF($F143*IF($C143="売",1+$AX$2,1-$AX$2)&lt;=3000,1,IF($F143*IF($C143="売",1+$AX$2,1-$AX$2)&lt;=5000,5,IF($F143*IF($C143="売",1+$AX$2,1-$AX$2)&lt;=30000,10,IF($F143*IF($C143="売",1+$AX$2,1-$AX$2)&lt;=50000,50,IF($F143*IF($C143="売",1+$AX$2,1-$AX$2)&lt;=300000,100,500))))))))</f>
      </c>
      <c r="O143" s="492" t="str">
        <f>IF(OR($B143="",$F143="",$H143=""),"",IF($S143="✅売却済","―決済済―",IF($C143="売",IF($H143&lt;=$M143,"🟢利確",IF(AND($R143&lt;&gt;"",$H143&gt;=$R143),"🟠TRAIL決済",IF($H143&gt;=$N143,"🔴損切",IF($W143&gt;=$AX$5,"⏱時間決済",IF($H143&gt;=$F143*(1+$AX$2*0.7),"⚠️損切接近","保持継続"))))),IF($H143&gt;=$M143,"🟢利確",IF(AND($R143&lt;&gt;"",$H143&lt;=$R143),"🟠TRAIL決済",IF($H143&lt;=$N143,"🔴損切",IF($W143&gt;=$AX$5,"⏱時間決済",IF($H143&lt;=$F143*(1-$AX$2*0.7),"⚠️損切接近","保持継続")))))))</f>
      </c>
      <c r="P143" s="491"/>
      <c r="Q143" s="491"/>
      <c r="R143" s="491" t="str">
        <f>IF(OR($F143="",$H143="",$N143=""),"",IF($S143="✅売却済","",IF($C143="売",IF($H143&gt;$F143*(1-$AX$2),$N143,CEILING(MIN($N143,IF($Q143="",$N143,$Q143*1.03)),IF($N143&lt;=3000,1,IF($N143&lt;=5000,5,IF($N143&lt;=30000,10,IF($N143&lt;=50000,50,IF($N143&lt;=300000,100,500))))))),IF($H143&lt;$F143*(1+$AX$2),$N143,FLOOR(MAX($N143,IF($P143="",$N143,$P143*0.97)),IF($N143&lt;=3000,1,IF($N143&lt;=5000,5,IF($N143&lt;=30000,10,IF($N143&lt;=50000,50,IF($N143&lt;=300000,100,500))))))))))</f>
      </c>
      <c r="S143" s="586" t="str">
        <f>IF(B143="","",IF(T143&lt;&gt;"","✅売却済",IF(OR(H143="",L143=""),"📌保有中",IF(L143&gt;=0.06,"🟢利確推奨",IF(L143&gt;=0.05,"🟡利確直近",IF(L143&gt;=0.045,"🔵トレーリング検討",IF(L143&gt;-0.03,"📌保有中",IF(L143&gt;-0.04,"⚠️損切注意","🔴損切り"))))))))</f>
        <v/>
      </c>
      <c r="T143" s="594"/>
      <c r="U143" s="491"/>
      <c r="V143" s="701" t="str">
        <f>IF(OR(F143="",G143="",U143=""),"",IF(C143="売",(F143-U143)*G143,(U143-F143)*G143))</f>
        <v/>
      </c>
      <c r="W143" s="493" t="str">
        <f>IF(OR($E143="",$B143=""),"",IF($T143&lt;&gt;"",$T143-$E143,TODAY()-$E143)+1)</f>
        <v/>
      </c>
      <c r="X143" s="489" t="str">
        <f>IF(OR($AH143="",$AH143="保有中"),"",$AH143)</f>
        <v/>
      </c>
      <c r="Y143" s="488">
        <f>IF($B143="","",IF(COUNTIFS($B$4:$B143,$B143,$C$4:$C143,$C143)&gt;1,"⛔重複"&amp;COUNTIFS($B$4:$B143,$B143,$C$4:$C143,$C143)&amp;"回目",""))</f>
      </c>
      <c r="Z143" s="710"/>
      <c r="AB143">
        <f>IF($F143="","",MAX(100,ROUNDDOWN($AX$4/($F143*$AX$2)/100,0)*100))</f>
      </c>
      <c r="AC143">
        <f>IF(OR($F143="",$G143="",$U143=""),"",ROUND($V143-($F143+$U143)*$G143*$AX$6-IF($C143="売",$F143*$G143*$AX$7*$W143/365,0),0))</f>
      </c>
      <c r="AD143" s="608"/>
      <c r="AE143" s="600" t="str">
        <f>IF($E143="","",WORKDAY($E143,12))</f>
        <v/>
      </c>
      <c r="AF143" s="600"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0"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0" t="str">
        <f>IF(OR($B143="",$M143=""),"",IF(AND(N($AF143)=0,N($AG143)=0),IF(AND(ISNUMBER($H143),$H143&gt;0,IF($C143="売",$H143&gt;=$N143,$H143&lt;=$N143)),"損切確定",IF(AND(ISNUMBER($H143),$H143&gt;0,IF($C143="売",$H143&lt;=$M143,$H143&gt;=$M143)),"利益確定",IF($AE143&lt;=TODAY(),"日数制限","保有中"))),IF(N($AG143)=0,"利益確定",IF(N($AF143)=0,"損切確定",IF($AG143&lt;=$AF143,"損切確定","利益確定")))))</f>
        <v/>
      </c>
      <c r="AI143" s="600" t="str" cm="1">
        <f t="array" ref="AI143">IFERROR(INDEX(始値!$E$6:$BT$305,MATCH(TEXT($B143,"0"),TEXT(銘柄管理!$B$6:$B$305,"0"),0),MATCH($AE143,始値!$E$3:$BT$3,0)),"")</f>
        <v/>
      </c>
      <c r="AJ143" s="608" t="str">
        <f>IF(OR($V143="",$F143="",$G143=""),"",$V143/($F143*$G143))</f>
        <v/>
      </c>
      <c r="AK143" s="600" t="str">
        <f>IF($V143="","",IF($V143&gt;0,"○勝",IF($V143&lt;0,"●負","△引分")))</f>
        <v/>
      </c>
    </row>
    <row r="144" spans="1:37" ht="35.4" customHeight="1">
      <c r="A144" s="619" t="str">
        <f>IF(B144="","",HYPERLINK("https://kabutan.jp/stock/?code="&amp;B144,"株探"))</f>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IF(OR(F144="",G144="",H144=""),"",IF(C144="売",(F144-H144)*G144,(H144-F144)*G144))</f>
        <v/>
      </c>
      <c r="L144" s="706" t="str">
        <f>IF(OR(F144="",H144=""),"",IF(C144="売",(F144-H144)/F144,(H144-F144)/F144))</f>
        <v/>
      </c>
      <c r="M144" s="491" t="str">
        <f>IF($F144="","",IF($C144="売",CEILING($F144*IF($C144="売",1-$AX$3,1+$AX$3),IF($F144*IF($C144="売",1-$AX$3,1+$AX$3)&lt;=3000,1,IF($F144*IF($C144="売",1-$AX$3,1+$AX$3)&lt;=5000,5,IF($F144*IF($C144="売",1-$AX$3,1+$AX$3)&lt;=30000,10,IF($F144*IF($C144="売",1-$AX$3,1+$AX$3)&lt;=50000,50,IF($F144*IF($C144="売",1-$AX$3,1+$AX$3)&lt;=300000,100,500)))))),FLOOR($F144*IF($C144="売",1-$AX$3,1+$AX$3),IF($F144*IF($C144="売",1-$AX$3,1+$AX$3)&lt;=3000,1,IF($F144*IF($C144="売",1-$AX$3,1+$AX$3)&lt;=5000,5,IF($F144*IF($C144="売",1-$AX$3,1+$AX$3)&lt;=30000,10,IF($F144*IF($C144="売",1-$AX$3,1+$AX$3)&lt;=50000,50,IF($F144*IF($C144="売",1-$AX$3,1+$AX$3)&lt;=300000,100,500))))))))</f>
      </c>
      <c r="N144" s="491" t="str">
        <f>IF($F144="","",IF($C144="売",CEILING($F144*IF($C144="売",1+$AX$2,1-$AX$2),IF($F144*IF($C144="売",1+$AX$2,1-$AX$2)&lt;=3000,1,IF($F144*IF($C144="売",1+$AX$2,1-$AX$2)&lt;=5000,5,IF($F144*IF($C144="売",1+$AX$2,1-$AX$2)&lt;=30000,10,IF($F144*IF($C144="売",1+$AX$2,1-$AX$2)&lt;=50000,50,IF($F144*IF($C144="売",1+$AX$2,1-$AX$2)&lt;=300000,100,500)))))),FLOOR($F144*IF($C144="売",1+$AX$2,1-$AX$2),IF($F144*IF($C144="売",1+$AX$2,1-$AX$2)&lt;=3000,1,IF($F144*IF($C144="売",1+$AX$2,1-$AX$2)&lt;=5000,5,IF($F144*IF($C144="売",1+$AX$2,1-$AX$2)&lt;=30000,10,IF($F144*IF($C144="売",1+$AX$2,1-$AX$2)&lt;=50000,50,IF($F144*IF($C144="売",1+$AX$2,1-$AX$2)&lt;=300000,100,500))))))))</f>
      </c>
      <c r="O144" s="492" t="str">
        <f>IF(OR($B144="",$F144="",$H144=""),"",IF($S144="✅売却済","―決済済―",IF($C144="売",IF($H144&lt;=$M144,"🟢利確",IF(AND($R144&lt;&gt;"",$H144&gt;=$R144),"🟠TRAIL決済",IF($H144&gt;=$N144,"🔴損切",IF($W144&gt;=$AX$5,"⏱時間決済",IF($H144&gt;=$F144*(1+$AX$2*0.7),"⚠️損切接近","保持継続"))))),IF($H144&gt;=$M144,"🟢利確",IF(AND($R144&lt;&gt;"",$H144&lt;=$R144),"🟠TRAIL決済",IF($H144&lt;=$N144,"🔴損切",IF($W144&gt;=$AX$5,"⏱時間決済",IF($H144&lt;=$F144*(1-$AX$2*0.7),"⚠️損切接近","保持継続")))))))</f>
      </c>
      <c r="P144" s="491"/>
      <c r="Q144" s="491"/>
      <c r="R144" s="491" t="str">
        <f>IF(OR($F144="",$H144="",$N144=""),"",IF($S144="✅売却済","",IF($C144="売",IF($H144&gt;$F144*(1-$AX$2),$N144,CEILING(MIN($N144,IF($Q144="",$N144,$Q144*1.03)),IF($N144&lt;=3000,1,IF($N144&lt;=5000,5,IF($N144&lt;=30000,10,IF($N144&lt;=50000,50,IF($N144&lt;=300000,100,500))))))),IF($H144&lt;$F144*(1+$AX$2),$N144,FLOOR(MAX($N144,IF($P144="",$N144,$P144*0.97)),IF($N144&lt;=3000,1,IF($N144&lt;=5000,5,IF($N144&lt;=30000,10,IF($N144&lt;=50000,50,IF($N144&lt;=300000,100,500))))))))))</f>
      </c>
      <c r="S144" s="586" t="str">
        <f>IF(B144="","",IF(T144&lt;&gt;"","✅売却済",IF(OR(H144="",L144=""),"📌保有中",IF(L144&gt;=0.06,"🟢利確推奨",IF(L144&gt;=0.05,"🟡利確直近",IF(L144&gt;=0.045,"🔵トレーリング検討",IF(L144&gt;-0.03,"📌保有中",IF(L144&gt;-0.04,"⚠️損切注意","🔴損切り"))))))))</f>
        <v/>
      </c>
      <c r="T144" s="594"/>
      <c r="U144" s="491"/>
      <c r="V144" s="701" t="str">
        <f>IF(OR(F144="",G144="",U144=""),"",IF(C144="売",(F144-U144)*G144,(U144-F144)*G144))</f>
        <v/>
      </c>
      <c r="W144" s="493" t="str">
        <f>IF(OR($E144="",$B144=""),"",IF($T144&lt;&gt;"",$T144-$E144,TODAY()-$E144)+1)</f>
        <v/>
      </c>
      <c r="X144" s="489" t="str">
        <f>IF(OR($AH144="",$AH144="保有中"),"",$AH144)</f>
        <v/>
      </c>
      <c r="Y144" s="488">
        <f>IF($B144="","",IF(COUNTIFS($B$4:$B144,$B144,$C$4:$C144,$C144)&gt;1,"⛔重複"&amp;COUNTIFS($B$4:$B144,$B144,$C$4:$C144,$C144)&amp;"回目",""))</f>
      </c>
      <c r="Z144" s="710"/>
      <c r="AB144">
        <f>IF($F144="","",MAX(100,ROUNDDOWN($AX$4/($F144*$AX$2)/100,0)*100))</f>
      </c>
      <c r="AC144">
        <f>IF(OR($F144="",$G144="",$U144=""),"",ROUND($V144-($F144+$U144)*$G144*$AX$6-IF($C144="売",$F144*$G144*$AX$7*$W144/365,0),0))</f>
      </c>
      <c r="AD144" s="608"/>
      <c r="AE144" s="600" t="str">
        <f>IF($E144="","",WORKDAY($E144,12))</f>
        <v/>
      </c>
      <c r="AF144" s="600"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0"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0" t="str">
        <f>IF(OR($B144="",$M144=""),"",IF(AND(N($AF144)=0,N($AG144)=0),IF(AND(ISNUMBER($H144),$H144&gt;0,IF($C144="売",$H144&gt;=$N144,$H144&lt;=$N144)),"損切確定",IF(AND(ISNUMBER($H144),$H144&gt;0,IF($C144="売",$H144&lt;=$M144,$H144&gt;=$M144)),"利益確定",IF($AE144&lt;=TODAY(),"日数制限","保有中"))),IF(N($AG144)=0,"利益確定",IF(N($AF144)=0,"損切確定",IF($AG144&lt;=$AF144,"損切確定","利益確定")))))</f>
        <v/>
      </c>
      <c r="AI144" s="600" t="str" cm="1">
        <f t="array" ref="AI144">IFERROR(INDEX(始値!$E$6:$BT$305,MATCH(TEXT($B144,"0"),TEXT(銘柄管理!$B$6:$B$305,"0"),0),MATCH($AE144,始値!$E$3:$BT$3,0)),"")</f>
        <v/>
      </c>
      <c r="AJ144" s="608" t="str">
        <f>IF(OR($V144="",$F144="",$G144=""),"",$V144/($F144*$G144))</f>
        <v/>
      </c>
      <c r="AK144" s="600" t="str">
        <f>IF($V144="","",IF($V144&gt;0,"○勝",IF($V144&lt;0,"●負","△引分")))</f>
        <v/>
      </c>
    </row>
    <row r="145" spans="1:37" ht="35.4" customHeight="1">
      <c r="A145" s="619" t="str">
        <f>IF(B145="","",HYPERLINK("https://kabutan.jp/stock/?code="&amp;B145,"株探"))</f>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IF(OR(F145="",G145="",H145=""),"",IF(C145="売",(F145-H145)*G145,(H145-F145)*G145))</f>
        <v/>
      </c>
      <c r="L145" s="706" t="str">
        <f>IF(OR(F145="",H145=""),"",IF(C145="売",(F145-H145)/F145,(H145-F145)/F145))</f>
        <v/>
      </c>
      <c r="M145" s="491" t="str">
        <f>IF($F145="","",IF($C145="売",CEILING($F145*IF($C145="売",1-$AX$3,1+$AX$3),IF($F145*IF($C145="売",1-$AX$3,1+$AX$3)&lt;=3000,1,IF($F145*IF($C145="売",1-$AX$3,1+$AX$3)&lt;=5000,5,IF($F145*IF($C145="売",1-$AX$3,1+$AX$3)&lt;=30000,10,IF($F145*IF($C145="売",1-$AX$3,1+$AX$3)&lt;=50000,50,IF($F145*IF($C145="売",1-$AX$3,1+$AX$3)&lt;=300000,100,500)))))),FLOOR($F145*IF($C145="売",1-$AX$3,1+$AX$3),IF($F145*IF($C145="売",1-$AX$3,1+$AX$3)&lt;=3000,1,IF($F145*IF($C145="売",1-$AX$3,1+$AX$3)&lt;=5000,5,IF($F145*IF($C145="売",1-$AX$3,1+$AX$3)&lt;=30000,10,IF($F145*IF($C145="売",1-$AX$3,1+$AX$3)&lt;=50000,50,IF($F145*IF($C145="売",1-$AX$3,1+$AX$3)&lt;=300000,100,500))))))))</f>
      </c>
      <c r="N145" s="491" t="str">
        <f>IF($F145="","",IF($C145="売",CEILING($F145*IF($C145="売",1+$AX$2,1-$AX$2),IF($F145*IF($C145="売",1+$AX$2,1-$AX$2)&lt;=3000,1,IF($F145*IF($C145="売",1+$AX$2,1-$AX$2)&lt;=5000,5,IF($F145*IF($C145="売",1+$AX$2,1-$AX$2)&lt;=30000,10,IF($F145*IF($C145="売",1+$AX$2,1-$AX$2)&lt;=50000,50,IF($F145*IF($C145="売",1+$AX$2,1-$AX$2)&lt;=300000,100,500)))))),FLOOR($F145*IF($C145="売",1+$AX$2,1-$AX$2),IF($F145*IF($C145="売",1+$AX$2,1-$AX$2)&lt;=3000,1,IF($F145*IF($C145="売",1+$AX$2,1-$AX$2)&lt;=5000,5,IF($F145*IF($C145="売",1+$AX$2,1-$AX$2)&lt;=30000,10,IF($F145*IF($C145="売",1+$AX$2,1-$AX$2)&lt;=50000,50,IF($F145*IF($C145="売",1+$AX$2,1-$AX$2)&lt;=300000,100,500))))))))</f>
      </c>
      <c r="O145" s="492" t="str">
        <f>IF(OR($B145="",$F145="",$H145=""),"",IF($S145="✅売却済","―決済済―",IF($C145="売",IF($H145&lt;=$M145,"🟢利確",IF(AND($R145&lt;&gt;"",$H145&gt;=$R145),"🟠TRAIL決済",IF($H145&gt;=$N145,"🔴損切",IF($W145&gt;=$AX$5,"⏱時間決済",IF($H145&gt;=$F145*(1+$AX$2*0.7),"⚠️損切接近","保持継続"))))),IF($H145&gt;=$M145,"🟢利確",IF(AND($R145&lt;&gt;"",$H145&lt;=$R145),"🟠TRAIL決済",IF($H145&lt;=$N145,"🔴損切",IF($W145&gt;=$AX$5,"⏱時間決済",IF($H145&lt;=$F145*(1-$AX$2*0.7),"⚠️損切接近","保持継続")))))))</f>
      </c>
      <c r="P145" s="491"/>
      <c r="Q145" s="491"/>
      <c r="R145" s="491" t="str">
        <f>IF(OR($F145="",$H145="",$N145=""),"",IF($S145="✅売却済","",IF($C145="売",IF($H145&gt;$F145*(1-$AX$2),$N145,CEILING(MIN($N145,IF($Q145="",$N145,$Q145*1.03)),IF($N145&lt;=3000,1,IF($N145&lt;=5000,5,IF($N145&lt;=30000,10,IF($N145&lt;=50000,50,IF($N145&lt;=300000,100,500))))))),IF($H145&lt;$F145*(1+$AX$2),$N145,FLOOR(MAX($N145,IF($P145="",$N145,$P145*0.97)),IF($N145&lt;=3000,1,IF($N145&lt;=5000,5,IF($N145&lt;=30000,10,IF($N145&lt;=50000,50,IF($N145&lt;=300000,100,500))))))))))</f>
      </c>
      <c r="S145" s="586" t="str">
        <f>IF(B145="","",IF(T145&lt;&gt;"","✅売却済",IF(OR(H145="",L145=""),"📌保有中",IF(L145&gt;=0.06,"🟢利確推奨",IF(L145&gt;=0.05,"🟡利確直近",IF(L145&gt;=0.045,"🔵トレーリング検討",IF(L145&gt;-0.03,"📌保有中",IF(L145&gt;-0.04,"⚠️損切注意","🔴損切り"))))))))</f>
        <v/>
      </c>
      <c r="T145" s="594"/>
      <c r="U145" s="491"/>
      <c r="V145" s="701" t="str">
        <f>IF(OR(F145="",G145="",U145=""),"",IF(C145="売",(F145-U145)*G145,(U145-F145)*G145))</f>
        <v/>
      </c>
      <c r="W145" s="493" t="str">
        <f>IF(OR($E145="",$B145=""),"",IF($T145&lt;&gt;"",$T145-$E145,TODAY()-$E145)+1)</f>
        <v/>
      </c>
      <c r="X145" s="489" t="str">
        <f>IF(OR($AH145="",$AH145="保有中"),"",$AH145)</f>
        <v/>
      </c>
      <c r="Y145" s="488">
        <f>IF($B145="","",IF(COUNTIFS($B$4:$B145,$B145,$C$4:$C145,$C145)&gt;1,"⛔重複"&amp;COUNTIFS($B$4:$B145,$B145,$C$4:$C145,$C145)&amp;"回目",""))</f>
      </c>
      <c r="Z145" s="710"/>
      <c r="AB145">
        <f>IF($F145="","",MAX(100,ROUNDDOWN($AX$4/($F145*$AX$2)/100,0)*100))</f>
      </c>
      <c r="AC145">
        <f>IF(OR($F145="",$G145="",$U145=""),"",ROUND($V145-($F145+$U145)*$G145*$AX$6-IF($C145="売",$F145*$G145*$AX$7*$W145/365,0),0))</f>
      </c>
      <c r="AD145" s="608"/>
      <c r="AE145" s="600" t="str">
        <f>IF($E145="","",WORKDAY($E145,12))</f>
        <v/>
      </c>
      <c r="AF145" s="600"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0"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0" t="str">
        <f>IF(OR($B145="",$M145=""),"",IF(AND(N($AF145)=0,N($AG145)=0),IF(AND(ISNUMBER($H145),$H145&gt;0,IF($C145="売",$H145&gt;=$N145,$H145&lt;=$N145)),"損切確定",IF(AND(ISNUMBER($H145),$H145&gt;0,IF($C145="売",$H145&lt;=$M145,$H145&gt;=$M145)),"利益確定",IF($AE145&lt;=TODAY(),"日数制限","保有中"))),IF(N($AG145)=0,"利益確定",IF(N($AF145)=0,"損切確定",IF($AG145&lt;=$AF145,"損切確定","利益確定")))))</f>
        <v/>
      </c>
      <c r="AI145" s="600" t="str" cm="1">
        <f t="array" ref="AI145">IFERROR(INDEX(始値!$E$6:$BT$305,MATCH(TEXT($B145,"0"),TEXT(銘柄管理!$B$6:$B$305,"0"),0),MATCH($AE145,始値!$E$3:$BT$3,0)),"")</f>
        <v/>
      </c>
      <c r="AJ145" s="608" t="str">
        <f>IF(OR($V145="",$F145="",$G145=""),"",$V145/($F145*$G145))</f>
        <v/>
      </c>
      <c r="AK145" s="600" t="str">
        <f>IF($V145="","",IF($V145&gt;0,"○勝",IF($V145&lt;0,"●負","△引分")))</f>
        <v/>
      </c>
    </row>
    <row r="146" spans="1:37" ht="35.4" customHeight="1">
      <c r="A146" s="619" t="str">
        <f>IF(B146="","",HYPERLINK("https://kabutan.jp/stock/?code="&amp;B146,"株探"))</f>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IF(OR(F146="",G146="",H146=""),"",IF(C146="売",(F146-H146)*G146,(H146-F146)*G146))</f>
        <v/>
      </c>
      <c r="L146" s="706" t="str">
        <f>IF(OR(F146="",H146=""),"",IF(C146="売",(F146-H146)/F146,(H146-F146)/F146))</f>
        <v/>
      </c>
      <c r="M146" s="491" t="str">
        <f>IF($F146="","",IF($C146="売",CEILING($F146*IF($C146="売",1-$AX$3,1+$AX$3),IF($F146*IF($C146="売",1-$AX$3,1+$AX$3)&lt;=3000,1,IF($F146*IF($C146="売",1-$AX$3,1+$AX$3)&lt;=5000,5,IF($F146*IF($C146="売",1-$AX$3,1+$AX$3)&lt;=30000,10,IF($F146*IF($C146="売",1-$AX$3,1+$AX$3)&lt;=50000,50,IF($F146*IF($C146="売",1-$AX$3,1+$AX$3)&lt;=300000,100,500)))))),FLOOR($F146*IF($C146="売",1-$AX$3,1+$AX$3),IF($F146*IF($C146="売",1-$AX$3,1+$AX$3)&lt;=3000,1,IF($F146*IF($C146="売",1-$AX$3,1+$AX$3)&lt;=5000,5,IF($F146*IF($C146="売",1-$AX$3,1+$AX$3)&lt;=30000,10,IF($F146*IF($C146="売",1-$AX$3,1+$AX$3)&lt;=50000,50,IF($F146*IF($C146="売",1-$AX$3,1+$AX$3)&lt;=300000,100,500))))))))</f>
      </c>
      <c r="N146" s="491" t="str">
        <f>IF($F146="","",IF($C146="売",CEILING($F146*IF($C146="売",1+$AX$2,1-$AX$2),IF($F146*IF($C146="売",1+$AX$2,1-$AX$2)&lt;=3000,1,IF($F146*IF($C146="売",1+$AX$2,1-$AX$2)&lt;=5000,5,IF($F146*IF($C146="売",1+$AX$2,1-$AX$2)&lt;=30000,10,IF($F146*IF($C146="売",1+$AX$2,1-$AX$2)&lt;=50000,50,IF($F146*IF($C146="売",1+$AX$2,1-$AX$2)&lt;=300000,100,500)))))),FLOOR($F146*IF($C146="売",1+$AX$2,1-$AX$2),IF($F146*IF($C146="売",1+$AX$2,1-$AX$2)&lt;=3000,1,IF($F146*IF($C146="売",1+$AX$2,1-$AX$2)&lt;=5000,5,IF($F146*IF($C146="売",1+$AX$2,1-$AX$2)&lt;=30000,10,IF($F146*IF($C146="売",1+$AX$2,1-$AX$2)&lt;=50000,50,IF($F146*IF($C146="売",1+$AX$2,1-$AX$2)&lt;=300000,100,500))))))))</f>
      </c>
      <c r="O146" s="492" t="str">
        <f>IF(OR($B146="",$F146="",$H146=""),"",IF($S146="✅売却済","―決済済―",IF($C146="売",IF($H146&lt;=$M146,"🟢利確",IF(AND($R146&lt;&gt;"",$H146&gt;=$R146),"🟠TRAIL決済",IF($H146&gt;=$N146,"🔴損切",IF($W146&gt;=$AX$5,"⏱時間決済",IF($H146&gt;=$F146*(1+$AX$2*0.7),"⚠️損切接近","保持継続"))))),IF($H146&gt;=$M146,"🟢利確",IF(AND($R146&lt;&gt;"",$H146&lt;=$R146),"🟠TRAIL決済",IF($H146&lt;=$N146,"🔴損切",IF($W146&gt;=$AX$5,"⏱時間決済",IF($H146&lt;=$F146*(1-$AX$2*0.7),"⚠️損切接近","保持継続")))))))</f>
      </c>
      <c r="P146" s="491"/>
      <c r="Q146" s="491"/>
      <c r="R146" s="491" t="str">
        <f>IF(OR($F146="",$H146="",$N146=""),"",IF($S146="✅売却済","",IF($C146="売",IF($H146&gt;$F146*(1-$AX$2),$N146,CEILING(MIN($N146,IF($Q146="",$N146,$Q146*1.03)),IF($N146&lt;=3000,1,IF($N146&lt;=5000,5,IF($N146&lt;=30000,10,IF($N146&lt;=50000,50,IF($N146&lt;=300000,100,500))))))),IF($H146&lt;$F146*(1+$AX$2),$N146,FLOOR(MAX($N146,IF($P146="",$N146,$P146*0.97)),IF($N146&lt;=3000,1,IF($N146&lt;=5000,5,IF($N146&lt;=30000,10,IF($N146&lt;=50000,50,IF($N146&lt;=300000,100,500))))))))))</f>
      </c>
      <c r="S146" s="586" t="str">
        <f>IF(B146="","",IF(T146&lt;&gt;"","✅売却済",IF(OR(H146="",L146=""),"📌保有中",IF(L146&gt;=0.06,"🟢利確推奨",IF(L146&gt;=0.05,"🟡利確直近",IF(L146&gt;=0.045,"🔵トレーリング検討",IF(L146&gt;-0.03,"📌保有中",IF(L146&gt;-0.04,"⚠️損切注意","🔴損切り"))))))))</f>
        <v/>
      </c>
      <c r="T146" s="594"/>
      <c r="U146" s="491"/>
      <c r="V146" s="701" t="str">
        <f>IF(OR(F146="",G146="",U146=""),"",IF(C146="売",(F146-U146)*G146,(U146-F146)*G146))</f>
        <v/>
      </c>
      <c r="W146" s="493" t="str">
        <f>IF(OR($E146="",$B146=""),"",IF($T146&lt;&gt;"",$T146-$E146,TODAY()-$E146)+1)</f>
        <v/>
      </c>
      <c r="X146" s="489" t="str">
        <f>IF(OR($AH146="",$AH146="保有中"),"",$AH146)</f>
        <v/>
      </c>
      <c r="Y146" s="488">
        <f>IF($B146="","",IF(COUNTIFS($B$4:$B146,$B146,$C$4:$C146,$C146)&gt;1,"⛔重複"&amp;COUNTIFS($B$4:$B146,$B146,$C$4:$C146,$C146)&amp;"回目",""))</f>
      </c>
      <c r="Z146" s="710"/>
      <c r="AB146">
        <f>IF($F146="","",MAX(100,ROUNDDOWN($AX$4/($F146*$AX$2)/100,0)*100))</f>
      </c>
      <c r="AC146">
        <f>IF(OR($F146="",$G146="",$U146=""),"",ROUND($V146-($F146+$U146)*$G146*$AX$6-IF($C146="売",$F146*$G146*$AX$7*$W146/365,0),0))</f>
      </c>
      <c r="AD146" s="608"/>
      <c r="AE146" s="600" t="str">
        <f>IF($E146="","",WORKDAY($E146,12))</f>
        <v/>
      </c>
      <c r="AF146" s="600"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0"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0" t="str">
        <f>IF(OR($B146="",$M146=""),"",IF(AND(N($AF146)=0,N($AG146)=0),IF(AND(ISNUMBER($H146),$H146&gt;0,IF($C146="売",$H146&gt;=$N146,$H146&lt;=$N146)),"損切確定",IF(AND(ISNUMBER($H146),$H146&gt;0,IF($C146="売",$H146&lt;=$M146,$H146&gt;=$M146)),"利益確定",IF($AE146&lt;=TODAY(),"日数制限","保有中"))),IF(N($AG146)=0,"利益確定",IF(N($AF146)=0,"損切確定",IF($AG146&lt;=$AF146,"損切確定","利益確定")))))</f>
        <v/>
      </c>
      <c r="AI146" s="600" t="str" cm="1">
        <f t="array" ref="AI146">IFERROR(INDEX(始値!$E$6:$BT$305,MATCH(TEXT($B146,"0"),TEXT(銘柄管理!$B$6:$B$305,"0"),0),MATCH($AE146,始値!$E$3:$BT$3,0)),"")</f>
        <v/>
      </c>
      <c r="AJ146" s="608" t="str">
        <f>IF(OR($V146="",$F146="",$G146=""),"",$V146/($F146*$G146))</f>
        <v/>
      </c>
      <c r="AK146" s="600" t="str">
        <f>IF($V146="","",IF($V146&gt;0,"○勝",IF($V146&lt;0,"●負","△引分")))</f>
        <v/>
      </c>
    </row>
    <row r="147" spans="1:37" ht="35.4" customHeight="1">
      <c r="A147" s="619" t="str">
        <f>IF(B147="","",HYPERLINK("https://kabutan.jp/stock/?code="&amp;B147,"株探"))</f>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IF(OR(F147="",G147="",H147=""),"",IF(C147="売",(F147-H147)*G147,(H147-F147)*G147))</f>
        <v/>
      </c>
      <c r="L147" s="706" t="str">
        <f>IF(OR(F147="",H147=""),"",IF(C147="売",(F147-H147)/F147,(H147-F147)/F147))</f>
        <v/>
      </c>
      <c r="M147" s="491" t="str">
        <f>IF($F147="","",IF($C147="売",CEILING($F147*IF($C147="売",1-$AX$3,1+$AX$3),IF($F147*IF($C147="売",1-$AX$3,1+$AX$3)&lt;=3000,1,IF($F147*IF($C147="売",1-$AX$3,1+$AX$3)&lt;=5000,5,IF($F147*IF($C147="売",1-$AX$3,1+$AX$3)&lt;=30000,10,IF($F147*IF($C147="売",1-$AX$3,1+$AX$3)&lt;=50000,50,IF($F147*IF($C147="売",1-$AX$3,1+$AX$3)&lt;=300000,100,500)))))),FLOOR($F147*IF($C147="売",1-$AX$3,1+$AX$3),IF($F147*IF($C147="売",1-$AX$3,1+$AX$3)&lt;=3000,1,IF($F147*IF($C147="売",1-$AX$3,1+$AX$3)&lt;=5000,5,IF($F147*IF($C147="売",1-$AX$3,1+$AX$3)&lt;=30000,10,IF($F147*IF($C147="売",1-$AX$3,1+$AX$3)&lt;=50000,50,IF($F147*IF($C147="売",1-$AX$3,1+$AX$3)&lt;=300000,100,500))))))))</f>
      </c>
      <c r="N147" s="491" t="str">
        <f>IF($F147="","",IF($C147="売",CEILING($F147*IF($C147="売",1+$AX$2,1-$AX$2),IF($F147*IF($C147="売",1+$AX$2,1-$AX$2)&lt;=3000,1,IF($F147*IF($C147="売",1+$AX$2,1-$AX$2)&lt;=5000,5,IF($F147*IF($C147="売",1+$AX$2,1-$AX$2)&lt;=30000,10,IF($F147*IF($C147="売",1+$AX$2,1-$AX$2)&lt;=50000,50,IF($F147*IF($C147="売",1+$AX$2,1-$AX$2)&lt;=300000,100,500)))))),FLOOR($F147*IF($C147="売",1+$AX$2,1-$AX$2),IF($F147*IF($C147="売",1+$AX$2,1-$AX$2)&lt;=3000,1,IF($F147*IF($C147="売",1+$AX$2,1-$AX$2)&lt;=5000,5,IF($F147*IF($C147="売",1+$AX$2,1-$AX$2)&lt;=30000,10,IF($F147*IF($C147="売",1+$AX$2,1-$AX$2)&lt;=50000,50,IF($F147*IF($C147="売",1+$AX$2,1-$AX$2)&lt;=300000,100,500))))))))</f>
      </c>
      <c r="O147" s="492" t="str">
        <f>IF(OR($B147="",$F147="",$H147=""),"",IF($S147="✅売却済","―決済済―",IF($C147="売",IF($H147&lt;=$M147,"🟢利確",IF(AND($R147&lt;&gt;"",$H147&gt;=$R147),"🟠TRAIL決済",IF($H147&gt;=$N147,"🔴損切",IF($W147&gt;=$AX$5,"⏱時間決済",IF($H147&gt;=$F147*(1+$AX$2*0.7),"⚠️損切接近","保持継続"))))),IF($H147&gt;=$M147,"🟢利確",IF(AND($R147&lt;&gt;"",$H147&lt;=$R147),"🟠TRAIL決済",IF($H147&lt;=$N147,"🔴損切",IF($W147&gt;=$AX$5,"⏱時間決済",IF($H147&lt;=$F147*(1-$AX$2*0.7),"⚠️損切接近","保持継続")))))))</f>
      </c>
      <c r="P147" s="491"/>
      <c r="Q147" s="491"/>
      <c r="R147" s="491" t="str">
        <f>IF(OR($F147="",$H147="",$N147=""),"",IF($S147="✅売却済","",IF($C147="売",IF($H147&gt;$F147*(1-$AX$2),$N147,CEILING(MIN($N147,IF($Q147="",$N147,$Q147*1.03)),IF($N147&lt;=3000,1,IF($N147&lt;=5000,5,IF($N147&lt;=30000,10,IF($N147&lt;=50000,50,IF($N147&lt;=300000,100,500))))))),IF($H147&lt;$F147*(1+$AX$2),$N147,FLOOR(MAX($N147,IF($P147="",$N147,$P147*0.97)),IF($N147&lt;=3000,1,IF($N147&lt;=5000,5,IF($N147&lt;=30000,10,IF($N147&lt;=50000,50,IF($N147&lt;=300000,100,500))))))))))</f>
      </c>
      <c r="S147" s="586" t="str">
        <f>IF(B147="","",IF(T147&lt;&gt;"","✅売却済",IF(OR(H147="",L147=""),"📌保有中",IF(L147&gt;=0.06,"🟢利確推奨",IF(L147&gt;=0.05,"🟡利確直近",IF(L147&gt;=0.045,"🔵トレーリング検討",IF(L147&gt;-0.03,"📌保有中",IF(L147&gt;-0.04,"⚠️損切注意","🔴損切り"))))))))</f>
        <v/>
      </c>
      <c r="T147" s="594"/>
      <c r="U147" s="491"/>
      <c r="V147" s="701" t="str">
        <f>IF(OR(F147="",G147="",U147=""),"",IF(C147="売",(F147-U147)*G147,(U147-F147)*G147))</f>
        <v/>
      </c>
      <c r="W147" s="493" t="str">
        <f>IF(OR($E147="",$B147=""),"",IF($T147&lt;&gt;"",$T147-$E147,TODAY()-$E147)+1)</f>
        <v/>
      </c>
      <c r="X147" s="489" t="str">
        <f>IF(OR($AH147="",$AH147="保有中"),"",$AH147)</f>
        <v/>
      </c>
      <c r="Y147" s="488">
        <f>IF($B147="","",IF(COUNTIFS($B$4:$B147,$B147,$C$4:$C147,$C147)&gt;1,"⛔重複"&amp;COUNTIFS($B$4:$B147,$B147,$C$4:$C147,$C147)&amp;"回目",""))</f>
      </c>
      <c r="Z147" s="710"/>
      <c r="AB147">
        <f>IF($F147="","",MAX(100,ROUNDDOWN($AX$4/($F147*$AX$2)/100,0)*100))</f>
      </c>
      <c r="AC147">
        <f>IF(OR($F147="",$G147="",$U147=""),"",ROUND($V147-($F147+$U147)*$G147*$AX$6-IF($C147="売",$F147*$G147*$AX$7*$W147/365,0),0))</f>
      </c>
      <c r="AD147" s="608"/>
      <c r="AE147" s="600" t="str">
        <f>IF($E147="","",WORKDAY($E147,12))</f>
        <v/>
      </c>
      <c r="AF147" s="600"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0"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0" t="str">
        <f>IF(OR($B147="",$M147=""),"",IF(AND(N($AF147)=0,N($AG147)=0),IF(AND(ISNUMBER($H147),$H147&gt;0,IF($C147="売",$H147&gt;=$N147,$H147&lt;=$N147)),"損切確定",IF(AND(ISNUMBER($H147),$H147&gt;0,IF($C147="売",$H147&lt;=$M147,$H147&gt;=$M147)),"利益確定",IF($AE147&lt;=TODAY(),"日数制限","保有中"))),IF(N($AG147)=0,"利益確定",IF(N($AF147)=0,"損切確定",IF($AG147&lt;=$AF147,"損切確定","利益確定")))))</f>
        <v/>
      </c>
      <c r="AI147" s="600" t="str" cm="1">
        <f t="array" ref="AI147">IFERROR(INDEX(始値!$E$6:$BT$305,MATCH(TEXT($B147,"0"),TEXT(銘柄管理!$B$6:$B$305,"0"),0),MATCH($AE147,始値!$E$3:$BT$3,0)),"")</f>
        <v/>
      </c>
      <c r="AJ147" s="608" t="str">
        <f>IF(OR($V147="",$F147="",$G147=""),"",$V147/($F147*$G147))</f>
        <v/>
      </c>
      <c r="AK147" s="600" t="str">
        <f>IF($V147="","",IF($V147&gt;0,"○勝",IF($V147&lt;0,"●負","△引分")))</f>
        <v/>
      </c>
    </row>
    <row r="148" spans="1:37" ht="35.4" customHeight="1">
      <c r="A148" s="619" t="str">
        <f>IF(B148="","",HYPERLINK("https://kabutan.jp/stock/?code="&amp;B148,"株探"))</f>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IF(OR(F148="",G148="",H148=""),"",IF(C148="売",(F148-H148)*G148,(H148-F148)*G148))</f>
        <v/>
      </c>
      <c r="L148" s="706" t="str">
        <f>IF(OR(F148="",H148=""),"",IF(C148="売",(F148-H148)/F148,(H148-F148)/F148))</f>
        <v/>
      </c>
      <c r="M148" s="491" t="str">
        <f>IF($F148="","",IF($C148="売",CEILING($F148*IF($C148="売",1-$AX$3,1+$AX$3),IF($F148*IF($C148="売",1-$AX$3,1+$AX$3)&lt;=3000,1,IF($F148*IF($C148="売",1-$AX$3,1+$AX$3)&lt;=5000,5,IF($F148*IF($C148="売",1-$AX$3,1+$AX$3)&lt;=30000,10,IF($F148*IF($C148="売",1-$AX$3,1+$AX$3)&lt;=50000,50,IF($F148*IF($C148="売",1-$AX$3,1+$AX$3)&lt;=300000,100,500)))))),FLOOR($F148*IF($C148="売",1-$AX$3,1+$AX$3),IF($F148*IF($C148="売",1-$AX$3,1+$AX$3)&lt;=3000,1,IF($F148*IF($C148="売",1-$AX$3,1+$AX$3)&lt;=5000,5,IF($F148*IF($C148="売",1-$AX$3,1+$AX$3)&lt;=30000,10,IF($F148*IF($C148="売",1-$AX$3,1+$AX$3)&lt;=50000,50,IF($F148*IF($C148="売",1-$AX$3,1+$AX$3)&lt;=300000,100,500))))))))</f>
      </c>
      <c r="N148" s="491" t="str">
        <f>IF($F148="","",IF($C148="売",CEILING($F148*IF($C148="売",1+$AX$2,1-$AX$2),IF($F148*IF($C148="売",1+$AX$2,1-$AX$2)&lt;=3000,1,IF($F148*IF($C148="売",1+$AX$2,1-$AX$2)&lt;=5000,5,IF($F148*IF($C148="売",1+$AX$2,1-$AX$2)&lt;=30000,10,IF($F148*IF($C148="売",1+$AX$2,1-$AX$2)&lt;=50000,50,IF($F148*IF($C148="売",1+$AX$2,1-$AX$2)&lt;=300000,100,500)))))),FLOOR($F148*IF($C148="売",1+$AX$2,1-$AX$2),IF($F148*IF($C148="売",1+$AX$2,1-$AX$2)&lt;=3000,1,IF($F148*IF($C148="売",1+$AX$2,1-$AX$2)&lt;=5000,5,IF($F148*IF($C148="売",1+$AX$2,1-$AX$2)&lt;=30000,10,IF($F148*IF($C148="売",1+$AX$2,1-$AX$2)&lt;=50000,50,IF($F148*IF($C148="売",1+$AX$2,1-$AX$2)&lt;=300000,100,500))))))))</f>
      </c>
      <c r="O148" s="492" t="str">
        <f>IF(OR($B148="",$F148="",$H148=""),"",IF($S148="✅売却済","―決済済―",IF($C148="売",IF($H148&lt;=$M148,"🟢利確",IF(AND($R148&lt;&gt;"",$H148&gt;=$R148),"🟠TRAIL決済",IF($H148&gt;=$N148,"🔴損切",IF($W148&gt;=$AX$5,"⏱時間決済",IF($H148&gt;=$F148*(1+$AX$2*0.7),"⚠️損切接近","保持継続"))))),IF($H148&gt;=$M148,"🟢利確",IF(AND($R148&lt;&gt;"",$H148&lt;=$R148),"🟠TRAIL決済",IF($H148&lt;=$N148,"🔴損切",IF($W148&gt;=$AX$5,"⏱時間決済",IF($H148&lt;=$F148*(1-$AX$2*0.7),"⚠️損切接近","保持継続")))))))</f>
      </c>
      <c r="P148" s="491"/>
      <c r="Q148" s="491"/>
      <c r="R148" s="491" t="str">
        <f>IF(OR($F148="",$H148="",$N148=""),"",IF($S148="✅売却済","",IF($C148="売",IF($H148&gt;$F148*(1-$AX$2),$N148,CEILING(MIN($N148,IF($Q148="",$N148,$Q148*1.03)),IF($N148&lt;=3000,1,IF($N148&lt;=5000,5,IF($N148&lt;=30000,10,IF($N148&lt;=50000,50,IF($N148&lt;=300000,100,500))))))),IF($H148&lt;$F148*(1+$AX$2),$N148,FLOOR(MAX($N148,IF($P148="",$N148,$P148*0.97)),IF($N148&lt;=3000,1,IF($N148&lt;=5000,5,IF($N148&lt;=30000,10,IF($N148&lt;=50000,50,IF($N148&lt;=300000,100,500))))))))))</f>
      </c>
      <c r="S148" s="586" t="str">
        <f>IF(B148="","",IF(T148&lt;&gt;"","✅売却済",IF(OR(H148="",L148=""),"📌保有中",IF(L148&gt;=0.06,"🟢利確推奨",IF(L148&gt;=0.05,"🟡利確直近",IF(L148&gt;=0.045,"🔵トレーリング検討",IF(L148&gt;-0.03,"📌保有中",IF(L148&gt;-0.04,"⚠️損切注意","🔴損切り"))))))))</f>
        <v/>
      </c>
      <c r="T148" s="594"/>
      <c r="U148" s="491"/>
      <c r="V148" s="701" t="str">
        <f>IF(OR(F148="",G148="",U148=""),"",IF(C148="売",(F148-U148)*G148,(U148-F148)*G148))</f>
        <v/>
      </c>
      <c r="W148" s="493" t="str">
        <f>IF(OR($E148="",$B148=""),"",IF($T148&lt;&gt;"",$T148-$E148,TODAY()-$E148)+1)</f>
        <v/>
      </c>
      <c r="X148" s="489" t="str">
        <f>IF(OR($AH148="",$AH148="保有中"),"",$AH148)</f>
        <v/>
      </c>
      <c r="Y148" s="488">
        <f>IF($B148="","",IF(COUNTIFS($B$4:$B148,$B148,$C$4:$C148,$C148)&gt;1,"⛔重複"&amp;COUNTIFS($B$4:$B148,$B148,$C$4:$C148,$C148)&amp;"回目",""))</f>
      </c>
      <c r="Z148" s="710"/>
      <c r="AB148">
        <f>IF($F148="","",MAX(100,ROUNDDOWN($AX$4/($F148*$AX$2)/100,0)*100))</f>
      </c>
      <c r="AC148">
        <f>IF(OR($F148="",$G148="",$U148=""),"",ROUND($V148-($F148+$U148)*$G148*$AX$6-IF($C148="売",$F148*$G148*$AX$7*$W148/365,0),0))</f>
      </c>
      <c r="AD148" s="608"/>
      <c r="AE148" s="600" t="str">
        <f>IF($E148="","",WORKDAY($E148,12))</f>
        <v/>
      </c>
      <c r="AF148" s="600"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0"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0" t="str">
        <f>IF(OR($B148="",$M148=""),"",IF(AND(N($AF148)=0,N($AG148)=0),IF(AND(ISNUMBER($H148),$H148&gt;0,IF($C148="売",$H148&gt;=$N148,$H148&lt;=$N148)),"損切確定",IF(AND(ISNUMBER($H148),$H148&gt;0,IF($C148="売",$H148&lt;=$M148,$H148&gt;=$M148)),"利益確定",IF($AE148&lt;=TODAY(),"日数制限","保有中"))),IF(N($AG148)=0,"利益確定",IF(N($AF148)=0,"損切確定",IF($AG148&lt;=$AF148,"損切確定","利益確定")))))</f>
        <v/>
      </c>
      <c r="AI148" s="600" t="str" cm="1">
        <f t="array" ref="AI148">IFERROR(INDEX(始値!$E$6:$BT$305,MATCH(TEXT($B148,"0"),TEXT(銘柄管理!$B$6:$B$305,"0"),0),MATCH($AE148,始値!$E$3:$BT$3,0)),"")</f>
        <v/>
      </c>
      <c r="AJ148" s="608" t="str">
        <f>IF(OR($V148="",$F148="",$G148=""),"",$V148/($F148*$G148))</f>
        <v/>
      </c>
      <c r="AK148" s="600" t="str">
        <f>IF($V148="","",IF($V148&gt;0,"○勝",IF($V148&lt;0,"●負","△引分")))</f>
        <v/>
      </c>
    </row>
    <row r="149" spans="1:37" ht="35.4" customHeight="1">
      <c r="A149" s="619" t="str">
        <f>IF(B149="","",HYPERLINK("https://kabutan.jp/stock/?code="&amp;B149,"株探"))</f>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IF(OR(F149="",G149="",H149=""),"",IF(C149="売",(F149-H149)*G149,(H149-F149)*G149))</f>
        <v/>
      </c>
      <c r="L149" s="706" t="str">
        <f>IF(OR(F149="",H149=""),"",IF(C149="売",(F149-H149)/F149,(H149-F149)/F149))</f>
        <v/>
      </c>
      <c r="M149" s="491" t="str">
        <f>IF($F149="","",IF($C149="売",CEILING($F149*IF($C149="売",1-$AX$3,1+$AX$3),IF($F149*IF($C149="売",1-$AX$3,1+$AX$3)&lt;=3000,1,IF($F149*IF($C149="売",1-$AX$3,1+$AX$3)&lt;=5000,5,IF($F149*IF($C149="売",1-$AX$3,1+$AX$3)&lt;=30000,10,IF($F149*IF($C149="売",1-$AX$3,1+$AX$3)&lt;=50000,50,IF($F149*IF($C149="売",1-$AX$3,1+$AX$3)&lt;=300000,100,500)))))),FLOOR($F149*IF($C149="売",1-$AX$3,1+$AX$3),IF($F149*IF($C149="売",1-$AX$3,1+$AX$3)&lt;=3000,1,IF($F149*IF($C149="売",1-$AX$3,1+$AX$3)&lt;=5000,5,IF($F149*IF($C149="売",1-$AX$3,1+$AX$3)&lt;=30000,10,IF($F149*IF($C149="売",1-$AX$3,1+$AX$3)&lt;=50000,50,IF($F149*IF($C149="売",1-$AX$3,1+$AX$3)&lt;=300000,100,500))))))))</f>
      </c>
      <c r="N149" s="491" t="str">
        <f>IF($F149="","",IF($C149="売",CEILING($F149*IF($C149="売",1+$AX$2,1-$AX$2),IF($F149*IF($C149="売",1+$AX$2,1-$AX$2)&lt;=3000,1,IF($F149*IF($C149="売",1+$AX$2,1-$AX$2)&lt;=5000,5,IF($F149*IF($C149="売",1+$AX$2,1-$AX$2)&lt;=30000,10,IF($F149*IF($C149="売",1+$AX$2,1-$AX$2)&lt;=50000,50,IF($F149*IF($C149="売",1+$AX$2,1-$AX$2)&lt;=300000,100,500)))))),FLOOR($F149*IF($C149="売",1+$AX$2,1-$AX$2),IF($F149*IF($C149="売",1+$AX$2,1-$AX$2)&lt;=3000,1,IF($F149*IF($C149="売",1+$AX$2,1-$AX$2)&lt;=5000,5,IF($F149*IF($C149="売",1+$AX$2,1-$AX$2)&lt;=30000,10,IF($F149*IF($C149="売",1+$AX$2,1-$AX$2)&lt;=50000,50,IF($F149*IF($C149="売",1+$AX$2,1-$AX$2)&lt;=300000,100,500))))))))</f>
      </c>
      <c r="O149" s="492" t="str">
        <f>IF(OR($B149="",$F149="",$H149=""),"",IF($S149="✅売却済","―決済済―",IF($C149="売",IF($H149&lt;=$M149,"🟢利確",IF(AND($R149&lt;&gt;"",$H149&gt;=$R149),"🟠TRAIL決済",IF($H149&gt;=$N149,"🔴損切",IF($W149&gt;=$AX$5,"⏱時間決済",IF($H149&gt;=$F149*(1+$AX$2*0.7),"⚠️損切接近","保持継続"))))),IF($H149&gt;=$M149,"🟢利確",IF(AND($R149&lt;&gt;"",$H149&lt;=$R149),"🟠TRAIL決済",IF($H149&lt;=$N149,"🔴損切",IF($W149&gt;=$AX$5,"⏱時間決済",IF($H149&lt;=$F149*(1-$AX$2*0.7),"⚠️損切接近","保持継続")))))))</f>
      </c>
      <c r="P149" s="491"/>
      <c r="Q149" s="491"/>
      <c r="R149" s="491" t="str">
        <f>IF(OR($F149="",$H149="",$N149=""),"",IF($S149="✅売却済","",IF($C149="売",IF($H149&gt;$F149*(1-$AX$2),$N149,CEILING(MIN($N149,IF($Q149="",$N149,$Q149*1.03)),IF($N149&lt;=3000,1,IF($N149&lt;=5000,5,IF($N149&lt;=30000,10,IF($N149&lt;=50000,50,IF($N149&lt;=300000,100,500))))))),IF($H149&lt;$F149*(1+$AX$2),$N149,FLOOR(MAX($N149,IF($P149="",$N149,$P149*0.97)),IF($N149&lt;=3000,1,IF($N149&lt;=5000,5,IF($N149&lt;=30000,10,IF($N149&lt;=50000,50,IF($N149&lt;=300000,100,500))))))))))</f>
      </c>
      <c r="S149" s="586" t="str">
        <f>IF(B149="","",IF(T149&lt;&gt;"","✅売却済",IF(OR(H149="",L149=""),"📌保有中",IF(L149&gt;=0.06,"🟢利確推奨",IF(L149&gt;=0.05,"🟡利確直近",IF(L149&gt;=0.045,"🔵トレーリング検討",IF(L149&gt;-0.03,"📌保有中",IF(L149&gt;-0.04,"⚠️損切注意","🔴損切り"))))))))</f>
        <v/>
      </c>
      <c r="T149" s="594"/>
      <c r="U149" s="491"/>
      <c r="V149" s="701" t="str">
        <f>IF(OR(F149="",G149="",U149=""),"",IF(C149="売",(F149-U149)*G149,(U149-F149)*G149))</f>
        <v/>
      </c>
      <c r="W149" s="493" t="str">
        <f>IF(OR($E149="",$B149=""),"",IF($T149&lt;&gt;"",$T149-$E149,TODAY()-$E149)+1)</f>
        <v/>
      </c>
      <c r="X149" s="489" t="str">
        <f>IF(OR($AH149="",$AH149="保有中"),"",$AH149)</f>
        <v/>
      </c>
      <c r="Y149" s="488">
        <f>IF($B149="","",IF(COUNTIFS($B$4:$B149,$B149,$C$4:$C149,$C149)&gt;1,"⛔重複"&amp;COUNTIFS($B$4:$B149,$B149,$C$4:$C149,$C149)&amp;"回目",""))</f>
      </c>
      <c r="Z149" s="710"/>
      <c r="AB149">
        <f>IF($F149="","",MAX(100,ROUNDDOWN($AX$4/($F149*$AX$2)/100,0)*100))</f>
      </c>
      <c r="AC149">
        <f>IF(OR($F149="",$G149="",$U149=""),"",ROUND($V149-($F149+$U149)*$G149*$AX$6-IF($C149="売",$F149*$G149*$AX$7*$W149/365,0),0))</f>
      </c>
      <c r="AD149" s="608"/>
      <c r="AE149" s="600" t="str">
        <f>IF($E149="","",WORKDAY($E149,12))</f>
        <v/>
      </c>
      <c r="AF149" s="600"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0"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0" t="str">
        <f>IF(OR($B149="",$M149=""),"",IF(AND(N($AF149)=0,N($AG149)=0),IF(AND(ISNUMBER($H149),$H149&gt;0,IF($C149="売",$H149&gt;=$N149,$H149&lt;=$N149)),"損切確定",IF(AND(ISNUMBER($H149),$H149&gt;0,IF($C149="売",$H149&lt;=$M149,$H149&gt;=$M149)),"利益確定",IF($AE149&lt;=TODAY(),"日数制限","保有中"))),IF(N($AG149)=0,"利益確定",IF(N($AF149)=0,"損切確定",IF($AG149&lt;=$AF149,"損切確定","利益確定")))))</f>
        <v/>
      </c>
      <c r="AI149" s="600" t="str" cm="1">
        <f t="array" ref="AI149">IFERROR(INDEX(始値!$E$6:$BT$305,MATCH(TEXT($B149,"0"),TEXT(銘柄管理!$B$6:$B$305,"0"),0),MATCH($AE149,始値!$E$3:$BT$3,0)),"")</f>
        <v/>
      </c>
      <c r="AJ149" s="608" t="str">
        <f>IF(OR($V149="",$F149="",$G149=""),"",$V149/($F149*$G149))</f>
        <v/>
      </c>
      <c r="AK149" s="600" t="str">
        <f>IF($V149="","",IF($V149&gt;0,"○勝",IF($V149&lt;0,"●負","△引分")))</f>
        <v/>
      </c>
    </row>
    <row r="150" spans="1:37" ht="35.4" customHeight="1">
      <c r="A150" s="619" t="str">
        <f>IF(B150="","",HYPERLINK("https://kabutan.jp/stock/?code="&amp;B150,"株探"))</f>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IF(OR(F150="",G150="",H150=""),"",IF(C150="売",(F150-H150)*G150,(H150-F150)*G150))</f>
        <v/>
      </c>
      <c r="L150" s="706" t="str">
        <f>IF(OR(F150="",H150=""),"",IF(C150="売",(F150-H150)/F150,(H150-F150)/F150))</f>
        <v/>
      </c>
      <c r="M150" s="491" t="str">
        <f>IF($F150="","",IF($C150="売",CEILING($F150*IF($C150="売",1-$AX$3,1+$AX$3),IF($F150*IF($C150="売",1-$AX$3,1+$AX$3)&lt;=3000,1,IF($F150*IF($C150="売",1-$AX$3,1+$AX$3)&lt;=5000,5,IF($F150*IF($C150="売",1-$AX$3,1+$AX$3)&lt;=30000,10,IF($F150*IF($C150="売",1-$AX$3,1+$AX$3)&lt;=50000,50,IF($F150*IF($C150="売",1-$AX$3,1+$AX$3)&lt;=300000,100,500)))))),FLOOR($F150*IF($C150="売",1-$AX$3,1+$AX$3),IF($F150*IF($C150="売",1-$AX$3,1+$AX$3)&lt;=3000,1,IF($F150*IF($C150="売",1-$AX$3,1+$AX$3)&lt;=5000,5,IF($F150*IF($C150="売",1-$AX$3,1+$AX$3)&lt;=30000,10,IF($F150*IF($C150="売",1-$AX$3,1+$AX$3)&lt;=50000,50,IF($F150*IF($C150="売",1-$AX$3,1+$AX$3)&lt;=300000,100,500))))))))</f>
      </c>
      <c r="N150" s="491" t="str">
        <f>IF($F150="","",IF($C150="売",CEILING($F150*IF($C150="売",1+$AX$2,1-$AX$2),IF($F150*IF($C150="売",1+$AX$2,1-$AX$2)&lt;=3000,1,IF($F150*IF($C150="売",1+$AX$2,1-$AX$2)&lt;=5000,5,IF($F150*IF($C150="売",1+$AX$2,1-$AX$2)&lt;=30000,10,IF($F150*IF($C150="売",1+$AX$2,1-$AX$2)&lt;=50000,50,IF($F150*IF($C150="売",1+$AX$2,1-$AX$2)&lt;=300000,100,500)))))),FLOOR($F150*IF($C150="売",1+$AX$2,1-$AX$2),IF($F150*IF($C150="売",1+$AX$2,1-$AX$2)&lt;=3000,1,IF($F150*IF($C150="売",1+$AX$2,1-$AX$2)&lt;=5000,5,IF($F150*IF($C150="売",1+$AX$2,1-$AX$2)&lt;=30000,10,IF($F150*IF($C150="売",1+$AX$2,1-$AX$2)&lt;=50000,50,IF($F150*IF($C150="売",1+$AX$2,1-$AX$2)&lt;=300000,100,500))))))))</f>
      </c>
      <c r="O150" s="492" t="str">
        <f>IF(OR($B150="",$F150="",$H150=""),"",IF($S150="✅売却済","―決済済―",IF($C150="売",IF($H150&lt;=$M150,"🟢利確",IF(AND($R150&lt;&gt;"",$H150&gt;=$R150),"🟠TRAIL決済",IF($H150&gt;=$N150,"🔴損切",IF($W150&gt;=$AX$5,"⏱時間決済",IF($H150&gt;=$F150*(1+$AX$2*0.7),"⚠️損切接近","保持継続"))))),IF($H150&gt;=$M150,"🟢利確",IF(AND($R150&lt;&gt;"",$H150&lt;=$R150),"🟠TRAIL決済",IF($H150&lt;=$N150,"🔴損切",IF($W150&gt;=$AX$5,"⏱時間決済",IF($H150&lt;=$F150*(1-$AX$2*0.7),"⚠️損切接近","保持継続")))))))</f>
      </c>
      <c r="P150" s="491"/>
      <c r="Q150" s="491"/>
      <c r="R150" s="491" t="str">
        <f>IF(OR($F150="",$H150="",$N150=""),"",IF($S150="✅売却済","",IF($C150="売",IF($H150&gt;$F150*(1-$AX$2),$N150,CEILING(MIN($N150,IF($Q150="",$N150,$Q150*1.03)),IF($N150&lt;=3000,1,IF($N150&lt;=5000,5,IF($N150&lt;=30000,10,IF($N150&lt;=50000,50,IF($N150&lt;=300000,100,500))))))),IF($H150&lt;$F150*(1+$AX$2),$N150,FLOOR(MAX($N150,IF($P150="",$N150,$P150*0.97)),IF($N150&lt;=3000,1,IF($N150&lt;=5000,5,IF($N150&lt;=30000,10,IF($N150&lt;=50000,50,IF($N150&lt;=300000,100,500))))))))))</f>
      </c>
      <c r="S150" s="586" t="str">
        <f>IF(B150="","",IF(T150&lt;&gt;"","✅売却済",IF(OR(H150="",L150=""),"📌保有中",IF(L150&gt;=0.06,"🟢利確推奨",IF(L150&gt;=0.05,"🟡利確直近",IF(L150&gt;=0.045,"🔵トレーリング検討",IF(L150&gt;-0.03,"📌保有中",IF(L150&gt;-0.04,"⚠️損切注意","🔴損切り"))))))))</f>
        <v/>
      </c>
      <c r="T150" s="594"/>
      <c r="U150" s="491"/>
      <c r="V150" s="701" t="str">
        <f>IF(OR(F150="",G150="",U150=""),"",IF(C150="売",(F150-U150)*G150,(U150-F150)*G150))</f>
        <v/>
      </c>
      <c r="W150" s="493" t="str">
        <f>IF(OR($E150="",$B150=""),"",IF($T150&lt;&gt;"",$T150-$E150,TODAY()-$E150)+1)</f>
        <v/>
      </c>
      <c r="X150" s="489" t="str">
        <f>IF(OR($AH150="",$AH150="保有中"),"",$AH150)</f>
        <v/>
      </c>
      <c r="Y150" s="488">
        <f>IF($B150="","",IF(COUNTIFS($B$4:$B150,$B150,$C$4:$C150,$C150)&gt;1,"⛔重複"&amp;COUNTIFS($B$4:$B150,$B150,$C$4:$C150,$C150)&amp;"回目",""))</f>
      </c>
      <c r="Z150" s="710"/>
      <c r="AB150">
        <f>IF($F150="","",MAX(100,ROUNDDOWN($AX$4/($F150*$AX$2)/100,0)*100))</f>
      </c>
      <c r="AC150">
        <f>IF(OR($F150="",$G150="",$U150=""),"",ROUND($V150-($F150+$U150)*$G150*$AX$6-IF($C150="売",$F150*$G150*$AX$7*$W150/365,0),0))</f>
      </c>
      <c r="AD150" s="608"/>
      <c r="AE150" s="600" t="str">
        <f>IF($E150="","",WORKDAY($E150,12))</f>
        <v/>
      </c>
      <c r="AF150" s="600"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0"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0" t="str">
        <f>IF(OR($B150="",$M150=""),"",IF(AND(N($AF150)=0,N($AG150)=0),IF(AND(ISNUMBER($H150),$H150&gt;0,IF($C150="売",$H150&gt;=$N150,$H150&lt;=$N150)),"損切確定",IF(AND(ISNUMBER($H150),$H150&gt;0,IF($C150="売",$H150&lt;=$M150,$H150&gt;=$M150)),"利益確定",IF($AE150&lt;=TODAY(),"日数制限","保有中"))),IF(N($AG150)=0,"利益確定",IF(N($AF150)=0,"損切確定",IF($AG150&lt;=$AF150,"損切確定","利益確定")))))</f>
        <v/>
      </c>
      <c r="AI150" s="600" t="str" cm="1">
        <f t="array" ref="AI150">IFERROR(INDEX(始値!$E$6:$BT$305,MATCH(TEXT($B150,"0"),TEXT(銘柄管理!$B$6:$B$305,"0"),0),MATCH($AE150,始値!$E$3:$BT$3,0)),"")</f>
        <v/>
      </c>
      <c r="AJ150" s="608" t="str">
        <f>IF(OR($V150="",$F150="",$G150=""),"",$V150/($F150*$G150))</f>
        <v/>
      </c>
      <c r="AK150" s="600" t="str">
        <f>IF($V150="","",IF($V150&gt;0,"○勝",IF($V150&lt;0,"●負","△引分")))</f>
        <v/>
      </c>
    </row>
    <row r="151" spans="1:37" ht="35.4" customHeight="1">
      <c r="A151" s="619" t="str">
        <f>IF(B151="","",HYPERLINK("https://kabutan.jp/stock/?code="&amp;B151,"株探"))</f>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IF(OR(F151="",G151="",H151=""),"",IF(C151="売",(F151-H151)*G151,(H151-F151)*G151))</f>
        <v/>
      </c>
      <c r="L151" s="706" t="str">
        <f>IF(OR(F151="",H151=""),"",IF(C151="売",(F151-H151)/F151,(H151-F151)/F151))</f>
        <v/>
      </c>
      <c r="M151" s="491" t="str">
        <f>IF($F151="","",IF($C151="売",CEILING($F151*IF($C151="売",1-$AX$3,1+$AX$3),IF($F151*IF($C151="売",1-$AX$3,1+$AX$3)&lt;=3000,1,IF($F151*IF($C151="売",1-$AX$3,1+$AX$3)&lt;=5000,5,IF($F151*IF($C151="売",1-$AX$3,1+$AX$3)&lt;=30000,10,IF($F151*IF($C151="売",1-$AX$3,1+$AX$3)&lt;=50000,50,IF($F151*IF($C151="売",1-$AX$3,1+$AX$3)&lt;=300000,100,500)))))),FLOOR($F151*IF($C151="売",1-$AX$3,1+$AX$3),IF($F151*IF($C151="売",1-$AX$3,1+$AX$3)&lt;=3000,1,IF($F151*IF($C151="売",1-$AX$3,1+$AX$3)&lt;=5000,5,IF($F151*IF($C151="売",1-$AX$3,1+$AX$3)&lt;=30000,10,IF($F151*IF($C151="売",1-$AX$3,1+$AX$3)&lt;=50000,50,IF($F151*IF($C151="売",1-$AX$3,1+$AX$3)&lt;=300000,100,500))))))))</f>
      </c>
      <c r="N151" s="491" t="str">
        <f>IF($F151="","",IF($C151="売",CEILING($F151*IF($C151="売",1+$AX$2,1-$AX$2),IF($F151*IF($C151="売",1+$AX$2,1-$AX$2)&lt;=3000,1,IF($F151*IF($C151="売",1+$AX$2,1-$AX$2)&lt;=5000,5,IF($F151*IF($C151="売",1+$AX$2,1-$AX$2)&lt;=30000,10,IF($F151*IF($C151="売",1+$AX$2,1-$AX$2)&lt;=50000,50,IF($F151*IF($C151="売",1+$AX$2,1-$AX$2)&lt;=300000,100,500)))))),FLOOR($F151*IF($C151="売",1+$AX$2,1-$AX$2),IF($F151*IF($C151="売",1+$AX$2,1-$AX$2)&lt;=3000,1,IF($F151*IF($C151="売",1+$AX$2,1-$AX$2)&lt;=5000,5,IF($F151*IF($C151="売",1+$AX$2,1-$AX$2)&lt;=30000,10,IF($F151*IF($C151="売",1+$AX$2,1-$AX$2)&lt;=50000,50,IF($F151*IF($C151="売",1+$AX$2,1-$AX$2)&lt;=300000,100,500))))))))</f>
      </c>
      <c r="O151" s="492" t="str">
        <f>IF(OR($B151="",$F151="",$H151=""),"",IF($S151="✅売却済","―決済済―",IF($C151="売",IF($H151&lt;=$M151,"🟢利確",IF(AND($R151&lt;&gt;"",$H151&gt;=$R151),"🟠TRAIL決済",IF($H151&gt;=$N151,"🔴損切",IF($W151&gt;=$AX$5,"⏱時間決済",IF($H151&gt;=$F151*(1+$AX$2*0.7),"⚠️損切接近","保持継続"))))),IF($H151&gt;=$M151,"🟢利確",IF(AND($R151&lt;&gt;"",$H151&lt;=$R151),"🟠TRAIL決済",IF($H151&lt;=$N151,"🔴損切",IF($W151&gt;=$AX$5,"⏱時間決済",IF($H151&lt;=$F151*(1-$AX$2*0.7),"⚠️損切接近","保持継続")))))))</f>
      </c>
      <c r="P151" s="491"/>
      <c r="Q151" s="491"/>
      <c r="R151" s="491" t="str">
        <f>IF(OR($F151="",$H151="",$N151=""),"",IF($S151="✅売却済","",IF($C151="売",IF($H151&gt;$F151*(1-$AX$2),$N151,CEILING(MIN($N151,IF($Q151="",$N151,$Q151*1.03)),IF($N151&lt;=3000,1,IF($N151&lt;=5000,5,IF($N151&lt;=30000,10,IF($N151&lt;=50000,50,IF($N151&lt;=300000,100,500))))))),IF($H151&lt;$F151*(1+$AX$2),$N151,FLOOR(MAX($N151,IF($P151="",$N151,$P151*0.97)),IF($N151&lt;=3000,1,IF($N151&lt;=5000,5,IF($N151&lt;=30000,10,IF($N151&lt;=50000,50,IF($N151&lt;=300000,100,500))))))))))</f>
      </c>
      <c r="S151" s="586" t="str">
        <f>IF(B151="","",IF(T151&lt;&gt;"","✅売却済",IF(OR(H151="",L151=""),"📌保有中",IF(L151&gt;=0.06,"🟢利確推奨",IF(L151&gt;=0.05,"🟡利確直近",IF(L151&gt;=0.045,"🔵トレーリング検討",IF(L151&gt;-0.03,"📌保有中",IF(L151&gt;-0.04,"⚠️損切注意","🔴損切り"))))))))</f>
        <v/>
      </c>
      <c r="T151" s="594"/>
      <c r="U151" s="491"/>
      <c r="V151" s="701" t="str">
        <f>IF(OR(F151="",G151="",U151=""),"",IF(C151="売",(F151-U151)*G151,(U151-F151)*G151))</f>
        <v/>
      </c>
      <c r="W151" s="493" t="str">
        <f>IF(OR($E151="",$B151=""),"",IF($T151&lt;&gt;"",$T151-$E151,TODAY()-$E151)+1)</f>
        <v/>
      </c>
      <c r="X151" s="489" t="str">
        <f>IF(OR($AH151="",$AH151="保有中"),"",$AH151)</f>
        <v/>
      </c>
      <c r="Y151" s="488">
        <f>IF($B151="","",IF(COUNTIFS($B$4:$B151,$B151,$C$4:$C151,$C151)&gt;1,"⛔重複"&amp;COUNTIFS($B$4:$B151,$B151,$C$4:$C151,$C151)&amp;"回目",""))</f>
      </c>
      <c r="Z151" s="710"/>
      <c r="AB151">
        <f>IF($F151="","",MAX(100,ROUNDDOWN($AX$4/($F151*$AX$2)/100,0)*100))</f>
      </c>
      <c r="AC151">
        <f>IF(OR($F151="",$G151="",$U151=""),"",ROUND($V151-($F151+$U151)*$G151*$AX$6-IF($C151="売",$F151*$G151*$AX$7*$W151/365,0),0))</f>
      </c>
      <c r="AD151" s="608"/>
      <c r="AE151" s="600" t="str">
        <f>IF($E151="","",WORKDAY($E151,12))</f>
        <v/>
      </c>
      <c r="AF151" s="600"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0"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0" t="str">
        <f>IF(OR($B151="",$M151=""),"",IF(AND(N($AF151)=0,N($AG151)=0),IF(AND(ISNUMBER($H151),$H151&gt;0,IF($C151="売",$H151&gt;=$N151,$H151&lt;=$N151)),"損切確定",IF(AND(ISNUMBER($H151),$H151&gt;0,IF($C151="売",$H151&lt;=$M151,$H151&gt;=$M151)),"利益確定",IF($AE151&lt;=TODAY(),"日数制限","保有中"))),IF(N($AG151)=0,"利益確定",IF(N($AF151)=0,"損切確定",IF($AG151&lt;=$AF151,"損切確定","利益確定")))))</f>
        <v/>
      </c>
      <c r="AI151" s="600" t="str" cm="1">
        <f t="array" ref="AI151">IFERROR(INDEX(始値!$E$6:$BT$305,MATCH(TEXT($B151,"0"),TEXT(銘柄管理!$B$6:$B$305,"0"),0),MATCH($AE151,始値!$E$3:$BT$3,0)),"")</f>
        <v/>
      </c>
      <c r="AJ151" s="608" t="str">
        <f>IF(OR($V151="",$F151="",$G151=""),"",$V151/($F151*$G151))</f>
        <v/>
      </c>
      <c r="AK151" s="600" t="str">
        <f>IF($V151="","",IF($V151&gt;0,"○勝",IF($V151&lt;0,"●負","△引分")))</f>
        <v/>
      </c>
    </row>
    <row r="152" spans="1:37" ht="35.4" customHeight="1">
      <c r="A152" s="619" t="str">
        <f>IF(B152="","",HYPERLINK("https://kabutan.jp/stock/?code="&amp;B152,"株探"))</f>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IF(OR(F152="",G152="",H152=""),"",IF(C152="売",(F152-H152)*G152,(H152-F152)*G152))</f>
        <v/>
      </c>
      <c r="L152" s="706" t="str">
        <f>IF(OR(F152="",H152=""),"",IF(C152="売",(F152-H152)/F152,(H152-F152)/F152))</f>
        <v/>
      </c>
      <c r="M152" s="491" t="str">
        <f>IF($F152="","",IF($C152="売",CEILING($F152*IF($C152="売",1-$AX$3,1+$AX$3),IF($F152*IF($C152="売",1-$AX$3,1+$AX$3)&lt;=3000,1,IF($F152*IF($C152="売",1-$AX$3,1+$AX$3)&lt;=5000,5,IF($F152*IF($C152="売",1-$AX$3,1+$AX$3)&lt;=30000,10,IF($F152*IF($C152="売",1-$AX$3,1+$AX$3)&lt;=50000,50,IF($F152*IF($C152="売",1-$AX$3,1+$AX$3)&lt;=300000,100,500)))))),FLOOR($F152*IF($C152="売",1-$AX$3,1+$AX$3),IF($F152*IF($C152="売",1-$AX$3,1+$AX$3)&lt;=3000,1,IF($F152*IF($C152="売",1-$AX$3,1+$AX$3)&lt;=5000,5,IF($F152*IF($C152="売",1-$AX$3,1+$AX$3)&lt;=30000,10,IF($F152*IF($C152="売",1-$AX$3,1+$AX$3)&lt;=50000,50,IF($F152*IF($C152="売",1-$AX$3,1+$AX$3)&lt;=300000,100,500))))))))</f>
      </c>
      <c r="N152" s="491" t="str">
        <f>IF($F152="","",IF($C152="売",CEILING($F152*IF($C152="売",1+$AX$2,1-$AX$2),IF($F152*IF($C152="売",1+$AX$2,1-$AX$2)&lt;=3000,1,IF($F152*IF($C152="売",1+$AX$2,1-$AX$2)&lt;=5000,5,IF($F152*IF($C152="売",1+$AX$2,1-$AX$2)&lt;=30000,10,IF($F152*IF($C152="売",1+$AX$2,1-$AX$2)&lt;=50000,50,IF($F152*IF($C152="売",1+$AX$2,1-$AX$2)&lt;=300000,100,500)))))),FLOOR($F152*IF($C152="売",1+$AX$2,1-$AX$2),IF($F152*IF($C152="売",1+$AX$2,1-$AX$2)&lt;=3000,1,IF($F152*IF($C152="売",1+$AX$2,1-$AX$2)&lt;=5000,5,IF($F152*IF($C152="売",1+$AX$2,1-$AX$2)&lt;=30000,10,IF($F152*IF($C152="売",1+$AX$2,1-$AX$2)&lt;=50000,50,IF($F152*IF($C152="売",1+$AX$2,1-$AX$2)&lt;=300000,100,500))))))))</f>
      </c>
      <c r="O152" s="492" t="str">
        <f>IF(OR($B152="",$F152="",$H152=""),"",IF($S152="✅売却済","―決済済―",IF($C152="売",IF($H152&lt;=$M152,"🟢利確",IF(AND($R152&lt;&gt;"",$H152&gt;=$R152),"🟠TRAIL決済",IF($H152&gt;=$N152,"🔴損切",IF($W152&gt;=$AX$5,"⏱時間決済",IF($H152&gt;=$F152*(1+$AX$2*0.7),"⚠️損切接近","保持継続"))))),IF($H152&gt;=$M152,"🟢利確",IF(AND($R152&lt;&gt;"",$H152&lt;=$R152),"🟠TRAIL決済",IF($H152&lt;=$N152,"🔴損切",IF($W152&gt;=$AX$5,"⏱時間決済",IF($H152&lt;=$F152*(1-$AX$2*0.7),"⚠️損切接近","保持継続")))))))</f>
      </c>
      <c r="P152" s="491"/>
      <c r="Q152" s="491"/>
      <c r="R152" s="491" t="str">
        <f>IF(OR($F152="",$H152="",$N152=""),"",IF($S152="✅売却済","",IF($C152="売",IF($H152&gt;$F152*(1-$AX$2),$N152,CEILING(MIN($N152,IF($Q152="",$N152,$Q152*1.03)),IF($N152&lt;=3000,1,IF($N152&lt;=5000,5,IF($N152&lt;=30000,10,IF($N152&lt;=50000,50,IF($N152&lt;=300000,100,500))))))),IF($H152&lt;$F152*(1+$AX$2),$N152,FLOOR(MAX($N152,IF($P152="",$N152,$P152*0.97)),IF($N152&lt;=3000,1,IF($N152&lt;=5000,5,IF($N152&lt;=30000,10,IF($N152&lt;=50000,50,IF($N152&lt;=300000,100,500))))))))))</f>
      </c>
      <c r="S152" s="586" t="str">
        <f>IF(B152="","",IF(T152&lt;&gt;"","✅売却済",IF(OR(H152="",L152=""),"📌保有中",IF(L152&gt;=0.06,"🟢利確推奨",IF(L152&gt;=0.05,"🟡利確直近",IF(L152&gt;=0.045,"🔵トレーリング検討",IF(L152&gt;-0.03,"📌保有中",IF(L152&gt;-0.04,"⚠️損切注意","🔴損切り"))))))))</f>
        <v/>
      </c>
      <c r="T152" s="594"/>
      <c r="U152" s="491"/>
      <c r="V152" s="701" t="str">
        <f>IF(OR(F152="",G152="",U152=""),"",IF(C152="売",(F152-U152)*G152,(U152-F152)*G152))</f>
        <v/>
      </c>
      <c r="W152" s="493" t="str">
        <f>IF(OR($E152="",$B152=""),"",IF($T152&lt;&gt;"",$T152-$E152,TODAY()-$E152)+1)</f>
        <v/>
      </c>
      <c r="X152" s="489" t="str">
        <f>IF(OR($AH152="",$AH152="保有中"),"",$AH152)</f>
        <v/>
      </c>
      <c r="Y152" s="488">
        <f>IF($B152="","",IF(COUNTIFS($B$4:$B152,$B152,$C$4:$C152,$C152)&gt;1,"⛔重複"&amp;COUNTIFS($B$4:$B152,$B152,$C$4:$C152,$C152)&amp;"回目",""))</f>
      </c>
      <c r="Z152" s="710"/>
      <c r="AB152">
        <f>IF($F152="","",MAX(100,ROUNDDOWN($AX$4/($F152*$AX$2)/100,0)*100))</f>
      </c>
      <c r="AC152">
        <f>IF(OR($F152="",$G152="",$U152=""),"",ROUND($V152-($F152+$U152)*$G152*$AX$6-IF($C152="売",$F152*$G152*$AX$7*$W152/365,0),0))</f>
      </c>
      <c r="AD152" s="608"/>
      <c r="AE152" s="600" t="str">
        <f>IF($E152="","",WORKDAY($E152,12))</f>
        <v/>
      </c>
      <c r="AF152" s="600"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0"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0" t="str">
        <f>IF(OR($B152="",$M152=""),"",IF(AND(N($AF152)=0,N($AG152)=0),IF(AND(ISNUMBER($H152),$H152&gt;0,IF($C152="売",$H152&gt;=$N152,$H152&lt;=$N152)),"損切確定",IF(AND(ISNUMBER($H152),$H152&gt;0,IF($C152="売",$H152&lt;=$M152,$H152&gt;=$M152)),"利益確定",IF($AE152&lt;=TODAY(),"日数制限","保有中"))),IF(N($AG152)=0,"利益確定",IF(N($AF152)=0,"損切確定",IF($AG152&lt;=$AF152,"損切確定","利益確定")))))</f>
        <v/>
      </c>
      <c r="AI152" s="600" t="str" cm="1">
        <f t="array" ref="AI152">IFERROR(INDEX(始値!$E$6:$BT$305,MATCH(TEXT($B152,"0"),TEXT(銘柄管理!$B$6:$B$305,"0"),0),MATCH($AE152,始値!$E$3:$BT$3,0)),"")</f>
        <v/>
      </c>
      <c r="AJ152" s="608" t="str">
        <f>IF(OR($V152="",$F152="",$G152=""),"",$V152/($F152*$G152))</f>
        <v/>
      </c>
      <c r="AK152" s="600" t="str">
        <f>IF($V152="","",IF($V152&gt;0,"○勝",IF($V152&lt;0,"●負","△引分")))</f>
        <v/>
      </c>
    </row>
    <row r="153" spans="1:37" ht="35.4" customHeight="1">
      <c r="A153" s="619" t="str">
        <f>IF(B153="","",HYPERLINK("https://kabutan.jp/stock/?code="&amp;B153,"株探"))</f>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IF(OR(F153="",G153="",H153=""),"",IF(C153="売",(F153-H153)*G153,(H153-F153)*G153))</f>
        <v/>
      </c>
      <c r="L153" s="706" t="str">
        <f>IF(OR(F153="",H153=""),"",IF(C153="売",(F153-H153)/F153,(H153-F153)/F153))</f>
        <v/>
      </c>
      <c r="M153" s="491" t="str">
        <f>IF($F153="","",IF($C153="売",CEILING($F153*IF($C153="売",1-$AX$3,1+$AX$3),IF($F153*IF($C153="売",1-$AX$3,1+$AX$3)&lt;=3000,1,IF($F153*IF($C153="売",1-$AX$3,1+$AX$3)&lt;=5000,5,IF($F153*IF($C153="売",1-$AX$3,1+$AX$3)&lt;=30000,10,IF($F153*IF($C153="売",1-$AX$3,1+$AX$3)&lt;=50000,50,IF($F153*IF($C153="売",1-$AX$3,1+$AX$3)&lt;=300000,100,500)))))),FLOOR($F153*IF($C153="売",1-$AX$3,1+$AX$3),IF($F153*IF($C153="売",1-$AX$3,1+$AX$3)&lt;=3000,1,IF($F153*IF($C153="売",1-$AX$3,1+$AX$3)&lt;=5000,5,IF($F153*IF($C153="売",1-$AX$3,1+$AX$3)&lt;=30000,10,IF($F153*IF($C153="売",1-$AX$3,1+$AX$3)&lt;=50000,50,IF($F153*IF($C153="売",1-$AX$3,1+$AX$3)&lt;=300000,100,500))))))))</f>
      </c>
      <c r="N153" s="491" t="str">
        <f>IF($F153="","",IF($C153="売",CEILING($F153*IF($C153="売",1+$AX$2,1-$AX$2),IF($F153*IF($C153="売",1+$AX$2,1-$AX$2)&lt;=3000,1,IF($F153*IF($C153="売",1+$AX$2,1-$AX$2)&lt;=5000,5,IF($F153*IF($C153="売",1+$AX$2,1-$AX$2)&lt;=30000,10,IF($F153*IF($C153="売",1+$AX$2,1-$AX$2)&lt;=50000,50,IF($F153*IF($C153="売",1+$AX$2,1-$AX$2)&lt;=300000,100,500)))))),FLOOR($F153*IF($C153="売",1+$AX$2,1-$AX$2),IF($F153*IF($C153="売",1+$AX$2,1-$AX$2)&lt;=3000,1,IF($F153*IF($C153="売",1+$AX$2,1-$AX$2)&lt;=5000,5,IF($F153*IF($C153="売",1+$AX$2,1-$AX$2)&lt;=30000,10,IF($F153*IF($C153="売",1+$AX$2,1-$AX$2)&lt;=50000,50,IF($F153*IF($C153="売",1+$AX$2,1-$AX$2)&lt;=300000,100,500))))))))</f>
      </c>
      <c r="O153" s="492" t="str">
        <f>IF(OR($B153="",$F153="",$H153=""),"",IF($S153="✅売却済","―決済済―",IF($C153="売",IF($H153&lt;=$M153,"🟢利確",IF(AND($R153&lt;&gt;"",$H153&gt;=$R153),"🟠TRAIL決済",IF($H153&gt;=$N153,"🔴損切",IF($W153&gt;=$AX$5,"⏱時間決済",IF($H153&gt;=$F153*(1+$AX$2*0.7),"⚠️損切接近","保持継続"))))),IF($H153&gt;=$M153,"🟢利確",IF(AND($R153&lt;&gt;"",$H153&lt;=$R153),"🟠TRAIL決済",IF($H153&lt;=$N153,"🔴損切",IF($W153&gt;=$AX$5,"⏱時間決済",IF($H153&lt;=$F153*(1-$AX$2*0.7),"⚠️損切接近","保持継続")))))))</f>
      </c>
      <c r="P153" s="491"/>
      <c r="Q153" s="491"/>
      <c r="R153" s="491" t="str">
        <f>IF(OR($F153="",$H153="",$N153=""),"",IF($S153="✅売却済","",IF($C153="売",IF($H153&gt;$F153*(1-$AX$2),$N153,CEILING(MIN($N153,IF($Q153="",$N153,$Q153*1.03)),IF($N153&lt;=3000,1,IF($N153&lt;=5000,5,IF($N153&lt;=30000,10,IF($N153&lt;=50000,50,IF($N153&lt;=300000,100,500))))))),IF($H153&lt;$F153*(1+$AX$2),$N153,FLOOR(MAX($N153,IF($P153="",$N153,$P153*0.97)),IF($N153&lt;=3000,1,IF($N153&lt;=5000,5,IF($N153&lt;=30000,10,IF($N153&lt;=50000,50,IF($N153&lt;=300000,100,500))))))))))</f>
      </c>
      <c r="S153" s="586" t="str">
        <f>IF(B153="","",IF(T153&lt;&gt;"","✅売却済",IF(OR(H153="",L153=""),"📌保有中",IF(L153&gt;=0.06,"🟢利確推奨",IF(L153&gt;=0.05,"🟡利確直近",IF(L153&gt;=0.045,"🔵トレーリング検討",IF(L153&gt;-0.03,"📌保有中",IF(L153&gt;-0.04,"⚠️損切注意","🔴損切り"))))))))</f>
        <v/>
      </c>
      <c r="T153" s="594"/>
      <c r="U153" s="491"/>
      <c r="V153" s="701" t="str">
        <f>IF(OR(F153="",G153="",U153=""),"",IF(C153="売",(F153-U153)*G153,(U153-F153)*G153))</f>
        <v/>
      </c>
      <c r="W153" s="493" t="str">
        <f>IF(OR($E153="",$B153=""),"",IF($T153&lt;&gt;"",$T153-$E153,TODAY()-$E153)+1)</f>
        <v/>
      </c>
      <c r="X153" s="489" t="str">
        <f>IF(OR($AH153="",$AH153="保有中"),"",$AH153)</f>
        <v/>
      </c>
      <c r="Y153" s="488">
        <f>IF($B153="","",IF(COUNTIFS($B$4:$B153,$B153,$C$4:$C153,$C153)&gt;1,"⛔重複"&amp;COUNTIFS($B$4:$B153,$B153,$C$4:$C153,$C153)&amp;"回目",""))</f>
      </c>
      <c r="Z153" s="710"/>
      <c r="AB153">
        <f>IF($F153="","",MAX(100,ROUNDDOWN($AX$4/($F153*$AX$2)/100,0)*100))</f>
      </c>
      <c r="AC153">
        <f>IF(OR($F153="",$G153="",$U153=""),"",ROUND($V153-($F153+$U153)*$G153*$AX$6-IF($C153="売",$F153*$G153*$AX$7*$W153/365,0),0))</f>
      </c>
      <c r="AD153" s="608"/>
      <c r="AE153" s="600" t="str">
        <f>IF($E153="","",WORKDAY($E153,12))</f>
        <v/>
      </c>
      <c r="AF153" s="600"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0"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0" t="str">
        <f>IF(OR($B153="",$M153=""),"",IF(AND(N($AF153)=0,N($AG153)=0),IF(AND(ISNUMBER($H153),$H153&gt;0,IF($C153="売",$H153&gt;=$N153,$H153&lt;=$N153)),"損切確定",IF(AND(ISNUMBER($H153),$H153&gt;0,IF($C153="売",$H153&lt;=$M153,$H153&gt;=$M153)),"利益確定",IF($AE153&lt;=TODAY(),"日数制限","保有中"))),IF(N($AG153)=0,"利益確定",IF(N($AF153)=0,"損切確定",IF($AG153&lt;=$AF153,"損切確定","利益確定")))))</f>
        <v/>
      </c>
      <c r="AI153" s="600" t="str" cm="1">
        <f t="array" ref="AI153">IFERROR(INDEX(始値!$E$6:$BT$305,MATCH(TEXT($B153,"0"),TEXT(銘柄管理!$B$6:$B$305,"0"),0),MATCH($AE153,始値!$E$3:$BT$3,0)),"")</f>
        <v/>
      </c>
      <c r="AJ153" s="608" t="str">
        <f>IF(OR($V153="",$F153="",$G153=""),"",$V153/($F153*$G153))</f>
        <v/>
      </c>
      <c r="AK153" s="600" t="str">
        <f>IF($V153="","",IF($V153&gt;0,"○勝",IF($V153&lt;0,"●負","△引分")))</f>
        <v/>
      </c>
    </row>
    <row r="154" spans="1:37" ht="35.4" customHeight="1">
      <c r="A154" s="619" t="str">
        <f>IF(B154="","",HYPERLINK("https://kabutan.jp/stock/?code="&amp;B154,"株探"))</f>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IF(OR(F154="",G154="",H154=""),"",IF(C154="売",(F154-H154)*G154,(H154-F154)*G154))</f>
        <v/>
      </c>
      <c r="L154" s="706" t="str">
        <f>IF(OR(F154="",H154=""),"",IF(C154="売",(F154-H154)/F154,(H154-F154)/F154))</f>
        <v/>
      </c>
      <c r="M154" s="491" t="str">
        <f>IF($F154="","",IF($C154="売",CEILING($F154*IF($C154="売",1-$AX$3,1+$AX$3),IF($F154*IF($C154="売",1-$AX$3,1+$AX$3)&lt;=3000,1,IF($F154*IF($C154="売",1-$AX$3,1+$AX$3)&lt;=5000,5,IF($F154*IF($C154="売",1-$AX$3,1+$AX$3)&lt;=30000,10,IF($F154*IF($C154="売",1-$AX$3,1+$AX$3)&lt;=50000,50,IF($F154*IF($C154="売",1-$AX$3,1+$AX$3)&lt;=300000,100,500)))))),FLOOR($F154*IF($C154="売",1-$AX$3,1+$AX$3),IF($F154*IF($C154="売",1-$AX$3,1+$AX$3)&lt;=3000,1,IF($F154*IF($C154="売",1-$AX$3,1+$AX$3)&lt;=5000,5,IF($F154*IF($C154="売",1-$AX$3,1+$AX$3)&lt;=30000,10,IF($F154*IF($C154="売",1-$AX$3,1+$AX$3)&lt;=50000,50,IF($F154*IF($C154="売",1-$AX$3,1+$AX$3)&lt;=300000,100,500))))))))</f>
      </c>
      <c r="N154" s="491" t="str">
        <f>IF($F154="","",IF($C154="売",CEILING($F154*IF($C154="売",1+$AX$2,1-$AX$2),IF($F154*IF($C154="売",1+$AX$2,1-$AX$2)&lt;=3000,1,IF($F154*IF($C154="売",1+$AX$2,1-$AX$2)&lt;=5000,5,IF($F154*IF($C154="売",1+$AX$2,1-$AX$2)&lt;=30000,10,IF($F154*IF($C154="売",1+$AX$2,1-$AX$2)&lt;=50000,50,IF($F154*IF($C154="売",1+$AX$2,1-$AX$2)&lt;=300000,100,500)))))),FLOOR($F154*IF($C154="売",1+$AX$2,1-$AX$2),IF($F154*IF($C154="売",1+$AX$2,1-$AX$2)&lt;=3000,1,IF($F154*IF($C154="売",1+$AX$2,1-$AX$2)&lt;=5000,5,IF($F154*IF($C154="売",1+$AX$2,1-$AX$2)&lt;=30000,10,IF($F154*IF($C154="売",1+$AX$2,1-$AX$2)&lt;=50000,50,IF($F154*IF($C154="売",1+$AX$2,1-$AX$2)&lt;=300000,100,500))))))))</f>
      </c>
      <c r="O154" s="492" t="str">
        <f>IF(OR($B154="",$F154="",$H154=""),"",IF($S154="✅売却済","―決済済―",IF($C154="売",IF($H154&lt;=$M154,"🟢利確",IF(AND($R154&lt;&gt;"",$H154&gt;=$R154),"🟠TRAIL決済",IF($H154&gt;=$N154,"🔴損切",IF($W154&gt;=$AX$5,"⏱時間決済",IF($H154&gt;=$F154*(1+$AX$2*0.7),"⚠️損切接近","保持継続"))))),IF($H154&gt;=$M154,"🟢利確",IF(AND($R154&lt;&gt;"",$H154&lt;=$R154),"🟠TRAIL決済",IF($H154&lt;=$N154,"🔴損切",IF($W154&gt;=$AX$5,"⏱時間決済",IF($H154&lt;=$F154*(1-$AX$2*0.7),"⚠️損切接近","保持継続")))))))</f>
      </c>
      <c r="P154" s="491"/>
      <c r="Q154" s="491"/>
      <c r="R154" s="491" t="str">
        <f>IF(OR($F154="",$H154="",$N154=""),"",IF($S154="✅売却済","",IF($C154="売",IF($H154&gt;$F154*(1-$AX$2),$N154,CEILING(MIN($N154,IF($Q154="",$N154,$Q154*1.03)),IF($N154&lt;=3000,1,IF($N154&lt;=5000,5,IF($N154&lt;=30000,10,IF($N154&lt;=50000,50,IF($N154&lt;=300000,100,500))))))),IF($H154&lt;$F154*(1+$AX$2),$N154,FLOOR(MAX($N154,IF($P154="",$N154,$P154*0.97)),IF($N154&lt;=3000,1,IF($N154&lt;=5000,5,IF($N154&lt;=30000,10,IF($N154&lt;=50000,50,IF($N154&lt;=300000,100,500))))))))))</f>
      </c>
      <c r="S154" s="586" t="str">
        <f>IF(B154="","",IF(T154&lt;&gt;"","✅売却済",IF(OR(H154="",L154=""),"📌保有中",IF(L154&gt;=0.06,"🟢利確推奨",IF(L154&gt;=0.05,"🟡利確直近",IF(L154&gt;=0.045,"🔵トレーリング検討",IF(L154&gt;-0.03,"📌保有中",IF(L154&gt;-0.04,"⚠️損切注意","🔴損切り"))))))))</f>
        <v/>
      </c>
      <c r="T154" s="594"/>
      <c r="U154" s="491"/>
      <c r="V154" s="701" t="str">
        <f>IF(OR(F154="",G154="",U154=""),"",IF(C154="売",(F154-U154)*G154,(U154-F154)*G154))</f>
        <v/>
      </c>
      <c r="W154" s="493" t="str">
        <f>IF(OR($E154="",$B154=""),"",IF($T154&lt;&gt;"",$T154-$E154,TODAY()-$E154)+1)</f>
        <v/>
      </c>
      <c r="X154" s="489" t="str">
        <f>IF(OR($AH154="",$AH154="保有中"),"",$AH154)</f>
        <v/>
      </c>
      <c r="Y154" s="488">
        <f>IF($B154="","",IF(COUNTIFS($B$4:$B154,$B154,$C$4:$C154,$C154)&gt;1,"⛔重複"&amp;COUNTIFS($B$4:$B154,$B154,$C$4:$C154,$C154)&amp;"回目",""))</f>
      </c>
      <c r="Z154" s="710"/>
      <c r="AB154">
        <f>IF($F154="","",MAX(100,ROUNDDOWN($AX$4/($F154*$AX$2)/100,0)*100))</f>
      </c>
      <c r="AC154">
        <f>IF(OR($F154="",$G154="",$U154=""),"",ROUND($V154-($F154+$U154)*$G154*$AX$6-IF($C154="売",$F154*$G154*$AX$7*$W154/365,0),0))</f>
      </c>
      <c r="AD154" s="608"/>
      <c r="AE154" s="600" t="str">
        <f>IF($E154="","",WORKDAY($E154,12))</f>
        <v/>
      </c>
      <c r="AF154" s="600"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0"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0" t="str">
        <f>IF(OR($B154="",$M154=""),"",IF(AND(N($AF154)=0,N($AG154)=0),IF(AND(ISNUMBER($H154),$H154&gt;0,IF($C154="売",$H154&gt;=$N154,$H154&lt;=$N154)),"損切確定",IF(AND(ISNUMBER($H154),$H154&gt;0,IF($C154="売",$H154&lt;=$M154,$H154&gt;=$M154)),"利益確定",IF($AE154&lt;=TODAY(),"日数制限","保有中"))),IF(N($AG154)=0,"利益確定",IF(N($AF154)=0,"損切確定",IF($AG154&lt;=$AF154,"損切確定","利益確定")))))</f>
        <v/>
      </c>
      <c r="AI154" s="600" t="str" cm="1">
        <f t="array" ref="AI154">IFERROR(INDEX(始値!$E$6:$BT$305,MATCH(TEXT($B154,"0"),TEXT(銘柄管理!$B$6:$B$305,"0"),0),MATCH($AE154,始値!$E$3:$BT$3,0)),"")</f>
        <v/>
      </c>
      <c r="AJ154" s="608" t="str">
        <f>IF(OR($V154="",$F154="",$G154=""),"",$V154/($F154*$G154))</f>
        <v/>
      </c>
      <c r="AK154" s="600" t="str">
        <f>IF($V154="","",IF($V154&gt;0,"○勝",IF($V154&lt;0,"●負","△引分")))</f>
        <v/>
      </c>
    </row>
    <row r="155" spans="1:37" ht="35.4" customHeight="1">
      <c r="A155" s="619" t="str">
        <f>IF(B155="","",HYPERLINK("https://kabutan.jp/stock/?code="&amp;B155,"株探"))</f>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IF(OR(F155="",G155="",H155=""),"",IF(C155="売",(F155-H155)*G155,(H155-F155)*G155))</f>
        <v/>
      </c>
      <c r="L155" s="706" t="str">
        <f>IF(OR(F155="",H155=""),"",IF(C155="売",(F155-H155)/F155,(H155-F155)/F155))</f>
        <v/>
      </c>
      <c r="M155" s="491" t="str">
        <f>IF($F155="","",IF($C155="売",CEILING($F155*IF($C155="売",1-$AX$3,1+$AX$3),IF($F155*IF($C155="売",1-$AX$3,1+$AX$3)&lt;=3000,1,IF($F155*IF($C155="売",1-$AX$3,1+$AX$3)&lt;=5000,5,IF($F155*IF($C155="売",1-$AX$3,1+$AX$3)&lt;=30000,10,IF($F155*IF($C155="売",1-$AX$3,1+$AX$3)&lt;=50000,50,IF($F155*IF($C155="売",1-$AX$3,1+$AX$3)&lt;=300000,100,500)))))),FLOOR($F155*IF($C155="売",1-$AX$3,1+$AX$3),IF($F155*IF($C155="売",1-$AX$3,1+$AX$3)&lt;=3000,1,IF($F155*IF($C155="売",1-$AX$3,1+$AX$3)&lt;=5000,5,IF($F155*IF($C155="売",1-$AX$3,1+$AX$3)&lt;=30000,10,IF($F155*IF($C155="売",1-$AX$3,1+$AX$3)&lt;=50000,50,IF($F155*IF($C155="売",1-$AX$3,1+$AX$3)&lt;=300000,100,500))))))))</f>
      </c>
      <c r="N155" s="491" t="str">
        <f>IF($F155="","",IF($C155="売",CEILING($F155*IF($C155="売",1+$AX$2,1-$AX$2),IF($F155*IF($C155="売",1+$AX$2,1-$AX$2)&lt;=3000,1,IF($F155*IF($C155="売",1+$AX$2,1-$AX$2)&lt;=5000,5,IF($F155*IF($C155="売",1+$AX$2,1-$AX$2)&lt;=30000,10,IF($F155*IF($C155="売",1+$AX$2,1-$AX$2)&lt;=50000,50,IF($F155*IF($C155="売",1+$AX$2,1-$AX$2)&lt;=300000,100,500)))))),FLOOR($F155*IF($C155="売",1+$AX$2,1-$AX$2),IF($F155*IF($C155="売",1+$AX$2,1-$AX$2)&lt;=3000,1,IF($F155*IF($C155="売",1+$AX$2,1-$AX$2)&lt;=5000,5,IF($F155*IF($C155="売",1+$AX$2,1-$AX$2)&lt;=30000,10,IF($F155*IF($C155="売",1+$AX$2,1-$AX$2)&lt;=50000,50,IF($F155*IF($C155="売",1+$AX$2,1-$AX$2)&lt;=300000,100,500))))))))</f>
      </c>
      <c r="O155" s="492" t="str">
        <f>IF(OR($B155="",$F155="",$H155=""),"",IF($S155="✅売却済","―決済済―",IF($C155="売",IF($H155&lt;=$M155,"🟢利確",IF(AND($R155&lt;&gt;"",$H155&gt;=$R155),"🟠TRAIL決済",IF($H155&gt;=$N155,"🔴損切",IF($W155&gt;=$AX$5,"⏱時間決済",IF($H155&gt;=$F155*(1+$AX$2*0.7),"⚠️損切接近","保持継続"))))),IF($H155&gt;=$M155,"🟢利確",IF(AND($R155&lt;&gt;"",$H155&lt;=$R155),"🟠TRAIL決済",IF($H155&lt;=$N155,"🔴損切",IF($W155&gt;=$AX$5,"⏱時間決済",IF($H155&lt;=$F155*(1-$AX$2*0.7),"⚠️損切接近","保持継続")))))))</f>
      </c>
      <c r="P155" s="491"/>
      <c r="Q155" s="491"/>
      <c r="R155" s="491" t="str">
        <f>IF(OR($F155="",$H155="",$N155=""),"",IF($S155="✅売却済","",IF($C155="売",IF($H155&gt;$F155*(1-$AX$2),$N155,CEILING(MIN($N155,IF($Q155="",$N155,$Q155*1.03)),IF($N155&lt;=3000,1,IF($N155&lt;=5000,5,IF($N155&lt;=30000,10,IF($N155&lt;=50000,50,IF($N155&lt;=300000,100,500))))))),IF($H155&lt;$F155*(1+$AX$2),$N155,FLOOR(MAX($N155,IF($P155="",$N155,$P155*0.97)),IF($N155&lt;=3000,1,IF($N155&lt;=5000,5,IF($N155&lt;=30000,10,IF($N155&lt;=50000,50,IF($N155&lt;=300000,100,500))))))))))</f>
      </c>
      <c r="S155" s="586" t="str">
        <f>IF(B155="","",IF(T155&lt;&gt;"","✅売却済",IF(OR(H155="",L155=""),"📌保有中",IF(L155&gt;=0.06,"🟢利確推奨",IF(L155&gt;=0.05,"🟡利確直近",IF(L155&gt;=0.045,"🔵トレーリング検討",IF(L155&gt;-0.03,"📌保有中",IF(L155&gt;-0.04,"⚠️損切注意","🔴損切り"))))))))</f>
        <v/>
      </c>
      <c r="T155" s="594"/>
      <c r="U155" s="491"/>
      <c r="V155" s="701" t="str">
        <f>IF(OR(F155="",G155="",U155=""),"",IF(C155="売",(F155-U155)*G155,(U155-F155)*G155))</f>
        <v/>
      </c>
      <c r="W155" s="493" t="str">
        <f>IF(OR($E155="",$B155=""),"",IF($T155&lt;&gt;"",$T155-$E155,TODAY()-$E155)+1)</f>
        <v/>
      </c>
      <c r="X155" s="489" t="str">
        <f>IF(OR($AH155="",$AH155="保有中"),"",$AH155)</f>
        <v/>
      </c>
      <c r="Y155" s="488">
        <f>IF($B155="","",IF(COUNTIFS($B$4:$B155,$B155,$C$4:$C155,$C155)&gt;1,"⛔重複"&amp;COUNTIFS($B$4:$B155,$B155,$C$4:$C155,$C155)&amp;"回目",""))</f>
      </c>
      <c r="Z155" s="710"/>
      <c r="AB155">
        <f>IF($F155="","",MAX(100,ROUNDDOWN($AX$4/($F155*$AX$2)/100,0)*100))</f>
      </c>
      <c r="AC155">
        <f>IF(OR($F155="",$G155="",$U155=""),"",ROUND($V155-($F155+$U155)*$G155*$AX$6-IF($C155="売",$F155*$G155*$AX$7*$W155/365,0),0))</f>
      </c>
      <c r="AD155" s="608"/>
      <c r="AE155" s="600" t="str">
        <f>IF($E155="","",WORKDAY($E155,12))</f>
        <v/>
      </c>
      <c r="AF155" s="600"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0"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0" t="str">
        <f>IF(OR($B155="",$M155=""),"",IF(AND(N($AF155)=0,N($AG155)=0),IF(AND(ISNUMBER($H155),$H155&gt;0,IF($C155="売",$H155&gt;=$N155,$H155&lt;=$N155)),"損切確定",IF(AND(ISNUMBER($H155),$H155&gt;0,IF($C155="売",$H155&lt;=$M155,$H155&gt;=$M155)),"利益確定",IF($AE155&lt;=TODAY(),"日数制限","保有中"))),IF(N($AG155)=0,"利益確定",IF(N($AF155)=0,"損切確定",IF($AG155&lt;=$AF155,"損切確定","利益確定")))))</f>
        <v/>
      </c>
      <c r="AI155" s="600" t="str" cm="1">
        <f t="array" ref="AI155">IFERROR(INDEX(始値!$E$6:$BT$305,MATCH(TEXT($B155,"0"),TEXT(銘柄管理!$B$6:$B$305,"0"),0),MATCH($AE155,始値!$E$3:$BT$3,0)),"")</f>
        <v/>
      </c>
      <c r="AJ155" s="608" t="str">
        <f>IF(OR($V155="",$F155="",$G155=""),"",$V155/($F155*$G155))</f>
        <v/>
      </c>
      <c r="AK155" s="600" t="str">
        <f>IF($V155="","",IF($V155&gt;0,"○勝",IF($V155&lt;0,"●負","△引分")))</f>
        <v/>
      </c>
    </row>
    <row r="156" spans="1:37" ht="35.4" customHeight="1">
      <c r="A156" s="619" t="str">
        <f>IF(B156="","",HYPERLINK("https://kabutan.jp/stock/?code="&amp;B156,"株探"))</f>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IF(OR(F156="",G156="",H156=""),"",IF(C156="売",(F156-H156)*G156,(H156-F156)*G156))</f>
        <v/>
      </c>
      <c r="L156" s="706" t="str">
        <f>IF(OR(F156="",H156=""),"",IF(C156="売",(F156-H156)/F156,(H156-F156)/F156))</f>
        <v/>
      </c>
      <c r="M156" s="491" t="str">
        <f>IF($F156="","",IF($C156="売",CEILING($F156*IF($C156="売",1-$AX$3,1+$AX$3),IF($F156*IF($C156="売",1-$AX$3,1+$AX$3)&lt;=3000,1,IF($F156*IF($C156="売",1-$AX$3,1+$AX$3)&lt;=5000,5,IF($F156*IF($C156="売",1-$AX$3,1+$AX$3)&lt;=30000,10,IF($F156*IF($C156="売",1-$AX$3,1+$AX$3)&lt;=50000,50,IF($F156*IF($C156="売",1-$AX$3,1+$AX$3)&lt;=300000,100,500)))))),FLOOR($F156*IF($C156="売",1-$AX$3,1+$AX$3),IF($F156*IF($C156="売",1-$AX$3,1+$AX$3)&lt;=3000,1,IF($F156*IF($C156="売",1-$AX$3,1+$AX$3)&lt;=5000,5,IF($F156*IF($C156="売",1-$AX$3,1+$AX$3)&lt;=30000,10,IF($F156*IF($C156="売",1-$AX$3,1+$AX$3)&lt;=50000,50,IF($F156*IF($C156="売",1-$AX$3,1+$AX$3)&lt;=300000,100,500))))))))</f>
      </c>
      <c r="N156" s="491" t="str">
        <f>IF($F156="","",IF($C156="売",CEILING($F156*IF($C156="売",1+$AX$2,1-$AX$2),IF($F156*IF($C156="売",1+$AX$2,1-$AX$2)&lt;=3000,1,IF($F156*IF($C156="売",1+$AX$2,1-$AX$2)&lt;=5000,5,IF($F156*IF($C156="売",1+$AX$2,1-$AX$2)&lt;=30000,10,IF($F156*IF($C156="売",1+$AX$2,1-$AX$2)&lt;=50000,50,IF($F156*IF($C156="売",1+$AX$2,1-$AX$2)&lt;=300000,100,500)))))),FLOOR($F156*IF($C156="売",1+$AX$2,1-$AX$2),IF($F156*IF($C156="売",1+$AX$2,1-$AX$2)&lt;=3000,1,IF($F156*IF($C156="売",1+$AX$2,1-$AX$2)&lt;=5000,5,IF($F156*IF($C156="売",1+$AX$2,1-$AX$2)&lt;=30000,10,IF($F156*IF($C156="売",1+$AX$2,1-$AX$2)&lt;=50000,50,IF($F156*IF($C156="売",1+$AX$2,1-$AX$2)&lt;=300000,100,500))))))))</f>
      </c>
      <c r="O156" s="492" t="str">
        <f>IF(OR($B156="",$F156="",$H156=""),"",IF($S156="✅売却済","―決済済―",IF($C156="売",IF($H156&lt;=$M156,"🟢利確",IF(AND($R156&lt;&gt;"",$H156&gt;=$R156),"🟠TRAIL決済",IF($H156&gt;=$N156,"🔴損切",IF($W156&gt;=$AX$5,"⏱時間決済",IF($H156&gt;=$F156*(1+$AX$2*0.7),"⚠️損切接近","保持継続"))))),IF($H156&gt;=$M156,"🟢利確",IF(AND($R156&lt;&gt;"",$H156&lt;=$R156),"🟠TRAIL決済",IF($H156&lt;=$N156,"🔴損切",IF($W156&gt;=$AX$5,"⏱時間決済",IF($H156&lt;=$F156*(1-$AX$2*0.7),"⚠️損切接近","保持継続")))))))</f>
      </c>
      <c r="P156" s="491"/>
      <c r="Q156" s="491"/>
      <c r="R156" s="491" t="str">
        <f>IF(OR($F156="",$H156="",$N156=""),"",IF($S156="✅売却済","",IF($C156="売",IF($H156&gt;$F156*(1-$AX$2),$N156,CEILING(MIN($N156,IF($Q156="",$N156,$Q156*1.03)),IF($N156&lt;=3000,1,IF($N156&lt;=5000,5,IF($N156&lt;=30000,10,IF($N156&lt;=50000,50,IF($N156&lt;=300000,100,500))))))),IF($H156&lt;$F156*(1+$AX$2),$N156,FLOOR(MAX($N156,IF($P156="",$N156,$P156*0.97)),IF($N156&lt;=3000,1,IF($N156&lt;=5000,5,IF($N156&lt;=30000,10,IF($N156&lt;=50000,50,IF($N156&lt;=300000,100,500))))))))))</f>
      </c>
      <c r="S156" s="586" t="str">
        <f>IF(B156="","",IF(T156&lt;&gt;"","✅売却済",IF(OR(H156="",L156=""),"📌保有中",IF(L156&gt;=0.06,"🟢利確推奨",IF(L156&gt;=0.05,"🟡利確直近",IF(L156&gt;=0.045,"🔵トレーリング検討",IF(L156&gt;-0.03,"📌保有中",IF(L156&gt;-0.04,"⚠️損切注意","🔴損切り"))))))))</f>
        <v/>
      </c>
      <c r="T156" s="594"/>
      <c r="U156" s="491"/>
      <c r="V156" s="701" t="str">
        <f>IF(OR(F156="",G156="",U156=""),"",IF(C156="売",(F156-U156)*G156,(U156-F156)*G156))</f>
        <v/>
      </c>
      <c r="W156" s="493" t="str">
        <f>IF(OR($E156="",$B156=""),"",IF($T156&lt;&gt;"",$T156-$E156,TODAY()-$E156)+1)</f>
        <v/>
      </c>
      <c r="X156" s="489" t="str">
        <f>IF(OR($AH156="",$AH156="保有中"),"",$AH156)</f>
        <v/>
      </c>
      <c r="Y156" s="488">
        <f>IF($B156="","",IF(COUNTIFS($B$4:$B156,$B156,$C$4:$C156,$C156)&gt;1,"⛔重複"&amp;COUNTIFS($B$4:$B156,$B156,$C$4:$C156,$C156)&amp;"回目",""))</f>
      </c>
      <c r="Z156" s="710"/>
      <c r="AB156">
        <f>IF($F156="","",MAX(100,ROUNDDOWN($AX$4/($F156*$AX$2)/100,0)*100))</f>
      </c>
      <c r="AC156">
        <f>IF(OR($F156="",$G156="",$U156=""),"",ROUND($V156-($F156+$U156)*$G156*$AX$6-IF($C156="売",$F156*$G156*$AX$7*$W156/365,0),0))</f>
      </c>
      <c r="AD156" s="608"/>
      <c r="AE156" s="600" t="str">
        <f>IF($E156="","",WORKDAY($E156,12))</f>
        <v/>
      </c>
      <c r="AF156" s="600"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0"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0" t="str">
        <f>IF(OR($B156="",$M156=""),"",IF(AND(N($AF156)=0,N($AG156)=0),IF(AND(ISNUMBER($H156),$H156&gt;0,IF($C156="売",$H156&gt;=$N156,$H156&lt;=$N156)),"損切確定",IF(AND(ISNUMBER($H156),$H156&gt;0,IF($C156="売",$H156&lt;=$M156,$H156&gt;=$M156)),"利益確定",IF($AE156&lt;=TODAY(),"日数制限","保有中"))),IF(N($AG156)=0,"利益確定",IF(N($AF156)=0,"損切確定",IF($AG156&lt;=$AF156,"損切確定","利益確定")))))</f>
        <v/>
      </c>
      <c r="AI156" s="600" t="str" cm="1">
        <f t="array" ref="AI156">IFERROR(INDEX(始値!$E$6:$BT$305,MATCH(TEXT($B156,"0"),TEXT(銘柄管理!$B$6:$B$305,"0"),0),MATCH($AE156,始値!$E$3:$BT$3,0)),"")</f>
        <v/>
      </c>
      <c r="AJ156" s="608" t="str">
        <f>IF(OR($V156="",$F156="",$G156=""),"",$V156/($F156*$G156))</f>
        <v/>
      </c>
      <c r="AK156" s="600" t="str">
        <f>IF($V156="","",IF($V156&gt;0,"○勝",IF($V156&lt;0,"●負","△引分")))</f>
        <v/>
      </c>
    </row>
    <row r="157" spans="1:37" ht="35.4" customHeight="1">
      <c r="A157" s="619" t="str">
        <f>IF(B157="","",HYPERLINK("https://kabutan.jp/stock/?code="&amp;B157,"株探"))</f>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IF(OR(F157="",G157="",H157=""),"",IF(C157="売",(F157-H157)*G157,(H157-F157)*G157))</f>
        <v/>
      </c>
      <c r="L157" s="706" t="str">
        <f>IF(OR(F157="",H157=""),"",IF(C157="売",(F157-H157)/F157,(H157-F157)/F157))</f>
        <v/>
      </c>
      <c r="M157" s="491" t="str">
        <f>IF($F157="","",IF($C157="売",CEILING($F157*IF($C157="売",1-$AX$3,1+$AX$3),IF($F157*IF($C157="売",1-$AX$3,1+$AX$3)&lt;=3000,1,IF($F157*IF($C157="売",1-$AX$3,1+$AX$3)&lt;=5000,5,IF($F157*IF($C157="売",1-$AX$3,1+$AX$3)&lt;=30000,10,IF($F157*IF($C157="売",1-$AX$3,1+$AX$3)&lt;=50000,50,IF($F157*IF($C157="売",1-$AX$3,1+$AX$3)&lt;=300000,100,500)))))),FLOOR($F157*IF($C157="売",1-$AX$3,1+$AX$3),IF($F157*IF($C157="売",1-$AX$3,1+$AX$3)&lt;=3000,1,IF($F157*IF($C157="売",1-$AX$3,1+$AX$3)&lt;=5000,5,IF($F157*IF($C157="売",1-$AX$3,1+$AX$3)&lt;=30000,10,IF($F157*IF($C157="売",1-$AX$3,1+$AX$3)&lt;=50000,50,IF($F157*IF($C157="売",1-$AX$3,1+$AX$3)&lt;=300000,100,500))))))))</f>
      </c>
      <c r="N157" s="491" t="str">
        <f>IF($F157="","",IF($C157="売",CEILING($F157*IF($C157="売",1+$AX$2,1-$AX$2),IF($F157*IF($C157="売",1+$AX$2,1-$AX$2)&lt;=3000,1,IF($F157*IF($C157="売",1+$AX$2,1-$AX$2)&lt;=5000,5,IF($F157*IF($C157="売",1+$AX$2,1-$AX$2)&lt;=30000,10,IF($F157*IF($C157="売",1+$AX$2,1-$AX$2)&lt;=50000,50,IF($F157*IF($C157="売",1+$AX$2,1-$AX$2)&lt;=300000,100,500)))))),FLOOR($F157*IF($C157="売",1+$AX$2,1-$AX$2),IF($F157*IF($C157="売",1+$AX$2,1-$AX$2)&lt;=3000,1,IF($F157*IF($C157="売",1+$AX$2,1-$AX$2)&lt;=5000,5,IF($F157*IF($C157="売",1+$AX$2,1-$AX$2)&lt;=30000,10,IF($F157*IF($C157="売",1+$AX$2,1-$AX$2)&lt;=50000,50,IF($F157*IF($C157="売",1+$AX$2,1-$AX$2)&lt;=300000,100,500))))))))</f>
      </c>
      <c r="O157" s="492" t="str">
        <f>IF(OR($B157="",$F157="",$H157=""),"",IF($S157="✅売却済","―決済済―",IF($C157="売",IF($H157&lt;=$M157,"🟢利確",IF(AND($R157&lt;&gt;"",$H157&gt;=$R157),"🟠TRAIL決済",IF($H157&gt;=$N157,"🔴損切",IF($W157&gt;=$AX$5,"⏱時間決済",IF($H157&gt;=$F157*(1+$AX$2*0.7),"⚠️損切接近","保持継続"))))),IF($H157&gt;=$M157,"🟢利確",IF(AND($R157&lt;&gt;"",$H157&lt;=$R157),"🟠TRAIL決済",IF($H157&lt;=$N157,"🔴損切",IF($W157&gt;=$AX$5,"⏱時間決済",IF($H157&lt;=$F157*(1-$AX$2*0.7),"⚠️損切接近","保持継続")))))))</f>
      </c>
      <c r="P157" s="491"/>
      <c r="Q157" s="491"/>
      <c r="R157" s="491" t="str">
        <f>IF(OR($F157="",$H157="",$N157=""),"",IF($S157="✅売却済","",IF($C157="売",IF($H157&gt;$F157*(1-$AX$2),$N157,CEILING(MIN($N157,IF($Q157="",$N157,$Q157*1.03)),IF($N157&lt;=3000,1,IF($N157&lt;=5000,5,IF($N157&lt;=30000,10,IF($N157&lt;=50000,50,IF($N157&lt;=300000,100,500))))))),IF($H157&lt;$F157*(1+$AX$2),$N157,FLOOR(MAX($N157,IF($P157="",$N157,$P157*0.97)),IF($N157&lt;=3000,1,IF($N157&lt;=5000,5,IF($N157&lt;=30000,10,IF($N157&lt;=50000,50,IF($N157&lt;=300000,100,500))))))))))</f>
      </c>
      <c r="S157" s="586" t="str">
        <f>IF(B157="","",IF(T157&lt;&gt;"","✅売却済",IF(OR(H157="",L157=""),"📌保有中",IF(L157&gt;=0.06,"🟢利確推奨",IF(L157&gt;=0.05,"🟡利確直近",IF(L157&gt;=0.045,"🔵トレーリング検討",IF(L157&gt;-0.03,"📌保有中",IF(L157&gt;-0.04,"⚠️損切注意","🔴損切り"))))))))</f>
        <v/>
      </c>
      <c r="T157" s="594"/>
      <c r="U157" s="491"/>
      <c r="V157" s="701" t="str">
        <f>IF(OR(F157="",G157="",U157=""),"",IF(C157="売",(F157-U157)*G157,(U157-F157)*G157))</f>
        <v/>
      </c>
      <c r="W157" s="493" t="str">
        <f>IF(OR($E157="",$B157=""),"",IF($T157&lt;&gt;"",$T157-$E157,TODAY()-$E157)+1)</f>
        <v/>
      </c>
      <c r="X157" s="489" t="str">
        <f>IF(OR($AH157="",$AH157="保有中"),"",$AH157)</f>
        <v/>
      </c>
      <c r="Y157" s="488">
        <f>IF($B157="","",IF(COUNTIFS($B$4:$B157,$B157,$C$4:$C157,$C157)&gt;1,"⛔重複"&amp;COUNTIFS($B$4:$B157,$B157,$C$4:$C157,$C157)&amp;"回目",""))</f>
      </c>
      <c r="Z157" s="710"/>
      <c r="AB157">
        <f>IF($F157="","",MAX(100,ROUNDDOWN($AX$4/($F157*$AX$2)/100,0)*100))</f>
      </c>
      <c r="AC157">
        <f>IF(OR($F157="",$G157="",$U157=""),"",ROUND($V157-($F157+$U157)*$G157*$AX$6-IF($C157="売",$F157*$G157*$AX$7*$W157/365,0),0))</f>
      </c>
      <c r="AD157" s="608"/>
      <c r="AE157" s="600" t="str">
        <f>IF($E157="","",WORKDAY($E157,12))</f>
        <v/>
      </c>
      <c r="AF157" s="600"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0"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0" t="str">
        <f>IF(OR($B157="",$M157=""),"",IF(AND(N($AF157)=0,N($AG157)=0),IF(AND(ISNUMBER($H157),$H157&gt;0,IF($C157="売",$H157&gt;=$N157,$H157&lt;=$N157)),"損切確定",IF(AND(ISNUMBER($H157),$H157&gt;0,IF($C157="売",$H157&lt;=$M157,$H157&gt;=$M157)),"利益確定",IF($AE157&lt;=TODAY(),"日数制限","保有中"))),IF(N($AG157)=0,"利益確定",IF(N($AF157)=0,"損切確定",IF($AG157&lt;=$AF157,"損切確定","利益確定")))))</f>
        <v/>
      </c>
      <c r="AI157" s="600" t="str" cm="1">
        <f t="array" ref="AI157">IFERROR(INDEX(始値!$E$6:$BT$305,MATCH(TEXT($B157,"0"),TEXT(銘柄管理!$B$6:$B$305,"0"),0),MATCH($AE157,始値!$E$3:$BT$3,0)),"")</f>
        <v/>
      </c>
      <c r="AJ157" s="608" t="str">
        <f>IF(OR($V157="",$F157="",$G157=""),"",$V157/($F157*$G157))</f>
        <v/>
      </c>
      <c r="AK157" s="600" t="str">
        <f>IF($V157="","",IF($V157&gt;0,"○勝",IF($V157&lt;0,"●負","△引分")))</f>
        <v/>
      </c>
    </row>
    <row r="158" spans="1:37" ht="35.4" customHeight="1">
      <c r="A158" s="619" t="str">
        <f>IF(B158="","",HYPERLINK("https://kabutan.jp/stock/?code="&amp;B158,"株探"))</f>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IF(OR(F158="",G158="",H158=""),"",IF(C158="売",(F158-H158)*G158,(H158-F158)*G158))</f>
        <v/>
      </c>
      <c r="L158" s="706" t="str">
        <f>IF(OR(F158="",H158=""),"",IF(C158="売",(F158-H158)/F158,(H158-F158)/F158))</f>
        <v/>
      </c>
      <c r="M158" s="491" t="str">
        <f>IF($F158="","",IF($C158="売",CEILING($F158*IF($C158="売",1-$AX$3,1+$AX$3),IF($F158*IF($C158="売",1-$AX$3,1+$AX$3)&lt;=3000,1,IF($F158*IF($C158="売",1-$AX$3,1+$AX$3)&lt;=5000,5,IF($F158*IF($C158="売",1-$AX$3,1+$AX$3)&lt;=30000,10,IF($F158*IF($C158="売",1-$AX$3,1+$AX$3)&lt;=50000,50,IF($F158*IF($C158="売",1-$AX$3,1+$AX$3)&lt;=300000,100,500)))))),FLOOR($F158*IF($C158="売",1-$AX$3,1+$AX$3),IF($F158*IF($C158="売",1-$AX$3,1+$AX$3)&lt;=3000,1,IF($F158*IF($C158="売",1-$AX$3,1+$AX$3)&lt;=5000,5,IF($F158*IF($C158="売",1-$AX$3,1+$AX$3)&lt;=30000,10,IF($F158*IF($C158="売",1-$AX$3,1+$AX$3)&lt;=50000,50,IF($F158*IF($C158="売",1-$AX$3,1+$AX$3)&lt;=300000,100,500))))))))</f>
      </c>
      <c r="N158" s="491" t="str">
        <f>IF($F158="","",IF($C158="売",CEILING($F158*IF($C158="売",1+$AX$2,1-$AX$2),IF($F158*IF($C158="売",1+$AX$2,1-$AX$2)&lt;=3000,1,IF($F158*IF($C158="売",1+$AX$2,1-$AX$2)&lt;=5000,5,IF($F158*IF($C158="売",1+$AX$2,1-$AX$2)&lt;=30000,10,IF($F158*IF($C158="売",1+$AX$2,1-$AX$2)&lt;=50000,50,IF($F158*IF($C158="売",1+$AX$2,1-$AX$2)&lt;=300000,100,500)))))),FLOOR($F158*IF($C158="売",1+$AX$2,1-$AX$2),IF($F158*IF($C158="売",1+$AX$2,1-$AX$2)&lt;=3000,1,IF($F158*IF($C158="売",1+$AX$2,1-$AX$2)&lt;=5000,5,IF($F158*IF($C158="売",1+$AX$2,1-$AX$2)&lt;=30000,10,IF($F158*IF($C158="売",1+$AX$2,1-$AX$2)&lt;=50000,50,IF($F158*IF($C158="売",1+$AX$2,1-$AX$2)&lt;=300000,100,500))))))))</f>
      </c>
      <c r="O158" s="492" t="str">
        <f>IF(OR($B158="",$F158="",$H158=""),"",IF($S158="✅売却済","―決済済―",IF($C158="売",IF($H158&lt;=$M158,"🟢利確",IF(AND($R158&lt;&gt;"",$H158&gt;=$R158),"🟠TRAIL決済",IF($H158&gt;=$N158,"🔴損切",IF($W158&gt;=$AX$5,"⏱時間決済",IF($H158&gt;=$F158*(1+$AX$2*0.7),"⚠️損切接近","保持継続"))))),IF($H158&gt;=$M158,"🟢利確",IF(AND($R158&lt;&gt;"",$H158&lt;=$R158),"🟠TRAIL決済",IF($H158&lt;=$N158,"🔴損切",IF($W158&gt;=$AX$5,"⏱時間決済",IF($H158&lt;=$F158*(1-$AX$2*0.7),"⚠️損切接近","保持継続")))))))</f>
      </c>
      <c r="P158" s="491"/>
      <c r="Q158" s="491"/>
      <c r="R158" s="491" t="str">
        <f>IF(OR($F158="",$H158="",$N158=""),"",IF($S158="✅売却済","",IF($C158="売",IF($H158&gt;$F158*(1-$AX$2),$N158,CEILING(MIN($N158,IF($Q158="",$N158,$Q158*1.03)),IF($N158&lt;=3000,1,IF($N158&lt;=5000,5,IF($N158&lt;=30000,10,IF($N158&lt;=50000,50,IF($N158&lt;=300000,100,500))))))),IF($H158&lt;$F158*(1+$AX$2),$N158,FLOOR(MAX($N158,IF($P158="",$N158,$P158*0.97)),IF($N158&lt;=3000,1,IF($N158&lt;=5000,5,IF($N158&lt;=30000,10,IF($N158&lt;=50000,50,IF($N158&lt;=300000,100,500))))))))))</f>
      </c>
      <c r="S158" s="586" t="str">
        <f>IF(B158="","",IF(T158&lt;&gt;"","✅売却済",IF(OR(H158="",L158=""),"📌保有中",IF(L158&gt;=0.06,"🟢利確推奨",IF(L158&gt;=0.05,"🟡利確直近",IF(L158&gt;=0.045,"🔵トレーリング検討",IF(L158&gt;-0.03,"📌保有中",IF(L158&gt;-0.04,"⚠️損切注意","🔴損切り"))))))))</f>
        <v/>
      </c>
      <c r="T158" s="594"/>
      <c r="U158" s="491"/>
      <c r="V158" s="701" t="str">
        <f>IF(OR(F158="",G158="",U158=""),"",IF(C158="売",(F158-U158)*G158,(U158-F158)*G158))</f>
        <v/>
      </c>
      <c r="W158" s="493" t="str">
        <f>IF(OR($E158="",$B158=""),"",IF($T158&lt;&gt;"",$T158-$E158,TODAY()-$E158)+1)</f>
        <v/>
      </c>
      <c r="X158" s="489" t="str">
        <f>IF(OR($AH158="",$AH158="保有中"),"",$AH158)</f>
        <v/>
      </c>
      <c r="Y158" s="488">
        <f>IF($B158="","",IF(COUNTIFS($B$4:$B158,$B158,$C$4:$C158,$C158)&gt;1,"⛔重複"&amp;COUNTIFS($B$4:$B158,$B158,$C$4:$C158,$C158)&amp;"回目",""))</f>
      </c>
      <c r="Z158" s="710"/>
      <c r="AB158">
        <f>IF($F158="","",MAX(100,ROUNDDOWN($AX$4/($F158*$AX$2)/100,0)*100))</f>
      </c>
      <c r="AC158">
        <f>IF(OR($F158="",$G158="",$U158=""),"",ROUND($V158-($F158+$U158)*$G158*$AX$6-IF($C158="売",$F158*$G158*$AX$7*$W158/365,0),0))</f>
      </c>
      <c r="AD158" s="608"/>
      <c r="AE158" s="600" t="str">
        <f>IF($E158="","",WORKDAY($E158,12))</f>
        <v/>
      </c>
      <c r="AF158" s="600"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0"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0" t="str">
        <f>IF(OR($B158="",$M158=""),"",IF(AND(N($AF158)=0,N($AG158)=0),IF(AND(ISNUMBER($H158),$H158&gt;0,IF($C158="売",$H158&gt;=$N158,$H158&lt;=$N158)),"損切確定",IF(AND(ISNUMBER($H158),$H158&gt;0,IF($C158="売",$H158&lt;=$M158,$H158&gt;=$M158)),"利益確定",IF($AE158&lt;=TODAY(),"日数制限","保有中"))),IF(N($AG158)=0,"利益確定",IF(N($AF158)=0,"損切確定",IF($AG158&lt;=$AF158,"損切確定","利益確定")))))</f>
        <v/>
      </c>
      <c r="AI158" s="600" t="str" cm="1">
        <f t="array" ref="AI158">IFERROR(INDEX(始値!$E$6:$BT$305,MATCH(TEXT($B158,"0"),TEXT(銘柄管理!$B$6:$B$305,"0"),0),MATCH($AE158,始値!$E$3:$BT$3,0)),"")</f>
        <v/>
      </c>
      <c r="AJ158" s="608" t="str">
        <f>IF(OR($V158="",$F158="",$G158=""),"",$V158/($F158*$G158))</f>
        <v/>
      </c>
      <c r="AK158" s="600" t="str">
        <f>IF($V158="","",IF($V158&gt;0,"○勝",IF($V158&lt;0,"●負","△引分")))</f>
        <v/>
      </c>
    </row>
    <row r="159" spans="1:37" ht="35.4" customHeight="1">
      <c r="A159" s="619" t="str">
        <f>IF(B159="","",HYPERLINK("https://kabutan.jp/stock/?code="&amp;B159,"株探"))</f>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IF(OR(F159="",G159="",H159=""),"",IF(C159="売",(F159-H159)*G159,(H159-F159)*G159))</f>
        <v/>
      </c>
      <c r="L159" s="706" t="str">
        <f>IF(OR(F159="",H159=""),"",IF(C159="売",(F159-H159)/F159,(H159-F159)/F159))</f>
        <v/>
      </c>
      <c r="M159" s="491" t="str">
        <f>IF($F159="","",IF($C159="売",CEILING($F159*IF($C159="売",1-$AX$3,1+$AX$3),IF($F159*IF($C159="売",1-$AX$3,1+$AX$3)&lt;=3000,1,IF($F159*IF($C159="売",1-$AX$3,1+$AX$3)&lt;=5000,5,IF($F159*IF($C159="売",1-$AX$3,1+$AX$3)&lt;=30000,10,IF($F159*IF($C159="売",1-$AX$3,1+$AX$3)&lt;=50000,50,IF($F159*IF($C159="売",1-$AX$3,1+$AX$3)&lt;=300000,100,500)))))),FLOOR($F159*IF($C159="売",1-$AX$3,1+$AX$3),IF($F159*IF($C159="売",1-$AX$3,1+$AX$3)&lt;=3000,1,IF($F159*IF($C159="売",1-$AX$3,1+$AX$3)&lt;=5000,5,IF($F159*IF($C159="売",1-$AX$3,1+$AX$3)&lt;=30000,10,IF($F159*IF($C159="売",1-$AX$3,1+$AX$3)&lt;=50000,50,IF($F159*IF($C159="売",1-$AX$3,1+$AX$3)&lt;=300000,100,500))))))))</f>
      </c>
      <c r="N159" s="491" t="str">
        <f>IF($F159="","",IF($C159="売",CEILING($F159*IF($C159="売",1+$AX$2,1-$AX$2),IF($F159*IF($C159="売",1+$AX$2,1-$AX$2)&lt;=3000,1,IF($F159*IF($C159="売",1+$AX$2,1-$AX$2)&lt;=5000,5,IF($F159*IF($C159="売",1+$AX$2,1-$AX$2)&lt;=30000,10,IF($F159*IF($C159="売",1+$AX$2,1-$AX$2)&lt;=50000,50,IF($F159*IF($C159="売",1+$AX$2,1-$AX$2)&lt;=300000,100,500)))))),FLOOR($F159*IF($C159="売",1+$AX$2,1-$AX$2),IF($F159*IF($C159="売",1+$AX$2,1-$AX$2)&lt;=3000,1,IF($F159*IF($C159="売",1+$AX$2,1-$AX$2)&lt;=5000,5,IF($F159*IF($C159="売",1+$AX$2,1-$AX$2)&lt;=30000,10,IF($F159*IF($C159="売",1+$AX$2,1-$AX$2)&lt;=50000,50,IF($F159*IF($C159="売",1+$AX$2,1-$AX$2)&lt;=300000,100,500))))))))</f>
      </c>
      <c r="O159" s="492" t="str">
        <f>IF(OR($B159="",$F159="",$H159=""),"",IF($S159="✅売却済","―決済済―",IF($C159="売",IF($H159&lt;=$M159,"🟢利確",IF(AND($R159&lt;&gt;"",$H159&gt;=$R159),"🟠TRAIL決済",IF($H159&gt;=$N159,"🔴損切",IF($W159&gt;=$AX$5,"⏱時間決済",IF($H159&gt;=$F159*(1+$AX$2*0.7),"⚠️損切接近","保持継続"))))),IF($H159&gt;=$M159,"🟢利確",IF(AND($R159&lt;&gt;"",$H159&lt;=$R159),"🟠TRAIL決済",IF($H159&lt;=$N159,"🔴損切",IF($W159&gt;=$AX$5,"⏱時間決済",IF($H159&lt;=$F159*(1-$AX$2*0.7),"⚠️損切接近","保持継続")))))))</f>
      </c>
      <c r="P159" s="491"/>
      <c r="Q159" s="491"/>
      <c r="R159" s="491" t="str">
        <f>IF(OR($F159="",$H159="",$N159=""),"",IF($S159="✅売却済","",IF($C159="売",IF($H159&gt;$F159*(1-$AX$2),$N159,CEILING(MIN($N159,IF($Q159="",$N159,$Q159*1.03)),IF($N159&lt;=3000,1,IF($N159&lt;=5000,5,IF($N159&lt;=30000,10,IF($N159&lt;=50000,50,IF($N159&lt;=300000,100,500))))))),IF($H159&lt;$F159*(1+$AX$2),$N159,FLOOR(MAX($N159,IF($P159="",$N159,$P159*0.97)),IF($N159&lt;=3000,1,IF($N159&lt;=5000,5,IF($N159&lt;=30000,10,IF($N159&lt;=50000,50,IF($N159&lt;=300000,100,500))))))))))</f>
      </c>
      <c r="S159" s="586" t="str">
        <f>IF(B159="","",IF(T159&lt;&gt;"","✅売却済",IF(OR(H159="",L159=""),"📌保有中",IF(L159&gt;=0.06,"🟢利確推奨",IF(L159&gt;=0.05,"🟡利確直近",IF(L159&gt;=0.045,"🔵トレーリング検討",IF(L159&gt;-0.03,"📌保有中",IF(L159&gt;-0.04,"⚠️損切注意","🔴損切り"))))))))</f>
        <v/>
      </c>
      <c r="T159" s="594"/>
      <c r="U159" s="491"/>
      <c r="V159" s="701" t="str">
        <f>IF(OR(F159="",G159="",U159=""),"",IF(C159="売",(F159-U159)*G159,(U159-F159)*G159))</f>
        <v/>
      </c>
      <c r="W159" s="493" t="str">
        <f>IF(OR($E159="",$B159=""),"",IF($T159&lt;&gt;"",$T159-$E159,TODAY()-$E159)+1)</f>
        <v/>
      </c>
      <c r="X159" s="489" t="str">
        <f>IF(OR($AH159="",$AH159="保有中"),"",$AH159)</f>
        <v/>
      </c>
      <c r="Y159" s="488">
        <f>IF($B159="","",IF(COUNTIFS($B$4:$B159,$B159,$C$4:$C159,$C159)&gt;1,"⛔重複"&amp;COUNTIFS($B$4:$B159,$B159,$C$4:$C159,$C159)&amp;"回目",""))</f>
      </c>
      <c r="Z159" s="710"/>
      <c r="AB159">
        <f>IF($F159="","",MAX(100,ROUNDDOWN($AX$4/($F159*$AX$2)/100,0)*100))</f>
      </c>
      <c r="AC159">
        <f>IF(OR($F159="",$G159="",$U159=""),"",ROUND($V159-($F159+$U159)*$G159*$AX$6-IF($C159="売",$F159*$G159*$AX$7*$W159/365,0),0))</f>
      </c>
      <c r="AD159" s="608"/>
      <c r="AE159" s="600" t="str">
        <f>IF($E159="","",WORKDAY($E159,12))</f>
        <v/>
      </c>
      <c r="AF159" s="600"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0"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0" t="str">
        <f>IF(OR($B159="",$M159=""),"",IF(AND(N($AF159)=0,N($AG159)=0),IF(AND(ISNUMBER($H159),$H159&gt;0,IF($C159="売",$H159&gt;=$N159,$H159&lt;=$N159)),"損切確定",IF(AND(ISNUMBER($H159),$H159&gt;0,IF($C159="売",$H159&lt;=$M159,$H159&gt;=$M159)),"利益確定",IF($AE159&lt;=TODAY(),"日数制限","保有中"))),IF(N($AG159)=0,"利益確定",IF(N($AF159)=0,"損切確定",IF($AG159&lt;=$AF159,"損切確定","利益確定")))))</f>
        <v/>
      </c>
      <c r="AI159" s="600" t="str" cm="1">
        <f t="array" ref="AI159">IFERROR(INDEX(始値!$E$6:$BT$305,MATCH(TEXT($B159,"0"),TEXT(銘柄管理!$B$6:$B$305,"0"),0),MATCH($AE159,始値!$E$3:$BT$3,0)),"")</f>
        <v/>
      </c>
      <c r="AJ159" s="608" t="str">
        <f>IF(OR($V159="",$F159="",$G159=""),"",$V159/($F159*$G159))</f>
        <v/>
      </c>
      <c r="AK159" s="600" t="str">
        <f>IF($V159="","",IF($V159&gt;0,"○勝",IF($V159&lt;0,"●負","△引分")))</f>
        <v/>
      </c>
    </row>
    <row r="160" spans="1:37" ht="35.4" customHeight="1">
      <c r="A160" s="619" t="str">
        <f>IF(B160="","",HYPERLINK("https://kabutan.jp/stock/?code="&amp;B160,"株探"))</f>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IF(OR(F160="",G160="",H160=""),"",IF(C160="売",(F160-H160)*G160,(H160-F160)*G160))</f>
        <v/>
      </c>
      <c r="L160" s="706" t="str">
        <f>IF(OR(F160="",H160=""),"",IF(C160="売",(F160-H160)/F160,(H160-F160)/F160))</f>
        <v/>
      </c>
      <c r="M160" s="491" t="str">
        <f>IF($F160="","",IF($C160="売",CEILING($F160*IF($C160="売",1-$AX$3,1+$AX$3),IF($F160*IF($C160="売",1-$AX$3,1+$AX$3)&lt;=3000,1,IF($F160*IF($C160="売",1-$AX$3,1+$AX$3)&lt;=5000,5,IF($F160*IF($C160="売",1-$AX$3,1+$AX$3)&lt;=30000,10,IF($F160*IF($C160="売",1-$AX$3,1+$AX$3)&lt;=50000,50,IF($F160*IF($C160="売",1-$AX$3,1+$AX$3)&lt;=300000,100,500)))))),FLOOR($F160*IF($C160="売",1-$AX$3,1+$AX$3),IF($F160*IF($C160="売",1-$AX$3,1+$AX$3)&lt;=3000,1,IF($F160*IF($C160="売",1-$AX$3,1+$AX$3)&lt;=5000,5,IF($F160*IF($C160="売",1-$AX$3,1+$AX$3)&lt;=30000,10,IF($F160*IF($C160="売",1-$AX$3,1+$AX$3)&lt;=50000,50,IF($F160*IF($C160="売",1-$AX$3,1+$AX$3)&lt;=300000,100,500))))))))</f>
      </c>
      <c r="N160" s="491" t="str">
        <f>IF($F160="","",IF($C160="売",CEILING($F160*IF($C160="売",1+$AX$2,1-$AX$2),IF($F160*IF($C160="売",1+$AX$2,1-$AX$2)&lt;=3000,1,IF($F160*IF($C160="売",1+$AX$2,1-$AX$2)&lt;=5000,5,IF($F160*IF($C160="売",1+$AX$2,1-$AX$2)&lt;=30000,10,IF($F160*IF($C160="売",1+$AX$2,1-$AX$2)&lt;=50000,50,IF($F160*IF($C160="売",1+$AX$2,1-$AX$2)&lt;=300000,100,500)))))),FLOOR($F160*IF($C160="売",1+$AX$2,1-$AX$2),IF($F160*IF($C160="売",1+$AX$2,1-$AX$2)&lt;=3000,1,IF($F160*IF($C160="売",1+$AX$2,1-$AX$2)&lt;=5000,5,IF($F160*IF($C160="売",1+$AX$2,1-$AX$2)&lt;=30000,10,IF($F160*IF($C160="売",1+$AX$2,1-$AX$2)&lt;=50000,50,IF($F160*IF($C160="売",1+$AX$2,1-$AX$2)&lt;=300000,100,500))))))))</f>
      </c>
      <c r="O160" s="492" t="str">
        <f>IF(OR($B160="",$F160="",$H160=""),"",IF($S160="✅売却済","―決済済―",IF($C160="売",IF($H160&lt;=$M160,"🟢利確",IF(AND($R160&lt;&gt;"",$H160&gt;=$R160),"🟠TRAIL決済",IF($H160&gt;=$N160,"🔴損切",IF($W160&gt;=$AX$5,"⏱時間決済",IF($H160&gt;=$F160*(1+$AX$2*0.7),"⚠️損切接近","保持継続"))))),IF($H160&gt;=$M160,"🟢利確",IF(AND($R160&lt;&gt;"",$H160&lt;=$R160),"🟠TRAIL決済",IF($H160&lt;=$N160,"🔴損切",IF($W160&gt;=$AX$5,"⏱時間決済",IF($H160&lt;=$F160*(1-$AX$2*0.7),"⚠️損切接近","保持継続")))))))</f>
      </c>
      <c r="P160" s="491"/>
      <c r="Q160" s="491"/>
      <c r="R160" s="491" t="str">
        <f>IF(OR($F160="",$H160="",$N160=""),"",IF($S160="✅売却済","",IF($C160="売",IF($H160&gt;$F160*(1-$AX$2),$N160,CEILING(MIN($N160,IF($Q160="",$N160,$Q160*1.03)),IF($N160&lt;=3000,1,IF($N160&lt;=5000,5,IF($N160&lt;=30000,10,IF($N160&lt;=50000,50,IF($N160&lt;=300000,100,500))))))),IF($H160&lt;$F160*(1+$AX$2),$N160,FLOOR(MAX($N160,IF($P160="",$N160,$P160*0.97)),IF($N160&lt;=3000,1,IF($N160&lt;=5000,5,IF($N160&lt;=30000,10,IF($N160&lt;=50000,50,IF($N160&lt;=300000,100,500))))))))))</f>
      </c>
      <c r="S160" s="586" t="str">
        <f>IF(B160="","",IF(T160&lt;&gt;"","✅売却済",IF(OR(H160="",L160=""),"📌保有中",IF(L160&gt;=0.06,"🟢利確推奨",IF(L160&gt;=0.05,"🟡利確直近",IF(L160&gt;=0.045,"🔵トレーリング検討",IF(L160&gt;-0.03,"📌保有中",IF(L160&gt;-0.04,"⚠️損切注意","🔴損切り"))))))))</f>
        <v/>
      </c>
      <c r="T160" s="594"/>
      <c r="U160" s="491"/>
      <c r="V160" s="701" t="str">
        <f>IF(OR(F160="",G160="",U160=""),"",IF(C160="売",(F160-U160)*G160,(U160-F160)*G160))</f>
        <v/>
      </c>
      <c r="W160" s="493" t="str">
        <f>IF(OR($E160="",$B160=""),"",IF($T160&lt;&gt;"",$T160-$E160,TODAY()-$E160)+1)</f>
        <v/>
      </c>
      <c r="X160" s="489" t="str">
        <f>IF(OR($AH160="",$AH160="保有中"),"",$AH160)</f>
        <v/>
      </c>
      <c r="Y160" s="488">
        <f>IF($B160="","",IF(COUNTIFS($B$4:$B160,$B160,$C$4:$C160,$C160)&gt;1,"⛔重複"&amp;COUNTIFS($B$4:$B160,$B160,$C$4:$C160,$C160)&amp;"回目",""))</f>
      </c>
      <c r="Z160" s="710"/>
      <c r="AB160">
        <f>IF($F160="","",MAX(100,ROUNDDOWN($AX$4/($F160*$AX$2)/100,0)*100))</f>
      </c>
      <c r="AC160">
        <f>IF(OR($F160="",$G160="",$U160=""),"",ROUND($V160-($F160+$U160)*$G160*$AX$6-IF($C160="売",$F160*$G160*$AX$7*$W160/365,0),0))</f>
      </c>
      <c r="AD160" s="608"/>
      <c r="AE160" s="600" t="str">
        <f>IF($E160="","",WORKDAY($E160,12))</f>
        <v/>
      </c>
      <c r="AF160" s="600"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0"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0" t="str">
        <f>IF(OR($B160="",$M160=""),"",IF(AND(N($AF160)=0,N($AG160)=0),IF(AND(ISNUMBER($H160),$H160&gt;0,IF($C160="売",$H160&gt;=$N160,$H160&lt;=$N160)),"損切確定",IF(AND(ISNUMBER($H160),$H160&gt;0,IF($C160="売",$H160&lt;=$M160,$H160&gt;=$M160)),"利益確定",IF($AE160&lt;=TODAY(),"日数制限","保有中"))),IF(N($AG160)=0,"利益確定",IF(N($AF160)=0,"損切確定",IF($AG160&lt;=$AF160,"損切確定","利益確定")))))</f>
        <v/>
      </c>
      <c r="AI160" s="600" t="str" cm="1">
        <f t="array" ref="AI160">IFERROR(INDEX(始値!$E$6:$BT$305,MATCH(TEXT($B160,"0"),TEXT(銘柄管理!$B$6:$B$305,"0"),0),MATCH($AE160,始値!$E$3:$BT$3,0)),"")</f>
        <v/>
      </c>
      <c r="AJ160" s="608" t="str">
        <f>IF(OR($V160="",$F160="",$G160=""),"",$V160/($F160*$G160))</f>
        <v/>
      </c>
      <c r="AK160" s="600" t="str">
        <f>IF($V160="","",IF($V160&gt;0,"○勝",IF($V160&lt;0,"●負","△引分")))</f>
        <v/>
      </c>
    </row>
    <row r="161" spans="1:37" ht="35.4" customHeight="1">
      <c r="A161" s="619" t="str">
        <f>IF(B161="","",HYPERLINK("https://kabutan.jp/stock/?code="&amp;B161,"株探"))</f>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IF(OR(F161="",G161="",H161=""),"",IF(C161="売",(F161-H161)*G161,(H161-F161)*G161))</f>
        <v/>
      </c>
      <c r="L161" s="706" t="str">
        <f>IF(OR(F161="",H161=""),"",IF(C161="売",(F161-H161)/F161,(H161-F161)/F161))</f>
        <v/>
      </c>
      <c r="M161" s="491" t="str">
        <f>IF($F161="","",IF($C161="売",CEILING($F161*IF($C161="売",1-$AX$3,1+$AX$3),IF($F161*IF($C161="売",1-$AX$3,1+$AX$3)&lt;=3000,1,IF($F161*IF($C161="売",1-$AX$3,1+$AX$3)&lt;=5000,5,IF($F161*IF($C161="売",1-$AX$3,1+$AX$3)&lt;=30000,10,IF($F161*IF($C161="売",1-$AX$3,1+$AX$3)&lt;=50000,50,IF($F161*IF($C161="売",1-$AX$3,1+$AX$3)&lt;=300000,100,500)))))),FLOOR($F161*IF($C161="売",1-$AX$3,1+$AX$3),IF($F161*IF($C161="売",1-$AX$3,1+$AX$3)&lt;=3000,1,IF($F161*IF($C161="売",1-$AX$3,1+$AX$3)&lt;=5000,5,IF($F161*IF($C161="売",1-$AX$3,1+$AX$3)&lt;=30000,10,IF($F161*IF($C161="売",1-$AX$3,1+$AX$3)&lt;=50000,50,IF($F161*IF($C161="売",1-$AX$3,1+$AX$3)&lt;=300000,100,500))))))))</f>
      </c>
      <c r="N161" s="491" t="str">
        <f>IF($F161="","",IF($C161="売",CEILING($F161*IF($C161="売",1+$AX$2,1-$AX$2),IF($F161*IF($C161="売",1+$AX$2,1-$AX$2)&lt;=3000,1,IF($F161*IF($C161="売",1+$AX$2,1-$AX$2)&lt;=5000,5,IF($F161*IF($C161="売",1+$AX$2,1-$AX$2)&lt;=30000,10,IF($F161*IF($C161="売",1+$AX$2,1-$AX$2)&lt;=50000,50,IF($F161*IF($C161="売",1+$AX$2,1-$AX$2)&lt;=300000,100,500)))))),FLOOR($F161*IF($C161="売",1+$AX$2,1-$AX$2),IF($F161*IF($C161="売",1+$AX$2,1-$AX$2)&lt;=3000,1,IF($F161*IF($C161="売",1+$AX$2,1-$AX$2)&lt;=5000,5,IF($F161*IF($C161="売",1+$AX$2,1-$AX$2)&lt;=30000,10,IF($F161*IF($C161="売",1+$AX$2,1-$AX$2)&lt;=50000,50,IF($F161*IF($C161="売",1+$AX$2,1-$AX$2)&lt;=300000,100,500))))))))</f>
      </c>
      <c r="O161" s="492" t="str">
        <f>IF(OR($B161="",$F161="",$H161=""),"",IF($S161="✅売却済","―決済済―",IF($C161="売",IF($H161&lt;=$M161,"🟢利確",IF(AND($R161&lt;&gt;"",$H161&gt;=$R161),"🟠TRAIL決済",IF($H161&gt;=$N161,"🔴損切",IF($W161&gt;=$AX$5,"⏱時間決済",IF($H161&gt;=$F161*(1+$AX$2*0.7),"⚠️損切接近","保持継続"))))),IF($H161&gt;=$M161,"🟢利確",IF(AND($R161&lt;&gt;"",$H161&lt;=$R161),"🟠TRAIL決済",IF($H161&lt;=$N161,"🔴損切",IF($W161&gt;=$AX$5,"⏱時間決済",IF($H161&lt;=$F161*(1-$AX$2*0.7),"⚠️損切接近","保持継続")))))))</f>
      </c>
      <c r="P161" s="491"/>
      <c r="Q161" s="491"/>
      <c r="R161" s="491" t="str">
        <f>IF(OR($F161="",$H161="",$N161=""),"",IF($S161="✅売却済","",IF($C161="売",IF($H161&gt;$F161*(1-$AX$2),$N161,CEILING(MIN($N161,IF($Q161="",$N161,$Q161*1.03)),IF($N161&lt;=3000,1,IF($N161&lt;=5000,5,IF($N161&lt;=30000,10,IF($N161&lt;=50000,50,IF($N161&lt;=300000,100,500))))))),IF($H161&lt;$F161*(1+$AX$2),$N161,FLOOR(MAX($N161,IF($P161="",$N161,$P161*0.97)),IF($N161&lt;=3000,1,IF($N161&lt;=5000,5,IF($N161&lt;=30000,10,IF($N161&lt;=50000,50,IF($N161&lt;=300000,100,500))))))))))</f>
      </c>
      <c r="S161" s="586" t="str">
        <f>IF(B161="","",IF(T161&lt;&gt;"","✅売却済",IF(OR(H161="",L161=""),"📌保有中",IF(L161&gt;=0.06,"🟢利確推奨",IF(L161&gt;=0.05,"🟡利確直近",IF(L161&gt;=0.045,"🔵トレーリング検討",IF(L161&gt;-0.03,"📌保有中",IF(L161&gt;-0.04,"⚠️損切注意","🔴損切り"))))))))</f>
        <v/>
      </c>
      <c r="T161" s="594"/>
      <c r="U161" s="491"/>
      <c r="V161" s="701" t="str">
        <f>IF(OR(F161="",G161="",U161=""),"",IF(C161="売",(F161-U161)*G161,(U161-F161)*G161))</f>
        <v/>
      </c>
      <c r="W161" s="493" t="str">
        <f>IF(OR($E161="",$B161=""),"",IF($T161&lt;&gt;"",$T161-$E161,TODAY()-$E161)+1)</f>
        <v/>
      </c>
      <c r="X161" s="489" t="str">
        <f>IF(OR($AH161="",$AH161="保有中"),"",$AH161)</f>
        <v/>
      </c>
      <c r="Y161" s="488">
        <f>IF($B161="","",IF(COUNTIFS($B$4:$B161,$B161,$C$4:$C161,$C161)&gt;1,"⛔重複"&amp;COUNTIFS($B$4:$B161,$B161,$C$4:$C161,$C161)&amp;"回目",""))</f>
      </c>
      <c r="Z161" s="710"/>
      <c r="AB161">
        <f>IF($F161="","",MAX(100,ROUNDDOWN($AX$4/($F161*$AX$2)/100,0)*100))</f>
      </c>
      <c r="AC161">
        <f>IF(OR($F161="",$G161="",$U161=""),"",ROUND($V161-($F161+$U161)*$G161*$AX$6-IF($C161="売",$F161*$G161*$AX$7*$W161/365,0),0))</f>
      </c>
      <c r="AD161" s="608"/>
      <c r="AE161" s="600" t="str">
        <f>IF($E161="","",WORKDAY($E161,12))</f>
        <v/>
      </c>
      <c r="AF161" s="600"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0"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0" t="str">
        <f>IF(OR($B161="",$M161=""),"",IF(AND(N($AF161)=0,N($AG161)=0),IF(AND(ISNUMBER($H161),$H161&gt;0,IF($C161="売",$H161&gt;=$N161,$H161&lt;=$N161)),"損切確定",IF(AND(ISNUMBER($H161),$H161&gt;0,IF($C161="売",$H161&lt;=$M161,$H161&gt;=$M161)),"利益確定",IF($AE161&lt;=TODAY(),"日数制限","保有中"))),IF(N($AG161)=0,"利益確定",IF(N($AF161)=0,"損切確定",IF($AG161&lt;=$AF161,"損切確定","利益確定")))))</f>
        <v/>
      </c>
      <c r="AI161" s="600" t="str" cm="1">
        <f t="array" ref="AI161">IFERROR(INDEX(始値!$E$6:$BT$305,MATCH(TEXT($B161,"0"),TEXT(銘柄管理!$B$6:$B$305,"0"),0),MATCH($AE161,始値!$E$3:$BT$3,0)),"")</f>
        <v/>
      </c>
      <c r="AJ161" s="608" t="str">
        <f>IF(OR($V161="",$F161="",$G161=""),"",$V161/($F161*$G161))</f>
        <v/>
      </c>
      <c r="AK161" s="600" t="str">
        <f>IF($V161="","",IF($V161&gt;0,"○勝",IF($V161&lt;0,"●負","△引分")))</f>
        <v/>
      </c>
    </row>
    <row r="162" spans="1:37" ht="35.4" customHeight="1">
      <c r="A162" s="619" t="str">
        <f>IF(B162="","",HYPERLINK("https://kabutan.jp/stock/?code="&amp;B162,"株探"))</f>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IF(OR(F162="",G162="",H162=""),"",IF(C162="売",(F162-H162)*G162,(H162-F162)*G162))</f>
        <v/>
      </c>
      <c r="L162" s="706" t="str">
        <f>IF(OR(F162="",H162=""),"",IF(C162="売",(F162-H162)/F162,(H162-F162)/F162))</f>
        <v/>
      </c>
      <c r="M162" s="491" t="str">
        <f>IF($F162="","",IF($C162="売",CEILING($F162*IF($C162="売",1-$AX$3,1+$AX$3),IF($F162*IF($C162="売",1-$AX$3,1+$AX$3)&lt;=3000,1,IF($F162*IF($C162="売",1-$AX$3,1+$AX$3)&lt;=5000,5,IF($F162*IF($C162="売",1-$AX$3,1+$AX$3)&lt;=30000,10,IF($F162*IF($C162="売",1-$AX$3,1+$AX$3)&lt;=50000,50,IF($F162*IF($C162="売",1-$AX$3,1+$AX$3)&lt;=300000,100,500)))))),FLOOR($F162*IF($C162="売",1-$AX$3,1+$AX$3),IF($F162*IF($C162="売",1-$AX$3,1+$AX$3)&lt;=3000,1,IF($F162*IF($C162="売",1-$AX$3,1+$AX$3)&lt;=5000,5,IF($F162*IF($C162="売",1-$AX$3,1+$AX$3)&lt;=30000,10,IF($F162*IF($C162="売",1-$AX$3,1+$AX$3)&lt;=50000,50,IF($F162*IF($C162="売",1-$AX$3,1+$AX$3)&lt;=300000,100,500))))))))</f>
      </c>
      <c r="N162" s="491" t="str">
        <f>IF($F162="","",IF($C162="売",CEILING($F162*IF($C162="売",1+$AX$2,1-$AX$2),IF($F162*IF($C162="売",1+$AX$2,1-$AX$2)&lt;=3000,1,IF($F162*IF($C162="売",1+$AX$2,1-$AX$2)&lt;=5000,5,IF($F162*IF($C162="売",1+$AX$2,1-$AX$2)&lt;=30000,10,IF($F162*IF($C162="売",1+$AX$2,1-$AX$2)&lt;=50000,50,IF($F162*IF($C162="売",1+$AX$2,1-$AX$2)&lt;=300000,100,500)))))),FLOOR($F162*IF($C162="売",1+$AX$2,1-$AX$2),IF($F162*IF($C162="売",1+$AX$2,1-$AX$2)&lt;=3000,1,IF($F162*IF($C162="売",1+$AX$2,1-$AX$2)&lt;=5000,5,IF($F162*IF($C162="売",1+$AX$2,1-$AX$2)&lt;=30000,10,IF($F162*IF($C162="売",1+$AX$2,1-$AX$2)&lt;=50000,50,IF($F162*IF($C162="売",1+$AX$2,1-$AX$2)&lt;=300000,100,500))))))))</f>
      </c>
      <c r="O162" s="492" t="str">
        <f>IF(OR($B162="",$F162="",$H162=""),"",IF($S162="✅売却済","―決済済―",IF($C162="売",IF($H162&lt;=$M162,"🟢利確",IF(AND($R162&lt;&gt;"",$H162&gt;=$R162),"🟠TRAIL決済",IF($H162&gt;=$N162,"🔴損切",IF($W162&gt;=$AX$5,"⏱時間決済",IF($H162&gt;=$F162*(1+$AX$2*0.7),"⚠️損切接近","保持継続"))))),IF($H162&gt;=$M162,"🟢利確",IF(AND($R162&lt;&gt;"",$H162&lt;=$R162),"🟠TRAIL決済",IF($H162&lt;=$N162,"🔴損切",IF($W162&gt;=$AX$5,"⏱時間決済",IF($H162&lt;=$F162*(1-$AX$2*0.7),"⚠️損切接近","保持継続")))))))</f>
      </c>
      <c r="P162" s="491"/>
      <c r="Q162" s="491"/>
      <c r="R162" s="491" t="str">
        <f>IF(OR($F162="",$H162="",$N162=""),"",IF($S162="✅売却済","",IF($C162="売",IF($H162&gt;$F162*(1-$AX$2),$N162,CEILING(MIN($N162,IF($Q162="",$N162,$Q162*1.03)),IF($N162&lt;=3000,1,IF($N162&lt;=5000,5,IF($N162&lt;=30000,10,IF($N162&lt;=50000,50,IF($N162&lt;=300000,100,500))))))),IF($H162&lt;$F162*(1+$AX$2),$N162,FLOOR(MAX($N162,IF($P162="",$N162,$P162*0.97)),IF($N162&lt;=3000,1,IF($N162&lt;=5000,5,IF($N162&lt;=30000,10,IF($N162&lt;=50000,50,IF($N162&lt;=300000,100,500))))))))))</f>
      </c>
      <c r="S162" s="586" t="str">
        <f>IF(B162="","",IF(T162&lt;&gt;"","✅売却済",IF(OR(H162="",L162=""),"📌保有中",IF(L162&gt;=0.06,"🟢利確推奨",IF(L162&gt;=0.05,"🟡利確直近",IF(L162&gt;=0.045,"🔵トレーリング検討",IF(L162&gt;-0.03,"📌保有中",IF(L162&gt;-0.04,"⚠️損切注意","🔴損切り"))))))))</f>
        <v/>
      </c>
      <c r="T162" s="594"/>
      <c r="U162" s="491"/>
      <c r="V162" s="701" t="str">
        <f>IF(OR(F162="",G162="",U162=""),"",IF(C162="売",(F162-U162)*G162,(U162-F162)*G162))</f>
        <v/>
      </c>
      <c r="W162" s="493" t="str">
        <f>IF(OR($E162="",$B162=""),"",IF($T162&lt;&gt;"",$T162-$E162,TODAY()-$E162)+1)</f>
        <v/>
      </c>
      <c r="X162" s="489" t="str">
        <f>IF(OR($AH162="",$AH162="保有中"),"",$AH162)</f>
        <v/>
      </c>
      <c r="Y162" s="488">
        <f>IF($B162="","",IF(COUNTIFS($B$4:$B162,$B162,$C$4:$C162,$C162)&gt;1,"⛔重複"&amp;COUNTIFS($B$4:$B162,$B162,$C$4:$C162,$C162)&amp;"回目",""))</f>
      </c>
      <c r="Z162" s="710"/>
      <c r="AB162">
        <f>IF($F162="","",MAX(100,ROUNDDOWN($AX$4/($F162*$AX$2)/100,0)*100))</f>
      </c>
      <c r="AC162">
        <f>IF(OR($F162="",$G162="",$U162=""),"",ROUND($V162-($F162+$U162)*$G162*$AX$6-IF($C162="売",$F162*$G162*$AX$7*$W162/365,0),0))</f>
      </c>
      <c r="AD162" s="608"/>
      <c r="AE162" s="600" t="str">
        <f>IF($E162="","",WORKDAY($E162,12))</f>
        <v/>
      </c>
      <c r="AF162" s="600"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0"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0" t="str">
        <f>IF(OR($B162="",$M162=""),"",IF(AND(N($AF162)=0,N($AG162)=0),IF(AND(ISNUMBER($H162),$H162&gt;0,IF($C162="売",$H162&gt;=$N162,$H162&lt;=$N162)),"損切確定",IF(AND(ISNUMBER($H162),$H162&gt;0,IF($C162="売",$H162&lt;=$M162,$H162&gt;=$M162)),"利益確定",IF($AE162&lt;=TODAY(),"日数制限","保有中"))),IF(N($AG162)=0,"利益確定",IF(N($AF162)=0,"損切確定",IF($AG162&lt;=$AF162,"損切確定","利益確定")))))</f>
        <v/>
      </c>
      <c r="AI162" s="600" t="str" cm="1">
        <f t="array" ref="AI162">IFERROR(INDEX(始値!$E$6:$BT$305,MATCH(TEXT($B162,"0"),TEXT(銘柄管理!$B$6:$B$305,"0"),0),MATCH($AE162,始値!$E$3:$BT$3,0)),"")</f>
        <v/>
      </c>
      <c r="AJ162" s="608" t="str">
        <f>IF(OR($V162="",$F162="",$G162=""),"",$V162/($F162*$G162))</f>
        <v/>
      </c>
      <c r="AK162" s="600" t="str">
        <f>IF($V162="","",IF($V162&gt;0,"○勝",IF($V162&lt;0,"●負","△引分")))</f>
        <v/>
      </c>
    </row>
    <row r="163" spans="1:37" ht="35.4" customHeight="1">
      <c r="A163" s="619" t="str">
        <f>IF(B163="","",HYPERLINK("https://kabutan.jp/stock/?code="&amp;B163,"株探"))</f>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IF(OR(F163="",G163="",H163=""),"",IF(C163="売",(F163-H163)*G163,(H163-F163)*G163))</f>
        <v/>
      </c>
      <c r="L163" s="706" t="str">
        <f>IF(OR(F163="",H163=""),"",IF(C163="売",(F163-H163)/F163,(H163-F163)/F163))</f>
        <v/>
      </c>
      <c r="M163" s="491" t="str">
        <f>IF($F163="","",IF($C163="売",CEILING($F163*IF($C163="売",1-$AX$3,1+$AX$3),IF($F163*IF($C163="売",1-$AX$3,1+$AX$3)&lt;=3000,1,IF($F163*IF($C163="売",1-$AX$3,1+$AX$3)&lt;=5000,5,IF($F163*IF($C163="売",1-$AX$3,1+$AX$3)&lt;=30000,10,IF($F163*IF($C163="売",1-$AX$3,1+$AX$3)&lt;=50000,50,IF($F163*IF($C163="売",1-$AX$3,1+$AX$3)&lt;=300000,100,500)))))),FLOOR($F163*IF($C163="売",1-$AX$3,1+$AX$3),IF($F163*IF($C163="売",1-$AX$3,1+$AX$3)&lt;=3000,1,IF($F163*IF($C163="売",1-$AX$3,1+$AX$3)&lt;=5000,5,IF($F163*IF($C163="売",1-$AX$3,1+$AX$3)&lt;=30000,10,IF($F163*IF($C163="売",1-$AX$3,1+$AX$3)&lt;=50000,50,IF($F163*IF($C163="売",1-$AX$3,1+$AX$3)&lt;=300000,100,500))))))))</f>
      </c>
      <c r="N163" s="491" t="str">
        <f>IF($F163="","",IF($C163="売",CEILING($F163*IF($C163="売",1+$AX$2,1-$AX$2),IF($F163*IF($C163="売",1+$AX$2,1-$AX$2)&lt;=3000,1,IF($F163*IF($C163="売",1+$AX$2,1-$AX$2)&lt;=5000,5,IF($F163*IF($C163="売",1+$AX$2,1-$AX$2)&lt;=30000,10,IF($F163*IF($C163="売",1+$AX$2,1-$AX$2)&lt;=50000,50,IF($F163*IF($C163="売",1+$AX$2,1-$AX$2)&lt;=300000,100,500)))))),FLOOR($F163*IF($C163="売",1+$AX$2,1-$AX$2),IF($F163*IF($C163="売",1+$AX$2,1-$AX$2)&lt;=3000,1,IF($F163*IF($C163="売",1+$AX$2,1-$AX$2)&lt;=5000,5,IF($F163*IF($C163="売",1+$AX$2,1-$AX$2)&lt;=30000,10,IF($F163*IF($C163="売",1+$AX$2,1-$AX$2)&lt;=50000,50,IF($F163*IF($C163="売",1+$AX$2,1-$AX$2)&lt;=300000,100,500))))))))</f>
      </c>
      <c r="O163" s="492" t="str">
        <f>IF(OR($B163="",$F163="",$H163=""),"",IF($S163="✅売却済","―決済済―",IF($C163="売",IF($H163&lt;=$M163,"🟢利確",IF(AND($R163&lt;&gt;"",$H163&gt;=$R163),"🟠TRAIL決済",IF($H163&gt;=$N163,"🔴損切",IF($W163&gt;=$AX$5,"⏱時間決済",IF($H163&gt;=$F163*(1+$AX$2*0.7),"⚠️損切接近","保持継続"))))),IF($H163&gt;=$M163,"🟢利確",IF(AND($R163&lt;&gt;"",$H163&lt;=$R163),"🟠TRAIL決済",IF($H163&lt;=$N163,"🔴損切",IF($W163&gt;=$AX$5,"⏱時間決済",IF($H163&lt;=$F163*(1-$AX$2*0.7),"⚠️損切接近","保持継続")))))))</f>
      </c>
      <c r="P163" s="491"/>
      <c r="Q163" s="491"/>
      <c r="R163" s="491" t="str">
        <f>IF(OR($F163="",$H163="",$N163=""),"",IF($S163="✅売却済","",IF($C163="売",IF($H163&gt;$F163*(1-$AX$2),$N163,CEILING(MIN($N163,IF($Q163="",$N163,$Q163*1.03)),IF($N163&lt;=3000,1,IF($N163&lt;=5000,5,IF($N163&lt;=30000,10,IF($N163&lt;=50000,50,IF($N163&lt;=300000,100,500))))))),IF($H163&lt;$F163*(1+$AX$2),$N163,FLOOR(MAX($N163,IF($P163="",$N163,$P163*0.97)),IF($N163&lt;=3000,1,IF($N163&lt;=5000,5,IF($N163&lt;=30000,10,IF($N163&lt;=50000,50,IF($N163&lt;=300000,100,500))))))))))</f>
      </c>
      <c r="S163" s="586" t="str">
        <f>IF(B163="","",IF(T163&lt;&gt;"","✅売却済",IF(OR(H163="",L163=""),"📌保有中",IF(L163&gt;=0.06,"🟢利確推奨",IF(L163&gt;=0.05,"🟡利確直近",IF(L163&gt;=0.045,"🔵トレーリング検討",IF(L163&gt;-0.03,"📌保有中",IF(L163&gt;-0.04,"⚠️損切注意","🔴損切り"))))))))</f>
        <v/>
      </c>
      <c r="T163" s="594"/>
      <c r="U163" s="491"/>
      <c r="V163" s="701" t="str">
        <f>IF(OR(F163="",G163="",U163=""),"",IF(C163="売",(F163-U163)*G163,(U163-F163)*G163))</f>
        <v/>
      </c>
      <c r="W163" s="493" t="str">
        <f>IF(OR($E163="",$B163=""),"",IF($T163&lt;&gt;"",$T163-$E163,TODAY()-$E163)+1)</f>
        <v/>
      </c>
      <c r="X163" s="489" t="str">
        <f>IF(OR($AH163="",$AH163="保有中"),"",$AH163)</f>
        <v/>
      </c>
      <c r="Y163" s="488">
        <f>IF($B163="","",IF(COUNTIFS($B$4:$B163,$B163,$C$4:$C163,$C163)&gt;1,"⛔重複"&amp;COUNTIFS($B$4:$B163,$B163,$C$4:$C163,$C163)&amp;"回目",""))</f>
      </c>
      <c r="Z163" s="710"/>
      <c r="AB163">
        <f>IF($F163="","",MAX(100,ROUNDDOWN($AX$4/($F163*$AX$2)/100,0)*100))</f>
      </c>
      <c r="AC163">
        <f>IF(OR($F163="",$G163="",$U163=""),"",ROUND($V163-($F163+$U163)*$G163*$AX$6-IF($C163="売",$F163*$G163*$AX$7*$W163/365,0),0))</f>
      </c>
      <c r="AD163" s="608"/>
      <c r="AE163" s="600" t="str">
        <f>IF($E163="","",WORKDAY($E163,12))</f>
        <v/>
      </c>
      <c r="AF163" s="600"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0"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0" t="str">
        <f>IF(OR($B163="",$M163=""),"",IF(AND(N($AF163)=0,N($AG163)=0),IF(AND(ISNUMBER($H163),$H163&gt;0,IF($C163="売",$H163&gt;=$N163,$H163&lt;=$N163)),"損切確定",IF(AND(ISNUMBER($H163),$H163&gt;0,IF($C163="売",$H163&lt;=$M163,$H163&gt;=$M163)),"利益確定",IF($AE163&lt;=TODAY(),"日数制限","保有中"))),IF(N($AG163)=0,"利益確定",IF(N($AF163)=0,"損切確定",IF($AG163&lt;=$AF163,"損切確定","利益確定")))))</f>
        <v/>
      </c>
      <c r="AI163" s="600" t="str" cm="1">
        <f t="array" ref="AI163">IFERROR(INDEX(始値!$E$6:$BT$305,MATCH(TEXT($B163,"0"),TEXT(銘柄管理!$B$6:$B$305,"0"),0),MATCH($AE163,始値!$E$3:$BT$3,0)),"")</f>
        <v/>
      </c>
      <c r="AJ163" s="608" t="str">
        <f>IF(OR($V163="",$F163="",$G163=""),"",$V163/($F163*$G163))</f>
        <v/>
      </c>
      <c r="AK163" s="600" t="str">
        <f>IF($V163="","",IF($V163&gt;0,"○勝",IF($V163&lt;0,"●負","△引分")))</f>
        <v/>
      </c>
    </row>
    <row r="164" spans="1:37" ht="35.4" customHeight="1">
      <c r="A164" s="619" t="str">
        <f>IF(B164="","",HYPERLINK("https://kabutan.jp/stock/?code="&amp;B164,"株探"))</f>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IF(OR(F164="",G164="",H164=""),"",IF(C164="売",(F164-H164)*G164,(H164-F164)*G164))</f>
        <v/>
      </c>
      <c r="L164" s="706" t="str">
        <f>IF(OR(F164="",H164=""),"",IF(C164="売",(F164-H164)/F164,(H164-F164)/F164))</f>
        <v/>
      </c>
      <c r="M164" s="491" t="str">
        <f>IF($F164="","",IF($C164="売",CEILING($F164*IF($C164="売",1-$AX$3,1+$AX$3),IF($F164*IF($C164="売",1-$AX$3,1+$AX$3)&lt;=3000,1,IF($F164*IF($C164="売",1-$AX$3,1+$AX$3)&lt;=5000,5,IF($F164*IF($C164="売",1-$AX$3,1+$AX$3)&lt;=30000,10,IF($F164*IF($C164="売",1-$AX$3,1+$AX$3)&lt;=50000,50,IF($F164*IF($C164="売",1-$AX$3,1+$AX$3)&lt;=300000,100,500)))))),FLOOR($F164*IF($C164="売",1-$AX$3,1+$AX$3),IF($F164*IF($C164="売",1-$AX$3,1+$AX$3)&lt;=3000,1,IF($F164*IF($C164="売",1-$AX$3,1+$AX$3)&lt;=5000,5,IF($F164*IF($C164="売",1-$AX$3,1+$AX$3)&lt;=30000,10,IF($F164*IF($C164="売",1-$AX$3,1+$AX$3)&lt;=50000,50,IF($F164*IF($C164="売",1-$AX$3,1+$AX$3)&lt;=300000,100,500))))))))</f>
      </c>
      <c r="N164" s="491" t="str">
        <f>IF($F164="","",IF($C164="売",CEILING($F164*IF($C164="売",1+$AX$2,1-$AX$2),IF($F164*IF($C164="売",1+$AX$2,1-$AX$2)&lt;=3000,1,IF($F164*IF($C164="売",1+$AX$2,1-$AX$2)&lt;=5000,5,IF($F164*IF($C164="売",1+$AX$2,1-$AX$2)&lt;=30000,10,IF($F164*IF($C164="売",1+$AX$2,1-$AX$2)&lt;=50000,50,IF($F164*IF($C164="売",1+$AX$2,1-$AX$2)&lt;=300000,100,500)))))),FLOOR($F164*IF($C164="売",1+$AX$2,1-$AX$2),IF($F164*IF($C164="売",1+$AX$2,1-$AX$2)&lt;=3000,1,IF($F164*IF($C164="売",1+$AX$2,1-$AX$2)&lt;=5000,5,IF($F164*IF($C164="売",1+$AX$2,1-$AX$2)&lt;=30000,10,IF($F164*IF($C164="売",1+$AX$2,1-$AX$2)&lt;=50000,50,IF($F164*IF($C164="売",1+$AX$2,1-$AX$2)&lt;=300000,100,500))))))))</f>
      </c>
      <c r="O164" s="492" t="str">
        <f>IF(OR($B164="",$F164="",$H164=""),"",IF($S164="✅売却済","―決済済―",IF($C164="売",IF($H164&lt;=$M164,"🟢利確",IF(AND($R164&lt;&gt;"",$H164&gt;=$R164),"🟠TRAIL決済",IF($H164&gt;=$N164,"🔴損切",IF($W164&gt;=$AX$5,"⏱時間決済",IF($H164&gt;=$F164*(1+$AX$2*0.7),"⚠️損切接近","保持継続"))))),IF($H164&gt;=$M164,"🟢利確",IF(AND($R164&lt;&gt;"",$H164&lt;=$R164),"🟠TRAIL決済",IF($H164&lt;=$N164,"🔴損切",IF($W164&gt;=$AX$5,"⏱時間決済",IF($H164&lt;=$F164*(1-$AX$2*0.7),"⚠️損切接近","保持継続")))))))</f>
      </c>
      <c r="P164" s="491"/>
      <c r="Q164" s="491"/>
      <c r="R164" s="491" t="str">
        <f>IF(OR($F164="",$H164="",$N164=""),"",IF($S164="✅売却済","",IF($C164="売",IF($H164&gt;$F164*(1-$AX$2),$N164,CEILING(MIN($N164,IF($Q164="",$N164,$Q164*1.03)),IF($N164&lt;=3000,1,IF($N164&lt;=5000,5,IF($N164&lt;=30000,10,IF($N164&lt;=50000,50,IF($N164&lt;=300000,100,500))))))),IF($H164&lt;$F164*(1+$AX$2),$N164,FLOOR(MAX($N164,IF($P164="",$N164,$P164*0.97)),IF($N164&lt;=3000,1,IF($N164&lt;=5000,5,IF($N164&lt;=30000,10,IF($N164&lt;=50000,50,IF($N164&lt;=300000,100,500))))))))))</f>
      </c>
      <c r="S164" s="586" t="str">
        <f>IF(B164="","",IF(T164&lt;&gt;"","✅売却済",IF(OR(H164="",L164=""),"📌保有中",IF(L164&gt;=0.06,"🟢利確推奨",IF(L164&gt;=0.05,"🟡利確直近",IF(L164&gt;=0.045,"🔵トレーリング検討",IF(L164&gt;-0.03,"📌保有中",IF(L164&gt;-0.04,"⚠️損切注意","🔴損切り"))))))))</f>
        <v/>
      </c>
      <c r="T164" s="594"/>
      <c r="U164" s="491"/>
      <c r="V164" s="701" t="str">
        <f>IF(OR(F164="",G164="",U164=""),"",IF(C164="売",(F164-U164)*G164,(U164-F164)*G164))</f>
        <v/>
      </c>
      <c r="W164" s="493" t="str">
        <f>IF(OR($E164="",$B164=""),"",IF($T164&lt;&gt;"",$T164-$E164,TODAY()-$E164)+1)</f>
        <v/>
      </c>
      <c r="X164" s="489" t="str">
        <f>IF(OR($AH164="",$AH164="保有中"),"",$AH164)</f>
        <v/>
      </c>
      <c r="Y164" s="488">
        <f>IF($B164="","",IF(COUNTIFS($B$4:$B164,$B164,$C$4:$C164,$C164)&gt;1,"⛔重複"&amp;COUNTIFS($B$4:$B164,$B164,$C$4:$C164,$C164)&amp;"回目",""))</f>
      </c>
      <c r="Z164" s="710"/>
      <c r="AB164">
        <f>IF($F164="","",MAX(100,ROUNDDOWN($AX$4/($F164*$AX$2)/100,0)*100))</f>
      </c>
      <c r="AC164">
        <f>IF(OR($F164="",$G164="",$U164=""),"",ROUND($V164-($F164+$U164)*$G164*$AX$6-IF($C164="売",$F164*$G164*$AX$7*$W164/365,0),0))</f>
      </c>
      <c r="AD164" s="608"/>
      <c r="AE164" s="600" t="str">
        <f>IF($E164="","",WORKDAY($E164,12))</f>
        <v/>
      </c>
      <c r="AF164" s="600"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0"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0" t="str">
        <f>IF(OR($B164="",$M164=""),"",IF(AND(N($AF164)=0,N($AG164)=0),IF(AND(ISNUMBER($H164),$H164&gt;0,IF($C164="売",$H164&gt;=$N164,$H164&lt;=$N164)),"損切確定",IF(AND(ISNUMBER($H164),$H164&gt;0,IF($C164="売",$H164&lt;=$M164,$H164&gt;=$M164)),"利益確定",IF($AE164&lt;=TODAY(),"日数制限","保有中"))),IF(N($AG164)=0,"利益確定",IF(N($AF164)=0,"損切確定",IF($AG164&lt;=$AF164,"損切確定","利益確定")))))</f>
        <v/>
      </c>
      <c r="AI164" s="600" t="str" cm="1">
        <f t="array" ref="AI164">IFERROR(INDEX(始値!$E$6:$BT$305,MATCH(TEXT($B164,"0"),TEXT(銘柄管理!$B$6:$B$305,"0"),0),MATCH($AE164,始値!$E$3:$BT$3,0)),"")</f>
        <v/>
      </c>
      <c r="AJ164" s="608" t="str">
        <f>IF(OR($V164="",$F164="",$G164=""),"",$V164/($F164*$G164))</f>
        <v/>
      </c>
      <c r="AK164" s="600" t="str">
        <f>IF($V164="","",IF($V164&gt;0,"○勝",IF($V164&lt;0,"●負","△引分")))</f>
        <v/>
      </c>
    </row>
    <row r="165" spans="1:37" ht="35.4" customHeight="1">
      <c r="A165" s="619" t="str">
        <f>IF(B165="","",HYPERLINK("https://kabutan.jp/stock/?code="&amp;B165,"株探"))</f>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IF(OR(F165="",G165="",H165=""),"",IF(C165="売",(F165-H165)*G165,(H165-F165)*G165))</f>
        <v/>
      </c>
      <c r="L165" s="706" t="str">
        <f>IF(OR(F165="",H165=""),"",IF(C165="売",(F165-H165)/F165,(H165-F165)/F165))</f>
        <v/>
      </c>
      <c r="M165" s="491" t="str">
        <f>IF($F165="","",IF($C165="売",CEILING($F165*IF($C165="売",1-$AX$3,1+$AX$3),IF($F165*IF($C165="売",1-$AX$3,1+$AX$3)&lt;=3000,1,IF($F165*IF($C165="売",1-$AX$3,1+$AX$3)&lt;=5000,5,IF($F165*IF($C165="売",1-$AX$3,1+$AX$3)&lt;=30000,10,IF($F165*IF($C165="売",1-$AX$3,1+$AX$3)&lt;=50000,50,IF($F165*IF($C165="売",1-$AX$3,1+$AX$3)&lt;=300000,100,500)))))),FLOOR($F165*IF($C165="売",1-$AX$3,1+$AX$3),IF($F165*IF($C165="売",1-$AX$3,1+$AX$3)&lt;=3000,1,IF($F165*IF($C165="売",1-$AX$3,1+$AX$3)&lt;=5000,5,IF($F165*IF($C165="売",1-$AX$3,1+$AX$3)&lt;=30000,10,IF($F165*IF($C165="売",1-$AX$3,1+$AX$3)&lt;=50000,50,IF($F165*IF($C165="売",1-$AX$3,1+$AX$3)&lt;=300000,100,500))))))))</f>
      </c>
      <c r="N165" s="491" t="str">
        <f>IF($F165="","",IF($C165="売",CEILING($F165*IF($C165="売",1+$AX$2,1-$AX$2),IF($F165*IF($C165="売",1+$AX$2,1-$AX$2)&lt;=3000,1,IF($F165*IF($C165="売",1+$AX$2,1-$AX$2)&lt;=5000,5,IF($F165*IF($C165="売",1+$AX$2,1-$AX$2)&lt;=30000,10,IF($F165*IF($C165="売",1+$AX$2,1-$AX$2)&lt;=50000,50,IF($F165*IF($C165="売",1+$AX$2,1-$AX$2)&lt;=300000,100,500)))))),FLOOR($F165*IF($C165="売",1+$AX$2,1-$AX$2),IF($F165*IF($C165="売",1+$AX$2,1-$AX$2)&lt;=3000,1,IF($F165*IF($C165="売",1+$AX$2,1-$AX$2)&lt;=5000,5,IF($F165*IF($C165="売",1+$AX$2,1-$AX$2)&lt;=30000,10,IF($F165*IF($C165="売",1+$AX$2,1-$AX$2)&lt;=50000,50,IF($F165*IF($C165="売",1+$AX$2,1-$AX$2)&lt;=300000,100,500))))))))</f>
      </c>
      <c r="O165" s="492" t="str">
        <f>IF(OR($B165="",$F165="",$H165=""),"",IF($S165="✅売却済","―決済済―",IF($C165="売",IF($H165&lt;=$M165,"🟢利確",IF(AND($R165&lt;&gt;"",$H165&gt;=$R165),"🟠TRAIL決済",IF($H165&gt;=$N165,"🔴損切",IF($W165&gt;=$AX$5,"⏱時間決済",IF($H165&gt;=$F165*(1+$AX$2*0.7),"⚠️損切接近","保持継続"))))),IF($H165&gt;=$M165,"🟢利確",IF(AND($R165&lt;&gt;"",$H165&lt;=$R165),"🟠TRAIL決済",IF($H165&lt;=$N165,"🔴損切",IF($W165&gt;=$AX$5,"⏱時間決済",IF($H165&lt;=$F165*(1-$AX$2*0.7),"⚠️損切接近","保持継続")))))))</f>
      </c>
      <c r="P165" s="491"/>
      <c r="Q165" s="491"/>
      <c r="R165" s="491" t="str">
        <f>IF(OR($F165="",$H165="",$N165=""),"",IF($S165="✅売却済","",IF($C165="売",IF($H165&gt;$F165*(1-$AX$2),$N165,CEILING(MIN($N165,IF($Q165="",$N165,$Q165*1.03)),IF($N165&lt;=3000,1,IF($N165&lt;=5000,5,IF($N165&lt;=30000,10,IF($N165&lt;=50000,50,IF($N165&lt;=300000,100,500))))))),IF($H165&lt;$F165*(1+$AX$2),$N165,FLOOR(MAX($N165,IF($P165="",$N165,$P165*0.97)),IF($N165&lt;=3000,1,IF($N165&lt;=5000,5,IF($N165&lt;=30000,10,IF($N165&lt;=50000,50,IF($N165&lt;=300000,100,500))))))))))</f>
      </c>
      <c r="S165" s="586" t="str">
        <f>IF(B165="","",IF(T165&lt;&gt;"","✅売却済",IF(OR(H165="",L165=""),"📌保有中",IF(L165&gt;=0.06,"🟢利確推奨",IF(L165&gt;=0.05,"🟡利確直近",IF(L165&gt;=0.045,"🔵トレーリング検討",IF(L165&gt;-0.03,"📌保有中",IF(L165&gt;-0.04,"⚠️損切注意","🔴損切り"))))))))</f>
        <v/>
      </c>
      <c r="T165" s="594"/>
      <c r="U165" s="491"/>
      <c r="V165" s="701" t="str">
        <f>IF(OR(F165="",G165="",U165=""),"",IF(C165="売",(F165-U165)*G165,(U165-F165)*G165))</f>
        <v/>
      </c>
      <c r="W165" s="493" t="str">
        <f>IF(OR($E165="",$B165=""),"",IF($T165&lt;&gt;"",$T165-$E165,TODAY()-$E165)+1)</f>
        <v/>
      </c>
      <c r="X165" s="489" t="str">
        <f>IF(OR($AH165="",$AH165="保有中"),"",$AH165)</f>
        <v/>
      </c>
      <c r="Y165" s="488">
        <f>IF($B165="","",IF(COUNTIFS($B$4:$B165,$B165,$C$4:$C165,$C165)&gt;1,"⛔重複"&amp;COUNTIFS($B$4:$B165,$B165,$C$4:$C165,$C165)&amp;"回目",""))</f>
      </c>
      <c r="Z165" s="710"/>
      <c r="AB165">
        <f>IF($F165="","",MAX(100,ROUNDDOWN($AX$4/($F165*$AX$2)/100,0)*100))</f>
      </c>
      <c r="AC165">
        <f>IF(OR($F165="",$G165="",$U165=""),"",ROUND($V165-($F165+$U165)*$G165*$AX$6-IF($C165="売",$F165*$G165*$AX$7*$W165/365,0),0))</f>
      </c>
      <c r="AD165" s="608"/>
      <c r="AE165" s="600" t="str">
        <f>IF($E165="","",WORKDAY($E165,12))</f>
        <v/>
      </c>
      <c r="AF165" s="600"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0"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0" t="str">
        <f>IF(OR($B165="",$M165=""),"",IF(AND(N($AF165)=0,N($AG165)=0),IF(AND(ISNUMBER($H165),$H165&gt;0,IF($C165="売",$H165&gt;=$N165,$H165&lt;=$N165)),"損切確定",IF(AND(ISNUMBER($H165),$H165&gt;0,IF($C165="売",$H165&lt;=$M165,$H165&gt;=$M165)),"利益確定",IF($AE165&lt;=TODAY(),"日数制限","保有中"))),IF(N($AG165)=0,"利益確定",IF(N($AF165)=0,"損切確定",IF($AG165&lt;=$AF165,"損切確定","利益確定")))))</f>
        <v/>
      </c>
      <c r="AI165" s="600" t="str" cm="1">
        <f t="array" ref="AI165">IFERROR(INDEX(始値!$E$6:$BT$305,MATCH(TEXT($B165,"0"),TEXT(銘柄管理!$B$6:$B$305,"0"),0),MATCH($AE165,始値!$E$3:$BT$3,0)),"")</f>
        <v/>
      </c>
      <c r="AJ165" s="608" t="str">
        <f>IF(OR($V165="",$F165="",$G165=""),"",$V165/($F165*$G165))</f>
        <v/>
      </c>
      <c r="AK165" s="600" t="str">
        <f>IF($V165="","",IF($V165&gt;0,"○勝",IF($V165&lt;0,"●負","△引分")))</f>
        <v/>
      </c>
    </row>
    <row r="166" spans="1:37" ht="35.4" customHeight="1">
      <c r="A166" s="619" t="str">
        <f>IF(B166="","",HYPERLINK("https://kabutan.jp/stock/?code="&amp;B166,"株探"))</f>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IF(OR(F166="",G166="",H166=""),"",IF(C166="売",(F166-H166)*G166,(H166-F166)*G166))</f>
        <v/>
      </c>
      <c r="L166" s="706" t="str">
        <f>IF(OR(F166="",H166=""),"",IF(C166="売",(F166-H166)/F166,(H166-F166)/F166))</f>
        <v/>
      </c>
      <c r="M166" s="491" t="str">
        <f>IF($F166="","",IF($C166="売",CEILING($F166*IF($C166="売",1-$AX$3,1+$AX$3),IF($F166*IF($C166="売",1-$AX$3,1+$AX$3)&lt;=3000,1,IF($F166*IF($C166="売",1-$AX$3,1+$AX$3)&lt;=5000,5,IF($F166*IF($C166="売",1-$AX$3,1+$AX$3)&lt;=30000,10,IF($F166*IF($C166="売",1-$AX$3,1+$AX$3)&lt;=50000,50,IF($F166*IF($C166="売",1-$AX$3,1+$AX$3)&lt;=300000,100,500)))))),FLOOR($F166*IF($C166="売",1-$AX$3,1+$AX$3),IF($F166*IF($C166="売",1-$AX$3,1+$AX$3)&lt;=3000,1,IF($F166*IF($C166="売",1-$AX$3,1+$AX$3)&lt;=5000,5,IF($F166*IF($C166="売",1-$AX$3,1+$AX$3)&lt;=30000,10,IF($F166*IF($C166="売",1-$AX$3,1+$AX$3)&lt;=50000,50,IF($F166*IF($C166="売",1-$AX$3,1+$AX$3)&lt;=300000,100,500))))))))</f>
      </c>
      <c r="N166" s="491" t="str">
        <f>IF($F166="","",IF($C166="売",CEILING($F166*IF($C166="売",1+$AX$2,1-$AX$2),IF($F166*IF($C166="売",1+$AX$2,1-$AX$2)&lt;=3000,1,IF($F166*IF($C166="売",1+$AX$2,1-$AX$2)&lt;=5000,5,IF($F166*IF($C166="売",1+$AX$2,1-$AX$2)&lt;=30000,10,IF($F166*IF($C166="売",1+$AX$2,1-$AX$2)&lt;=50000,50,IF($F166*IF($C166="売",1+$AX$2,1-$AX$2)&lt;=300000,100,500)))))),FLOOR($F166*IF($C166="売",1+$AX$2,1-$AX$2),IF($F166*IF($C166="売",1+$AX$2,1-$AX$2)&lt;=3000,1,IF($F166*IF($C166="売",1+$AX$2,1-$AX$2)&lt;=5000,5,IF($F166*IF($C166="売",1+$AX$2,1-$AX$2)&lt;=30000,10,IF($F166*IF($C166="売",1+$AX$2,1-$AX$2)&lt;=50000,50,IF($F166*IF($C166="売",1+$AX$2,1-$AX$2)&lt;=300000,100,500))))))))</f>
      </c>
      <c r="O166" s="492" t="str">
        <f>IF(OR($B166="",$F166="",$H166=""),"",IF($S166="✅売却済","―決済済―",IF($C166="売",IF($H166&lt;=$M166,"🟢利確",IF(AND($R166&lt;&gt;"",$H166&gt;=$R166),"🟠TRAIL決済",IF($H166&gt;=$N166,"🔴損切",IF($W166&gt;=$AX$5,"⏱時間決済",IF($H166&gt;=$F166*(1+$AX$2*0.7),"⚠️損切接近","保持継続"))))),IF($H166&gt;=$M166,"🟢利確",IF(AND($R166&lt;&gt;"",$H166&lt;=$R166),"🟠TRAIL決済",IF($H166&lt;=$N166,"🔴損切",IF($W166&gt;=$AX$5,"⏱時間決済",IF($H166&lt;=$F166*(1-$AX$2*0.7),"⚠️損切接近","保持継続")))))))</f>
      </c>
      <c r="P166" s="491"/>
      <c r="Q166" s="491"/>
      <c r="R166" s="491" t="str">
        <f>IF(OR($F166="",$H166="",$N166=""),"",IF($S166="✅売却済","",IF($C166="売",IF($H166&gt;$F166*(1-$AX$2),$N166,CEILING(MIN($N166,IF($Q166="",$N166,$Q166*1.03)),IF($N166&lt;=3000,1,IF($N166&lt;=5000,5,IF($N166&lt;=30000,10,IF($N166&lt;=50000,50,IF($N166&lt;=300000,100,500))))))),IF($H166&lt;$F166*(1+$AX$2),$N166,FLOOR(MAX($N166,IF($P166="",$N166,$P166*0.97)),IF($N166&lt;=3000,1,IF($N166&lt;=5000,5,IF($N166&lt;=30000,10,IF($N166&lt;=50000,50,IF($N166&lt;=300000,100,500))))))))))</f>
      </c>
      <c r="S166" s="586" t="str">
        <f>IF(B166="","",IF(T166&lt;&gt;"","✅売却済",IF(OR(H166="",L166=""),"📌保有中",IF(L166&gt;=0.06,"🟢利確推奨",IF(L166&gt;=0.05,"🟡利確直近",IF(L166&gt;=0.045,"🔵トレーリング検討",IF(L166&gt;-0.03,"📌保有中",IF(L166&gt;-0.04,"⚠️損切注意","🔴損切り"))))))))</f>
        <v/>
      </c>
      <c r="T166" s="594"/>
      <c r="U166" s="491"/>
      <c r="V166" s="701" t="str">
        <f>IF(OR(F166="",G166="",U166=""),"",IF(C166="売",(F166-U166)*G166,(U166-F166)*G166))</f>
        <v/>
      </c>
      <c r="W166" s="493" t="str">
        <f>IF(OR($E166="",$B166=""),"",IF($T166&lt;&gt;"",$T166-$E166,TODAY()-$E166)+1)</f>
        <v/>
      </c>
      <c r="X166" s="489" t="str">
        <f>IF(OR($AH166="",$AH166="保有中"),"",$AH166)</f>
        <v/>
      </c>
      <c r="Y166" s="488">
        <f>IF($B166="","",IF(COUNTIFS($B$4:$B166,$B166,$C$4:$C166,$C166)&gt;1,"⛔重複"&amp;COUNTIFS($B$4:$B166,$B166,$C$4:$C166,$C166)&amp;"回目",""))</f>
      </c>
      <c r="Z166" s="710"/>
      <c r="AB166">
        <f>IF($F166="","",MAX(100,ROUNDDOWN($AX$4/($F166*$AX$2)/100,0)*100))</f>
      </c>
      <c r="AC166">
        <f>IF(OR($F166="",$G166="",$U166=""),"",ROUND($V166-($F166+$U166)*$G166*$AX$6-IF($C166="売",$F166*$G166*$AX$7*$W166/365,0),0))</f>
      </c>
      <c r="AD166" s="608"/>
      <c r="AE166" s="600" t="str">
        <f>IF($E166="","",WORKDAY($E166,12))</f>
        <v/>
      </c>
      <c r="AF166" s="600"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0"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0" t="str">
        <f>IF(OR($B166="",$M166=""),"",IF(AND(N($AF166)=0,N($AG166)=0),IF(AND(ISNUMBER($H166),$H166&gt;0,IF($C166="売",$H166&gt;=$N166,$H166&lt;=$N166)),"損切確定",IF(AND(ISNUMBER($H166),$H166&gt;0,IF($C166="売",$H166&lt;=$M166,$H166&gt;=$M166)),"利益確定",IF($AE166&lt;=TODAY(),"日数制限","保有中"))),IF(N($AG166)=0,"利益確定",IF(N($AF166)=0,"損切確定",IF($AG166&lt;=$AF166,"損切確定","利益確定")))))</f>
        <v/>
      </c>
      <c r="AI166" s="600" t="str" cm="1">
        <f t="array" ref="AI166">IFERROR(INDEX(始値!$E$6:$BT$305,MATCH(TEXT($B166,"0"),TEXT(銘柄管理!$B$6:$B$305,"0"),0),MATCH($AE166,始値!$E$3:$BT$3,0)),"")</f>
        <v/>
      </c>
      <c r="AJ166" s="608" t="str">
        <f>IF(OR($V166="",$F166="",$G166=""),"",$V166/($F166*$G166))</f>
        <v/>
      </c>
      <c r="AK166" s="600" t="str">
        <f>IF($V166="","",IF($V166&gt;0,"○勝",IF($V166&lt;0,"●負","△引分")))</f>
        <v/>
      </c>
    </row>
    <row r="167" spans="1:37" ht="35.4" customHeight="1">
      <c r="A167" s="619" t="str">
        <f>IF(B167="","",HYPERLINK("https://kabutan.jp/stock/?code="&amp;B167,"株探"))</f>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IF(OR(F167="",G167="",H167=""),"",IF(C167="売",(F167-H167)*G167,(H167-F167)*G167))</f>
        <v/>
      </c>
      <c r="L167" s="706" t="str">
        <f>IF(OR(F167="",H167=""),"",IF(C167="売",(F167-H167)/F167,(H167-F167)/F167))</f>
        <v/>
      </c>
      <c r="M167" s="491" t="str">
        <f>IF($F167="","",IF($C167="売",CEILING($F167*IF($C167="売",1-$AX$3,1+$AX$3),IF($F167*IF($C167="売",1-$AX$3,1+$AX$3)&lt;=3000,1,IF($F167*IF($C167="売",1-$AX$3,1+$AX$3)&lt;=5000,5,IF($F167*IF($C167="売",1-$AX$3,1+$AX$3)&lt;=30000,10,IF($F167*IF($C167="売",1-$AX$3,1+$AX$3)&lt;=50000,50,IF($F167*IF($C167="売",1-$AX$3,1+$AX$3)&lt;=300000,100,500)))))),FLOOR($F167*IF($C167="売",1-$AX$3,1+$AX$3),IF($F167*IF($C167="売",1-$AX$3,1+$AX$3)&lt;=3000,1,IF($F167*IF($C167="売",1-$AX$3,1+$AX$3)&lt;=5000,5,IF($F167*IF($C167="売",1-$AX$3,1+$AX$3)&lt;=30000,10,IF($F167*IF($C167="売",1-$AX$3,1+$AX$3)&lt;=50000,50,IF($F167*IF($C167="売",1-$AX$3,1+$AX$3)&lt;=300000,100,500))))))))</f>
      </c>
      <c r="N167" s="491" t="str">
        <f>IF($F167="","",IF($C167="売",CEILING($F167*IF($C167="売",1+$AX$2,1-$AX$2),IF($F167*IF($C167="売",1+$AX$2,1-$AX$2)&lt;=3000,1,IF($F167*IF($C167="売",1+$AX$2,1-$AX$2)&lt;=5000,5,IF($F167*IF($C167="売",1+$AX$2,1-$AX$2)&lt;=30000,10,IF($F167*IF($C167="売",1+$AX$2,1-$AX$2)&lt;=50000,50,IF($F167*IF($C167="売",1+$AX$2,1-$AX$2)&lt;=300000,100,500)))))),FLOOR($F167*IF($C167="売",1+$AX$2,1-$AX$2),IF($F167*IF($C167="売",1+$AX$2,1-$AX$2)&lt;=3000,1,IF($F167*IF($C167="売",1+$AX$2,1-$AX$2)&lt;=5000,5,IF($F167*IF($C167="売",1+$AX$2,1-$AX$2)&lt;=30000,10,IF($F167*IF($C167="売",1+$AX$2,1-$AX$2)&lt;=50000,50,IF($F167*IF($C167="売",1+$AX$2,1-$AX$2)&lt;=300000,100,500))))))))</f>
      </c>
      <c r="O167" s="492" t="str">
        <f>IF(OR($B167="",$F167="",$H167=""),"",IF($S167="✅売却済","―決済済―",IF($C167="売",IF($H167&lt;=$M167,"🟢利確",IF(AND($R167&lt;&gt;"",$H167&gt;=$R167),"🟠TRAIL決済",IF($H167&gt;=$N167,"🔴損切",IF($W167&gt;=$AX$5,"⏱時間決済",IF($H167&gt;=$F167*(1+$AX$2*0.7),"⚠️損切接近","保持継続"))))),IF($H167&gt;=$M167,"🟢利確",IF(AND($R167&lt;&gt;"",$H167&lt;=$R167),"🟠TRAIL決済",IF($H167&lt;=$N167,"🔴損切",IF($W167&gt;=$AX$5,"⏱時間決済",IF($H167&lt;=$F167*(1-$AX$2*0.7),"⚠️損切接近","保持継続")))))))</f>
      </c>
      <c r="P167" s="491"/>
      <c r="Q167" s="491"/>
      <c r="R167" s="491" t="str">
        <f>IF(OR($F167="",$H167="",$N167=""),"",IF($S167="✅売却済","",IF($C167="売",IF($H167&gt;$F167*(1-$AX$2),$N167,CEILING(MIN($N167,IF($Q167="",$N167,$Q167*1.03)),IF($N167&lt;=3000,1,IF($N167&lt;=5000,5,IF($N167&lt;=30000,10,IF($N167&lt;=50000,50,IF($N167&lt;=300000,100,500))))))),IF($H167&lt;$F167*(1+$AX$2),$N167,FLOOR(MAX($N167,IF($P167="",$N167,$P167*0.97)),IF($N167&lt;=3000,1,IF($N167&lt;=5000,5,IF($N167&lt;=30000,10,IF($N167&lt;=50000,50,IF($N167&lt;=300000,100,500))))))))))</f>
      </c>
      <c r="S167" s="586" t="str">
        <f>IF(B167="","",IF(T167&lt;&gt;"","✅売却済",IF(OR(H167="",L167=""),"📌保有中",IF(L167&gt;=0.06,"🟢利確推奨",IF(L167&gt;=0.05,"🟡利確直近",IF(L167&gt;=0.045,"🔵トレーリング検討",IF(L167&gt;-0.03,"📌保有中",IF(L167&gt;-0.04,"⚠️損切注意","🔴損切り"))))))))</f>
        <v/>
      </c>
      <c r="T167" s="594"/>
      <c r="U167" s="491"/>
      <c r="V167" s="701" t="str">
        <f>IF(OR(F167="",G167="",U167=""),"",IF(C167="売",(F167-U167)*G167,(U167-F167)*G167))</f>
        <v/>
      </c>
      <c r="W167" s="493" t="str">
        <f>IF(OR($E167="",$B167=""),"",IF($T167&lt;&gt;"",$T167-$E167,TODAY()-$E167)+1)</f>
        <v/>
      </c>
      <c r="X167" s="489" t="str">
        <f>IF(OR($AH167="",$AH167="保有中"),"",$AH167)</f>
        <v/>
      </c>
      <c r="Y167" s="488">
        <f>IF($B167="","",IF(COUNTIFS($B$4:$B167,$B167,$C$4:$C167,$C167)&gt;1,"⛔重複"&amp;COUNTIFS($B$4:$B167,$B167,$C$4:$C167,$C167)&amp;"回目",""))</f>
      </c>
      <c r="Z167" s="710"/>
      <c r="AB167">
        <f>IF($F167="","",MAX(100,ROUNDDOWN($AX$4/($F167*$AX$2)/100,0)*100))</f>
      </c>
      <c r="AC167">
        <f>IF(OR($F167="",$G167="",$U167=""),"",ROUND($V167-($F167+$U167)*$G167*$AX$6-IF($C167="売",$F167*$G167*$AX$7*$W167/365,0),0))</f>
      </c>
      <c r="AD167" s="608"/>
      <c r="AE167" s="600" t="str">
        <f>IF($E167="","",WORKDAY($E167,12))</f>
        <v/>
      </c>
      <c r="AF167" s="600"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0"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0" t="str">
        <f>IF(OR($B167="",$M167=""),"",IF(AND(N($AF167)=0,N($AG167)=0),IF(AND(ISNUMBER($H167),$H167&gt;0,IF($C167="売",$H167&gt;=$N167,$H167&lt;=$N167)),"損切確定",IF(AND(ISNUMBER($H167),$H167&gt;0,IF($C167="売",$H167&lt;=$M167,$H167&gt;=$M167)),"利益確定",IF($AE167&lt;=TODAY(),"日数制限","保有中"))),IF(N($AG167)=0,"利益確定",IF(N($AF167)=0,"損切確定",IF($AG167&lt;=$AF167,"損切確定","利益確定")))))</f>
        <v/>
      </c>
      <c r="AI167" s="600" t="str" cm="1">
        <f t="array" ref="AI167">IFERROR(INDEX(始値!$E$6:$BT$305,MATCH(TEXT($B167,"0"),TEXT(銘柄管理!$B$6:$B$305,"0"),0),MATCH($AE167,始値!$E$3:$BT$3,0)),"")</f>
        <v/>
      </c>
      <c r="AJ167" s="608" t="str">
        <f>IF(OR($V167="",$F167="",$G167=""),"",$V167/($F167*$G167))</f>
        <v/>
      </c>
      <c r="AK167" s="600" t="str">
        <f>IF($V167="","",IF($V167&gt;0,"○勝",IF($V167&lt;0,"●負","△引分")))</f>
        <v/>
      </c>
    </row>
    <row r="168" spans="1:37" ht="35.4" customHeight="1">
      <c r="A168" s="619" t="str">
        <f>IF(B168="","",HYPERLINK("https://kabutan.jp/stock/?code="&amp;B168,"株探"))</f>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IF(OR(F168="",G168="",H168=""),"",IF(C168="売",(F168-H168)*G168,(H168-F168)*G168))</f>
        <v/>
      </c>
      <c r="L168" s="706" t="str">
        <f>IF(OR(F168="",H168=""),"",IF(C168="売",(F168-H168)/F168,(H168-F168)/F168))</f>
        <v/>
      </c>
      <c r="M168" s="491" t="str">
        <f>IF($F168="","",IF($C168="売",CEILING($F168*IF($C168="売",1-$AX$3,1+$AX$3),IF($F168*IF($C168="売",1-$AX$3,1+$AX$3)&lt;=3000,1,IF($F168*IF($C168="売",1-$AX$3,1+$AX$3)&lt;=5000,5,IF($F168*IF($C168="売",1-$AX$3,1+$AX$3)&lt;=30000,10,IF($F168*IF($C168="売",1-$AX$3,1+$AX$3)&lt;=50000,50,IF($F168*IF($C168="売",1-$AX$3,1+$AX$3)&lt;=300000,100,500)))))),FLOOR($F168*IF($C168="売",1-$AX$3,1+$AX$3),IF($F168*IF($C168="売",1-$AX$3,1+$AX$3)&lt;=3000,1,IF($F168*IF($C168="売",1-$AX$3,1+$AX$3)&lt;=5000,5,IF($F168*IF($C168="売",1-$AX$3,1+$AX$3)&lt;=30000,10,IF($F168*IF($C168="売",1-$AX$3,1+$AX$3)&lt;=50000,50,IF($F168*IF($C168="売",1-$AX$3,1+$AX$3)&lt;=300000,100,500))))))))</f>
      </c>
      <c r="N168" s="491" t="str">
        <f>IF($F168="","",IF($C168="売",CEILING($F168*IF($C168="売",1+$AX$2,1-$AX$2),IF($F168*IF($C168="売",1+$AX$2,1-$AX$2)&lt;=3000,1,IF($F168*IF($C168="売",1+$AX$2,1-$AX$2)&lt;=5000,5,IF($F168*IF($C168="売",1+$AX$2,1-$AX$2)&lt;=30000,10,IF($F168*IF($C168="売",1+$AX$2,1-$AX$2)&lt;=50000,50,IF($F168*IF($C168="売",1+$AX$2,1-$AX$2)&lt;=300000,100,500)))))),FLOOR($F168*IF($C168="売",1+$AX$2,1-$AX$2),IF($F168*IF($C168="売",1+$AX$2,1-$AX$2)&lt;=3000,1,IF($F168*IF($C168="売",1+$AX$2,1-$AX$2)&lt;=5000,5,IF($F168*IF($C168="売",1+$AX$2,1-$AX$2)&lt;=30000,10,IF($F168*IF($C168="売",1+$AX$2,1-$AX$2)&lt;=50000,50,IF($F168*IF($C168="売",1+$AX$2,1-$AX$2)&lt;=300000,100,500))))))))</f>
      </c>
      <c r="O168" s="492" t="str">
        <f>IF(OR($B168="",$F168="",$H168=""),"",IF($S168="✅売却済","―決済済―",IF($C168="売",IF($H168&lt;=$M168,"🟢利確",IF(AND($R168&lt;&gt;"",$H168&gt;=$R168),"🟠TRAIL決済",IF($H168&gt;=$N168,"🔴損切",IF($W168&gt;=$AX$5,"⏱時間決済",IF($H168&gt;=$F168*(1+$AX$2*0.7),"⚠️損切接近","保持継続"))))),IF($H168&gt;=$M168,"🟢利確",IF(AND($R168&lt;&gt;"",$H168&lt;=$R168),"🟠TRAIL決済",IF($H168&lt;=$N168,"🔴損切",IF($W168&gt;=$AX$5,"⏱時間決済",IF($H168&lt;=$F168*(1-$AX$2*0.7),"⚠️損切接近","保持継続")))))))</f>
      </c>
      <c r="P168" s="491"/>
      <c r="Q168" s="491"/>
      <c r="R168" s="491" t="str">
        <f>IF(OR($F168="",$H168="",$N168=""),"",IF($S168="✅売却済","",IF($C168="売",IF($H168&gt;$F168*(1-$AX$2),$N168,CEILING(MIN($N168,IF($Q168="",$N168,$Q168*1.03)),IF($N168&lt;=3000,1,IF($N168&lt;=5000,5,IF($N168&lt;=30000,10,IF($N168&lt;=50000,50,IF($N168&lt;=300000,100,500))))))),IF($H168&lt;$F168*(1+$AX$2),$N168,FLOOR(MAX($N168,IF($P168="",$N168,$P168*0.97)),IF($N168&lt;=3000,1,IF($N168&lt;=5000,5,IF($N168&lt;=30000,10,IF($N168&lt;=50000,50,IF($N168&lt;=300000,100,500))))))))))</f>
      </c>
      <c r="S168" s="586" t="str">
        <f>IF(B168="","",IF(T168&lt;&gt;"","✅売却済",IF(OR(H168="",L168=""),"📌保有中",IF(L168&gt;=0.06,"🟢利確推奨",IF(L168&gt;=0.05,"🟡利確直近",IF(L168&gt;=0.045,"🔵トレーリング検討",IF(L168&gt;-0.03,"📌保有中",IF(L168&gt;-0.04,"⚠️損切注意","🔴損切り"))))))))</f>
        <v/>
      </c>
      <c r="T168" s="594"/>
      <c r="U168" s="491"/>
      <c r="V168" s="701" t="str">
        <f>IF(OR(F168="",G168="",U168=""),"",IF(C168="売",(F168-U168)*G168,(U168-F168)*G168))</f>
        <v/>
      </c>
      <c r="W168" s="493" t="str">
        <f>IF(OR($E168="",$B168=""),"",IF($T168&lt;&gt;"",$T168-$E168,TODAY()-$E168)+1)</f>
        <v/>
      </c>
      <c r="X168" s="489" t="str">
        <f>IF(OR($AH168="",$AH168="保有中"),"",$AH168)</f>
        <v/>
      </c>
      <c r="Y168" s="488">
        <f>IF($B168="","",IF(COUNTIFS($B$4:$B168,$B168,$C$4:$C168,$C168)&gt;1,"⛔重複"&amp;COUNTIFS($B$4:$B168,$B168,$C$4:$C168,$C168)&amp;"回目",""))</f>
      </c>
      <c r="Z168" s="710"/>
      <c r="AB168">
        <f>IF($F168="","",MAX(100,ROUNDDOWN($AX$4/($F168*$AX$2)/100,0)*100))</f>
      </c>
      <c r="AC168">
        <f>IF(OR($F168="",$G168="",$U168=""),"",ROUND($V168-($F168+$U168)*$G168*$AX$6-IF($C168="売",$F168*$G168*$AX$7*$W168/365,0),0))</f>
      </c>
      <c r="AD168" s="608"/>
      <c r="AE168" s="600" t="str">
        <f>IF($E168="","",WORKDAY($E168,12))</f>
        <v/>
      </c>
      <c r="AF168" s="600"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0"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0" t="str">
        <f>IF(OR($B168="",$M168=""),"",IF(AND(N($AF168)=0,N($AG168)=0),IF(AND(ISNUMBER($H168),$H168&gt;0,IF($C168="売",$H168&gt;=$N168,$H168&lt;=$N168)),"損切確定",IF(AND(ISNUMBER($H168),$H168&gt;0,IF($C168="売",$H168&lt;=$M168,$H168&gt;=$M168)),"利益確定",IF($AE168&lt;=TODAY(),"日数制限","保有中"))),IF(N($AG168)=0,"利益確定",IF(N($AF168)=0,"損切確定",IF($AG168&lt;=$AF168,"損切確定","利益確定")))))</f>
        <v/>
      </c>
      <c r="AI168" s="600" t="str" cm="1">
        <f t="array" ref="AI168">IFERROR(INDEX(始値!$E$6:$BT$305,MATCH(TEXT($B168,"0"),TEXT(銘柄管理!$B$6:$B$305,"0"),0),MATCH($AE168,始値!$E$3:$BT$3,0)),"")</f>
        <v/>
      </c>
      <c r="AJ168" s="608" t="str">
        <f>IF(OR($V168="",$F168="",$G168=""),"",$V168/($F168*$G168))</f>
        <v/>
      </c>
      <c r="AK168" s="600" t="str">
        <f>IF($V168="","",IF($V168&gt;0,"○勝",IF($V168&lt;0,"●負","△引分")))</f>
        <v/>
      </c>
    </row>
    <row r="169" spans="1:37" ht="35.4" customHeight="1">
      <c r="A169" s="619" t="str">
        <f>IF(B169="","",HYPERLINK("https://kabutan.jp/stock/?code="&amp;B169,"株探"))</f>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IF(OR(F169="",G169="",H169=""),"",IF(C169="売",(F169-H169)*G169,(H169-F169)*G169))</f>
        <v/>
      </c>
      <c r="L169" s="706" t="str">
        <f>IF(OR(F169="",H169=""),"",IF(C169="売",(F169-H169)/F169,(H169-F169)/F169))</f>
        <v/>
      </c>
      <c r="M169" s="491" t="str">
        <f>IF($F169="","",IF($C169="売",CEILING($F169*IF($C169="売",1-$AX$3,1+$AX$3),IF($F169*IF($C169="売",1-$AX$3,1+$AX$3)&lt;=3000,1,IF($F169*IF($C169="売",1-$AX$3,1+$AX$3)&lt;=5000,5,IF($F169*IF($C169="売",1-$AX$3,1+$AX$3)&lt;=30000,10,IF($F169*IF($C169="売",1-$AX$3,1+$AX$3)&lt;=50000,50,IF($F169*IF($C169="売",1-$AX$3,1+$AX$3)&lt;=300000,100,500)))))),FLOOR($F169*IF($C169="売",1-$AX$3,1+$AX$3),IF($F169*IF($C169="売",1-$AX$3,1+$AX$3)&lt;=3000,1,IF($F169*IF($C169="売",1-$AX$3,1+$AX$3)&lt;=5000,5,IF($F169*IF($C169="売",1-$AX$3,1+$AX$3)&lt;=30000,10,IF($F169*IF($C169="売",1-$AX$3,1+$AX$3)&lt;=50000,50,IF($F169*IF($C169="売",1-$AX$3,1+$AX$3)&lt;=300000,100,500))))))))</f>
      </c>
      <c r="N169" s="491" t="str">
        <f>IF($F169="","",IF($C169="売",CEILING($F169*IF($C169="売",1+$AX$2,1-$AX$2),IF($F169*IF($C169="売",1+$AX$2,1-$AX$2)&lt;=3000,1,IF($F169*IF($C169="売",1+$AX$2,1-$AX$2)&lt;=5000,5,IF($F169*IF($C169="売",1+$AX$2,1-$AX$2)&lt;=30000,10,IF($F169*IF($C169="売",1+$AX$2,1-$AX$2)&lt;=50000,50,IF($F169*IF($C169="売",1+$AX$2,1-$AX$2)&lt;=300000,100,500)))))),FLOOR($F169*IF($C169="売",1+$AX$2,1-$AX$2),IF($F169*IF($C169="売",1+$AX$2,1-$AX$2)&lt;=3000,1,IF($F169*IF($C169="売",1+$AX$2,1-$AX$2)&lt;=5000,5,IF($F169*IF($C169="売",1+$AX$2,1-$AX$2)&lt;=30000,10,IF($F169*IF($C169="売",1+$AX$2,1-$AX$2)&lt;=50000,50,IF($F169*IF($C169="売",1+$AX$2,1-$AX$2)&lt;=300000,100,500))))))))</f>
      </c>
      <c r="O169" s="492" t="str">
        <f>IF(OR($B169="",$F169="",$H169=""),"",IF($S169="✅売却済","―決済済―",IF($C169="売",IF($H169&lt;=$M169,"🟢利確",IF(AND($R169&lt;&gt;"",$H169&gt;=$R169),"🟠TRAIL決済",IF($H169&gt;=$N169,"🔴損切",IF($W169&gt;=$AX$5,"⏱時間決済",IF($H169&gt;=$F169*(1+$AX$2*0.7),"⚠️損切接近","保持継続"))))),IF($H169&gt;=$M169,"🟢利確",IF(AND($R169&lt;&gt;"",$H169&lt;=$R169),"🟠TRAIL決済",IF($H169&lt;=$N169,"🔴損切",IF($W169&gt;=$AX$5,"⏱時間決済",IF($H169&lt;=$F169*(1-$AX$2*0.7),"⚠️損切接近","保持継続")))))))</f>
      </c>
      <c r="P169" s="491"/>
      <c r="Q169" s="491"/>
      <c r="R169" s="491" t="str">
        <f>IF(OR($F169="",$H169="",$N169=""),"",IF($S169="✅売却済","",IF($C169="売",IF($H169&gt;$F169*(1-$AX$2),$N169,CEILING(MIN($N169,IF($Q169="",$N169,$Q169*1.03)),IF($N169&lt;=3000,1,IF($N169&lt;=5000,5,IF($N169&lt;=30000,10,IF($N169&lt;=50000,50,IF($N169&lt;=300000,100,500))))))),IF($H169&lt;$F169*(1+$AX$2),$N169,FLOOR(MAX($N169,IF($P169="",$N169,$P169*0.97)),IF($N169&lt;=3000,1,IF($N169&lt;=5000,5,IF($N169&lt;=30000,10,IF($N169&lt;=50000,50,IF($N169&lt;=300000,100,500))))))))))</f>
      </c>
      <c r="S169" s="586" t="str">
        <f>IF(B169="","",IF(T169&lt;&gt;"","✅売却済",IF(OR(H169="",L169=""),"📌保有中",IF(L169&gt;=0.06,"🟢利確推奨",IF(L169&gt;=0.05,"🟡利確直近",IF(L169&gt;=0.045,"🔵トレーリング検討",IF(L169&gt;-0.03,"📌保有中",IF(L169&gt;-0.04,"⚠️損切注意","🔴損切り"))))))))</f>
        <v/>
      </c>
      <c r="T169" s="594"/>
      <c r="U169" s="491"/>
      <c r="V169" s="701" t="str">
        <f>IF(OR(F169="",G169="",U169=""),"",IF(C169="売",(F169-U169)*G169,(U169-F169)*G169))</f>
        <v/>
      </c>
      <c r="W169" s="493" t="str">
        <f>IF(OR($E169="",$B169=""),"",IF($T169&lt;&gt;"",$T169-$E169,TODAY()-$E169)+1)</f>
        <v/>
      </c>
      <c r="X169" s="489" t="str">
        <f>IF(OR($AH169="",$AH169="保有中"),"",$AH169)</f>
        <v/>
      </c>
      <c r="Y169" s="488">
        <f>IF($B169="","",IF(COUNTIFS($B$4:$B169,$B169,$C$4:$C169,$C169)&gt;1,"⛔重複"&amp;COUNTIFS($B$4:$B169,$B169,$C$4:$C169,$C169)&amp;"回目",""))</f>
      </c>
      <c r="Z169" s="710"/>
      <c r="AB169">
        <f>IF($F169="","",MAX(100,ROUNDDOWN($AX$4/($F169*$AX$2)/100,0)*100))</f>
      </c>
      <c r="AC169">
        <f>IF(OR($F169="",$G169="",$U169=""),"",ROUND($V169-($F169+$U169)*$G169*$AX$6-IF($C169="売",$F169*$G169*$AX$7*$W169/365,0),0))</f>
      </c>
      <c r="AD169" s="608"/>
      <c r="AE169" s="600" t="str">
        <f>IF($E169="","",WORKDAY($E169,12))</f>
        <v/>
      </c>
      <c r="AF169" s="600"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0"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0" t="str">
        <f>IF(OR($B169="",$M169=""),"",IF(AND(N($AF169)=0,N($AG169)=0),IF(AND(ISNUMBER($H169),$H169&gt;0,IF($C169="売",$H169&gt;=$N169,$H169&lt;=$N169)),"損切確定",IF(AND(ISNUMBER($H169),$H169&gt;0,IF($C169="売",$H169&lt;=$M169,$H169&gt;=$M169)),"利益確定",IF($AE169&lt;=TODAY(),"日数制限","保有中"))),IF(N($AG169)=0,"利益確定",IF(N($AF169)=0,"損切確定",IF($AG169&lt;=$AF169,"損切確定","利益確定")))))</f>
        <v/>
      </c>
      <c r="AI169" s="600" t="str" cm="1">
        <f t="array" ref="AI169">IFERROR(INDEX(始値!$E$6:$BT$305,MATCH(TEXT($B169,"0"),TEXT(銘柄管理!$B$6:$B$305,"0"),0),MATCH($AE169,始値!$E$3:$BT$3,0)),"")</f>
        <v/>
      </c>
      <c r="AJ169" s="608" t="str">
        <f>IF(OR($V169="",$F169="",$G169=""),"",$V169/($F169*$G169))</f>
        <v/>
      </c>
      <c r="AK169" s="600" t="str">
        <f>IF($V169="","",IF($V169&gt;0,"○勝",IF($V169&lt;0,"●負","△引分")))</f>
        <v/>
      </c>
    </row>
    <row r="170" spans="1:37" ht="35.4" customHeight="1">
      <c r="A170" s="619" t="str">
        <f>IF(B170="","",HYPERLINK("https://kabutan.jp/stock/?code="&amp;B170,"株探"))</f>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IF(OR(F170="",G170="",H170=""),"",IF(C170="売",(F170-H170)*G170,(H170-F170)*G170))</f>
        <v/>
      </c>
      <c r="L170" s="706" t="str">
        <f>IF(OR(F170="",H170=""),"",IF(C170="売",(F170-H170)/F170,(H170-F170)/F170))</f>
        <v/>
      </c>
      <c r="M170" s="491" t="str">
        <f>IF($F170="","",IF($C170="売",CEILING($F170*IF($C170="売",1-$AX$3,1+$AX$3),IF($F170*IF($C170="売",1-$AX$3,1+$AX$3)&lt;=3000,1,IF($F170*IF($C170="売",1-$AX$3,1+$AX$3)&lt;=5000,5,IF($F170*IF($C170="売",1-$AX$3,1+$AX$3)&lt;=30000,10,IF($F170*IF($C170="売",1-$AX$3,1+$AX$3)&lt;=50000,50,IF($F170*IF($C170="売",1-$AX$3,1+$AX$3)&lt;=300000,100,500)))))),FLOOR($F170*IF($C170="売",1-$AX$3,1+$AX$3),IF($F170*IF($C170="売",1-$AX$3,1+$AX$3)&lt;=3000,1,IF($F170*IF($C170="売",1-$AX$3,1+$AX$3)&lt;=5000,5,IF($F170*IF($C170="売",1-$AX$3,1+$AX$3)&lt;=30000,10,IF($F170*IF($C170="売",1-$AX$3,1+$AX$3)&lt;=50000,50,IF($F170*IF($C170="売",1-$AX$3,1+$AX$3)&lt;=300000,100,500))))))))</f>
      </c>
      <c r="N170" s="491" t="str">
        <f>IF($F170="","",IF($C170="売",CEILING($F170*IF($C170="売",1+$AX$2,1-$AX$2),IF($F170*IF($C170="売",1+$AX$2,1-$AX$2)&lt;=3000,1,IF($F170*IF($C170="売",1+$AX$2,1-$AX$2)&lt;=5000,5,IF($F170*IF($C170="売",1+$AX$2,1-$AX$2)&lt;=30000,10,IF($F170*IF($C170="売",1+$AX$2,1-$AX$2)&lt;=50000,50,IF($F170*IF($C170="売",1+$AX$2,1-$AX$2)&lt;=300000,100,500)))))),FLOOR($F170*IF($C170="売",1+$AX$2,1-$AX$2),IF($F170*IF($C170="売",1+$AX$2,1-$AX$2)&lt;=3000,1,IF($F170*IF($C170="売",1+$AX$2,1-$AX$2)&lt;=5000,5,IF($F170*IF($C170="売",1+$AX$2,1-$AX$2)&lt;=30000,10,IF($F170*IF($C170="売",1+$AX$2,1-$AX$2)&lt;=50000,50,IF($F170*IF($C170="売",1+$AX$2,1-$AX$2)&lt;=300000,100,500))))))))</f>
      </c>
      <c r="O170" s="492" t="str">
        <f>IF(OR($B170="",$F170="",$H170=""),"",IF($S170="✅売却済","―決済済―",IF($C170="売",IF($H170&lt;=$M170,"🟢利確",IF(AND($R170&lt;&gt;"",$H170&gt;=$R170),"🟠TRAIL決済",IF($H170&gt;=$N170,"🔴損切",IF($W170&gt;=$AX$5,"⏱時間決済",IF($H170&gt;=$F170*(1+$AX$2*0.7),"⚠️損切接近","保持継続"))))),IF($H170&gt;=$M170,"🟢利確",IF(AND($R170&lt;&gt;"",$H170&lt;=$R170),"🟠TRAIL決済",IF($H170&lt;=$N170,"🔴損切",IF($W170&gt;=$AX$5,"⏱時間決済",IF($H170&lt;=$F170*(1-$AX$2*0.7),"⚠️損切接近","保持継続")))))))</f>
      </c>
      <c r="P170" s="491"/>
      <c r="Q170" s="491"/>
      <c r="R170" s="491" t="str">
        <f>IF(OR($F170="",$H170="",$N170=""),"",IF($S170="✅売却済","",IF($C170="売",IF($H170&gt;$F170*(1-$AX$2),$N170,CEILING(MIN($N170,IF($Q170="",$N170,$Q170*1.03)),IF($N170&lt;=3000,1,IF($N170&lt;=5000,5,IF($N170&lt;=30000,10,IF($N170&lt;=50000,50,IF($N170&lt;=300000,100,500))))))),IF($H170&lt;$F170*(1+$AX$2),$N170,FLOOR(MAX($N170,IF($P170="",$N170,$P170*0.97)),IF($N170&lt;=3000,1,IF($N170&lt;=5000,5,IF($N170&lt;=30000,10,IF($N170&lt;=50000,50,IF($N170&lt;=300000,100,500))))))))))</f>
      </c>
      <c r="S170" s="586" t="str">
        <f>IF(B170="","",IF(T170&lt;&gt;"","✅売却済",IF(OR(H170="",L170=""),"📌保有中",IF(L170&gt;=0.06,"🟢利確推奨",IF(L170&gt;=0.05,"🟡利確直近",IF(L170&gt;=0.045,"🔵トレーリング検討",IF(L170&gt;-0.03,"📌保有中",IF(L170&gt;-0.04,"⚠️損切注意","🔴損切り"))))))))</f>
        <v/>
      </c>
      <c r="T170" s="594"/>
      <c r="U170" s="491"/>
      <c r="V170" s="701" t="str">
        <f>IF(OR(F170="",G170="",U170=""),"",IF(C170="売",(F170-U170)*G170,(U170-F170)*G170))</f>
        <v/>
      </c>
      <c r="W170" s="493" t="str">
        <f>IF(OR($E170="",$B170=""),"",IF($T170&lt;&gt;"",$T170-$E170,TODAY()-$E170)+1)</f>
        <v/>
      </c>
      <c r="X170" s="489" t="str">
        <f>IF(OR($AH170="",$AH170="保有中"),"",$AH170)</f>
        <v/>
      </c>
      <c r="Y170" s="488">
        <f>IF($B170="","",IF(COUNTIFS($B$4:$B170,$B170,$C$4:$C170,$C170)&gt;1,"⛔重複"&amp;COUNTIFS($B$4:$B170,$B170,$C$4:$C170,$C170)&amp;"回目",""))</f>
      </c>
      <c r="Z170" s="710"/>
      <c r="AB170">
        <f>IF($F170="","",MAX(100,ROUNDDOWN($AX$4/($F170*$AX$2)/100,0)*100))</f>
      </c>
      <c r="AC170">
        <f>IF(OR($F170="",$G170="",$U170=""),"",ROUND($V170-($F170+$U170)*$G170*$AX$6-IF($C170="売",$F170*$G170*$AX$7*$W170/365,0),0))</f>
      </c>
      <c r="AD170" s="608"/>
      <c r="AE170" s="600" t="str">
        <f>IF($E170="","",WORKDAY($E170,12))</f>
        <v/>
      </c>
      <c r="AF170" s="600"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0"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0" t="str">
        <f>IF(OR($B170="",$M170=""),"",IF(AND(N($AF170)=0,N($AG170)=0),IF(AND(ISNUMBER($H170),$H170&gt;0,IF($C170="売",$H170&gt;=$N170,$H170&lt;=$N170)),"損切確定",IF(AND(ISNUMBER($H170),$H170&gt;0,IF($C170="売",$H170&lt;=$M170,$H170&gt;=$M170)),"利益確定",IF($AE170&lt;=TODAY(),"日数制限","保有中"))),IF(N($AG170)=0,"利益確定",IF(N($AF170)=0,"損切確定",IF($AG170&lt;=$AF170,"損切確定","利益確定")))))</f>
        <v/>
      </c>
      <c r="AI170" s="600" t="str" cm="1">
        <f t="array" ref="AI170">IFERROR(INDEX(始値!$E$6:$BT$305,MATCH(TEXT($B170,"0"),TEXT(銘柄管理!$B$6:$B$305,"0"),0),MATCH($AE170,始値!$E$3:$BT$3,0)),"")</f>
        <v/>
      </c>
      <c r="AJ170" s="608" t="str">
        <f>IF(OR($V170="",$F170="",$G170=""),"",$V170/($F170*$G170))</f>
        <v/>
      </c>
      <c r="AK170" s="600" t="str">
        <f>IF($V170="","",IF($V170&gt;0,"○勝",IF($V170&lt;0,"●負","△引分")))</f>
        <v/>
      </c>
    </row>
    <row r="171" spans="1:37" ht="35.4" customHeight="1">
      <c r="A171" s="619" t="str">
        <f>IF(B171="","",HYPERLINK("https://kabutan.jp/stock/?code="&amp;B171,"株探"))</f>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IF(OR(F171="",G171="",H171=""),"",IF(C171="売",(F171-H171)*G171,(H171-F171)*G171))</f>
        <v/>
      </c>
      <c r="L171" s="706" t="str">
        <f>IF(OR(F171="",H171=""),"",IF(C171="売",(F171-H171)/F171,(H171-F171)/F171))</f>
        <v/>
      </c>
      <c r="M171" s="491" t="str">
        <f>IF($F171="","",IF($C171="売",CEILING($F171*IF($C171="売",1-$AX$3,1+$AX$3),IF($F171*IF($C171="売",1-$AX$3,1+$AX$3)&lt;=3000,1,IF($F171*IF($C171="売",1-$AX$3,1+$AX$3)&lt;=5000,5,IF($F171*IF($C171="売",1-$AX$3,1+$AX$3)&lt;=30000,10,IF($F171*IF($C171="売",1-$AX$3,1+$AX$3)&lt;=50000,50,IF($F171*IF($C171="売",1-$AX$3,1+$AX$3)&lt;=300000,100,500)))))),FLOOR($F171*IF($C171="売",1-$AX$3,1+$AX$3),IF($F171*IF($C171="売",1-$AX$3,1+$AX$3)&lt;=3000,1,IF($F171*IF($C171="売",1-$AX$3,1+$AX$3)&lt;=5000,5,IF($F171*IF($C171="売",1-$AX$3,1+$AX$3)&lt;=30000,10,IF($F171*IF($C171="売",1-$AX$3,1+$AX$3)&lt;=50000,50,IF($F171*IF($C171="売",1-$AX$3,1+$AX$3)&lt;=300000,100,500))))))))</f>
      </c>
      <c r="N171" s="491" t="str">
        <f>IF($F171="","",IF($C171="売",CEILING($F171*IF($C171="売",1+$AX$2,1-$AX$2),IF($F171*IF($C171="売",1+$AX$2,1-$AX$2)&lt;=3000,1,IF($F171*IF($C171="売",1+$AX$2,1-$AX$2)&lt;=5000,5,IF($F171*IF($C171="売",1+$AX$2,1-$AX$2)&lt;=30000,10,IF($F171*IF($C171="売",1+$AX$2,1-$AX$2)&lt;=50000,50,IF($F171*IF($C171="売",1+$AX$2,1-$AX$2)&lt;=300000,100,500)))))),FLOOR($F171*IF($C171="売",1+$AX$2,1-$AX$2),IF($F171*IF($C171="売",1+$AX$2,1-$AX$2)&lt;=3000,1,IF($F171*IF($C171="売",1+$AX$2,1-$AX$2)&lt;=5000,5,IF($F171*IF($C171="売",1+$AX$2,1-$AX$2)&lt;=30000,10,IF($F171*IF($C171="売",1+$AX$2,1-$AX$2)&lt;=50000,50,IF($F171*IF($C171="売",1+$AX$2,1-$AX$2)&lt;=300000,100,500))))))))</f>
      </c>
      <c r="O171" s="492" t="str">
        <f>IF(OR($B171="",$F171="",$H171=""),"",IF($S171="✅売却済","―決済済―",IF($C171="売",IF($H171&lt;=$M171,"🟢利確",IF(AND($R171&lt;&gt;"",$H171&gt;=$R171),"🟠TRAIL決済",IF($H171&gt;=$N171,"🔴損切",IF($W171&gt;=$AX$5,"⏱時間決済",IF($H171&gt;=$F171*(1+$AX$2*0.7),"⚠️損切接近","保持継続"))))),IF($H171&gt;=$M171,"🟢利確",IF(AND($R171&lt;&gt;"",$H171&lt;=$R171),"🟠TRAIL決済",IF($H171&lt;=$N171,"🔴損切",IF($W171&gt;=$AX$5,"⏱時間決済",IF($H171&lt;=$F171*(1-$AX$2*0.7),"⚠️損切接近","保持継続")))))))</f>
      </c>
      <c r="P171" s="491"/>
      <c r="Q171" s="491"/>
      <c r="R171" s="491" t="str">
        <f>IF(OR($F171="",$H171="",$N171=""),"",IF($S171="✅売却済","",IF($C171="売",IF($H171&gt;$F171*(1-$AX$2),$N171,CEILING(MIN($N171,IF($Q171="",$N171,$Q171*1.03)),IF($N171&lt;=3000,1,IF($N171&lt;=5000,5,IF($N171&lt;=30000,10,IF($N171&lt;=50000,50,IF($N171&lt;=300000,100,500))))))),IF($H171&lt;$F171*(1+$AX$2),$N171,FLOOR(MAX($N171,IF($P171="",$N171,$P171*0.97)),IF($N171&lt;=3000,1,IF($N171&lt;=5000,5,IF($N171&lt;=30000,10,IF($N171&lt;=50000,50,IF($N171&lt;=300000,100,500))))))))))</f>
      </c>
      <c r="S171" s="586" t="str">
        <f>IF(B171="","",IF(T171&lt;&gt;"","✅売却済",IF(OR(H171="",L171=""),"📌保有中",IF(L171&gt;=0.06,"🟢利確推奨",IF(L171&gt;=0.05,"🟡利確直近",IF(L171&gt;=0.045,"🔵トレーリング検討",IF(L171&gt;-0.03,"📌保有中",IF(L171&gt;-0.04,"⚠️損切注意","🔴損切り"))))))))</f>
        <v/>
      </c>
      <c r="T171" s="594"/>
      <c r="U171" s="491"/>
      <c r="V171" s="701" t="str">
        <f>IF(OR(F171="",G171="",U171=""),"",IF(C171="売",(F171-U171)*G171,(U171-F171)*G171))</f>
        <v/>
      </c>
      <c r="W171" s="493" t="str">
        <f>IF(OR($E171="",$B171=""),"",IF($T171&lt;&gt;"",$T171-$E171,TODAY()-$E171)+1)</f>
        <v/>
      </c>
      <c r="X171" s="489" t="str">
        <f>IF(OR($AH171="",$AH171="保有中"),"",$AH171)</f>
        <v/>
      </c>
      <c r="Y171" s="488">
        <f>IF($B171="","",IF(COUNTIFS($B$4:$B171,$B171,$C$4:$C171,$C171)&gt;1,"⛔重複"&amp;COUNTIFS($B$4:$B171,$B171,$C$4:$C171,$C171)&amp;"回目",""))</f>
      </c>
      <c r="Z171" s="710"/>
      <c r="AB171">
        <f>IF($F171="","",MAX(100,ROUNDDOWN($AX$4/($F171*$AX$2)/100,0)*100))</f>
      </c>
      <c r="AC171">
        <f>IF(OR($F171="",$G171="",$U171=""),"",ROUND($V171-($F171+$U171)*$G171*$AX$6-IF($C171="売",$F171*$G171*$AX$7*$W171/365,0),0))</f>
      </c>
      <c r="AD171" s="608"/>
      <c r="AE171" s="600" t="str">
        <f>IF($E171="","",WORKDAY($E171,12))</f>
        <v/>
      </c>
      <c r="AF171" s="600"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0"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0" t="str">
        <f>IF(OR($B171="",$M171=""),"",IF(AND(N($AF171)=0,N($AG171)=0),IF(AND(ISNUMBER($H171),$H171&gt;0,IF($C171="売",$H171&gt;=$N171,$H171&lt;=$N171)),"損切確定",IF(AND(ISNUMBER($H171),$H171&gt;0,IF($C171="売",$H171&lt;=$M171,$H171&gt;=$M171)),"利益確定",IF($AE171&lt;=TODAY(),"日数制限","保有中"))),IF(N($AG171)=0,"利益確定",IF(N($AF171)=0,"損切確定",IF($AG171&lt;=$AF171,"損切確定","利益確定")))))</f>
        <v/>
      </c>
      <c r="AI171" s="600" t="str" cm="1">
        <f t="array" ref="AI171">IFERROR(INDEX(始値!$E$6:$BT$305,MATCH(TEXT($B171,"0"),TEXT(銘柄管理!$B$6:$B$305,"0"),0),MATCH($AE171,始値!$E$3:$BT$3,0)),"")</f>
        <v/>
      </c>
      <c r="AJ171" s="608" t="str">
        <f>IF(OR($V171="",$F171="",$G171=""),"",$V171/($F171*$G171))</f>
        <v/>
      </c>
      <c r="AK171" s="600" t="str">
        <f>IF($V171="","",IF($V171&gt;0,"○勝",IF($V171&lt;0,"●負","△引分")))</f>
        <v/>
      </c>
    </row>
    <row r="172" spans="1:37" ht="35.4" customHeight="1">
      <c r="A172" s="619" t="str">
        <f>IF(B172="","",HYPERLINK("https://kabutan.jp/stock/?code="&amp;B172,"株探"))</f>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IF(OR(F172="",G172="",H172=""),"",IF(C172="売",(F172-H172)*G172,(H172-F172)*G172))</f>
        <v/>
      </c>
      <c r="L172" s="706" t="str">
        <f>IF(OR(F172="",H172=""),"",IF(C172="売",(F172-H172)/F172,(H172-F172)/F172))</f>
        <v/>
      </c>
      <c r="M172" s="491" t="str">
        <f>IF($F172="","",IF($C172="売",CEILING($F172*IF($C172="売",1-$AX$3,1+$AX$3),IF($F172*IF($C172="売",1-$AX$3,1+$AX$3)&lt;=3000,1,IF($F172*IF($C172="売",1-$AX$3,1+$AX$3)&lt;=5000,5,IF($F172*IF($C172="売",1-$AX$3,1+$AX$3)&lt;=30000,10,IF($F172*IF($C172="売",1-$AX$3,1+$AX$3)&lt;=50000,50,IF($F172*IF($C172="売",1-$AX$3,1+$AX$3)&lt;=300000,100,500)))))),FLOOR($F172*IF($C172="売",1-$AX$3,1+$AX$3),IF($F172*IF($C172="売",1-$AX$3,1+$AX$3)&lt;=3000,1,IF($F172*IF($C172="売",1-$AX$3,1+$AX$3)&lt;=5000,5,IF($F172*IF($C172="売",1-$AX$3,1+$AX$3)&lt;=30000,10,IF($F172*IF($C172="売",1-$AX$3,1+$AX$3)&lt;=50000,50,IF($F172*IF($C172="売",1-$AX$3,1+$AX$3)&lt;=300000,100,500))))))))</f>
      </c>
      <c r="N172" s="491" t="str">
        <f>IF($F172="","",IF($C172="売",CEILING($F172*IF($C172="売",1+$AX$2,1-$AX$2),IF($F172*IF($C172="売",1+$AX$2,1-$AX$2)&lt;=3000,1,IF($F172*IF($C172="売",1+$AX$2,1-$AX$2)&lt;=5000,5,IF($F172*IF($C172="売",1+$AX$2,1-$AX$2)&lt;=30000,10,IF($F172*IF($C172="売",1+$AX$2,1-$AX$2)&lt;=50000,50,IF($F172*IF($C172="売",1+$AX$2,1-$AX$2)&lt;=300000,100,500)))))),FLOOR($F172*IF($C172="売",1+$AX$2,1-$AX$2),IF($F172*IF($C172="売",1+$AX$2,1-$AX$2)&lt;=3000,1,IF($F172*IF($C172="売",1+$AX$2,1-$AX$2)&lt;=5000,5,IF($F172*IF($C172="売",1+$AX$2,1-$AX$2)&lt;=30000,10,IF($F172*IF($C172="売",1+$AX$2,1-$AX$2)&lt;=50000,50,IF($F172*IF($C172="売",1+$AX$2,1-$AX$2)&lt;=300000,100,500))))))))</f>
      </c>
      <c r="O172" s="492" t="str">
        <f>IF(OR($B172="",$F172="",$H172=""),"",IF($S172="✅売却済","―決済済―",IF($C172="売",IF($H172&lt;=$M172,"🟢利確",IF(AND($R172&lt;&gt;"",$H172&gt;=$R172),"🟠TRAIL決済",IF($H172&gt;=$N172,"🔴損切",IF($W172&gt;=$AX$5,"⏱時間決済",IF($H172&gt;=$F172*(1+$AX$2*0.7),"⚠️損切接近","保持継続"))))),IF($H172&gt;=$M172,"🟢利確",IF(AND($R172&lt;&gt;"",$H172&lt;=$R172),"🟠TRAIL決済",IF($H172&lt;=$N172,"🔴損切",IF($W172&gt;=$AX$5,"⏱時間決済",IF($H172&lt;=$F172*(1-$AX$2*0.7),"⚠️損切接近","保持継続")))))))</f>
      </c>
      <c r="P172" s="491"/>
      <c r="Q172" s="491"/>
      <c r="R172" s="491" t="str">
        <f>IF(OR($F172="",$H172="",$N172=""),"",IF($S172="✅売却済","",IF($C172="売",IF($H172&gt;$F172*(1-$AX$2),$N172,CEILING(MIN($N172,IF($Q172="",$N172,$Q172*1.03)),IF($N172&lt;=3000,1,IF($N172&lt;=5000,5,IF($N172&lt;=30000,10,IF($N172&lt;=50000,50,IF($N172&lt;=300000,100,500))))))),IF($H172&lt;$F172*(1+$AX$2),$N172,FLOOR(MAX($N172,IF($P172="",$N172,$P172*0.97)),IF($N172&lt;=3000,1,IF($N172&lt;=5000,5,IF($N172&lt;=30000,10,IF($N172&lt;=50000,50,IF($N172&lt;=300000,100,500))))))))))</f>
      </c>
      <c r="S172" s="586" t="str">
        <f>IF(B172="","",IF(T172&lt;&gt;"","✅売却済",IF(OR(H172="",L172=""),"📌保有中",IF(L172&gt;=0.06,"🟢利確推奨",IF(L172&gt;=0.05,"🟡利確直近",IF(L172&gt;=0.045,"🔵トレーリング検討",IF(L172&gt;-0.03,"📌保有中",IF(L172&gt;-0.04,"⚠️損切注意","🔴損切り"))))))))</f>
        <v/>
      </c>
      <c r="T172" s="594"/>
      <c r="U172" s="491"/>
      <c r="V172" s="701" t="str">
        <f>IF(OR(F172="",G172="",U172=""),"",IF(C172="売",(F172-U172)*G172,(U172-F172)*G172))</f>
        <v/>
      </c>
      <c r="W172" s="493" t="str">
        <f>IF(OR($E172="",$B172=""),"",IF($T172&lt;&gt;"",$T172-$E172,TODAY()-$E172)+1)</f>
        <v/>
      </c>
      <c r="X172" s="489" t="str">
        <f>IF(OR($AH172="",$AH172="保有中"),"",$AH172)</f>
        <v/>
      </c>
      <c r="Y172" s="488">
        <f>IF($B172="","",IF(COUNTIFS($B$4:$B172,$B172,$C$4:$C172,$C172)&gt;1,"⛔重複"&amp;COUNTIFS($B$4:$B172,$B172,$C$4:$C172,$C172)&amp;"回目",""))</f>
      </c>
      <c r="Z172" s="710"/>
      <c r="AB172">
        <f>IF($F172="","",MAX(100,ROUNDDOWN($AX$4/($F172*$AX$2)/100,0)*100))</f>
      </c>
      <c r="AC172">
        <f>IF(OR($F172="",$G172="",$U172=""),"",ROUND($V172-($F172+$U172)*$G172*$AX$6-IF($C172="売",$F172*$G172*$AX$7*$W172/365,0),0))</f>
      </c>
      <c r="AD172" s="608"/>
      <c r="AE172" s="600" t="str">
        <f>IF($E172="","",WORKDAY($E172,12))</f>
        <v/>
      </c>
      <c r="AF172" s="600"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0"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0" t="str">
        <f>IF(OR($B172="",$M172=""),"",IF(AND(N($AF172)=0,N($AG172)=0),IF(AND(ISNUMBER($H172),$H172&gt;0,IF($C172="売",$H172&gt;=$N172,$H172&lt;=$N172)),"損切確定",IF(AND(ISNUMBER($H172),$H172&gt;0,IF($C172="売",$H172&lt;=$M172,$H172&gt;=$M172)),"利益確定",IF($AE172&lt;=TODAY(),"日数制限","保有中"))),IF(N($AG172)=0,"利益確定",IF(N($AF172)=0,"損切確定",IF($AG172&lt;=$AF172,"損切確定","利益確定")))))</f>
        <v/>
      </c>
      <c r="AI172" s="600" t="str" cm="1">
        <f t="array" ref="AI172">IFERROR(INDEX(始値!$E$6:$BT$305,MATCH(TEXT($B172,"0"),TEXT(銘柄管理!$B$6:$B$305,"0"),0),MATCH($AE172,始値!$E$3:$BT$3,0)),"")</f>
        <v/>
      </c>
      <c r="AJ172" s="608" t="str">
        <f>IF(OR($V172="",$F172="",$G172=""),"",$V172/($F172*$G172))</f>
        <v/>
      </c>
      <c r="AK172" s="600" t="str">
        <f>IF($V172="","",IF($V172&gt;0,"○勝",IF($V172&lt;0,"●負","△引分")))</f>
        <v/>
      </c>
    </row>
    <row r="173" spans="1:37" ht="35.4" customHeight="1">
      <c r="A173" s="620" t="str">
        <f>IF(B173="","",HYPERLINK("https://kabutan.jp/stock/?code="&amp;B173,"株探"))</f>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IF(OR(F173="",G173="",H173=""),"",IF(C173="売",(F173-H173)*G173,(H173-F173)*G173))</f>
        <v/>
      </c>
      <c r="L173" s="707" t="str">
        <f>IF(OR(F173="",H173=""),"",IF(C173="売",(F173-H173)/F173,(H173-F173)/F173))</f>
        <v/>
      </c>
      <c r="M173" s="445" t="str">
        <f>IF($F173="","",IF($C173="売",CEILING($F173*IF($C173="売",1-$AX$3,1+$AX$3),IF($F173*IF($C173="売",1-$AX$3,1+$AX$3)&lt;=3000,1,IF($F173*IF($C173="売",1-$AX$3,1+$AX$3)&lt;=5000,5,IF($F173*IF($C173="売",1-$AX$3,1+$AX$3)&lt;=30000,10,IF($F173*IF($C173="売",1-$AX$3,1+$AX$3)&lt;=50000,50,IF($F173*IF($C173="売",1-$AX$3,1+$AX$3)&lt;=300000,100,500)))))),FLOOR($F173*IF($C173="売",1-$AX$3,1+$AX$3),IF($F173*IF($C173="売",1-$AX$3,1+$AX$3)&lt;=3000,1,IF($F173*IF($C173="売",1-$AX$3,1+$AX$3)&lt;=5000,5,IF($F173*IF($C173="売",1-$AX$3,1+$AX$3)&lt;=30000,10,IF($F173*IF($C173="売",1-$AX$3,1+$AX$3)&lt;=50000,50,IF($F173*IF($C173="売",1-$AX$3,1+$AX$3)&lt;=300000,100,500))))))))</f>
      </c>
      <c r="N173" s="445" t="str">
        <f>IF($F173="","",IF($C173="売",CEILING($F173*IF($C173="売",1+$AX$2,1-$AX$2),IF($F173*IF($C173="売",1+$AX$2,1-$AX$2)&lt;=3000,1,IF($F173*IF($C173="売",1+$AX$2,1-$AX$2)&lt;=5000,5,IF($F173*IF($C173="売",1+$AX$2,1-$AX$2)&lt;=30000,10,IF($F173*IF($C173="売",1+$AX$2,1-$AX$2)&lt;=50000,50,IF($F173*IF($C173="売",1+$AX$2,1-$AX$2)&lt;=300000,100,500)))))),FLOOR($F173*IF($C173="売",1+$AX$2,1-$AX$2),IF($F173*IF($C173="売",1+$AX$2,1-$AX$2)&lt;=3000,1,IF($F173*IF($C173="売",1+$AX$2,1-$AX$2)&lt;=5000,5,IF($F173*IF($C173="売",1+$AX$2,1-$AX$2)&lt;=30000,10,IF($F173*IF($C173="売",1+$AX$2,1-$AX$2)&lt;=50000,50,IF($F173*IF($C173="売",1+$AX$2,1-$AX$2)&lt;=300000,100,500))))))))</f>
      </c>
      <c r="O173" s="477" t="str">
        <f>IF(OR($B173="",$F173="",$H173=""),"",IF($S173="✅売却済","―決済済―",IF($C173="売",IF($H173&lt;=$M173,"🟢利確",IF(AND($R173&lt;&gt;"",$H173&gt;=$R173),"🟠TRAIL決済",IF($H173&gt;=$N173,"🔴損切",IF($W173&gt;=$AX$5,"⏱時間決済",IF($H173&gt;=$F173*(1+$AX$2*0.7),"⚠️損切接近","保持継続"))))),IF($H173&gt;=$M173,"🟢利確",IF(AND($R173&lt;&gt;"",$H173&lt;=$R173),"🟠TRAIL決済",IF($H173&lt;=$N173,"🔴損切",IF($W173&gt;=$AX$5,"⏱時間決済",IF($H173&lt;=$F173*(1-$AX$2*0.7),"⚠️損切接近","保持継続")))))))</f>
      </c>
      <c r="P173" s="445"/>
      <c r="Q173" s="445"/>
      <c r="R173" s="445" t="str">
        <f>IF(OR($F173="",$H173="",$N173=""),"",IF($S173="✅売却済","",IF($C173="売",IF($H173&gt;$F173*(1-$AX$2),$N173,CEILING(MIN($N173,IF($Q173="",$N173,$Q173*1.03)),IF($N173&lt;=3000,1,IF($N173&lt;=5000,5,IF($N173&lt;=30000,10,IF($N173&lt;=50000,50,IF($N173&lt;=300000,100,500))))))),IF($H173&lt;$F173*(1+$AX$2),$N173,FLOOR(MAX($N173,IF($P173="",$N173,$P173*0.97)),IF($N173&lt;=3000,1,IF($N173&lt;=5000,5,IF($N173&lt;=30000,10,IF($N173&lt;=50000,50,IF($N173&lt;=300000,100,500))))))))))</f>
      </c>
      <c r="S173" s="587" t="str">
        <f>IF(B173="","",IF(T173&lt;&gt;"","✅売却済",IF(OR(H173="",L173=""),"📌保有中",IF(L173&gt;=0.06,"🟢利確推奨",IF(L173&gt;=0.05,"🟡利確直近",IF(L173&gt;=0.045,"🔵トレーリング検討",IF(L173&gt;-0.03,"📌保有中",IF(L173&gt;-0.04,"⚠️損切注意","🔴損切り"))))))))</f>
        <v/>
      </c>
      <c r="T173" s="595"/>
      <c r="U173" s="445"/>
      <c r="V173" s="702" t="str">
        <f>IF(OR(F173="",G173="",U173=""),"",IF(C173="売",(F173-U173)*G173,(U173-F173)*G173))</f>
        <v/>
      </c>
      <c r="W173" s="446" t="str">
        <f>IF(OR($E173="",$B173=""),"",IF($T173&lt;&gt;"",$T173-$E173,TODAY()-$E173)+1)</f>
        <v/>
      </c>
      <c r="X173" s="444" t="str">
        <f>IF(OR($AH173="",$AH173="保有中"),"",$AH173)</f>
        <v/>
      </c>
      <c r="Y173" s="488">
        <f>IF($B173="","",IF(COUNTIFS($B$4:$B173,$B173,$C$4:$C173,$C173)&gt;1,"⛔重複"&amp;COUNTIFS($B$4:$B173,$B173,$C$4:$C173,$C173)&amp;"回目",""))</f>
      </c>
      <c r="Z173" s="710"/>
      <c r="AB173">
        <f>IF($F173="","",MAX(100,ROUNDDOWN($AX$4/($F173*$AX$2)/100,0)*100))</f>
      </c>
      <c r="AC173">
        <f>IF(OR($F173="",$G173="",$U173=""),"",ROUND($V173-($F173+$U173)*$G173*$AX$6-IF($C173="売",$F173*$G173*$AX$7*$W173/365,0),0))</f>
      </c>
      <c r="AD173" s="608"/>
      <c r="AE173" s="600" t="str">
        <f>IF($E173="","",WORKDAY($E173,12))</f>
        <v/>
      </c>
      <c r="AF173" s="600"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0"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0" t="str">
        <f>IF(OR($B173="",$M173=""),"",IF(AND(N($AF173)=0,N($AG173)=0),IF(AND(ISNUMBER($H173),$H173&gt;0,IF($C173="売",$H173&gt;=$N173,$H173&lt;=$N173)),"損切確定",IF(AND(ISNUMBER($H173),$H173&gt;0,IF($C173="売",$H173&lt;=$M173,$H173&gt;=$M173)),"利益確定",IF($AE173&lt;=TODAY(),"日数制限","保有中"))),IF(N($AG173)=0,"利益確定",IF(N($AF173)=0,"損切確定",IF($AG173&lt;=$AF173,"損切確定","利益確定")))))</f>
        <v/>
      </c>
      <c r="AI173" s="600" t="str" cm="1">
        <f t="array" ref="AI173">IFERROR(INDEX(始値!$E$6:$BT$305,MATCH(TEXT($B173,"0"),TEXT(銘柄管理!$B$6:$B$305,"0"),0),MATCH($AE173,始値!$E$3:$BT$3,0)),"")</f>
        <v/>
      </c>
      <c r="AJ173" s="608" t="str">
        <f>IF(OR($V173="",$F173="",$G173=""),"",$V173/($F173*$G173))</f>
        <v/>
      </c>
      <c r="AK173" s="600" t="str">
        <f>IF($V173="","",IF($V173&gt;0,"○勝",IF($V173&lt;0,"●負","△引分")))</f>
        <v/>
      </c>
    </row>
    <row r="174" spans="1:37" ht="35.4" customHeight="1">
      <c r="A174" s="620" t="str">
        <f>IF(B174="","",HYPERLINK("https://kabutan.jp/stock/?code="&amp;B174,"株探"))</f>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IF(OR(F174="",G174="",H174=""),"",IF(C174="売",(F174-H174)*G174,(H174-F174)*G174))</f>
        <v/>
      </c>
      <c r="L174" s="707" t="str">
        <f>IF(OR(F174="",H174=""),"",IF(C174="売",(F174-H174)/F174,(H174-F174)/F174))</f>
        <v/>
      </c>
      <c r="M174" s="445" t="str">
        <f>IF($F174="","",IF($C174="売",CEILING($F174*IF($C174="売",1-$AX$3,1+$AX$3),IF($F174*IF($C174="売",1-$AX$3,1+$AX$3)&lt;=3000,1,IF($F174*IF($C174="売",1-$AX$3,1+$AX$3)&lt;=5000,5,IF($F174*IF($C174="売",1-$AX$3,1+$AX$3)&lt;=30000,10,IF($F174*IF($C174="売",1-$AX$3,1+$AX$3)&lt;=50000,50,IF($F174*IF($C174="売",1-$AX$3,1+$AX$3)&lt;=300000,100,500)))))),FLOOR($F174*IF($C174="売",1-$AX$3,1+$AX$3),IF($F174*IF($C174="売",1-$AX$3,1+$AX$3)&lt;=3000,1,IF($F174*IF($C174="売",1-$AX$3,1+$AX$3)&lt;=5000,5,IF($F174*IF($C174="売",1-$AX$3,1+$AX$3)&lt;=30000,10,IF($F174*IF($C174="売",1-$AX$3,1+$AX$3)&lt;=50000,50,IF($F174*IF($C174="売",1-$AX$3,1+$AX$3)&lt;=300000,100,500))))))))</f>
      </c>
      <c r="N174" s="445" t="str">
        <f>IF($F174="","",IF($C174="売",CEILING($F174*IF($C174="売",1+$AX$2,1-$AX$2),IF($F174*IF($C174="売",1+$AX$2,1-$AX$2)&lt;=3000,1,IF($F174*IF($C174="売",1+$AX$2,1-$AX$2)&lt;=5000,5,IF($F174*IF($C174="売",1+$AX$2,1-$AX$2)&lt;=30000,10,IF($F174*IF($C174="売",1+$AX$2,1-$AX$2)&lt;=50000,50,IF($F174*IF($C174="売",1+$AX$2,1-$AX$2)&lt;=300000,100,500)))))),FLOOR($F174*IF($C174="売",1+$AX$2,1-$AX$2),IF($F174*IF($C174="売",1+$AX$2,1-$AX$2)&lt;=3000,1,IF($F174*IF($C174="売",1+$AX$2,1-$AX$2)&lt;=5000,5,IF($F174*IF($C174="売",1+$AX$2,1-$AX$2)&lt;=30000,10,IF($F174*IF($C174="売",1+$AX$2,1-$AX$2)&lt;=50000,50,IF($F174*IF($C174="売",1+$AX$2,1-$AX$2)&lt;=300000,100,500))))))))</f>
      </c>
      <c r="O174" s="477" t="str">
        <f>IF(OR($B174="",$F174="",$H174=""),"",IF($S174="✅売却済","―決済済―",IF($C174="売",IF($H174&lt;=$M174,"🟢利確",IF(AND($R174&lt;&gt;"",$H174&gt;=$R174),"🟠TRAIL決済",IF($H174&gt;=$N174,"🔴損切",IF($W174&gt;=$AX$5,"⏱時間決済",IF($H174&gt;=$F174*(1+$AX$2*0.7),"⚠️損切接近","保持継続"))))),IF($H174&gt;=$M174,"🟢利確",IF(AND($R174&lt;&gt;"",$H174&lt;=$R174),"🟠TRAIL決済",IF($H174&lt;=$N174,"🔴損切",IF($W174&gt;=$AX$5,"⏱時間決済",IF($H174&lt;=$F174*(1-$AX$2*0.7),"⚠️損切接近","保持継続")))))))</f>
      </c>
      <c r="P174" s="445"/>
      <c r="Q174" s="445"/>
      <c r="R174" s="445" t="str">
        <f>IF(OR($F174="",$H174="",$N174=""),"",IF($S174="✅売却済","",IF($C174="売",IF($H174&gt;$F174*(1-$AX$2),$N174,CEILING(MIN($N174,IF($Q174="",$N174,$Q174*1.03)),IF($N174&lt;=3000,1,IF($N174&lt;=5000,5,IF($N174&lt;=30000,10,IF($N174&lt;=50000,50,IF($N174&lt;=300000,100,500))))))),IF($H174&lt;$F174*(1+$AX$2),$N174,FLOOR(MAX($N174,IF($P174="",$N174,$P174*0.97)),IF($N174&lt;=3000,1,IF($N174&lt;=5000,5,IF($N174&lt;=30000,10,IF($N174&lt;=50000,50,IF($N174&lt;=300000,100,500))))))))))</f>
      </c>
      <c r="S174" s="587" t="str">
        <f>IF(B174="","",IF(T174&lt;&gt;"","✅売却済",IF(OR(H174="",L174=""),"📌保有中",IF(L174&gt;=0.06,"🟢利確推奨",IF(L174&gt;=0.05,"🟡利確直近",IF(L174&gt;=0.045,"🔵トレーリング検討",IF(L174&gt;-0.03,"📌保有中",IF(L174&gt;-0.04,"⚠️損切注意","🔴損切り"))))))))</f>
        <v/>
      </c>
      <c r="T174" s="595"/>
      <c r="U174" s="445"/>
      <c r="V174" s="702" t="str">
        <f>IF(OR(F174="",G174="",U174=""),"",IF(C174="売",(F174-U174)*G174,(U174-F174)*G174))</f>
        <v/>
      </c>
      <c r="W174" s="446" t="str">
        <f>IF(OR($E174="",$B174=""),"",IF($T174&lt;&gt;"",$T174-$E174,TODAY()-$E174)+1)</f>
        <v/>
      </c>
      <c r="X174" s="444" t="str">
        <f>IF(OR($AH174="",$AH174="保有中"),"",$AH174)</f>
        <v/>
      </c>
      <c r="Y174" s="488">
        <f>IF($B174="","",IF(COUNTIFS($B$4:$B174,$B174,$C$4:$C174,$C174)&gt;1,"⛔重複"&amp;COUNTIFS($B$4:$B174,$B174,$C$4:$C174,$C174)&amp;"回目",""))</f>
      </c>
      <c r="Z174" s="710"/>
      <c r="AB174">
        <f>IF($F174="","",MAX(100,ROUNDDOWN($AX$4/($F174*$AX$2)/100,0)*100))</f>
      </c>
      <c r="AC174">
        <f>IF(OR($F174="",$G174="",$U174=""),"",ROUND($V174-($F174+$U174)*$G174*$AX$6-IF($C174="売",$F174*$G174*$AX$7*$W174/365,0),0))</f>
      </c>
      <c r="AD174" s="608"/>
      <c r="AE174" s="600" t="str">
        <f>IF($E174="","",WORKDAY($E174,12))</f>
        <v/>
      </c>
      <c r="AF174" s="600"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0"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0" t="str">
        <f>IF(OR($B174="",$M174=""),"",IF(AND(N($AF174)=0,N($AG174)=0),IF(AND(ISNUMBER($H174),$H174&gt;0,IF($C174="売",$H174&gt;=$N174,$H174&lt;=$N174)),"損切確定",IF(AND(ISNUMBER($H174),$H174&gt;0,IF($C174="売",$H174&lt;=$M174,$H174&gt;=$M174)),"利益確定",IF($AE174&lt;=TODAY(),"日数制限","保有中"))),IF(N($AG174)=0,"利益確定",IF(N($AF174)=0,"損切確定",IF($AG174&lt;=$AF174,"損切確定","利益確定")))))</f>
        <v/>
      </c>
      <c r="AI174" s="600" t="str" cm="1">
        <f t="array" ref="AI174">IFERROR(INDEX(始値!$E$6:$BT$305,MATCH(TEXT($B174,"0"),TEXT(銘柄管理!$B$6:$B$305,"0"),0),MATCH($AE174,始値!$E$3:$BT$3,0)),"")</f>
        <v/>
      </c>
      <c r="AJ174" s="608" t="str">
        <f>IF(OR($V174="",$F174="",$G174=""),"",$V174/($F174*$G174))</f>
        <v/>
      </c>
      <c r="AK174" s="600" t="str">
        <f>IF($V174="","",IF($V174&gt;0,"○勝",IF($V174&lt;0,"●負","△引分")))</f>
        <v/>
      </c>
    </row>
    <row r="175" spans="1:37" ht="35.4" customHeight="1">
      <c r="A175" s="620" t="str">
        <f>IF(B175="","",HYPERLINK("https://kabutan.jp/stock/?code="&amp;B175,"株探"))</f>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IF(OR(F175="",G175="",H175=""),"",IF(C175="売",(F175-H175)*G175,(H175-F175)*G175))</f>
        <v/>
      </c>
      <c r="L175" s="707" t="str">
        <f>IF(OR(F175="",H175=""),"",IF(C175="売",(F175-H175)/F175,(H175-F175)/F175))</f>
        <v/>
      </c>
      <c r="M175" s="445" t="str">
        <f>IF($F175="","",IF($C175="売",CEILING($F175*IF($C175="売",1-$AX$3,1+$AX$3),IF($F175*IF($C175="売",1-$AX$3,1+$AX$3)&lt;=3000,1,IF($F175*IF($C175="売",1-$AX$3,1+$AX$3)&lt;=5000,5,IF($F175*IF($C175="売",1-$AX$3,1+$AX$3)&lt;=30000,10,IF($F175*IF($C175="売",1-$AX$3,1+$AX$3)&lt;=50000,50,IF($F175*IF($C175="売",1-$AX$3,1+$AX$3)&lt;=300000,100,500)))))),FLOOR($F175*IF($C175="売",1-$AX$3,1+$AX$3),IF($F175*IF($C175="売",1-$AX$3,1+$AX$3)&lt;=3000,1,IF($F175*IF($C175="売",1-$AX$3,1+$AX$3)&lt;=5000,5,IF($F175*IF($C175="売",1-$AX$3,1+$AX$3)&lt;=30000,10,IF($F175*IF($C175="売",1-$AX$3,1+$AX$3)&lt;=50000,50,IF($F175*IF($C175="売",1-$AX$3,1+$AX$3)&lt;=300000,100,500))))))))</f>
      </c>
      <c r="N175" s="445" t="str">
        <f>IF($F175="","",IF($C175="売",CEILING($F175*IF($C175="売",1+$AX$2,1-$AX$2),IF($F175*IF($C175="売",1+$AX$2,1-$AX$2)&lt;=3000,1,IF($F175*IF($C175="売",1+$AX$2,1-$AX$2)&lt;=5000,5,IF($F175*IF($C175="売",1+$AX$2,1-$AX$2)&lt;=30000,10,IF($F175*IF($C175="売",1+$AX$2,1-$AX$2)&lt;=50000,50,IF($F175*IF($C175="売",1+$AX$2,1-$AX$2)&lt;=300000,100,500)))))),FLOOR($F175*IF($C175="売",1+$AX$2,1-$AX$2),IF($F175*IF($C175="売",1+$AX$2,1-$AX$2)&lt;=3000,1,IF($F175*IF($C175="売",1+$AX$2,1-$AX$2)&lt;=5000,5,IF($F175*IF($C175="売",1+$AX$2,1-$AX$2)&lt;=30000,10,IF($F175*IF($C175="売",1+$AX$2,1-$AX$2)&lt;=50000,50,IF($F175*IF($C175="売",1+$AX$2,1-$AX$2)&lt;=300000,100,500))))))))</f>
      </c>
      <c r="O175" s="477" t="str">
        <f>IF(OR($B175="",$F175="",$H175=""),"",IF($S175="✅売却済","―決済済―",IF($C175="売",IF($H175&lt;=$M175,"🟢利確",IF(AND($R175&lt;&gt;"",$H175&gt;=$R175),"🟠TRAIL決済",IF($H175&gt;=$N175,"🔴損切",IF($W175&gt;=$AX$5,"⏱時間決済",IF($H175&gt;=$F175*(1+$AX$2*0.7),"⚠️損切接近","保持継続"))))),IF($H175&gt;=$M175,"🟢利確",IF(AND($R175&lt;&gt;"",$H175&lt;=$R175),"🟠TRAIL決済",IF($H175&lt;=$N175,"🔴損切",IF($W175&gt;=$AX$5,"⏱時間決済",IF($H175&lt;=$F175*(1-$AX$2*0.7),"⚠️損切接近","保持継続")))))))</f>
      </c>
      <c r="P175" s="445"/>
      <c r="Q175" s="445"/>
      <c r="R175" s="445" t="str">
        <f>IF(OR($F175="",$H175="",$N175=""),"",IF($S175="✅売却済","",IF($C175="売",IF($H175&gt;$F175*(1-$AX$2),$N175,CEILING(MIN($N175,IF($Q175="",$N175,$Q175*1.03)),IF($N175&lt;=3000,1,IF($N175&lt;=5000,5,IF($N175&lt;=30000,10,IF($N175&lt;=50000,50,IF($N175&lt;=300000,100,500))))))),IF($H175&lt;$F175*(1+$AX$2),$N175,FLOOR(MAX($N175,IF($P175="",$N175,$P175*0.97)),IF($N175&lt;=3000,1,IF($N175&lt;=5000,5,IF($N175&lt;=30000,10,IF($N175&lt;=50000,50,IF($N175&lt;=300000,100,500))))))))))</f>
      </c>
      <c r="S175" s="587" t="str">
        <f>IF(B175="","",IF(T175&lt;&gt;"","✅売却済",IF(OR(H175="",L175=""),"📌保有中",IF(L175&gt;=0.06,"🟢利確推奨",IF(L175&gt;=0.05,"🟡利確直近",IF(L175&gt;=0.045,"🔵トレーリング検討",IF(L175&gt;-0.03,"📌保有中",IF(L175&gt;-0.04,"⚠️損切注意","🔴損切り"))))))))</f>
        <v/>
      </c>
      <c r="T175" s="595"/>
      <c r="U175" s="445"/>
      <c r="V175" s="702" t="str">
        <f>IF(OR(F175="",G175="",U175=""),"",IF(C175="売",(F175-U175)*G175,(U175-F175)*G175))</f>
        <v/>
      </c>
      <c r="W175" s="446" t="str">
        <f>IF(OR($E175="",$B175=""),"",IF($T175&lt;&gt;"",$T175-$E175,TODAY()-$E175)+1)</f>
        <v/>
      </c>
      <c r="X175" s="444" t="str">
        <f>IF(OR($AH175="",$AH175="保有中"),"",$AH175)</f>
        <v/>
      </c>
      <c r="Y175" s="488">
        <f>IF($B175="","",IF(COUNTIFS($B$4:$B175,$B175,$C$4:$C175,$C175)&gt;1,"⛔重複"&amp;COUNTIFS($B$4:$B175,$B175,$C$4:$C175,$C175)&amp;"回目",""))</f>
      </c>
      <c r="Z175" s="710"/>
      <c r="AB175">
        <f>IF($F175="","",MAX(100,ROUNDDOWN($AX$4/($F175*$AX$2)/100,0)*100))</f>
      </c>
      <c r="AC175">
        <f>IF(OR($F175="",$G175="",$U175=""),"",ROUND($V175-($F175+$U175)*$G175*$AX$6-IF($C175="売",$F175*$G175*$AX$7*$W175/365,0),0))</f>
      </c>
      <c r="AD175" s="608"/>
      <c r="AE175" s="600" t="str">
        <f>IF($E175="","",WORKDAY($E175,12))</f>
        <v/>
      </c>
      <c r="AF175" s="600"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0"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0" t="str">
        <f>IF(OR($B175="",$M175=""),"",IF(AND(N($AF175)=0,N($AG175)=0),IF(AND(ISNUMBER($H175),$H175&gt;0,IF($C175="売",$H175&gt;=$N175,$H175&lt;=$N175)),"損切確定",IF(AND(ISNUMBER($H175),$H175&gt;0,IF($C175="売",$H175&lt;=$M175,$H175&gt;=$M175)),"利益確定",IF($AE175&lt;=TODAY(),"日数制限","保有中"))),IF(N($AG175)=0,"利益確定",IF(N($AF175)=0,"損切確定",IF($AG175&lt;=$AF175,"損切確定","利益確定")))))</f>
        <v/>
      </c>
      <c r="AI175" s="600" t="str" cm="1">
        <f t="array" ref="AI175">IFERROR(INDEX(始値!$E$6:$BT$305,MATCH(TEXT($B175,"0"),TEXT(銘柄管理!$B$6:$B$305,"0"),0),MATCH($AE175,始値!$E$3:$BT$3,0)),"")</f>
        <v/>
      </c>
      <c r="AJ175" s="608" t="str">
        <f>IF(OR($V175="",$F175="",$G175=""),"",$V175/($F175*$G175))</f>
        <v/>
      </c>
      <c r="AK175" s="600" t="str">
        <f>IF($V175="","",IF($V175&gt;0,"○勝",IF($V175&lt;0,"●負","△引分")))</f>
        <v/>
      </c>
    </row>
    <row r="176" spans="1:37" ht="35.4" customHeight="1">
      <c r="A176" s="621" t="str">
        <f>IF(B176="","",HYPERLINK("https://kabutan.jp/stock/?code="&amp;B176,"株探"))</f>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IF(OR(F176="",G176="",H176=""),"",IF(C176="売",(F176-H176)*G176,(H176-F176)*G176))</f>
        <v/>
      </c>
      <c r="L176" s="708" t="str">
        <f>IF(OR(F176="",H176=""),"",IF(C176="売",(F176-H176)/F176,(H176-F176)/F176))</f>
        <v/>
      </c>
      <c r="M176" s="598" t="str">
        <f>IF($F176="","",IF($C176="売",CEILING($F176*IF($C176="売",1-$AX$3,1+$AX$3),IF($F176*IF($C176="売",1-$AX$3,1+$AX$3)&lt;=3000,1,IF($F176*IF($C176="売",1-$AX$3,1+$AX$3)&lt;=5000,5,IF($F176*IF($C176="売",1-$AX$3,1+$AX$3)&lt;=30000,10,IF($F176*IF($C176="売",1-$AX$3,1+$AX$3)&lt;=50000,50,IF($F176*IF($C176="売",1-$AX$3,1+$AX$3)&lt;=300000,100,500)))))),FLOOR($F176*IF($C176="売",1-$AX$3,1+$AX$3),IF($F176*IF($C176="売",1-$AX$3,1+$AX$3)&lt;=3000,1,IF($F176*IF($C176="売",1-$AX$3,1+$AX$3)&lt;=5000,5,IF($F176*IF($C176="売",1-$AX$3,1+$AX$3)&lt;=30000,10,IF($F176*IF($C176="売",1-$AX$3,1+$AX$3)&lt;=50000,50,IF($F176*IF($C176="売",1-$AX$3,1+$AX$3)&lt;=300000,100,500))))))))</f>
      </c>
      <c r="N176" s="598" t="str">
        <f>IF($F176="","",IF($C176="売",CEILING($F176*IF($C176="売",1+$AX$2,1-$AX$2),IF($F176*IF($C176="売",1+$AX$2,1-$AX$2)&lt;=3000,1,IF($F176*IF($C176="売",1+$AX$2,1-$AX$2)&lt;=5000,5,IF($F176*IF($C176="売",1+$AX$2,1-$AX$2)&lt;=30000,10,IF($F176*IF($C176="売",1+$AX$2,1-$AX$2)&lt;=50000,50,IF($F176*IF($C176="売",1+$AX$2,1-$AX$2)&lt;=300000,100,500)))))),FLOOR($F176*IF($C176="売",1+$AX$2,1-$AX$2),IF($F176*IF($C176="売",1+$AX$2,1-$AX$2)&lt;=3000,1,IF($F176*IF($C176="売",1+$AX$2,1-$AX$2)&lt;=5000,5,IF($F176*IF($C176="売",1+$AX$2,1-$AX$2)&lt;=30000,10,IF($F176*IF($C176="売",1+$AX$2,1-$AX$2)&lt;=50000,50,IF($F176*IF($C176="売",1+$AX$2,1-$AX$2)&lt;=300000,100,500))))))))</f>
      </c>
      <c r="O176" s="478" t="str">
        <f>IF(OR($B176="",$F176="",$H176=""),"",IF($S176="✅売却済","―決済済―",IF($C176="売",IF($H176&lt;=$M176,"🟢利確",IF(AND($R176&lt;&gt;"",$H176&gt;=$R176),"🟠TRAIL決済",IF($H176&gt;=$N176,"🔴損切",IF($W176&gt;=$AX$5,"⏱時間決済",IF($H176&gt;=$F176*(1+$AX$2*0.7),"⚠️損切接近","保持継続"))))),IF($H176&gt;=$M176,"🟢利確",IF(AND($R176&lt;&gt;"",$H176&lt;=$R176),"🟠TRAIL決済",IF($H176&lt;=$N176,"🔴損切",IF($W176&gt;=$AX$5,"⏱時間決済",IF($H176&lt;=$F176*(1-$AX$2*0.7),"⚠️損切接近","保持継続")))))))</f>
      </c>
      <c r="P176" s="445"/>
      <c r="Q176" s="445"/>
      <c r="R176" s="480" t="str">
        <f>IF(OR($F176="",$H176="",$N176=""),"",IF($S176="✅売却済","",IF($C176="売",IF($H176&gt;$F176*(1-$AX$2),$N176,CEILING(MIN($N176,IF($Q176="",$N176,$Q176*1.03)),IF($N176&lt;=3000,1,IF($N176&lt;=5000,5,IF($N176&lt;=30000,10,IF($N176&lt;=50000,50,IF($N176&lt;=300000,100,500))))))),IF($H176&lt;$F176*(1+$AX$2),$N176,FLOOR(MAX($N176,IF($P176="",$N176,$P176*0.97)),IF($N176&lt;=3000,1,IF($N176&lt;=5000,5,IF($N176&lt;=30000,10,IF($N176&lt;=50000,50,IF($N176&lt;=300000,100,500))))))))))</f>
      </c>
      <c r="S176" s="480" t="str">
        <f>IF(B176="","",IF(T176&lt;&gt;"","✅売却済",IF(OR(H176="",L176=""),"📌保有中",IF(L176&gt;=0.06,"🟢利確推奨",IF(L176&gt;=0.05,"🟡利確直近",IF(L176&gt;=0.045,"🔵トレーリング検討",IF(L176&gt;-0.03,"📌保有中",IF(L176&gt;-0.04,"⚠️損切注意","🔴損切り"))))))))</f>
        <v/>
      </c>
      <c r="T176" s="596"/>
      <c r="U176" s="598"/>
      <c r="V176" s="703" t="str">
        <f>IF(OR(F176="",G176="",U176=""),"",IF(C176="売",(F176-U176)*G176,(U176-F176)*G176))</f>
        <v/>
      </c>
      <c r="W176" s="480" t="str">
        <f>IF(OR($E176="",$B176=""),"",IF($T176&lt;&gt;"",$T176-$E176,TODAY()-$E176)+1)</f>
        <v/>
      </c>
      <c r="X176" s="480" t="str">
        <f>IF(OR($AH176="",$AH176="保有中"),"",$AH176)</f>
        <v/>
      </c>
      <c r="Y176" s="488">
        <f>IF($B176="","",IF(COUNTIFS($B$4:$B176,$B176,$C$4:$C176,$C176)&gt;1,"⛔重複"&amp;COUNTIFS($B$4:$B176,$B176,$C$4:$C176,$C176)&amp;"回目",""))</f>
      </c>
      <c r="Z176" s="710"/>
      <c r="AB176">
        <f>IF($F176="","",MAX(100,ROUNDDOWN($AX$4/($F176*$AX$2)/100,0)*100))</f>
      </c>
      <c r="AC176">
        <f>IF(OR($F176="",$G176="",$U176=""),"",ROUND($V176-($F176+$U176)*$G176*$AX$6-IF($C176="売",$F176*$G176*$AX$7*$W176/365,0),0))</f>
      </c>
      <c r="AD176" s="608"/>
      <c r="AE176" s="600" t="str">
        <f>IF($E176="","",WORKDAY($E176,12))</f>
        <v/>
      </c>
      <c r="AF176" s="600"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0"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0" t="str">
        <f>IF(OR($B176="",$M176=""),"",IF(AND(N($AF176)=0,N($AG176)=0),IF(AND(ISNUMBER($H176),$H176&gt;0,IF($C176="売",$H176&gt;=$N176,$H176&lt;=$N176)),"損切確定",IF(AND(ISNUMBER($H176),$H176&gt;0,IF($C176="売",$H176&lt;=$M176,$H176&gt;=$M176)),"利益確定",IF($AE176&lt;=TODAY(),"日数制限","保有中"))),IF(N($AG176)=0,"利益確定",IF(N($AF176)=0,"損切確定",IF($AG176&lt;=$AF176,"損切確定","利益確定")))))</f>
        <v/>
      </c>
      <c r="AI176" s="600" t="str" cm="1">
        <f t="array" ref="AI176">IFERROR(INDEX(始値!$E$6:$BT$305,MATCH(TEXT($B176,"0"),TEXT(銘柄管理!$B$6:$B$305,"0"),0),MATCH($AE176,始値!$E$3:$BT$3,0)),"")</f>
        <v/>
      </c>
      <c r="AJ176" s="608" t="str">
        <f>IF(OR($V176="",$F176="",$G176=""),"",$V176/($F176*$G176))</f>
        <v/>
      </c>
      <c r="AK176" s="600" t="str">
        <f>IF($V176="","",IF($V176&gt;0,"○勝",IF($V176&lt;0,"●負","△引分")))</f>
        <v/>
      </c>
    </row>
    <row r="177" spans="1:37" ht="35.4" customHeight="1">
      <c r="A177" s="621" t="str">
        <f>IF(B177="","",HYPERLINK("https://kabutan.jp/stock/?code="&amp;B177,"株探"))</f>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IF(OR(F177="",G177="",H177=""),"",IF(C177="売",(F177-H177)*G177,(H177-F177)*G177))</f>
        <v/>
      </c>
      <c r="L177" s="708" t="str">
        <f>IF(OR(F177="",H177=""),"",IF(C177="売",(F177-H177)/F177,(H177-F177)/F177))</f>
        <v/>
      </c>
      <c r="M177" s="598" t="str">
        <f>IF($F177="","",IF($C177="売",CEILING($F177*IF($C177="売",1-$AX$3,1+$AX$3),IF($F177*IF($C177="売",1-$AX$3,1+$AX$3)&lt;=3000,1,IF($F177*IF($C177="売",1-$AX$3,1+$AX$3)&lt;=5000,5,IF($F177*IF($C177="売",1-$AX$3,1+$AX$3)&lt;=30000,10,IF($F177*IF($C177="売",1-$AX$3,1+$AX$3)&lt;=50000,50,IF($F177*IF($C177="売",1-$AX$3,1+$AX$3)&lt;=300000,100,500)))))),FLOOR($F177*IF($C177="売",1-$AX$3,1+$AX$3),IF($F177*IF($C177="売",1-$AX$3,1+$AX$3)&lt;=3000,1,IF($F177*IF($C177="売",1-$AX$3,1+$AX$3)&lt;=5000,5,IF($F177*IF($C177="売",1-$AX$3,1+$AX$3)&lt;=30000,10,IF($F177*IF($C177="売",1-$AX$3,1+$AX$3)&lt;=50000,50,IF($F177*IF($C177="売",1-$AX$3,1+$AX$3)&lt;=300000,100,500))))))))</f>
      </c>
      <c r="N177" s="598" t="str">
        <f>IF($F177="","",IF($C177="売",CEILING($F177*IF($C177="売",1+$AX$2,1-$AX$2),IF($F177*IF($C177="売",1+$AX$2,1-$AX$2)&lt;=3000,1,IF($F177*IF($C177="売",1+$AX$2,1-$AX$2)&lt;=5000,5,IF($F177*IF($C177="売",1+$AX$2,1-$AX$2)&lt;=30000,10,IF($F177*IF($C177="売",1+$AX$2,1-$AX$2)&lt;=50000,50,IF($F177*IF($C177="売",1+$AX$2,1-$AX$2)&lt;=300000,100,500)))))),FLOOR($F177*IF($C177="売",1+$AX$2,1-$AX$2),IF($F177*IF($C177="売",1+$AX$2,1-$AX$2)&lt;=3000,1,IF($F177*IF($C177="売",1+$AX$2,1-$AX$2)&lt;=5000,5,IF($F177*IF($C177="売",1+$AX$2,1-$AX$2)&lt;=30000,10,IF($F177*IF($C177="売",1+$AX$2,1-$AX$2)&lt;=50000,50,IF($F177*IF($C177="売",1+$AX$2,1-$AX$2)&lt;=300000,100,500))))))))</f>
      </c>
      <c r="O177" s="478" t="str">
        <f>IF(OR($B177="",$F177="",$H177=""),"",IF($S177="✅売却済","―決済済―",IF($C177="売",IF($H177&lt;=$M177,"🟢利確",IF(AND($R177&lt;&gt;"",$H177&gt;=$R177),"🟠TRAIL決済",IF($H177&gt;=$N177,"🔴損切",IF($W177&gt;=$AX$5,"⏱時間決済",IF($H177&gt;=$F177*(1+$AX$2*0.7),"⚠️損切接近","保持継続"))))),IF($H177&gt;=$M177,"🟢利確",IF(AND($R177&lt;&gt;"",$H177&lt;=$R177),"🟠TRAIL決済",IF($H177&lt;=$N177,"🔴損切",IF($W177&gt;=$AX$5,"⏱時間決済",IF($H177&lt;=$F177*(1-$AX$2*0.7),"⚠️損切接近","保持継続")))))))</f>
      </c>
      <c r="P177" s="445"/>
      <c r="Q177" s="445"/>
      <c r="R177" s="480" t="str">
        <f>IF(OR($F177="",$H177="",$N177=""),"",IF($S177="✅売却済","",IF($C177="売",IF($H177&gt;$F177*(1-$AX$2),$N177,CEILING(MIN($N177,IF($Q177="",$N177,$Q177*1.03)),IF($N177&lt;=3000,1,IF($N177&lt;=5000,5,IF($N177&lt;=30000,10,IF($N177&lt;=50000,50,IF($N177&lt;=300000,100,500))))))),IF($H177&lt;$F177*(1+$AX$2),$N177,FLOOR(MAX($N177,IF($P177="",$N177,$P177*0.97)),IF($N177&lt;=3000,1,IF($N177&lt;=5000,5,IF($N177&lt;=30000,10,IF($N177&lt;=50000,50,IF($N177&lt;=300000,100,500))))))))))</f>
      </c>
      <c r="S177" s="480" t="str">
        <f>IF(B177="","",IF(T177&lt;&gt;"","✅売却済",IF(OR(H177="",L177=""),"📌保有中",IF(L177&gt;=0.06,"🟢利確推奨",IF(L177&gt;=0.05,"🟡利確直近",IF(L177&gt;=0.045,"🔵トレーリング検討",IF(L177&gt;-0.03,"📌保有中",IF(L177&gt;-0.04,"⚠️損切注意","🔴損切り"))))))))</f>
        <v/>
      </c>
      <c r="T177" s="596"/>
      <c r="U177" s="598"/>
      <c r="V177" s="703" t="str">
        <f>IF(OR(F177="",G177="",U177=""),"",IF(C177="売",(F177-U177)*G177,(U177-F177)*G177))</f>
        <v/>
      </c>
      <c r="W177" s="480" t="str">
        <f>IF(OR($E177="",$B177=""),"",IF($T177&lt;&gt;"",$T177-$E177,TODAY()-$E177)+1)</f>
        <v/>
      </c>
      <c r="X177" s="480" t="str">
        <f>IF(OR($AH177="",$AH177="保有中"),"",$AH177)</f>
        <v/>
      </c>
      <c r="Y177" s="488">
        <f>IF($B177="","",IF(COUNTIFS($B$4:$B177,$B177,$C$4:$C177,$C177)&gt;1,"⛔重複"&amp;COUNTIFS($B$4:$B177,$B177,$C$4:$C177,$C177)&amp;"回目",""))</f>
      </c>
      <c r="Z177" s="710"/>
      <c r="AB177">
        <f>IF($F177="","",MAX(100,ROUNDDOWN($AX$4/($F177*$AX$2)/100,0)*100))</f>
      </c>
      <c r="AC177">
        <f>IF(OR($F177="",$G177="",$U177=""),"",ROUND($V177-($F177+$U177)*$G177*$AX$6-IF($C177="売",$F177*$G177*$AX$7*$W177/365,0),0))</f>
      </c>
      <c r="AD177" s="608"/>
      <c r="AE177" s="600" t="str">
        <f>IF($E177="","",WORKDAY($E177,12))</f>
        <v/>
      </c>
      <c r="AF177" s="600"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0"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0" t="str">
        <f>IF(OR($B177="",$M177=""),"",IF(AND(N($AF177)=0,N($AG177)=0),IF(AND(ISNUMBER($H177),$H177&gt;0,IF($C177="売",$H177&gt;=$N177,$H177&lt;=$N177)),"損切確定",IF(AND(ISNUMBER($H177),$H177&gt;0,IF($C177="売",$H177&lt;=$M177,$H177&gt;=$M177)),"利益確定",IF($AE177&lt;=TODAY(),"日数制限","保有中"))),IF(N($AG177)=0,"利益確定",IF(N($AF177)=0,"損切確定",IF($AG177&lt;=$AF177,"損切確定","利益確定")))))</f>
        <v/>
      </c>
      <c r="AI177" s="600" t="str" cm="1">
        <f t="array" ref="AI177">IFERROR(INDEX(始値!$E$6:$BT$305,MATCH(TEXT($B177,"0"),TEXT(銘柄管理!$B$6:$B$305,"0"),0),MATCH($AE177,始値!$E$3:$BT$3,0)),"")</f>
        <v/>
      </c>
      <c r="AJ177" s="608" t="str">
        <f>IF(OR($V177="",$F177="",$G177=""),"",$V177/($F177*$G177))</f>
        <v/>
      </c>
      <c r="AK177" s="600" t="str">
        <f>IF($V177="","",IF($V177&gt;0,"○勝",IF($V177&lt;0,"●負","△引分")))</f>
        <v/>
      </c>
    </row>
    <row r="178" spans="1:37" ht="35.4" customHeight="1">
      <c r="A178" s="621" t="str">
        <f>IF(B178="","",HYPERLINK("https://kabutan.jp/stock/?code="&amp;B178,"株探"))</f>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IF(OR(F178="",G178="",H178=""),"",IF(C178="売",(F178-H178)*G178,(H178-F178)*G178))</f>
        <v/>
      </c>
      <c r="L178" s="708" t="str">
        <f>IF(OR(F178="",H178=""),"",IF(C178="売",(F178-H178)/F178,(H178-F178)/F178))</f>
        <v/>
      </c>
      <c r="M178" s="598" t="str">
        <f>IF($F178="","",IF($C178="売",CEILING($F178*IF($C178="売",1-$AX$3,1+$AX$3),IF($F178*IF($C178="売",1-$AX$3,1+$AX$3)&lt;=3000,1,IF($F178*IF($C178="売",1-$AX$3,1+$AX$3)&lt;=5000,5,IF($F178*IF($C178="売",1-$AX$3,1+$AX$3)&lt;=30000,10,IF($F178*IF($C178="売",1-$AX$3,1+$AX$3)&lt;=50000,50,IF($F178*IF($C178="売",1-$AX$3,1+$AX$3)&lt;=300000,100,500)))))),FLOOR($F178*IF($C178="売",1-$AX$3,1+$AX$3),IF($F178*IF($C178="売",1-$AX$3,1+$AX$3)&lt;=3000,1,IF($F178*IF($C178="売",1-$AX$3,1+$AX$3)&lt;=5000,5,IF($F178*IF($C178="売",1-$AX$3,1+$AX$3)&lt;=30000,10,IF($F178*IF($C178="売",1-$AX$3,1+$AX$3)&lt;=50000,50,IF($F178*IF($C178="売",1-$AX$3,1+$AX$3)&lt;=300000,100,500))))))))</f>
      </c>
      <c r="N178" s="598" t="str">
        <f>IF($F178="","",IF($C178="売",CEILING($F178*IF($C178="売",1+$AX$2,1-$AX$2),IF($F178*IF($C178="売",1+$AX$2,1-$AX$2)&lt;=3000,1,IF($F178*IF($C178="売",1+$AX$2,1-$AX$2)&lt;=5000,5,IF($F178*IF($C178="売",1+$AX$2,1-$AX$2)&lt;=30000,10,IF($F178*IF($C178="売",1+$AX$2,1-$AX$2)&lt;=50000,50,IF($F178*IF($C178="売",1+$AX$2,1-$AX$2)&lt;=300000,100,500)))))),FLOOR($F178*IF($C178="売",1+$AX$2,1-$AX$2),IF($F178*IF($C178="売",1+$AX$2,1-$AX$2)&lt;=3000,1,IF($F178*IF($C178="売",1+$AX$2,1-$AX$2)&lt;=5000,5,IF($F178*IF($C178="売",1+$AX$2,1-$AX$2)&lt;=30000,10,IF($F178*IF($C178="売",1+$AX$2,1-$AX$2)&lt;=50000,50,IF($F178*IF($C178="売",1+$AX$2,1-$AX$2)&lt;=300000,100,500))))))))</f>
      </c>
      <c r="O178" s="478" t="str">
        <f>IF(OR($B178="",$F178="",$H178=""),"",IF($S178="✅売却済","―決済済―",IF($C178="売",IF($H178&lt;=$M178,"🟢利確",IF(AND($R178&lt;&gt;"",$H178&gt;=$R178),"🟠TRAIL決済",IF($H178&gt;=$N178,"🔴損切",IF($W178&gt;=$AX$5,"⏱時間決済",IF($H178&gt;=$F178*(1+$AX$2*0.7),"⚠️損切接近","保持継続"))))),IF($H178&gt;=$M178,"🟢利確",IF(AND($R178&lt;&gt;"",$H178&lt;=$R178),"🟠TRAIL決済",IF($H178&lt;=$N178,"🔴損切",IF($W178&gt;=$AX$5,"⏱時間決済",IF($H178&lt;=$F178*(1-$AX$2*0.7),"⚠️損切接近","保持継続")))))))</f>
      </c>
      <c r="P178" s="445"/>
      <c r="Q178" s="445"/>
      <c r="R178" s="480" t="str">
        <f>IF(OR($F178="",$H178="",$N178=""),"",IF($S178="✅売却済","",IF($C178="売",IF($H178&gt;$F178*(1-$AX$2),$N178,CEILING(MIN($N178,IF($Q178="",$N178,$Q178*1.03)),IF($N178&lt;=3000,1,IF($N178&lt;=5000,5,IF($N178&lt;=30000,10,IF($N178&lt;=50000,50,IF($N178&lt;=300000,100,500))))))),IF($H178&lt;$F178*(1+$AX$2),$N178,FLOOR(MAX($N178,IF($P178="",$N178,$P178*0.97)),IF($N178&lt;=3000,1,IF($N178&lt;=5000,5,IF($N178&lt;=30000,10,IF($N178&lt;=50000,50,IF($N178&lt;=300000,100,500))))))))))</f>
      </c>
      <c r="S178" s="480" t="str">
        <f>IF(B178="","",IF(T178&lt;&gt;"","✅売却済",IF(OR(H178="",L178=""),"📌保有中",IF(L178&gt;=0.06,"🟢利確推奨",IF(L178&gt;=0.05,"🟡利確直近",IF(L178&gt;=0.045,"🔵トレーリング検討",IF(L178&gt;-0.03,"📌保有中",IF(L178&gt;-0.04,"⚠️損切注意","🔴損切り"))))))))</f>
        <v/>
      </c>
      <c r="T178" s="596"/>
      <c r="U178" s="598"/>
      <c r="V178" s="703" t="str">
        <f>IF(OR(F178="",G178="",U178=""),"",IF(C178="売",(F178-U178)*G178,(U178-F178)*G178))</f>
        <v/>
      </c>
      <c r="W178" s="480" t="str">
        <f>IF(OR($E178="",$B178=""),"",IF($T178&lt;&gt;"",$T178-$E178,TODAY()-$E178)+1)</f>
        <v/>
      </c>
      <c r="X178" s="480" t="str">
        <f>IF(OR($AH178="",$AH178="保有中"),"",$AH178)</f>
        <v/>
      </c>
      <c r="Y178" s="488">
        <f>IF($B178="","",IF(COUNTIFS($B$4:$B178,$B178,$C$4:$C178,$C178)&gt;1,"⛔重複"&amp;COUNTIFS($B$4:$B178,$B178,$C$4:$C178,$C178)&amp;"回目",""))</f>
      </c>
      <c r="Z178" s="710"/>
      <c r="AB178">
        <f>IF($F178="","",MAX(100,ROUNDDOWN($AX$4/($F178*$AX$2)/100,0)*100))</f>
      </c>
      <c r="AC178">
        <f>IF(OR($F178="",$G178="",$U178=""),"",ROUND($V178-($F178+$U178)*$G178*$AX$6-IF($C178="売",$F178*$G178*$AX$7*$W178/365,0),0))</f>
      </c>
      <c r="AD178" s="608"/>
      <c r="AE178" s="600" t="str">
        <f>IF($E178="","",WORKDAY($E178,12))</f>
        <v/>
      </c>
      <c r="AF178" s="600"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0"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0" t="str">
        <f>IF(OR($B178="",$M178=""),"",IF(AND(N($AF178)=0,N($AG178)=0),IF(AND(ISNUMBER($H178),$H178&gt;0,IF($C178="売",$H178&gt;=$N178,$H178&lt;=$N178)),"損切確定",IF(AND(ISNUMBER($H178),$H178&gt;0,IF($C178="売",$H178&lt;=$M178,$H178&gt;=$M178)),"利益確定",IF($AE178&lt;=TODAY(),"日数制限","保有中"))),IF(N($AG178)=0,"利益確定",IF(N($AF178)=0,"損切確定",IF($AG178&lt;=$AF178,"損切確定","利益確定")))))</f>
        <v/>
      </c>
      <c r="AI178" s="600" t="str" cm="1">
        <f t="array" ref="AI178">IFERROR(INDEX(始値!$E$6:$BT$305,MATCH(TEXT($B178,"0"),TEXT(銘柄管理!$B$6:$B$305,"0"),0),MATCH($AE178,始値!$E$3:$BT$3,0)),"")</f>
        <v/>
      </c>
      <c r="AJ178" s="608" t="str">
        <f>IF(OR($V178="",$F178="",$G178=""),"",$V178/($F178*$G178))</f>
        <v/>
      </c>
      <c r="AK178" s="600" t="str">
        <f>IF($V178="","",IF($V178&gt;0,"○勝",IF($V178&lt;0,"●負","△引分")))</f>
        <v/>
      </c>
    </row>
    <row r="179" spans="1:37" ht="17.25" customHeight="1">
      <c r="A179" s="621" t="str">
        <f>IF(B179="","",HYPERLINK("https://kabutan.jp/stock/?code="&amp;B179,"株探"))</f>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IF(OR(F179="",G179="",H179=""),"",IF(C179="売",(F179-H179)*G179,(H179-F179)*G179))</f>
        <v/>
      </c>
      <c r="L179" s="708" t="str">
        <f>IF(OR(F179="",H179=""),"",IF(C179="売",(F179-H179)/F179,(H179-F179)/F179))</f>
        <v/>
      </c>
      <c r="M179" s="598" t="str">
        <f>IF($F179="","",IF($C179="売",CEILING($F179*IF($C179="売",1-$AX$3,1+$AX$3),IF($F179*IF($C179="売",1-$AX$3,1+$AX$3)&lt;=3000,1,IF($F179*IF($C179="売",1-$AX$3,1+$AX$3)&lt;=5000,5,IF($F179*IF($C179="売",1-$AX$3,1+$AX$3)&lt;=30000,10,IF($F179*IF($C179="売",1-$AX$3,1+$AX$3)&lt;=50000,50,IF($F179*IF($C179="売",1-$AX$3,1+$AX$3)&lt;=300000,100,500)))))),FLOOR($F179*IF($C179="売",1-$AX$3,1+$AX$3),IF($F179*IF($C179="売",1-$AX$3,1+$AX$3)&lt;=3000,1,IF($F179*IF($C179="売",1-$AX$3,1+$AX$3)&lt;=5000,5,IF($F179*IF($C179="売",1-$AX$3,1+$AX$3)&lt;=30000,10,IF($F179*IF($C179="売",1-$AX$3,1+$AX$3)&lt;=50000,50,IF($F179*IF($C179="売",1-$AX$3,1+$AX$3)&lt;=300000,100,500))))))))</f>
      </c>
      <c r="N179" s="598" t="str">
        <f>IF($F179="","",IF($C179="売",CEILING($F179*IF($C179="売",1+$AX$2,1-$AX$2),IF($F179*IF($C179="売",1+$AX$2,1-$AX$2)&lt;=3000,1,IF($F179*IF($C179="売",1+$AX$2,1-$AX$2)&lt;=5000,5,IF($F179*IF($C179="売",1+$AX$2,1-$AX$2)&lt;=30000,10,IF($F179*IF($C179="売",1+$AX$2,1-$AX$2)&lt;=50000,50,IF($F179*IF($C179="売",1+$AX$2,1-$AX$2)&lt;=300000,100,500)))))),FLOOR($F179*IF($C179="売",1+$AX$2,1-$AX$2),IF($F179*IF($C179="売",1+$AX$2,1-$AX$2)&lt;=3000,1,IF($F179*IF($C179="売",1+$AX$2,1-$AX$2)&lt;=5000,5,IF($F179*IF($C179="売",1+$AX$2,1-$AX$2)&lt;=30000,10,IF($F179*IF($C179="売",1+$AX$2,1-$AX$2)&lt;=50000,50,IF($F179*IF($C179="売",1+$AX$2,1-$AX$2)&lt;=300000,100,500))))))))</f>
      </c>
      <c r="O179" s="478" t="str">
        <f>IF(OR($B179="",$F179="",$H179=""),"",IF($S179="✅売却済","―決済済―",IF($C179="売",IF($H179&lt;=$M179,"🟢利確",IF(AND($R179&lt;&gt;"",$H179&gt;=$R179),"🟠TRAIL決済",IF($H179&gt;=$N179,"🔴損切",IF($W179&gt;=$AX$5,"⏱時間決済",IF($H179&gt;=$F179*(1+$AX$2*0.7),"⚠️損切接近","保持継続"))))),IF($H179&gt;=$M179,"🟢利確",IF(AND($R179&lt;&gt;"",$H179&lt;=$R179),"🟠TRAIL決済",IF($H179&lt;=$N179,"🔴損切",IF($W179&gt;=$AX$5,"⏱時間決済",IF($H179&lt;=$F179*(1-$AX$2*0.7),"⚠️損切接近","保持継続")))))))</f>
      </c>
      <c r="P179" s="445"/>
      <c r="Q179" s="445"/>
      <c r="R179" s="480" t="str">
        <f>IF(OR($F179="",$H179="",$N179=""),"",IF($S179="✅売却済","",IF($C179="売",IF($H179&gt;$F179*(1-$AX$2),$N179,CEILING(MIN($N179,IF($Q179="",$N179,$Q179*1.03)),IF($N179&lt;=3000,1,IF($N179&lt;=5000,5,IF($N179&lt;=30000,10,IF($N179&lt;=50000,50,IF($N179&lt;=300000,100,500))))))),IF($H179&lt;$F179*(1+$AX$2),$N179,FLOOR(MAX($N179,IF($P179="",$N179,$P179*0.97)),IF($N179&lt;=3000,1,IF($N179&lt;=5000,5,IF($N179&lt;=30000,10,IF($N179&lt;=50000,50,IF($N179&lt;=300000,100,500))))))))))</f>
      </c>
      <c r="S179" s="480" t="str">
        <f>IF(B179="","",IF(T179&lt;&gt;"","✅売却済",IF(OR(H179="",L179=""),"📌保有中",IF(L179&gt;=0.06,"🟢利確推奨",IF(L179&gt;=0.05,"🟡利確直近",IF(L179&gt;=0.045,"🔵トレーリング検討",IF(L179&gt;-0.03,"📌保有中",IF(L179&gt;-0.04,"⚠️損切注意","🔴損切り"))))))))</f>
        <v/>
      </c>
      <c r="T179" s="596"/>
      <c r="U179" s="598"/>
      <c r="V179" s="703" t="str">
        <f>IF(OR(F179="",G179="",U179=""),"",IF(C179="売",(F179-U179)*G179,(U179-F179)*G179))</f>
        <v/>
      </c>
      <c r="W179" s="480" t="str">
        <f>IF(OR($E179="",$B179=""),"",IF($T179&lt;&gt;"",$T179-$E179,TODAY()-$E179)+1)</f>
        <v/>
      </c>
      <c r="X179" s="480" t="str">
        <f>IF(OR($AH179="",$AH179="保有中"),"",$AH179)</f>
        <v/>
      </c>
      <c r="Y179" s="488">
        <f>IF($B179="","",IF(COUNTIFS($B$4:$B179,$B179,$C$4:$C179,$C179)&gt;1,"⛔重複"&amp;COUNTIFS($B$4:$B179,$B179,$C$4:$C179,$C179)&amp;"回目",""))</f>
      </c>
      <c r="Z179" s="710"/>
      <c r="AB179">
        <f>IF($F179="","",MAX(100,ROUNDDOWN($AX$4/($F179*$AX$2)/100,0)*100))</f>
      </c>
      <c r="AC179">
        <f>IF(OR($F179="",$G179="",$U179=""),"",ROUND($V179-($F179+$U179)*$G179*$AX$6-IF($C179="売",$F179*$G179*$AX$7*$W179/365,0),0))</f>
      </c>
      <c r="AD179" s="608"/>
      <c r="AE179" s="600" t="str">
        <f>IF($E179="","",WORKDAY($E179,12))</f>
        <v/>
      </c>
      <c r="AF179" s="600"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0"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0" t="str">
        <f>IF(OR($B179="",$M179=""),"",IF(AND(N($AF179)=0,N($AG179)=0),IF(AND(ISNUMBER($H179),$H179&gt;0,IF($C179="売",$H179&gt;=$N179,$H179&lt;=$N179)),"損切確定",IF(AND(ISNUMBER($H179),$H179&gt;0,IF($C179="売",$H179&lt;=$M179,$H179&gt;=$M179)),"利益確定",IF($AE179&lt;=TODAY(),"日数制限","保有中"))),IF(N($AG179)=0,"利益確定",IF(N($AF179)=0,"損切確定",IF($AG179&lt;=$AF179,"損切確定","利益確定")))))</f>
        <v/>
      </c>
      <c r="AI179" s="600" t="str" cm="1">
        <f t="array" ref="AI179">IFERROR(INDEX(始値!$E$6:$BT$305,MATCH(TEXT($B179,"0"),TEXT(銘柄管理!$B$6:$B$305,"0"),0),MATCH($AE179,始値!$E$3:$BT$3,0)),"")</f>
        <v/>
      </c>
      <c r="AJ179" s="608" t="str">
        <f>IF(OR($V179="",$F179="",$G179=""),"",$V179/($F179*$G179))</f>
        <v/>
      </c>
      <c r="AK179" s="600" t="str">
        <f>IF($V179="","",IF($V179&gt;0,"○勝",IF($V179&lt;0,"●負","△引分")))</f>
        <v/>
      </c>
    </row>
    <row r="180" spans="1:37" ht="17.25" customHeight="1">
      <c r="A180" s="621" t="str">
        <f>IF(B180="","",HYPERLINK("https://kabutan.jp/stock/?code="&amp;B180,"株探"))</f>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IF(OR(F180="",G180="",H180=""),"",IF(C180="売",(F180-H180)*G180,(H180-F180)*G180))</f>
        <v/>
      </c>
      <c r="L180" s="708" t="str">
        <f>IF(OR(F180="",H180=""),"",IF(C180="売",(F180-H180)/F180,(H180-F180)/F180))</f>
        <v/>
      </c>
      <c r="M180" s="598" t="str">
        <f>IF($F180="","",IF($C180="売",CEILING($F180*IF($C180="売",1-$AX$3,1+$AX$3),IF($F180*IF($C180="売",1-$AX$3,1+$AX$3)&lt;=3000,1,IF($F180*IF($C180="売",1-$AX$3,1+$AX$3)&lt;=5000,5,IF($F180*IF($C180="売",1-$AX$3,1+$AX$3)&lt;=30000,10,IF($F180*IF($C180="売",1-$AX$3,1+$AX$3)&lt;=50000,50,IF($F180*IF($C180="売",1-$AX$3,1+$AX$3)&lt;=300000,100,500)))))),FLOOR($F180*IF($C180="売",1-$AX$3,1+$AX$3),IF($F180*IF($C180="売",1-$AX$3,1+$AX$3)&lt;=3000,1,IF($F180*IF($C180="売",1-$AX$3,1+$AX$3)&lt;=5000,5,IF($F180*IF($C180="売",1-$AX$3,1+$AX$3)&lt;=30000,10,IF($F180*IF($C180="売",1-$AX$3,1+$AX$3)&lt;=50000,50,IF($F180*IF($C180="売",1-$AX$3,1+$AX$3)&lt;=300000,100,500))))))))</f>
      </c>
      <c r="N180" s="598" t="str">
        <f>IF($F180="","",IF($C180="売",CEILING($F180*IF($C180="売",1+$AX$2,1-$AX$2),IF($F180*IF($C180="売",1+$AX$2,1-$AX$2)&lt;=3000,1,IF($F180*IF($C180="売",1+$AX$2,1-$AX$2)&lt;=5000,5,IF($F180*IF($C180="売",1+$AX$2,1-$AX$2)&lt;=30000,10,IF($F180*IF($C180="売",1+$AX$2,1-$AX$2)&lt;=50000,50,IF($F180*IF($C180="売",1+$AX$2,1-$AX$2)&lt;=300000,100,500)))))),FLOOR($F180*IF($C180="売",1+$AX$2,1-$AX$2),IF($F180*IF($C180="売",1+$AX$2,1-$AX$2)&lt;=3000,1,IF($F180*IF($C180="売",1+$AX$2,1-$AX$2)&lt;=5000,5,IF($F180*IF($C180="売",1+$AX$2,1-$AX$2)&lt;=30000,10,IF($F180*IF($C180="売",1+$AX$2,1-$AX$2)&lt;=50000,50,IF($F180*IF($C180="売",1+$AX$2,1-$AX$2)&lt;=300000,100,500))))))))</f>
      </c>
      <c r="O180" s="478" t="str">
        <f>IF(OR($B180="",$F180="",$H180=""),"",IF($S180="✅売却済","―決済済―",IF($C180="売",IF($H180&lt;=$M180,"🟢利確",IF(AND($R180&lt;&gt;"",$H180&gt;=$R180),"🟠TRAIL決済",IF($H180&gt;=$N180,"🔴損切",IF($W180&gt;=$AX$5,"⏱時間決済",IF($H180&gt;=$F180*(1+$AX$2*0.7),"⚠️損切接近","保持継続"))))),IF($H180&gt;=$M180,"🟢利確",IF(AND($R180&lt;&gt;"",$H180&lt;=$R180),"🟠TRAIL決済",IF($H180&lt;=$N180,"🔴損切",IF($W180&gt;=$AX$5,"⏱時間決済",IF($H180&lt;=$F180*(1-$AX$2*0.7),"⚠️損切接近","保持継続")))))))</f>
      </c>
      <c r="P180" s="445"/>
      <c r="Q180" s="445"/>
      <c r="R180" s="480" t="str">
        <f>IF(OR($F180="",$H180="",$N180=""),"",IF($S180="✅売却済","",IF($C180="売",IF($H180&gt;$F180*(1-$AX$2),$N180,CEILING(MIN($N180,IF($Q180="",$N180,$Q180*1.03)),IF($N180&lt;=3000,1,IF($N180&lt;=5000,5,IF($N180&lt;=30000,10,IF($N180&lt;=50000,50,IF($N180&lt;=300000,100,500))))))),IF($H180&lt;$F180*(1+$AX$2),$N180,FLOOR(MAX($N180,IF($P180="",$N180,$P180*0.97)),IF($N180&lt;=3000,1,IF($N180&lt;=5000,5,IF($N180&lt;=30000,10,IF($N180&lt;=50000,50,IF($N180&lt;=300000,100,500))))))))))</f>
      </c>
      <c r="S180" s="480" t="str">
        <f>IF(B180="","",IF(T180&lt;&gt;"","✅売却済",IF(OR(H180="",L180=""),"📌保有中",IF(L180&gt;=0.06,"🟢利確推奨",IF(L180&gt;=0.05,"🟡利確直近",IF(L180&gt;=0.045,"🔵トレーリング検討",IF(L180&gt;-0.03,"📌保有中",IF(L180&gt;-0.04,"⚠️損切注意","🔴損切り"))))))))</f>
        <v/>
      </c>
      <c r="T180" s="596"/>
      <c r="U180" s="598"/>
      <c r="V180" s="703" t="str">
        <f>IF(OR(F180="",G180="",U180=""),"",IF(C180="売",(F180-U180)*G180,(U180-F180)*G180))</f>
        <v/>
      </c>
      <c r="W180" s="480" t="str">
        <f>IF(OR($E180="",$B180=""),"",IF($T180&lt;&gt;"",$T180-$E180,TODAY()-$E180)+1)</f>
        <v/>
      </c>
      <c r="X180" s="480" t="str">
        <f>IF(OR($AH180="",$AH180="保有中"),"",$AH180)</f>
        <v/>
      </c>
      <c r="Y180" s="488">
        <f>IF($B180="","",IF(COUNTIFS($B$4:$B180,$B180,$C$4:$C180,$C180)&gt;1,"⛔重複"&amp;COUNTIFS($B$4:$B180,$B180,$C$4:$C180,$C180)&amp;"回目",""))</f>
      </c>
      <c r="Z180" s="710"/>
      <c r="AB180">
        <f>IF($F180="","",MAX(100,ROUNDDOWN($AX$4/($F180*$AX$2)/100,0)*100))</f>
      </c>
      <c r="AC180">
        <f>IF(OR($F180="",$G180="",$U180=""),"",ROUND($V180-($F180+$U180)*$G180*$AX$6-IF($C180="売",$F180*$G180*$AX$7*$W180/365,0),0))</f>
      </c>
      <c r="AD180" s="608"/>
      <c r="AE180" s="600" t="str">
        <f>IF($E180="","",WORKDAY($E180,12))</f>
        <v/>
      </c>
      <c r="AF180" s="600"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0"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0" t="str">
        <f>IF(OR($B180="",$M180=""),"",IF(AND(N($AF180)=0,N($AG180)=0),IF(AND(ISNUMBER($H180),$H180&gt;0,IF($C180="売",$H180&gt;=$N180,$H180&lt;=$N180)),"損切確定",IF(AND(ISNUMBER($H180),$H180&gt;0,IF($C180="売",$H180&lt;=$M180,$H180&gt;=$M180)),"利益確定",IF($AE180&lt;=TODAY(),"日数制限","保有中"))),IF(N($AG180)=0,"利益確定",IF(N($AF180)=0,"損切確定",IF($AG180&lt;=$AF180,"損切確定","利益確定")))))</f>
        <v/>
      </c>
      <c r="AI180" s="600" t="str" cm="1">
        <f t="array" ref="AI180">IFERROR(INDEX(始値!$E$6:$BT$305,MATCH(TEXT($B180,"0"),TEXT(銘柄管理!$B$6:$B$305,"0"),0),MATCH($AE180,始値!$E$3:$BT$3,0)),"")</f>
        <v/>
      </c>
      <c r="AJ180" s="608" t="str">
        <f>IF(OR($V180="",$F180="",$G180=""),"",$V180/($F180*$G180))</f>
        <v/>
      </c>
      <c r="AK180" s="600" t="str">
        <f>IF($V180="","",IF($V180&gt;0,"○勝",IF($V180&lt;0,"●負","△引分")))</f>
        <v/>
      </c>
    </row>
    <row r="181" spans="1:37" ht="17.25" customHeight="1">
      <c r="A181" s="621" t="str">
        <f>IF(B181="","",HYPERLINK("https://kabutan.jp/stock/?code="&amp;B181,"株探"))</f>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IF(OR(F181="",G181="",H181=""),"",IF(C181="売",(F181-H181)*G181,(H181-F181)*G181))</f>
        <v/>
      </c>
      <c r="L181" s="708" t="str">
        <f>IF(OR(F181="",H181=""),"",IF(C181="売",(F181-H181)/F181,(H181-F181)/F181))</f>
        <v/>
      </c>
      <c r="M181" s="598" t="str">
        <f>IF($F181="","",IF($C181="売",CEILING($F181*IF($C181="売",1-$AX$3,1+$AX$3),IF($F181*IF($C181="売",1-$AX$3,1+$AX$3)&lt;=3000,1,IF($F181*IF($C181="売",1-$AX$3,1+$AX$3)&lt;=5000,5,IF($F181*IF($C181="売",1-$AX$3,1+$AX$3)&lt;=30000,10,IF($F181*IF($C181="売",1-$AX$3,1+$AX$3)&lt;=50000,50,IF($F181*IF($C181="売",1-$AX$3,1+$AX$3)&lt;=300000,100,500)))))),FLOOR($F181*IF($C181="売",1-$AX$3,1+$AX$3),IF($F181*IF($C181="売",1-$AX$3,1+$AX$3)&lt;=3000,1,IF($F181*IF($C181="売",1-$AX$3,1+$AX$3)&lt;=5000,5,IF($F181*IF($C181="売",1-$AX$3,1+$AX$3)&lt;=30000,10,IF($F181*IF($C181="売",1-$AX$3,1+$AX$3)&lt;=50000,50,IF($F181*IF($C181="売",1-$AX$3,1+$AX$3)&lt;=300000,100,500))))))))</f>
      </c>
      <c r="N181" s="598" t="str">
        <f>IF($F181="","",IF($C181="売",CEILING($F181*IF($C181="売",1+$AX$2,1-$AX$2),IF($F181*IF($C181="売",1+$AX$2,1-$AX$2)&lt;=3000,1,IF($F181*IF($C181="売",1+$AX$2,1-$AX$2)&lt;=5000,5,IF($F181*IF($C181="売",1+$AX$2,1-$AX$2)&lt;=30000,10,IF($F181*IF($C181="売",1+$AX$2,1-$AX$2)&lt;=50000,50,IF($F181*IF($C181="売",1+$AX$2,1-$AX$2)&lt;=300000,100,500)))))),FLOOR($F181*IF($C181="売",1+$AX$2,1-$AX$2),IF($F181*IF($C181="売",1+$AX$2,1-$AX$2)&lt;=3000,1,IF($F181*IF($C181="売",1+$AX$2,1-$AX$2)&lt;=5000,5,IF($F181*IF($C181="売",1+$AX$2,1-$AX$2)&lt;=30000,10,IF($F181*IF($C181="売",1+$AX$2,1-$AX$2)&lt;=50000,50,IF($F181*IF($C181="売",1+$AX$2,1-$AX$2)&lt;=300000,100,500))))))))</f>
      </c>
      <c r="O181" s="478" t="str">
        <f>IF(OR($B181="",$F181="",$H181=""),"",IF($S181="✅売却済","―決済済―",IF($C181="売",IF($H181&lt;=$M181,"🟢利確",IF(AND($R181&lt;&gt;"",$H181&gt;=$R181),"🟠TRAIL決済",IF($H181&gt;=$N181,"🔴損切",IF($W181&gt;=$AX$5,"⏱時間決済",IF($H181&gt;=$F181*(1+$AX$2*0.7),"⚠️損切接近","保持継続"))))),IF($H181&gt;=$M181,"🟢利確",IF(AND($R181&lt;&gt;"",$H181&lt;=$R181),"🟠TRAIL決済",IF($H181&lt;=$N181,"🔴損切",IF($W181&gt;=$AX$5,"⏱時間決済",IF($H181&lt;=$F181*(1-$AX$2*0.7),"⚠️損切接近","保持継続")))))))</f>
      </c>
      <c r="P181" s="445"/>
      <c r="Q181" s="445"/>
      <c r="R181" s="480" t="str">
        <f>IF(OR($F181="",$H181="",$N181=""),"",IF($S181="✅売却済","",IF($C181="売",IF($H181&gt;$F181*(1-$AX$2),$N181,CEILING(MIN($N181,IF($Q181="",$N181,$Q181*1.03)),IF($N181&lt;=3000,1,IF($N181&lt;=5000,5,IF($N181&lt;=30000,10,IF($N181&lt;=50000,50,IF($N181&lt;=300000,100,500))))))),IF($H181&lt;$F181*(1+$AX$2),$N181,FLOOR(MAX($N181,IF($P181="",$N181,$P181*0.97)),IF($N181&lt;=3000,1,IF($N181&lt;=5000,5,IF($N181&lt;=30000,10,IF($N181&lt;=50000,50,IF($N181&lt;=300000,100,500))))))))))</f>
      </c>
      <c r="S181" s="480" t="str">
        <f>IF(B181="","",IF(T181&lt;&gt;"","✅売却済",IF(OR(H181="",L181=""),"📌保有中",IF(L181&gt;=0.06,"🟢利確推奨",IF(L181&gt;=0.05,"🟡利確直近",IF(L181&gt;=0.045,"🔵トレーリング検討",IF(L181&gt;-0.03,"📌保有中",IF(L181&gt;-0.04,"⚠️損切注意","🔴損切り"))))))))</f>
        <v/>
      </c>
      <c r="T181" s="596"/>
      <c r="U181" s="598"/>
      <c r="V181" s="703" t="str">
        <f>IF(OR(F181="",G181="",U181=""),"",IF(C181="売",(F181-U181)*G181,(U181-F181)*G181))</f>
        <v/>
      </c>
      <c r="W181" s="480" t="str">
        <f>IF(OR($E181="",$B181=""),"",IF($T181&lt;&gt;"",$T181-$E181,TODAY()-$E181)+1)</f>
        <v/>
      </c>
      <c r="X181" s="480" t="str">
        <f>IF(OR($AH181="",$AH181="保有中"),"",$AH181)</f>
        <v/>
      </c>
      <c r="Y181" s="488">
        <f>IF($B181="","",IF(COUNTIFS($B$4:$B181,$B181,$C$4:$C181,$C181)&gt;1,"⛔重複"&amp;COUNTIFS($B$4:$B181,$B181,$C$4:$C181,$C181)&amp;"回目",""))</f>
      </c>
      <c r="Z181" s="710"/>
      <c r="AB181">
        <f>IF($F181="","",MAX(100,ROUNDDOWN($AX$4/($F181*$AX$2)/100,0)*100))</f>
      </c>
      <c r="AC181">
        <f>IF(OR($F181="",$G181="",$U181=""),"",ROUND($V181-($F181+$U181)*$G181*$AX$6-IF($C181="売",$F181*$G181*$AX$7*$W181/365,0),0))</f>
      </c>
      <c r="AD181" s="608"/>
      <c r="AE181" s="600" t="str">
        <f>IF($E181="","",WORKDAY($E181,12))</f>
        <v/>
      </c>
      <c r="AF181" s="600"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0"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0" t="str">
        <f>IF(OR($B181="",$M181=""),"",IF(AND(N($AF181)=0,N($AG181)=0),IF(AND(ISNUMBER($H181),$H181&gt;0,IF($C181="売",$H181&gt;=$N181,$H181&lt;=$N181)),"損切確定",IF(AND(ISNUMBER($H181),$H181&gt;0,IF($C181="売",$H181&lt;=$M181,$H181&gt;=$M181)),"利益確定",IF($AE181&lt;=TODAY(),"日数制限","保有中"))),IF(N($AG181)=0,"利益確定",IF(N($AF181)=0,"損切確定",IF($AG181&lt;=$AF181,"損切確定","利益確定")))))</f>
        <v/>
      </c>
      <c r="AI181" s="600" t="str" cm="1">
        <f t="array" ref="AI181">IFERROR(INDEX(始値!$E$6:$BT$305,MATCH(TEXT($B181,"0"),TEXT(銘柄管理!$B$6:$B$305,"0"),0),MATCH($AE181,始値!$E$3:$BT$3,0)),"")</f>
        <v/>
      </c>
      <c r="AJ181" s="608" t="str">
        <f>IF(OR($V181="",$F181="",$G181=""),"",$V181/($F181*$G181))</f>
        <v/>
      </c>
      <c r="AK181" s="600" t="str">
        <f>IF($V181="","",IF($V181&gt;0,"○勝",IF($V181&lt;0,"●負","△引分")))</f>
        <v/>
      </c>
    </row>
    <row r="182" spans="1:37" ht="17.25" customHeight="1">
      <c r="A182" s="621" t="str">
        <f>IF(B182="","",HYPERLINK("https://kabutan.jp/stock/?code="&amp;B182,"株探"))</f>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IF(OR(F182="",G182="",H182=""),"",IF(C182="売",(F182-H182)*G182,(H182-F182)*G182))</f>
        <v/>
      </c>
      <c r="L182" s="708" t="str">
        <f>IF(OR(F182="",H182=""),"",IF(C182="売",(F182-H182)/F182,(H182-F182)/F182))</f>
        <v/>
      </c>
      <c r="M182" s="598" t="str">
        <f>IF($F182="","",IF($C182="売",CEILING($F182*IF($C182="売",1-$AX$3,1+$AX$3),IF($F182*IF($C182="売",1-$AX$3,1+$AX$3)&lt;=3000,1,IF($F182*IF($C182="売",1-$AX$3,1+$AX$3)&lt;=5000,5,IF($F182*IF($C182="売",1-$AX$3,1+$AX$3)&lt;=30000,10,IF($F182*IF($C182="売",1-$AX$3,1+$AX$3)&lt;=50000,50,IF($F182*IF($C182="売",1-$AX$3,1+$AX$3)&lt;=300000,100,500)))))),FLOOR($F182*IF($C182="売",1-$AX$3,1+$AX$3),IF($F182*IF($C182="売",1-$AX$3,1+$AX$3)&lt;=3000,1,IF($F182*IF($C182="売",1-$AX$3,1+$AX$3)&lt;=5000,5,IF($F182*IF($C182="売",1-$AX$3,1+$AX$3)&lt;=30000,10,IF($F182*IF($C182="売",1-$AX$3,1+$AX$3)&lt;=50000,50,IF($F182*IF($C182="売",1-$AX$3,1+$AX$3)&lt;=300000,100,500))))))))</f>
      </c>
      <c r="N182" s="598" t="str">
        <f>IF($F182="","",IF($C182="売",CEILING($F182*IF($C182="売",1+$AX$2,1-$AX$2),IF($F182*IF($C182="売",1+$AX$2,1-$AX$2)&lt;=3000,1,IF($F182*IF($C182="売",1+$AX$2,1-$AX$2)&lt;=5000,5,IF($F182*IF($C182="売",1+$AX$2,1-$AX$2)&lt;=30000,10,IF($F182*IF($C182="売",1+$AX$2,1-$AX$2)&lt;=50000,50,IF($F182*IF($C182="売",1+$AX$2,1-$AX$2)&lt;=300000,100,500)))))),FLOOR($F182*IF($C182="売",1+$AX$2,1-$AX$2),IF($F182*IF($C182="売",1+$AX$2,1-$AX$2)&lt;=3000,1,IF($F182*IF($C182="売",1+$AX$2,1-$AX$2)&lt;=5000,5,IF($F182*IF($C182="売",1+$AX$2,1-$AX$2)&lt;=30000,10,IF($F182*IF($C182="売",1+$AX$2,1-$AX$2)&lt;=50000,50,IF($F182*IF($C182="売",1+$AX$2,1-$AX$2)&lt;=300000,100,500))))))))</f>
      </c>
      <c r="O182" s="478" t="str">
        <f>IF(OR($B182="",$F182="",$H182=""),"",IF($S182="✅売却済","―決済済―",IF($C182="売",IF($H182&lt;=$M182,"🟢利確",IF(AND($R182&lt;&gt;"",$H182&gt;=$R182),"🟠TRAIL決済",IF($H182&gt;=$N182,"🔴損切",IF($W182&gt;=$AX$5,"⏱時間決済",IF($H182&gt;=$F182*(1+$AX$2*0.7),"⚠️損切接近","保持継続"))))),IF($H182&gt;=$M182,"🟢利確",IF(AND($R182&lt;&gt;"",$H182&lt;=$R182),"🟠TRAIL決済",IF($H182&lt;=$N182,"🔴損切",IF($W182&gt;=$AX$5,"⏱時間決済",IF($H182&lt;=$F182*(1-$AX$2*0.7),"⚠️損切接近","保持継続")))))))</f>
      </c>
      <c r="P182" s="445"/>
      <c r="Q182" s="445"/>
      <c r="R182" s="480" t="str">
        <f>IF(OR($F182="",$H182="",$N182=""),"",IF($S182="✅売却済","",IF($C182="売",IF($H182&gt;$F182*(1-$AX$2),$N182,CEILING(MIN($N182,IF($Q182="",$N182,$Q182*1.03)),IF($N182&lt;=3000,1,IF($N182&lt;=5000,5,IF($N182&lt;=30000,10,IF($N182&lt;=50000,50,IF($N182&lt;=300000,100,500))))))),IF($H182&lt;$F182*(1+$AX$2),$N182,FLOOR(MAX($N182,IF($P182="",$N182,$P182*0.97)),IF($N182&lt;=3000,1,IF($N182&lt;=5000,5,IF($N182&lt;=30000,10,IF($N182&lt;=50000,50,IF($N182&lt;=300000,100,500))))))))))</f>
      </c>
      <c r="S182" s="480" t="str">
        <f>IF(B182="","",IF(T182&lt;&gt;"","✅売却済",IF(OR(H182="",L182=""),"📌保有中",IF(L182&gt;=0.06,"🟢利確推奨",IF(L182&gt;=0.05,"🟡利確直近",IF(L182&gt;=0.045,"🔵トレーリング検討",IF(L182&gt;-0.03,"📌保有中",IF(L182&gt;-0.04,"⚠️損切注意","🔴損切り"))))))))</f>
        <v/>
      </c>
      <c r="T182" s="596"/>
      <c r="U182" s="598"/>
      <c r="V182" s="703" t="str">
        <f>IF(OR(F182="",G182="",U182=""),"",IF(C182="売",(F182-U182)*G182,(U182-F182)*G182))</f>
        <v/>
      </c>
      <c r="W182" s="480" t="str">
        <f>IF(OR($E182="",$B182=""),"",IF($T182&lt;&gt;"",$T182-$E182,TODAY()-$E182)+1)</f>
        <v/>
      </c>
      <c r="X182" s="480" t="str">
        <f>IF(OR($AH182="",$AH182="保有中"),"",$AH182)</f>
        <v/>
      </c>
      <c r="Y182" s="488">
        <f>IF($B182="","",IF(COUNTIFS($B$4:$B182,$B182,$C$4:$C182,$C182)&gt;1,"⛔重複"&amp;COUNTIFS($B$4:$B182,$B182,$C$4:$C182,$C182)&amp;"回目",""))</f>
      </c>
      <c r="Z182" s="710"/>
      <c r="AB182">
        <f>IF($F182="","",MAX(100,ROUNDDOWN($AX$4/($F182*$AX$2)/100,0)*100))</f>
      </c>
      <c r="AC182">
        <f>IF(OR($F182="",$G182="",$U182=""),"",ROUND($V182-($F182+$U182)*$G182*$AX$6-IF($C182="売",$F182*$G182*$AX$7*$W182/365,0),0))</f>
      </c>
      <c r="AD182" s="608"/>
      <c r="AE182" s="600" t="str">
        <f>IF($E182="","",WORKDAY($E182,12))</f>
        <v/>
      </c>
      <c r="AF182" s="600"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0"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0" t="str">
        <f>IF(OR($B182="",$M182=""),"",IF(AND(N($AF182)=0,N($AG182)=0),IF(AND(ISNUMBER($H182),$H182&gt;0,IF($C182="売",$H182&gt;=$N182,$H182&lt;=$N182)),"損切確定",IF(AND(ISNUMBER($H182),$H182&gt;0,IF($C182="売",$H182&lt;=$M182,$H182&gt;=$M182)),"利益確定",IF($AE182&lt;=TODAY(),"日数制限","保有中"))),IF(N($AG182)=0,"利益確定",IF(N($AF182)=0,"損切確定",IF($AG182&lt;=$AF182,"損切確定","利益確定")))))</f>
        <v/>
      </c>
      <c r="AI182" s="600" t="str" cm="1">
        <f t="array" ref="AI182">IFERROR(INDEX(始値!$E$6:$BT$305,MATCH(TEXT($B182,"0"),TEXT(銘柄管理!$B$6:$B$305,"0"),0),MATCH($AE182,始値!$E$3:$BT$3,0)),"")</f>
        <v/>
      </c>
      <c r="AJ182" s="608" t="str">
        <f>IF(OR($V182="",$F182="",$G182=""),"",$V182/($F182*$G182))</f>
        <v/>
      </c>
      <c r="AK182" s="600" t="str">
        <f>IF($V182="","",IF($V182&gt;0,"○勝",IF($V182&lt;0,"●負","△引分")))</f>
        <v/>
      </c>
    </row>
    <row r="183" spans="1:37" ht="17.25" customHeight="1">
      <c r="A183" s="621" t="str">
        <f>IF(B183="","",HYPERLINK("https://kabutan.jp/stock/?code="&amp;B183,"株探"))</f>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IF(OR(F183="",G183="",H183=""),"",IF(C183="売",(F183-H183)*G183,(H183-F183)*G183))</f>
        <v/>
      </c>
      <c r="L183" s="708" t="str">
        <f>IF(OR(F183="",H183=""),"",IF(C183="売",(F183-H183)/F183,(H183-F183)/F183))</f>
        <v/>
      </c>
      <c r="M183" s="598" t="str">
        <f>IF($F183="","",IF($C183="売",CEILING($F183*IF($C183="売",1-$AX$3,1+$AX$3),IF($F183*IF($C183="売",1-$AX$3,1+$AX$3)&lt;=3000,1,IF($F183*IF($C183="売",1-$AX$3,1+$AX$3)&lt;=5000,5,IF($F183*IF($C183="売",1-$AX$3,1+$AX$3)&lt;=30000,10,IF($F183*IF($C183="売",1-$AX$3,1+$AX$3)&lt;=50000,50,IF($F183*IF($C183="売",1-$AX$3,1+$AX$3)&lt;=300000,100,500)))))),FLOOR($F183*IF($C183="売",1-$AX$3,1+$AX$3),IF($F183*IF($C183="売",1-$AX$3,1+$AX$3)&lt;=3000,1,IF($F183*IF($C183="売",1-$AX$3,1+$AX$3)&lt;=5000,5,IF($F183*IF($C183="売",1-$AX$3,1+$AX$3)&lt;=30000,10,IF($F183*IF($C183="売",1-$AX$3,1+$AX$3)&lt;=50000,50,IF($F183*IF($C183="売",1-$AX$3,1+$AX$3)&lt;=300000,100,500))))))))</f>
      </c>
      <c r="N183" s="598" t="str">
        <f>IF($F183="","",IF($C183="売",CEILING($F183*IF($C183="売",1+$AX$2,1-$AX$2),IF($F183*IF($C183="売",1+$AX$2,1-$AX$2)&lt;=3000,1,IF($F183*IF($C183="売",1+$AX$2,1-$AX$2)&lt;=5000,5,IF($F183*IF($C183="売",1+$AX$2,1-$AX$2)&lt;=30000,10,IF($F183*IF($C183="売",1+$AX$2,1-$AX$2)&lt;=50000,50,IF($F183*IF($C183="売",1+$AX$2,1-$AX$2)&lt;=300000,100,500)))))),FLOOR($F183*IF($C183="売",1+$AX$2,1-$AX$2),IF($F183*IF($C183="売",1+$AX$2,1-$AX$2)&lt;=3000,1,IF($F183*IF($C183="売",1+$AX$2,1-$AX$2)&lt;=5000,5,IF($F183*IF($C183="売",1+$AX$2,1-$AX$2)&lt;=30000,10,IF($F183*IF($C183="売",1+$AX$2,1-$AX$2)&lt;=50000,50,IF($F183*IF($C183="売",1+$AX$2,1-$AX$2)&lt;=300000,100,500))))))))</f>
      </c>
      <c r="O183" s="478" t="str">
        <f>IF(OR($B183="",$F183="",$H183=""),"",IF($S183="✅売却済","―決済済―",IF($C183="売",IF($H183&lt;=$M183,"🟢利確",IF(AND($R183&lt;&gt;"",$H183&gt;=$R183),"🟠TRAIL決済",IF($H183&gt;=$N183,"🔴損切",IF($W183&gt;=$AX$5,"⏱時間決済",IF($H183&gt;=$F183*(1+$AX$2*0.7),"⚠️損切接近","保持継続"))))),IF($H183&gt;=$M183,"🟢利確",IF(AND($R183&lt;&gt;"",$H183&lt;=$R183),"🟠TRAIL決済",IF($H183&lt;=$N183,"🔴損切",IF($W183&gt;=$AX$5,"⏱時間決済",IF($H183&lt;=$F183*(1-$AX$2*0.7),"⚠️損切接近","保持継続")))))))</f>
      </c>
      <c r="P183" s="445"/>
      <c r="Q183" s="445"/>
      <c r="R183" s="480" t="str">
        <f>IF(OR($F183="",$H183="",$N183=""),"",IF($S183="✅売却済","",IF($C183="売",IF($H183&gt;$F183*(1-$AX$2),$N183,CEILING(MIN($N183,IF($Q183="",$N183,$Q183*1.03)),IF($N183&lt;=3000,1,IF($N183&lt;=5000,5,IF($N183&lt;=30000,10,IF($N183&lt;=50000,50,IF($N183&lt;=300000,100,500))))))),IF($H183&lt;$F183*(1+$AX$2),$N183,FLOOR(MAX($N183,IF($P183="",$N183,$P183*0.97)),IF($N183&lt;=3000,1,IF($N183&lt;=5000,5,IF($N183&lt;=30000,10,IF($N183&lt;=50000,50,IF($N183&lt;=300000,100,500))))))))))</f>
      </c>
      <c r="S183" s="480" t="str">
        <f>IF(B183="","",IF(T183&lt;&gt;"","✅売却済",IF(OR(H183="",L183=""),"📌保有中",IF(L183&gt;=0.06,"🟢利確推奨",IF(L183&gt;=0.05,"🟡利確直近",IF(L183&gt;=0.045,"🔵トレーリング検討",IF(L183&gt;-0.03,"📌保有中",IF(L183&gt;-0.04,"⚠️損切注意","🔴損切り"))))))))</f>
        <v/>
      </c>
      <c r="T183" s="596"/>
      <c r="U183" s="598"/>
      <c r="V183" s="703" t="str">
        <f>IF(OR(F183="",G183="",U183=""),"",IF(C183="売",(F183-U183)*G183,(U183-F183)*G183))</f>
        <v/>
      </c>
      <c r="W183" s="480" t="str">
        <f>IF(OR($E183="",$B183=""),"",IF($T183&lt;&gt;"",$T183-$E183,TODAY()-$E183)+1)</f>
        <v/>
      </c>
      <c r="X183" s="480" t="str">
        <f>IF(OR($AH183="",$AH183="保有中"),"",$AH183)</f>
        <v/>
      </c>
      <c r="Y183" s="488">
        <f>IF($B183="","",IF(COUNTIFS($B$4:$B183,$B183,$C$4:$C183,$C183)&gt;1,"⛔重複"&amp;COUNTIFS($B$4:$B183,$B183,$C$4:$C183,$C183)&amp;"回目",""))</f>
      </c>
      <c r="Z183" s="710"/>
      <c r="AB183">
        <f>IF($F183="","",MAX(100,ROUNDDOWN($AX$4/($F183*$AX$2)/100,0)*100))</f>
      </c>
      <c r="AC183">
        <f>IF(OR($F183="",$G183="",$U183=""),"",ROUND($V183-($F183+$U183)*$G183*$AX$6-IF($C183="売",$F183*$G183*$AX$7*$W183/365,0),0))</f>
      </c>
      <c r="AD183" s="608"/>
      <c r="AE183" s="600" t="str">
        <f>IF($E183="","",WORKDAY($E183,12))</f>
        <v/>
      </c>
      <c r="AF183" s="600"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0"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0" t="str">
        <f>IF(OR($B183="",$M183=""),"",IF(AND(N($AF183)=0,N($AG183)=0),IF(AND(ISNUMBER($H183),$H183&gt;0,IF($C183="売",$H183&gt;=$N183,$H183&lt;=$N183)),"損切確定",IF(AND(ISNUMBER($H183),$H183&gt;0,IF($C183="売",$H183&lt;=$M183,$H183&gt;=$M183)),"利益確定",IF($AE183&lt;=TODAY(),"日数制限","保有中"))),IF(N($AG183)=0,"利益確定",IF(N($AF183)=0,"損切確定",IF($AG183&lt;=$AF183,"損切確定","利益確定")))))</f>
        <v/>
      </c>
      <c r="AI183" s="600" t="str" cm="1">
        <f t="array" ref="AI183">IFERROR(INDEX(始値!$E$6:$BT$305,MATCH(TEXT($B183,"0"),TEXT(銘柄管理!$B$6:$B$305,"0"),0),MATCH($AE183,始値!$E$3:$BT$3,0)),"")</f>
        <v/>
      </c>
      <c r="AJ183" s="608" t="str">
        <f>IF(OR($V183="",$F183="",$G183=""),"",$V183/($F183*$G183))</f>
        <v/>
      </c>
      <c r="AK183" s="600" t="str">
        <f>IF($V183="","",IF($V183&gt;0,"○勝",IF($V183&lt;0,"●負","△引分")))</f>
        <v/>
      </c>
    </row>
    <row r="184" spans="1:37" ht="17.25" customHeight="1">
      <c r="A184" s="621" t="str">
        <f>IF(B184="","",HYPERLINK("https://kabutan.jp/stock/?code="&amp;B184,"株探"))</f>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IF(OR(F184="",G184="",H184=""),"",IF(C184="売",(F184-H184)*G184,(H184-F184)*G184))</f>
        <v/>
      </c>
      <c r="L184" s="708" t="str">
        <f>IF(OR(F184="",H184=""),"",IF(C184="売",(F184-H184)/F184,(H184-F184)/F184))</f>
        <v/>
      </c>
      <c r="M184" s="598" t="str">
        <f>IF($F184="","",IF($C184="売",CEILING($F184*IF($C184="売",1-$AX$3,1+$AX$3),IF($F184*IF($C184="売",1-$AX$3,1+$AX$3)&lt;=3000,1,IF($F184*IF($C184="売",1-$AX$3,1+$AX$3)&lt;=5000,5,IF($F184*IF($C184="売",1-$AX$3,1+$AX$3)&lt;=30000,10,IF($F184*IF($C184="売",1-$AX$3,1+$AX$3)&lt;=50000,50,IF($F184*IF($C184="売",1-$AX$3,1+$AX$3)&lt;=300000,100,500)))))),FLOOR($F184*IF($C184="売",1-$AX$3,1+$AX$3),IF($F184*IF($C184="売",1-$AX$3,1+$AX$3)&lt;=3000,1,IF($F184*IF($C184="売",1-$AX$3,1+$AX$3)&lt;=5000,5,IF($F184*IF($C184="売",1-$AX$3,1+$AX$3)&lt;=30000,10,IF($F184*IF($C184="売",1-$AX$3,1+$AX$3)&lt;=50000,50,IF($F184*IF($C184="売",1-$AX$3,1+$AX$3)&lt;=300000,100,500))))))))</f>
      </c>
      <c r="N184" s="598" t="str">
        <f>IF($F184="","",IF($C184="売",CEILING($F184*IF($C184="売",1+$AX$2,1-$AX$2),IF($F184*IF($C184="売",1+$AX$2,1-$AX$2)&lt;=3000,1,IF($F184*IF($C184="売",1+$AX$2,1-$AX$2)&lt;=5000,5,IF($F184*IF($C184="売",1+$AX$2,1-$AX$2)&lt;=30000,10,IF($F184*IF($C184="売",1+$AX$2,1-$AX$2)&lt;=50000,50,IF($F184*IF($C184="売",1+$AX$2,1-$AX$2)&lt;=300000,100,500)))))),FLOOR($F184*IF($C184="売",1+$AX$2,1-$AX$2),IF($F184*IF($C184="売",1+$AX$2,1-$AX$2)&lt;=3000,1,IF($F184*IF($C184="売",1+$AX$2,1-$AX$2)&lt;=5000,5,IF($F184*IF($C184="売",1+$AX$2,1-$AX$2)&lt;=30000,10,IF($F184*IF($C184="売",1+$AX$2,1-$AX$2)&lt;=50000,50,IF($F184*IF($C184="売",1+$AX$2,1-$AX$2)&lt;=300000,100,500))))))))</f>
      </c>
      <c r="O184" s="478" t="str">
        <f>IF(OR($B184="",$F184="",$H184=""),"",IF($S184="✅売却済","―決済済―",IF($C184="売",IF($H184&lt;=$M184,"🟢利確",IF(AND($R184&lt;&gt;"",$H184&gt;=$R184),"🟠TRAIL決済",IF($H184&gt;=$N184,"🔴損切",IF($W184&gt;=$AX$5,"⏱時間決済",IF($H184&gt;=$F184*(1+$AX$2*0.7),"⚠️損切接近","保持継続"))))),IF($H184&gt;=$M184,"🟢利確",IF(AND($R184&lt;&gt;"",$H184&lt;=$R184),"🟠TRAIL決済",IF($H184&lt;=$N184,"🔴損切",IF($W184&gt;=$AX$5,"⏱時間決済",IF($H184&lt;=$F184*(1-$AX$2*0.7),"⚠️損切接近","保持継続")))))))</f>
      </c>
      <c r="P184" s="445"/>
      <c r="Q184" s="445"/>
      <c r="R184" s="480" t="str">
        <f>IF(OR($F184="",$H184="",$N184=""),"",IF($S184="✅売却済","",IF($C184="売",IF($H184&gt;$F184*(1-$AX$2),$N184,CEILING(MIN($N184,IF($Q184="",$N184,$Q184*1.03)),IF($N184&lt;=3000,1,IF($N184&lt;=5000,5,IF($N184&lt;=30000,10,IF($N184&lt;=50000,50,IF($N184&lt;=300000,100,500))))))),IF($H184&lt;$F184*(1+$AX$2),$N184,FLOOR(MAX($N184,IF($P184="",$N184,$P184*0.97)),IF($N184&lt;=3000,1,IF($N184&lt;=5000,5,IF($N184&lt;=30000,10,IF($N184&lt;=50000,50,IF($N184&lt;=300000,100,500))))))))))</f>
      </c>
      <c r="S184" s="480" t="str">
        <f>IF(B184="","",IF(T184&lt;&gt;"","✅売却済",IF(OR(H184="",L184=""),"📌保有中",IF(L184&gt;=0.06,"🟢利確推奨",IF(L184&gt;=0.05,"🟡利確直近",IF(L184&gt;=0.045,"🔵トレーリング検討",IF(L184&gt;-0.03,"📌保有中",IF(L184&gt;-0.04,"⚠️損切注意","🔴損切り"))))))))</f>
        <v/>
      </c>
      <c r="T184" s="596"/>
      <c r="U184" s="598"/>
      <c r="V184" s="703" t="str">
        <f>IF(OR(F184="",G184="",U184=""),"",IF(C184="売",(F184-U184)*G184,(U184-F184)*G184))</f>
        <v/>
      </c>
      <c r="W184" s="480" t="str">
        <f>IF(OR($E184="",$B184=""),"",IF($T184&lt;&gt;"",$T184-$E184,TODAY()-$E184)+1)</f>
        <v/>
      </c>
      <c r="X184" s="480" t="str">
        <f>IF(OR($AH184="",$AH184="保有中"),"",$AH184)</f>
        <v/>
      </c>
      <c r="Y184" s="488">
        <f>IF($B184="","",IF(COUNTIFS($B$4:$B184,$B184,$C$4:$C184,$C184)&gt;1,"⛔重複"&amp;COUNTIFS($B$4:$B184,$B184,$C$4:$C184,$C184)&amp;"回目",""))</f>
      </c>
      <c r="Z184" s="710"/>
      <c r="AB184">
        <f>IF($F184="","",MAX(100,ROUNDDOWN($AX$4/($F184*$AX$2)/100,0)*100))</f>
      </c>
      <c r="AC184">
        <f>IF(OR($F184="",$G184="",$U184=""),"",ROUND($V184-($F184+$U184)*$G184*$AX$6-IF($C184="売",$F184*$G184*$AX$7*$W184/365,0),0))</f>
      </c>
      <c r="AD184" s="608"/>
      <c r="AE184" s="600" t="str">
        <f>IF($E184="","",WORKDAY($E184,12))</f>
        <v/>
      </c>
      <c r="AF184" s="600"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0"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0" t="str">
        <f>IF(OR($B184="",$M184=""),"",IF(AND(N($AF184)=0,N($AG184)=0),IF(AND(ISNUMBER($H184),$H184&gt;0,IF($C184="売",$H184&gt;=$N184,$H184&lt;=$N184)),"損切確定",IF(AND(ISNUMBER($H184),$H184&gt;0,IF($C184="売",$H184&lt;=$M184,$H184&gt;=$M184)),"利益確定",IF($AE184&lt;=TODAY(),"日数制限","保有中"))),IF(N($AG184)=0,"利益確定",IF(N($AF184)=0,"損切確定",IF($AG184&lt;=$AF184,"損切確定","利益確定")))))</f>
        <v/>
      </c>
      <c r="AI184" s="600" t="str" cm="1">
        <f t="array" ref="AI184">IFERROR(INDEX(始値!$E$6:$BT$305,MATCH(TEXT($B184,"0"),TEXT(銘柄管理!$B$6:$B$305,"0"),0),MATCH($AE184,始値!$E$3:$BT$3,0)),"")</f>
        <v/>
      </c>
      <c r="AJ184" s="608" t="str">
        <f>IF(OR($V184="",$F184="",$G184=""),"",$V184/($F184*$G184))</f>
        <v/>
      </c>
      <c r="AK184" s="600" t="str">
        <f>IF($V184="","",IF($V184&gt;0,"○勝",IF($V184&lt;0,"●負","△引分")))</f>
        <v/>
      </c>
    </row>
    <row r="185" spans="1:37" ht="17.25" customHeight="1">
      <c r="A185" s="621" t="str">
        <f>IF(B185="","",HYPERLINK("https://kabutan.jp/stock/?code="&amp;B185,"株探"))</f>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IF(OR(F185="",G185="",H185=""),"",IF(C185="売",(F185-H185)*G185,(H185-F185)*G185))</f>
        <v/>
      </c>
      <c r="L185" s="708" t="str">
        <f>IF(OR(F185="",H185=""),"",IF(C185="売",(F185-H185)/F185,(H185-F185)/F185))</f>
        <v/>
      </c>
      <c r="M185" s="598" t="str">
        <f>IF($F185="","",IF($C185="売",CEILING($F185*IF($C185="売",1-$AX$3,1+$AX$3),IF($F185*IF($C185="売",1-$AX$3,1+$AX$3)&lt;=3000,1,IF($F185*IF($C185="売",1-$AX$3,1+$AX$3)&lt;=5000,5,IF($F185*IF($C185="売",1-$AX$3,1+$AX$3)&lt;=30000,10,IF($F185*IF($C185="売",1-$AX$3,1+$AX$3)&lt;=50000,50,IF($F185*IF($C185="売",1-$AX$3,1+$AX$3)&lt;=300000,100,500)))))),FLOOR($F185*IF($C185="売",1-$AX$3,1+$AX$3),IF($F185*IF($C185="売",1-$AX$3,1+$AX$3)&lt;=3000,1,IF($F185*IF($C185="売",1-$AX$3,1+$AX$3)&lt;=5000,5,IF($F185*IF($C185="売",1-$AX$3,1+$AX$3)&lt;=30000,10,IF($F185*IF($C185="売",1-$AX$3,1+$AX$3)&lt;=50000,50,IF($F185*IF($C185="売",1-$AX$3,1+$AX$3)&lt;=300000,100,500))))))))</f>
      </c>
      <c r="N185" s="598" t="str">
        <f>IF($F185="","",IF($C185="売",CEILING($F185*IF($C185="売",1+$AX$2,1-$AX$2),IF($F185*IF($C185="売",1+$AX$2,1-$AX$2)&lt;=3000,1,IF($F185*IF($C185="売",1+$AX$2,1-$AX$2)&lt;=5000,5,IF($F185*IF($C185="売",1+$AX$2,1-$AX$2)&lt;=30000,10,IF($F185*IF($C185="売",1+$AX$2,1-$AX$2)&lt;=50000,50,IF($F185*IF($C185="売",1+$AX$2,1-$AX$2)&lt;=300000,100,500)))))),FLOOR($F185*IF($C185="売",1+$AX$2,1-$AX$2),IF($F185*IF($C185="売",1+$AX$2,1-$AX$2)&lt;=3000,1,IF($F185*IF($C185="売",1+$AX$2,1-$AX$2)&lt;=5000,5,IF($F185*IF($C185="売",1+$AX$2,1-$AX$2)&lt;=30000,10,IF($F185*IF($C185="売",1+$AX$2,1-$AX$2)&lt;=50000,50,IF($F185*IF($C185="売",1+$AX$2,1-$AX$2)&lt;=300000,100,500))))))))</f>
      </c>
      <c r="O185" s="478" t="str">
        <f>IF(OR($B185="",$F185="",$H185=""),"",IF($S185="✅売却済","―決済済―",IF($C185="売",IF($H185&lt;=$M185,"🟢利確",IF(AND($R185&lt;&gt;"",$H185&gt;=$R185),"🟠TRAIL決済",IF($H185&gt;=$N185,"🔴損切",IF($W185&gt;=$AX$5,"⏱時間決済",IF($H185&gt;=$F185*(1+$AX$2*0.7),"⚠️損切接近","保持継続"))))),IF($H185&gt;=$M185,"🟢利確",IF(AND($R185&lt;&gt;"",$H185&lt;=$R185),"🟠TRAIL決済",IF($H185&lt;=$N185,"🔴損切",IF($W185&gt;=$AX$5,"⏱時間決済",IF($H185&lt;=$F185*(1-$AX$2*0.7),"⚠️損切接近","保持継続")))))))</f>
      </c>
      <c r="P185" s="445"/>
      <c r="Q185" s="445"/>
      <c r="R185" s="480" t="str">
        <f>IF(OR($F185="",$H185="",$N185=""),"",IF($S185="✅売却済","",IF($C185="売",IF($H185&gt;$F185*(1-$AX$2),$N185,CEILING(MIN($N185,IF($Q185="",$N185,$Q185*1.03)),IF($N185&lt;=3000,1,IF($N185&lt;=5000,5,IF($N185&lt;=30000,10,IF($N185&lt;=50000,50,IF($N185&lt;=300000,100,500))))))),IF($H185&lt;$F185*(1+$AX$2),$N185,FLOOR(MAX($N185,IF($P185="",$N185,$P185*0.97)),IF($N185&lt;=3000,1,IF($N185&lt;=5000,5,IF($N185&lt;=30000,10,IF($N185&lt;=50000,50,IF($N185&lt;=300000,100,500))))))))))</f>
      </c>
      <c r="S185" s="480" t="str">
        <f>IF(B185="","",IF(T185&lt;&gt;"","✅売却済",IF(OR(H185="",L185=""),"📌保有中",IF(L185&gt;=0.06,"🟢利確推奨",IF(L185&gt;=0.05,"🟡利確直近",IF(L185&gt;=0.045,"🔵トレーリング検討",IF(L185&gt;-0.03,"📌保有中",IF(L185&gt;-0.04,"⚠️損切注意","🔴損切り"))))))))</f>
        <v/>
      </c>
      <c r="T185" s="596"/>
      <c r="U185" s="598"/>
      <c r="V185" s="703" t="str">
        <f>IF(OR(F185="",G185="",U185=""),"",IF(C185="売",(F185-U185)*G185,(U185-F185)*G185))</f>
        <v/>
      </c>
      <c r="W185" s="480" t="str">
        <f>IF(OR($E185="",$B185=""),"",IF($T185&lt;&gt;"",$T185-$E185,TODAY()-$E185)+1)</f>
        <v/>
      </c>
      <c r="X185" s="480" t="str">
        <f>IF(OR($AH185="",$AH185="保有中"),"",$AH185)</f>
        <v/>
      </c>
      <c r="Y185" s="488">
        <f>IF($B185="","",IF(COUNTIFS($B$4:$B185,$B185,$C$4:$C185,$C185)&gt;1,"⛔重複"&amp;COUNTIFS($B$4:$B185,$B185,$C$4:$C185,$C185)&amp;"回目",""))</f>
      </c>
      <c r="Z185" s="710"/>
      <c r="AB185">
        <f>IF($F185="","",MAX(100,ROUNDDOWN($AX$4/($F185*$AX$2)/100,0)*100))</f>
      </c>
      <c r="AC185">
        <f>IF(OR($F185="",$G185="",$U185=""),"",ROUND($V185-($F185+$U185)*$G185*$AX$6-IF($C185="売",$F185*$G185*$AX$7*$W185/365,0),0))</f>
      </c>
      <c r="AD185" s="608"/>
      <c r="AE185" s="600" t="str">
        <f>IF($E185="","",WORKDAY($E185,12))</f>
        <v/>
      </c>
      <c r="AF185" s="600"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0"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0" t="str">
        <f>IF(OR($B185="",$M185=""),"",IF(AND(N($AF185)=0,N($AG185)=0),IF(AND(ISNUMBER($H185),$H185&gt;0,IF($C185="売",$H185&gt;=$N185,$H185&lt;=$N185)),"損切確定",IF(AND(ISNUMBER($H185),$H185&gt;0,IF($C185="売",$H185&lt;=$M185,$H185&gt;=$M185)),"利益確定",IF($AE185&lt;=TODAY(),"日数制限","保有中"))),IF(N($AG185)=0,"利益確定",IF(N($AF185)=0,"損切確定",IF($AG185&lt;=$AF185,"損切確定","利益確定")))))</f>
        <v/>
      </c>
      <c r="AI185" s="600" t="str" cm="1">
        <f t="array" ref="AI185">IFERROR(INDEX(始値!$E$6:$BT$305,MATCH(TEXT($B185,"0"),TEXT(銘柄管理!$B$6:$B$305,"0"),0),MATCH($AE185,始値!$E$3:$BT$3,0)),"")</f>
        <v/>
      </c>
      <c r="AJ185" s="608" t="str">
        <f>IF(OR($V185="",$F185="",$G185=""),"",$V185/($F185*$G185))</f>
        <v/>
      </c>
      <c r="AK185" s="600" t="str">
        <f>IF($V185="","",IF($V185&gt;0,"○勝",IF($V185&lt;0,"●負","△引分")))</f>
        <v/>
      </c>
    </row>
    <row r="186" spans="1:37" ht="17.25" customHeight="1">
      <c r="A186" s="621" t="str">
        <f>IF(B186="","",HYPERLINK("https://kabutan.jp/stock/?code="&amp;B186,"株探"))</f>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IF(OR(F186="",G186="",H186=""),"",IF(C186="売",(F186-H186)*G186,(H186-F186)*G186))</f>
        <v/>
      </c>
      <c r="L186" s="708" t="str">
        <f>IF(OR(F186="",H186=""),"",IF(C186="売",(F186-H186)/F186,(H186-F186)/F186))</f>
        <v/>
      </c>
      <c r="M186" s="598" t="str">
        <f>IF($F186="","",IF($C186="売",CEILING($F186*IF($C186="売",1-$AX$3,1+$AX$3),IF($F186*IF($C186="売",1-$AX$3,1+$AX$3)&lt;=3000,1,IF($F186*IF($C186="売",1-$AX$3,1+$AX$3)&lt;=5000,5,IF($F186*IF($C186="売",1-$AX$3,1+$AX$3)&lt;=30000,10,IF($F186*IF($C186="売",1-$AX$3,1+$AX$3)&lt;=50000,50,IF($F186*IF($C186="売",1-$AX$3,1+$AX$3)&lt;=300000,100,500)))))),FLOOR($F186*IF($C186="売",1-$AX$3,1+$AX$3),IF($F186*IF($C186="売",1-$AX$3,1+$AX$3)&lt;=3000,1,IF($F186*IF($C186="売",1-$AX$3,1+$AX$3)&lt;=5000,5,IF($F186*IF($C186="売",1-$AX$3,1+$AX$3)&lt;=30000,10,IF($F186*IF($C186="売",1-$AX$3,1+$AX$3)&lt;=50000,50,IF($F186*IF($C186="売",1-$AX$3,1+$AX$3)&lt;=300000,100,500))))))))</f>
      </c>
      <c r="N186" s="598" t="str">
        <f>IF($F186="","",IF($C186="売",CEILING($F186*IF($C186="売",1+$AX$2,1-$AX$2),IF($F186*IF($C186="売",1+$AX$2,1-$AX$2)&lt;=3000,1,IF($F186*IF($C186="売",1+$AX$2,1-$AX$2)&lt;=5000,5,IF($F186*IF($C186="売",1+$AX$2,1-$AX$2)&lt;=30000,10,IF($F186*IF($C186="売",1+$AX$2,1-$AX$2)&lt;=50000,50,IF($F186*IF($C186="売",1+$AX$2,1-$AX$2)&lt;=300000,100,500)))))),FLOOR($F186*IF($C186="売",1+$AX$2,1-$AX$2),IF($F186*IF($C186="売",1+$AX$2,1-$AX$2)&lt;=3000,1,IF($F186*IF($C186="売",1+$AX$2,1-$AX$2)&lt;=5000,5,IF($F186*IF($C186="売",1+$AX$2,1-$AX$2)&lt;=30000,10,IF($F186*IF($C186="売",1+$AX$2,1-$AX$2)&lt;=50000,50,IF($F186*IF($C186="売",1+$AX$2,1-$AX$2)&lt;=300000,100,500))))))))</f>
      </c>
      <c r="O186" s="478" t="str">
        <f>IF(OR($B186="",$F186="",$H186=""),"",IF($S186="✅売却済","―決済済―",IF($C186="売",IF($H186&lt;=$M186,"🟢利確",IF(AND($R186&lt;&gt;"",$H186&gt;=$R186),"🟠TRAIL決済",IF($H186&gt;=$N186,"🔴損切",IF($W186&gt;=$AX$5,"⏱時間決済",IF($H186&gt;=$F186*(1+$AX$2*0.7),"⚠️損切接近","保持継続"))))),IF($H186&gt;=$M186,"🟢利確",IF(AND($R186&lt;&gt;"",$H186&lt;=$R186),"🟠TRAIL決済",IF($H186&lt;=$N186,"🔴損切",IF($W186&gt;=$AX$5,"⏱時間決済",IF($H186&lt;=$F186*(1-$AX$2*0.7),"⚠️損切接近","保持継続")))))))</f>
      </c>
      <c r="P186" s="445"/>
      <c r="Q186" s="445"/>
      <c r="R186" s="480" t="str">
        <f>IF(OR($F186="",$H186="",$N186=""),"",IF($S186="✅売却済","",IF($C186="売",IF($H186&gt;$F186*(1-$AX$2),$N186,CEILING(MIN($N186,IF($Q186="",$N186,$Q186*1.03)),IF($N186&lt;=3000,1,IF($N186&lt;=5000,5,IF($N186&lt;=30000,10,IF($N186&lt;=50000,50,IF($N186&lt;=300000,100,500))))))),IF($H186&lt;$F186*(1+$AX$2),$N186,FLOOR(MAX($N186,IF($P186="",$N186,$P186*0.97)),IF($N186&lt;=3000,1,IF($N186&lt;=5000,5,IF($N186&lt;=30000,10,IF($N186&lt;=50000,50,IF($N186&lt;=300000,100,500))))))))))</f>
      </c>
      <c r="S186" s="480" t="str">
        <f>IF(B186="","",IF(T186&lt;&gt;"","✅売却済",IF(OR(H186="",L186=""),"📌保有中",IF(L186&gt;=0.06,"🟢利確推奨",IF(L186&gt;=0.05,"🟡利確直近",IF(L186&gt;=0.045,"🔵トレーリング検討",IF(L186&gt;-0.03,"📌保有中",IF(L186&gt;-0.04,"⚠️損切注意","🔴損切り"))))))))</f>
        <v/>
      </c>
      <c r="T186" s="596"/>
      <c r="U186" s="598"/>
      <c r="V186" s="703" t="str">
        <f>IF(OR(F186="",G186="",U186=""),"",IF(C186="売",(F186-U186)*G186,(U186-F186)*G186))</f>
        <v/>
      </c>
      <c r="W186" s="480" t="str">
        <f>IF(OR($E186="",$B186=""),"",IF($T186&lt;&gt;"",$T186-$E186,TODAY()-$E186)+1)</f>
        <v/>
      </c>
      <c r="X186" s="480" t="str">
        <f>IF(OR($AH186="",$AH186="保有中"),"",$AH186)</f>
        <v/>
      </c>
      <c r="Y186" s="488">
        <f>IF($B186="","",IF(COUNTIFS($B$4:$B186,$B186,$C$4:$C186,$C186)&gt;1,"⛔重複"&amp;COUNTIFS($B$4:$B186,$B186,$C$4:$C186,$C186)&amp;"回目",""))</f>
      </c>
      <c r="Z186" s="710"/>
      <c r="AB186">
        <f>IF($F186="","",MAX(100,ROUNDDOWN($AX$4/($F186*$AX$2)/100,0)*100))</f>
      </c>
      <c r="AC186">
        <f>IF(OR($F186="",$G186="",$U186=""),"",ROUND($V186-($F186+$U186)*$G186*$AX$6-IF($C186="売",$F186*$G186*$AX$7*$W186/365,0),0))</f>
      </c>
      <c r="AD186" s="608"/>
      <c r="AE186" s="600" t="str">
        <f>IF($E186="","",WORKDAY($E186,12))</f>
        <v/>
      </c>
      <c r="AF186" s="600"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0"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0" t="str">
        <f>IF(OR($B186="",$M186=""),"",IF(AND(N($AF186)=0,N($AG186)=0),IF(AND(ISNUMBER($H186),$H186&gt;0,IF($C186="売",$H186&gt;=$N186,$H186&lt;=$N186)),"損切確定",IF(AND(ISNUMBER($H186),$H186&gt;0,IF($C186="売",$H186&lt;=$M186,$H186&gt;=$M186)),"利益確定",IF($AE186&lt;=TODAY(),"日数制限","保有中"))),IF(N($AG186)=0,"利益確定",IF(N($AF186)=0,"損切確定",IF($AG186&lt;=$AF186,"損切確定","利益確定")))))</f>
        <v/>
      </c>
      <c r="AI186" s="600" t="str" cm="1">
        <f t="array" ref="AI186">IFERROR(INDEX(始値!$E$6:$BT$305,MATCH(TEXT($B186,"0"),TEXT(銘柄管理!$B$6:$B$305,"0"),0),MATCH($AE186,始値!$E$3:$BT$3,0)),"")</f>
        <v/>
      </c>
      <c r="AJ186" s="608" t="str">
        <f>IF(OR($V186="",$F186="",$G186=""),"",$V186/($F186*$G186))</f>
        <v/>
      </c>
      <c r="AK186" s="600" t="str">
        <f>IF($V186="","",IF($V186&gt;0,"○勝",IF($V186&lt;0,"●負","△引分")))</f>
        <v/>
      </c>
    </row>
    <row r="187" spans="1:37" ht="17.25" customHeight="1">
      <c r="A187" s="621" t="str">
        <f>IF(B187="","",HYPERLINK("https://kabutan.jp/stock/?code="&amp;B187,"株探"))</f>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IF(OR(F187="",G187="",H187=""),"",IF(C187="売",(F187-H187)*G187,(H187-F187)*G187))</f>
        <v/>
      </c>
      <c r="L187" s="708" t="str">
        <f>IF(OR(F187="",H187=""),"",IF(C187="売",(F187-H187)/F187,(H187-F187)/F187))</f>
        <v/>
      </c>
      <c r="M187" s="598" t="str">
        <f>IF($F187="","",IF($C187="売",CEILING($F187*IF($C187="売",1-$AX$3,1+$AX$3),IF($F187*IF($C187="売",1-$AX$3,1+$AX$3)&lt;=3000,1,IF($F187*IF($C187="売",1-$AX$3,1+$AX$3)&lt;=5000,5,IF($F187*IF($C187="売",1-$AX$3,1+$AX$3)&lt;=30000,10,IF($F187*IF($C187="売",1-$AX$3,1+$AX$3)&lt;=50000,50,IF($F187*IF($C187="売",1-$AX$3,1+$AX$3)&lt;=300000,100,500)))))),FLOOR($F187*IF($C187="売",1-$AX$3,1+$AX$3),IF($F187*IF($C187="売",1-$AX$3,1+$AX$3)&lt;=3000,1,IF($F187*IF($C187="売",1-$AX$3,1+$AX$3)&lt;=5000,5,IF($F187*IF($C187="売",1-$AX$3,1+$AX$3)&lt;=30000,10,IF($F187*IF($C187="売",1-$AX$3,1+$AX$3)&lt;=50000,50,IF($F187*IF($C187="売",1-$AX$3,1+$AX$3)&lt;=300000,100,500))))))))</f>
      </c>
      <c r="N187" s="598" t="str">
        <f>IF($F187="","",IF($C187="売",CEILING($F187*IF($C187="売",1+$AX$2,1-$AX$2),IF($F187*IF($C187="売",1+$AX$2,1-$AX$2)&lt;=3000,1,IF($F187*IF($C187="売",1+$AX$2,1-$AX$2)&lt;=5000,5,IF($F187*IF($C187="売",1+$AX$2,1-$AX$2)&lt;=30000,10,IF($F187*IF($C187="売",1+$AX$2,1-$AX$2)&lt;=50000,50,IF($F187*IF($C187="売",1+$AX$2,1-$AX$2)&lt;=300000,100,500)))))),FLOOR($F187*IF($C187="売",1+$AX$2,1-$AX$2),IF($F187*IF($C187="売",1+$AX$2,1-$AX$2)&lt;=3000,1,IF($F187*IF($C187="売",1+$AX$2,1-$AX$2)&lt;=5000,5,IF($F187*IF($C187="売",1+$AX$2,1-$AX$2)&lt;=30000,10,IF($F187*IF($C187="売",1+$AX$2,1-$AX$2)&lt;=50000,50,IF($F187*IF($C187="売",1+$AX$2,1-$AX$2)&lt;=300000,100,500))))))))</f>
      </c>
      <c r="O187" s="478" t="str">
        <f>IF(OR($B187="",$F187="",$H187=""),"",IF($S187="✅売却済","―決済済―",IF($C187="売",IF($H187&lt;=$M187,"🟢利確",IF(AND($R187&lt;&gt;"",$H187&gt;=$R187),"🟠TRAIL決済",IF($H187&gt;=$N187,"🔴損切",IF($W187&gt;=$AX$5,"⏱時間決済",IF($H187&gt;=$F187*(1+$AX$2*0.7),"⚠️損切接近","保持継続"))))),IF($H187&gt;=$M187,"🟢利確",IF(AND($R187&lt;&gt;"",$H187&lt;=$R187),"🟠TRAIL決済",IF($H187&lt;=$N187,"🔴損切",IF($W187&gt;=$AX$5,"⏱時間決済",IF($H187&lt;=$F187*(1-$AX$2*0.7),"⚠️損切接近","保持継続")))))))</f>
      </c>
      <c r="P187" s="445"/>
      <c r="Q187" s="445"/>
      <c r="R187" s="480" t="str">
        <f>IF(OR($F187="",$H187="",$N187=""),"",IF($S187="✅売却済","",IF($C187="売",IF($H187&gt;$F187*(1-$AX$2),$N187,CEILING(MIN($N187,IF($Q187="",$N187,$Q187*1.03)),IF($N187&lt;=3000,1,IF($N187&lt;=5000,5,IF($N187&lt;=30000,10,IF($N187&lt;=50000,50,IF($N187&lt;=300000,100,500))))))),IF($H187&lt;$F187*(1+$AX$2),$N187,FLOOR(MAX($N187,IF($P187="",$N187,$P187*0.97)),IF($N187&lt;=3000,1,IF($N187&lt;=5000,5,IF($N187&lt;=30000,10,IF($N187&lt;=50000,50,IF($N187&lt;=300000,100,500))))))))))</f>
      </c>
      <c r="S187" s="480" t="str">
        <f>IF(B187="","",IF(T187&lt;&gt;"","✅売却済",IF(OR(H187="",L187=""),"📌保有中",IF(L187&gt;=0.06,"🟢利確推奨",IF(L187&gt;=0.05,"🟡利確直近",IF(L187&gt;=0.045,"🔵トレーリング検討",IF(L187&gt;-0.03,"📌保有中",IF(L187&gt;-0.04,"⚠️損切注意","🔴損切り"))))))))</f>
        <v/>
      </c>
      <c r="T187" s="596"/>
      <c r="U187" s="598"/>
      <c r="V187" s="703" t="str">
        <f>IF(OR(F187="",G187="",U187=""),"",IF(C187="売",(F187-U187)*G187,(U187-F187)*G187))</f>
        <v/>
      </c>
      <c r="W187" s="480" t="str">
        <f>IF(OR($E187="",$B187=""),"",IF($T187&lt;&gt;"",$T187-$E187,TODAY()-$E187)+1)</f>
        <v/>
      </c>
      <c r="X187" s="480" t="str">
        <f>IF(OR($AH187="",$AH187="保有中"),"",$AH187)</f>
        <v/>
      </c>
      <c r="Y187" s="488">
        <f>IF($B187="","",IF(COUNTIFS($B$4:$B187,$B187,$C$4:$C187,$C187)&gt;1,"⛔重複"&amp;COUNTIFS($B$4:$B187,$B187,$C$4:$C187,$C187)&amp;"回目",""))</f>
      </c>
      <c r="Z187" s="710"/>
      <c r="AB187">
        <f>IF($F187="","",MAX(100,ROUNDDOWN($AX$4/($F187*$AX$2)/100,0)*100))</f>
      </c>
      <c r="AC187">
        <f>IF(OR($F187="",$G187="",$U187=""),"",ROUND($V187-($F187+$U187)*$G187*$AX$6-IF($C187="売",$F187*$G187*$AX$7*$W187/365,0),0))</f>
      </c>
      <c r="AD187" s="608"/>
      <c r="AE187" s="600" t="str">
        <f>IF($E187="","",WORKDAY($E187,12))</f>
        <v/>
      </c>
      <c r="AF187" s="600"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0"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0" t="str">
        <f>IF(OR($B187="",$M187=""),"",IF(AND(N($AF187)=0,N($AG187)=0),IF(AND(ISNUMBER($H187),$H187&gt;0,IF($C187="売",$H187&gt;=$N187,$H187&lt;=$N187)),"損切確定",IF(AND(ISNUMBER($H187),$H187&gt;0,IF($C187="売",$H187&lt;=$M187,$H187&gt;=$M187)),"利益確定",IF($AE187&lt;=TODAY(),"日数制限","保有中"))),IF(N($AG187)=0,"利益確定",IF(N($AF187)=0,"損切確定",IF($AG187&lt;=$AF187,"損切確定","利益確定")))))</f>
        <v/>
      </c>
      <c r="AI187" s="600" t="str" cm="1">
        <f t="array" ref="AI187">IFERROR(INDEX(始値!$E$6:$BT$305,MATCH(TEXT($B187,"0"),TEXT(銘柄管理!$B$6:$B$305,"0"),0),MATCH($AE187,始値!$E$3:$BT$3,0)),"")</f>
        <v/>
      </c>
      <c r="AJ187" s="608" t="str">
        <f>IF(OR($V187="",$F187="",$G187=""),"",$V187/($F187*$G187))</f>
        <v/>
      </c>
      <c r="AK187" s="600" t="str">
        <f>IF($V187="","",IF($V187&gt;0,"○勝",IF($V187&lt;0,"●負","△引分")))</f>
        <v/>
      </c>
    </row>
    <row r="188" spans="1:37" ht="17.25" customHeight="1">
      <c r="A188" s="621" t="str">
        <f>IF(B188="","",HYPERLINK("https://kabutan.jp/stock/?code="&amp;B188,"株探"))</f>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IF(OR(F188="",G188="",H188=""),"",IF(C188="売",(F188-H188)*G188,(H188-F188)*G188))</f>
        <v/>
      </c>
      <c r="L188" s="708" t="str">
        <f>IF(OR(F188="",H188=""),"",IF(C188="売",(F188-H188)/F188,(H188-F188)/F188))</f>
        <v/>
      </c>
      <c r="M188" s="598" t="str">
        <f>IF($F188="","",IF($C188="売",CEILING($F188*IF($C188="売",1-$AX$3,1+$AX$3),IF($F188*IF($C188="売",1-$AX$3,1+$AX$3)&lt;=3000,1,IF($F188*IF($C188="売",1-$AX$3,1+$AX$3)&lt;=5000,5,IF($F188*IF($C188="売",1-$AX$3,1+$AX$3)&lt;=30000,10,IF($F188*IF($C188="売",1-$AX$3,1+$AX$3)&lt;=50000,50,IF($F188*IF($C188="売",1-$AX$3,1+$AX$3)&lt;=300000,100,500)))))),FLOOR($F188*IF($C188="売",1-$AX$3,1+$AX$3),IF($F188*IF($C188="売",1-$AX$3,1+$AX$3)&lt;=3000,1,IF($F188*IF($C188="売",1-$AX$3,1+$AX$3)&lt;=5000,5,IF($F188*IF($C188="売",1-$AX$3,1+$AX$3)&lt;=30000,10,IF($F188*IF($C188="売",1-$AX$3,1+$AX$3)&lt;=50000,50,IF($F188*IF($C188="売",1-$AX$3,1+$AX$3)&lt;=300000,100,500))))))))</f>
      </c>
      <c r="N188" s="598" t="str">
        <f>IF($F188="","",IF($C188="売",CEILING($F188*IF($C188="売",1+$AX$2,1-$AX$2),IF($F188*IF($C188="売",1+$AX$2,1-$AX$2)&lt;=3000,1,IF($F188*IF($C188="売",1+$AX$2,1-$AX$2)&lt;=5000,5,IF($F188*IF($C188="売",1+$AX$2,1-$AX$2)&lt;=30000,10,IF($F188*IF($C188="売",1+$AX$2,1-$AX$2)&lt;=50000,50,IF($F188*IF($C188="売",1+$AX$2,1-$AX$2)&lt;=300000,100,500)))))),FLOOR($F188*IF($C188="売",1+$AX$2,1-$AX$2),IF($F188*IF($C188="売",1+$AX$2,1-$AX$2)&lt;=3000,1,IF($F188*IF($C188="売",1+$AX$2,1-$AX$2)&lt;=5000,5,IF($F188*IF($C188="売",1+$AX$2,1-$AX$2)&lt;=30000,10,IF($F188*IF($C188="売",1+$AX$2,1-$AX$2)&lt;=50000,50,IF($F188*IF($C188="売",1+$AX$2,1-$AX$2)&lt;=300000,100,500))))))))</f>
      </c>
      <c r="O188" s="478" t="str">
        <f>IF(OR($B188="",$F188="",$H188=""),"",IF($S188="✅売却済","―決済済―",IF($C188="売",IF($H188&lt;=$M188,"🟢利確",IF(AND($R188&lt;&gt;"",$H188&gt;=$R188),"🟠TRAIL決済",IF($H188&gt;=$N188,"🔴損切",IF($W188&gt;=$AX$5,"⏱時間決済",IF($H188&gt;=$F188*(1+$AX$2*0.7),"⚠️損切接近","保持継続"))))),IF($H188&gt;=$M188,"🟢利確",IF(AND($R188&lt;&gt;"",$H188&lt;=$R188),"🟠TRAIL決済",IF($H188&lt;=$N188,"🔴損切",IF($W188&gt;=$AX$5,"⏱時間決済",IF($H188&lt;=$F188*(1-$AX$2*0.7),"⚠️損切接近","保持継続")))))))</f>
      </c>
      <c r="P188" s="445"/>
      <c r="Q188" s="445"/>
      <c r="R188" s="480" t="str">
        <f>IF(OR($F188="",$H188="",$N188=""),"",IF($S188="✅売却済","",IF($C188="売",IF($H188&gt;$F188*(1-$AX$2),$N188,CEILING(MIN($N188,IF($Q188="",$N188,$Q188*1.03)),IF($N188&lt;=3000,1,IF($N188&lt;=5000,5,IF($N188&lt;=30000,10,IF($N188&lt;=50000,50,IF($N188&lt;=300000,100,500))))))),IF($H188&lt;$F188*(1+$AX$2),$N188,FLOOR(MAX($N188,IF($P188="",$N188,$P188*0.97)),IF($N188&lt;=3000,1,IF($N188&lt;=5000,5,IF($N188&lt;=30000,10,IF($N188&lt;=50000,50,IF($N188&lt;=300000,100,500))))))))))</f>
      </c>
      <c r="S188" s="480" t="str">
        <f>IF(B188="","",IF(T188&lt;&gt;"","✅売却済",IF(OR(H188="",L188=""),"📌保有中",IF(L188&gt;=0.06,"🟢利確推奨",IF(L188&gt;=0.05,"🟡利確直近",IF(L188&gt;=0.045,"🔵トレーリング検討",IF(L188&gt;-0.03,"📌保有中",IF(L188&gt;-0.04,"⚠️損切注意","🔴損切り"))))))))</f>
        <v/>
      </c>
      <c r="T188" s="596"/>
      <c r="U188" s="598"/>
      <c r="V188" s="703" t="str">
        <f>IF(OR(F188="",G188="",U188=""),"",IF(C188="売",(F188-U188)*G188,(U188-F188)*G188))</f>
        <v/>
      </c>
      <c r="W188" s="480" t="str">
        <f>IF(OR($E188="",$B188=""),"",IF($T188&lt;&gt;"",$T188-$E188,TODAY()-$E188)+1)</f>
        <v/>
      </c>
      <c r="X188" s="480" t="str">
        <f>IF(OR($AH188="",$AH188="保有中"),"",$AH188)</f>
        <v/>
      </c>
      <c r="Y188" s="488">
        <f>IF($B188="","",IF(COUNTIFS($B$4:$B188,$B188,$C$4:$C188,$C188)&gt;1,"⛔重複"&amp;COUNTIFS($B$4:$B188,$B188,$C$4:$C188,$C188)&amp;"回目",""))</f>
      </c>
      <c r="Z188" s="710"/>
      <c r="AB188">
        <f>IF($F188="","",MAX(100,ROUNDDOWN($AX$4/($F188*$AX$2)/100,0)*100))</f>
      </c>
      <c r="AC188">
        <f>IF(OR($F188="",$G188="",$U188=""),"",ROUND($V188-($F188+$U188)*$G188*$AX$6-IF($C188="売",$F188*$G188*$AX$7*$W188/365,0),0))</f>
      </c>
      <c r="AD188" s="608"/>
      <c r="AE188" s="600" t="str">
        <f>IF($E188="","",WORKDAY($E188,12))</f>
        <v/>
      </c>
      <c r="AF188" s="600"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0"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0" t="str">
        <f>IF(OR($B188="",$M188=""),"",IF(AND(N($AF188)=0,N($AG188)=0),IF(AND(ISNUMBER($H188),$H188&gt;0,IF($C188="売",$H188&gt;=$N188,$H188&lt;=$N188)),"損切確定",IF(AND(ISNUMBER($H188),$H188&gt;0,IF($C188="売",$H188&lt;=$M188,$H188&gt;=$M188)),"利益確定",IF($AE188&lt;=TODAY(),"日数制限","保有中"))),IF(N($AG188)=0,"利益確定",IF(N($AF188)=0,"損切確定",IF($AG188&lt;=$AF188,"損切確定","利益確定")))))</f>
        <v/>
      </c>
      <c r="AI188" s="600" t="str" cm="1">
        <f t="array" ref="AI188">IFERROR(INDEX(始値!$E$6:$BT$305,MATCH(TEXT($B188,"0"),TEXT(銘柄管理!$B$6:$B$305,"0"),0),MATCH($AE188,始値!$E$3:$BT$3,0)),"")</f>
        <v/>
      </c>
      <c r="AJ188" s="608" t="str">
        <f>IF(OR($V188="",$F188="",$G188=""),"",$V188/($F188*$G188))</f>
        <v/>
      </c>
      <c r="AK188" s="600" t="str">
        <f>IF($V188="","",IF($V188&gt;0,"○勝",IF($V188&lt;0,"●負","△引分")))</f>
        <v/>
      </c>
    </row>
    <row r="189" spans="1:37" ht="17.25" customHeight="1">
      <c r="A189" s="621" t="str">
        <f>IF(B189="","",HYPERLINK("https://kabutan.jp/stock/?code="&amp;B189,"株探"))</f>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IF(OR(F189="",G189="",H189=""),"",IF(C189="売",(F189-H189)*G189,(H189-F189)*G189))</f>
        <v/>
      </c>
      <c r="L189" s="708" t="str">
        <f>IF(OR(F189="",H189=""),"",IF(C189="売",(F189-H189)/F189,(H189-F189)/F189))</f>
        <v/>
      </c>
      <c r="M189" s="598" t="str">
        <f>IF($F189="","",IF($C189="売",CEILING($F189*IF($C189="売",1-$AX$3,1+$AX$3),IF($F189*IF($C189="売",1-$AX$3,1+$AX$3)&lt;=3000,1,IF($F189*IF($C189="売",1-$AX$3,1+$AX$3)&lt;=5000,5,IF($F189*IF($C189="売",1-$AX$3,1+$AX$3)&lt;=30000,10,IF($F189*IF($C189="売",1-$AX$3,1+$AX$3)&lt;=50000,50,IF($F189*IF($C189="売",1-$AX$3,1+$AX$3)&lt;=300000,100,500)))))),FLOOR($F189*IF($C189="売",1-$AX$3,1+$AX$3),IF($F189*IF($C189="売",1-$AX$3,1+$AX$3)&lt;=3000,1,IF($F189*IF($C189="売",1-$AX$3,1+$AX$3)&lt;=5000,5,IF($F189*IF($C189="売",1-$AX$3,1+$AX$3)&lt;=30000,10,IF($F189*IF($C189="売",1-$AX$3,1+$AX$3)&lt;=50000,50,IF($F189*IF($C189="売",1-$AX$3,1+$AX$3)&lt;=300000,100,500))))))))</f>
      </c>
      <c r="N189" s="598" t="str">
        <f>IF($F189="","",IF($C189="売",CEILING($F189*IF($C189="売",1+$AX$2,1-$AX$2),IF($F189*IF($C189="売",1+$AX$2,1-$AX$2)&lt;=3000,1,IF($F189*IF($C189="売",1+$AX$2,1-$AX$2)&lt;=5000,5,IF($F189*IF($C189="売",1+$AX$2,1-$AX$2)&lt;=30000,10,IF($F189*IF($C189="売",1+$AX$2,1-$AX$2)&lt;=50000,50,IF($F189*IF($C189="売",1+$AX$2,1-$AX$2)&lt;=300000,100,500)))))),FLOOR($F189*IF($C189="売",1+$AX$2,1-$AX$2),IF($F189*IF($C189="売",1+$AX$2,1-$AX$2)&lt;=3000,1,IF($F189*IF($C189="売",1+$AX$2,1-$AX$2)&lt;=5000,5,IF($F189*IF($C189="売",1+$AX$2,1-$AX$2)&lt;=30000,10,IF($F189*IF($C189="売",1+$AX$2,1-$AX$2)&lt;=50000,50,IF($F189*IF($C189="売",1+$AX$2,1-$AX$2)&lt;=300000,100,500))))))))</f>
      </c>
      <c r="O189" s="478" t="str">
        <f>IF(OR($B189="",$F189="",$H189=""),"",IF($S189="✅売却済","―決済済―",IF($C189="売",IF($H189&lt;=$M189,"🟢利確",IF(AND($R189&lt;&gt;"",$H189&gt;=$R189),"🟠TRAIL決済",IF($H189&gt;=$N189,"🔴損切",IF($W189&gt;=$AX$5,"⏱時間決済",IF($H189&gt;=$F189*(1+$AX$2*0.7),"⚠️損切接近","保持継続"))))),IF($H189&gt;=$M189,"🟢利確",IF(AND($R189&lt;&gt;"",$H189&lt;=$R189),"🟠TRAIL決済",IF($H189&lt;=$N189,"🔴損切",IF($W189&gt;=$AX$5,"⏱時間決済",IF($H189&lt;=$F189*(1-$AX$2*0.7),"⚠️損切接近","保持継続")))))))</f>
      </c>
      <c r="P189" s="445"/>
      <c r="Q189" s="445"/>
      <c r="R189" s="480" t="str">
        <f>IF(OR($F189="",$H189="",$N189=""),"",IF($S189="✅売却済","",IF($C189="売",IF($H189&gt;$F189*(1-$AX$2),$N189,CEILING(MIN($N189,IF($Q189="",$N189,$Q189*1.03)),IF($N189&lt;=3000,1,IF($N189&lt;=5000,5,IF($N189&lt;=30000,10,IF($N189&lt;=50000,50,IF($N189&lt;=300000,100,500))))))),IF($H189&lt;$F189*(1+$AX$2),$N189,FLOOR(MAX($N189,IF($P189="",$N189,$P189*0.97)),IF($N189&lt;=3000,1,IF($N189&lt;=5000,5,IF($N189&lt;=30000,10,IF($N189&lt;=50000,50,IF($N189&lt;=300000,100,500))))))))))</f>
      </c>
      <c r="S189" s="480" t="str">
        <f>IF(B189="","",IF(T189&lt;&gt;"","✅売却済",IF(OR(H189="",L189=""),"📌保有中",IF(L189&gt;=0.06,"🟢利確推奨",IF(L189&gt;=0.05,"🟡利確直近",IF(L189&gt;=0.045,"🔵トレーリング検討",IF(L189&gt;-0.03,"📌保有中",IF(L189&gt;-0.04,"⚠️損切注意","🔴損切り"))))))))</f>
        <v/>
      </c>
      <c r="T189" s="596"/>
      <c r="U189" s="598"/>
      <c r="V189" s="703" t="str">
        <f>IF(OR(F189="",G189="",U189=""),"",IF(C189="売",(F189-U189)*G189,(U189-F189)*G189))</f>
        <v/>
      </c>
      <c r="W189" s="480" t="str">
        <f>IF(OR($E189="",$B189=""),"",IF($T189&lt;&gt;"",$T189-$E189,TODAY()-$E189)+1)</f>
        <v/>
      </c>
      <c r="X189" s="480" t="str">
        <f>IF(OR($AH189="",$AH189="保有中"),"",$AH189)</f>
        <v/>
      </c>
      <c r="Y189" s="488">
        <f>IF($B189="","",IF(COUNTIFS($B$4:$B189,$B189,$C$4:$C189,$C189)&gt;1,"⛔重複"&amp;COUNTIFS($B$4:$B189,$B189,$C$4:$C189,$C189)&amp;"回目",""))</f>
      </c>
      <c r="Z189" s="710"/>
      <c r="AB189">
        <f>IF($F189="","",MAX(100,ROUNDDOWN($AX$4/($F189*$AX$2)/100,0)*100))</f>
      </c>
      <c r="AC189">
        <f>IF(OR($F189="",$G189="",$U189=""),"",ROUND($V189-($F189+$U189)*$G189*$AX$6-IF($C189="売",$F189*$G189*$AX$7*$W189/365,0),0))</f>
      </c>
      <c r="AD189" s="608"/>
      <c r="AE189" s="600" t="str">
        <f>IF($E189="","",WORKDAY($E189,12))</f>
        <v/>
      </c>
      <c r="AF189" s="600"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0"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0" t="str">
        <f>IF(OR($B189="",$M189=""),"",IF(AND(N($AF189)=0,N($AG189)=0),IF(AND(ISNUMBER($H189),$H189&gt;0,IF($C189="売",$H189&gt;=$N189,$H189&lt;=$N189)),"損切確定",IF(AND(ISNUMBER($H189),$H189&gt;0,IF($C189="売",$H189&lt;=$M189,$H189&gt;=$M189)),"利益確定",IF($AE189&lt;=TODAY(),"日数制限","保有中"))),IF(N($AG189)=0,"利益確定",IF(N($AF189)=0,"損切確定",IF($AG189&lt;=$AF189,"損切確定","利益確定")))))</f>
        <v/>
      </c>
      <c r="AI189" s="600" t="str" cm="1">
        <f t="array" ref="AI189">IFERROR(INDEX(始値!$E$6:$BT$305,MATCH(TEXT($B189,"0"),TEXT(銘柄管理!$B$6:$B$305,"0"),0),MATCH($AE189,始値!$E$3:$BT$3,0)),"")</f>
        <v/>
      </c>
      <c r="AJ189" s="608" t="str">
        <f>IF(OR($V189="",$F189="",$G189=""),"",$V189/($F189*$G189))</f>
        <v/>
      </c>
      <c r="AK189" s="600" t="str">
        <f>IF($V189="","",IF($V189&gt;0,"○勝",IF($V189&lt;0,"●負","△引分")))</f>
        <v/>
      </c>
    </row>
    <row r="190" spans="1:37" ht="17.25" customHeight="1">
      <c r="A190" s="621" t="str">
        <f>IF(B190="","",HYPERLINK("https://kabutan.jp/stock/?code="&amp;B190,"株探"))</f>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IF(OR(F190="",G190="",H190=""),"",IF(C190="売",(F190-H190)*G190,(H190-F190)*G190))</f>
        <v/>
      </c>
      <c r="L190" s="708" t="str">
        <f>IF(OR(F190="",H190=""),"",IF(C190="売",(F190-H190)/F190,(H190-F190)/F190))</f>
        <v/>
      </c>
      <c r="M190" s="598" t="str">
        <f>IF($F190="","",IF($C190="売",CEILING($F190*IF($C190="売",1-$AX$3,1+$AX$3),IF($F190*IF($C190="売",1-$AX$3,1+$AX$3)&lt;=3000,1,IF($F190*IF($C190="売",1-$AX$3,1+$AX$3)&lt;=5000,5,IF($F190*IF($C190="売",1-$AX$3,1+$AX$3)&lt;=30000,10,IF($F190*IF($C190="売",1-$AX$3,1+$AX$3)&lt;=50000,50,IF($F190*IF($C190="売",1-$AX$3,1+$AX$3)&lt;=300000,100,500)))))),FLOOR($F190*IF($C190="売",1-$AX$3,1+$AX$3),IF($F190*IF($C190="売",1-$AX$3,1+$AX$3)&lt;=3000,1,IF($F190*IF($C190="売",1-$AX$3,1+$AX$3)&lt;=5000,5,IF($F190*IF($C190="売",1-$AX$3,1+$AX$3)&lt;=30000,10,IF($F190*IF($C190="売",1-$AX$3,1+$AX$3)&lt;=50000,50,IF($F190*IF($C190="売",1-$AX$3,1+$AX$3)&lt;=300000,100,500))))))))</f>
      </c>
      <c r="N190" s="598" t="str">
        <f>IF($F190="","",IF($C190="売",CEILING($F190*IF($C190="売",1+$AX$2,1-$AX$2),IF($F190*IF($C190="売",1+$AX$2,1-$AX$2)&lt;=3000,1,IF($F190*IF($C190="売",1+$AX$2,1-$AX$2)&lt;=5000,5,IF($F190*IF($C190="売",1+$AX$2,1-$AX$2)&lt;=30000,10,IF($F190*IF($C190="売",1+$AX$2,1-$AX$2)&lt;=50000,50,IF($F190*IF($C190="売",1+$AX$2,1-$AX$2)&lt;=300000,100,500)))))),FLOOR($F190*IF($C190="売",1+$AX$2,1-$AX$2),IF($F190*IF($C190="売",1+$AX$2,1-$AX$2)&lt;=3000,1,IF($F190*IF($C190="売",1+$AX$2,1-$AX$2)&lt;=5000,5,IF($F190*IF($C190="売",1+$AX$2,1-$AX$2)&lt;=30000,10,IF($F190*IF($C190="売",1+$AX$2,1-$AX$2)&lt;=50000,50,IF($F190*IF($C190="売",1+$AX$2,1-$AX$2)&lt;=300000,100,500))))))))</f>
      </c>
      <c r="O190" s="478" t="str">
        <f>IF(OR($B190="",$F190="",$H190=""),"",IF($S190="✅売却済","―決済済―",IF($C190="売",IF($H190&lt;=$M190,"🟢利確",IF(AND($R190&lt;&gt;"",$H190&gt;=$R190),"🟠TRAIL決済",IF($H190&gt;=$N190,"🔴損切",IF($W190&gt;=$AX$5,"⏱時間決済",IF($H190&gt;=$F190*(1+$AX$2*0.7),"⚠️損切接近","保持継続"))))),IF($H190&gt;=$M190,"🟢利確",IF(AND($R190&lt;&gt;"",$H190&lt;=$R190),"🟠TRAIL決済",IF($H190&lt;=$N190,"🔴損切",IF($W190&gt;=$AX$5,"⏱時間決済",IF($H190&lt;=$F190*(1-$AX$2*0.7),"⚠️損切接近","保持継続")))))))</f>
      </c>
      <c r="P190" s="445"/>
      <c r="Q190" s="445"/>
      <c r="R190" s="480" t="str">
        <f>IF(OR($F190="",$H190="",$N190=""),"",IF($S190="✅売却済","",IF($C190="売",IF($H190&gt;$F190*(1-$AX$2),$N190,CEILING(MIN($N190,IF($Q190="",$N190,$Q190*1.03)),IF($N190&lt;=3000,1,IF($N190&lt;=5000,5,IF($N190&lt;=30000,10,IF($N190&lt;=50000,50,IF($N190&lt;=300000,100,500))))))),IF($H190&lt;$F190*(1+$AX$2),$N190,FLOOR(MAX($N190,IF($P190="",$N190,$P190*0.97)),IF($N190&lt;=3000,1,IF($N190&lt;=5000,5,IF($N190&lt;=30000,10,IF($N190&lt;=50000,50,IF($N190&lt;=300000,100,500))))))))))</f>
      </c>
      <c r="S190" s="480" t="str">
        <f>IF(B190="","",IF(T190&lt;&gt;"","✅売却済",IF(OR(H190="",L190=""),"📌保有中",IF(L190&gt;=0.06,"🟢利確推奨",IF(L190&gt;=0.05,"🟡利確直近",IF(L190&gt;=0.045,"🔵トレーリング検討",IF(L190&gt;-0.03,"📌保有中",IF(L190&gt;-0.04,"⚠️損切注意","🔴損切り"))))))))</f>
        <v/>
      </c>
      <c r="T190" s="596"/>
      <c r="U190" s="598"/>
      <c r="V190" s="703" t="str">
        <f>IF(OR(F190="",G190="",U190=""),"",IF(C190="売",(F190-U190)*G190,(U190-F190)*G190))</f>
        <v/>
      </c>
      <c r="W190" s="480" t="str">
        <f>IF(OR($E190="",$B190=""),"",IF($T190&lt;&gt;"",$T190-$E190,TODAY()-$E190)+1)</f>
        <v/>
      </c>
      <c r="X190" s="480" t="str">
        <f>IF(OR($AH190="",$AH190="保有中"),"",$AH190)</f>
        <v/>
      </c>
      <c r="Y190" s="488">
        <f>IF($B190="","",IF(COUNTIFS($B$4:$B190,$B190,$C$4:$C190,$C190)&gt;1,"⛔重複"&amp;COUNTIFS($B$4:$B190,$B190,$C$4:$C190,$C190)&amp;"回目",""))</f>
      </c>
      <c r="Z190" s="710"/>
      <c r="AB190">
        <f>IF($F190="","",MAX(100,ROUNDDOWN($AX$4/($F190*$AX$2)/100,0)*100))</f>
      </c>
      <c r="AC190">
        <f>IF(OR($F190="",$G190="",$U190=""),"",ROUND($V190-($F190+$U190)*$G190*$AX$6-IF($C190="売",$F190*$G190*$AX$7*$W190/365,0),0))</f>
      </c>
      <c r="AD190" s="608"/>
      <c r="AE190" s="600" t="str">
        <f>IF($E190="","",WORKDAY($E190,12))</f>
        <v/>
      </c>
      <c r="AF190" s="600"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0"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0" t="str">
        <f>IF(OR($B190="",$M190=""),"",IF(AND(N($AF190)=0,N($AG190)=0),IF(AND(ISNUMBER($H190),$H190&gt;0,IF($C190="売",$H190&gt;=$N190,$H190&lt;=$N190)),"損切確定",IF(AND(ISNUMBER($H190),$H190&gt;0,IF($C190="売",$H190&lt;=$M190,$H190&gt;=$M190)),"利益確定",IF($AE190&lt;=TODAY(),"日数制限","保有中"))),IF(N($AG190)=0,"利益確定",IF(N($AF190)=0,"損切確定",IF($AG190&lt;=$AF190,"損切確定","利益確定")))))</f>
        <v/>
      </c>
      <c r="AI190" s="600" t="str" cm="1">
        <f t="array" ref="AI190">IFERROR(INDEX(始値!$E$6:$BT$305,MATCH(TEXT($B190,"0"),TEXT(銘柄管理!$B$6:$B$305,"0"),0),MATCH($AE190,始値!$E$3:$BT$3,0)),"")</f>
        <v/>
      </c>
      <c r="AJ190" s="608" t="str">
        <f>IF(OR($V190="",$F190="",$G190=""),"",$V190/($F190*$G190))</f>
        <v/>
      </c>
      <c r="AK190" s="600" t="str">
        <f>IF($V190="","",IF($V190&gt;0,"○勝",IF($V190&lt;0,"●負","△引分")))</f>
        <v/>
      </c>
    </row>
    <row r="191" spans="1:37" ht="17.25" customHeight="1">
      <c r="A191" s="621" t="str">
        <f>IF(B191="","",HYPERLINK("https://kabutan.jp/stock/?code="&amp;B191,"株探"))</f>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IF(OR(F191="",G191="",H191=""),"",IF(C191="売",(F191-H191)*G191,(H191-F191)*G191))</f>
        <v/>
      </c>
      <c r="L191" s="708" t="str">
        <f>IF(OR(F191="",H191=""),"",IF(C191="売",(F191-H191)/F191,(H191-F191)/F191))</f>
        <v/>
      </c>
      <c r="M191" s="598" t="str">
        <f>IF($F191="","",IF($C191="売",CEILING($F191*IF($C191="売",1-$AX$3,1+$AX$3),IF($F191*IF($C191="売",1-$AX$3,1+$AX$3)&lt;=3000,1,IF($F191*IF($C191="売",1-$AX$3,1+$AX$3)&lt;=5000,5,IF($F191*IF($C191="売",1-$AX$3,1+$AX$3)&lt;=30000,10,IF($F191*IF($C191="売",1-$AX$3,1+$AX$3)&lt;=50000,50,IF($F191*IF($C191="売",1-$AX$3,1+$AX$3)&lt;=300000,100,500)))))),FLOOR($F191*IF($C191="売",1-$AX$3,1+$AX$3),IF($F191*IF($C191="売",1-$AX$3,1+$AX$3)&lt;=3000,1,IF($F191*IF($C191="売",1-$AX$3,1+$AX$3)&lt;=5000,5,IF($F191*IF($C191="売",1-$AX$3,1+$AX$3)&lt;=30000,10,IF($F191*IF($C191="売",1-$AX$3,1+$AX$3)&lt;=50000,50,IF($F191*IF($C191="売",1-$AX$3,1+$AX$3)&lt;=300000,100,500))))))))</f>
      </c>
      <c r="N191" s="598" t="str">
        <f>IF($F191="","",IF($C191="売",CEILING($F191*IF($C191="売",1+$AX$2,1-$AX$2),IF($F191*IF($C191="売",1+$AX$2,1-$AX$2)&lt;=3000,1,IF($F191*IF($C191="売",1+$AX$2,1-$AX$2)&lt;=5000,5,IF($F191*IF($C191="売",1+$AX$2,1-$AX$2)&lt;=30000,10,IF($F191*IF($C191="売",1+$AX$2,1-$AX$2)&lt;=50000,50,IF($F191*IF($C191="売",1+$AX$2,1-$AX$2)&lt;=300000,100,500)))))),FLOOR($F191*IF($C191="売",1+$AX$2,1-$AX$2),IF($F191*IF($C191="売",1+$AX$2,1-$AX$2)&lt;=3000,1,IF($F191*IF($C191="売",1+$AX$2,1-$AX$2)&lt;=5000,5,IF($F191*IF($C191="売",1+$AX$2,1-$AX$2)&lt;=30000,10,IF($F191*IF($C191="売",1+$AX$2,1-$AX$2)&lt;=50000,50,IF($F191*IF($C191="売",1+$AX$2,1-$AX$2)&lt;=300000,100,500))))))))</f>
      </c>
      <c r="O191" s="478" t="str">
        <f>IF(OR($B191="",$F191="",$H191=""),"",IF($S191="✅売却済","―決済済―",IF($C191="売",IF($H191&lt;=$M191,"🟢利確",IF(AND($R191&lt;&gt;"",$H191&gt;=$R191),"🟠TRAIL決済",IF($H191&gt;=$N191,"🔴損切",IF($W191&gt;=$AX$5,"⏱時間決済",IF($H191&gt;=$F191*(1+$AX$2*0.7),"⚠️損切接近","保持継続"))))),IF($H191&gt;=$M191,"🟢利確",IF(AND($R191&lt;&gt;"",$H191&lt;=$R191),"🟠TRAIL決済",IF($H191&lt;=$N191,"🔴損切",IF($W191&gt;=$AX$5,"⏱時間決済",IF($H191&lt;=$F191*(1-$AX$2*0.7),"⚠️損切接近","保持継続")))))))</f>
      </c>
      <c r="P191" s="445"/>
      <c r="Q191" s="445"/>
      <c r="R191" s="480" t="str">
        <f>IF(OR($F191="",$H191="",$N191=""),"",IF($S191="✅売却済","",IF($C191="売",IF($H191&gt;$F191*(1-$AX$2),$N191,CEILING(MIN($N191,IF($Q191="",$N191,$Q191*1.03)),IF($N191&lt;=3000,1,IF($N191&lt;=5000,5,IF($N191&lt;=30000,10,IF($N191&lt;=50000,50,IF($N191&lt;=300000,100,500))))))),IF($H191&lt;$F191*(1+$AX$2),$N191,FLOOR(MAX($N191,IF($P191="",$N191,$P191*0.97)),IF($N191&lt;=3000,1,IF($N191&lt;=5000,5,IF($N191&lt;=30000,10,IF($N191&lt;=50000,50,IF($N191&lt;=300000,100,500))))))))))</f>
      </c>
      <c r="S191" s="480" t="str">
        <f>IF(B191="","",IF(T191&lt;&gt;"","✅売却済",IF(OR(H191="",L191=""),"📌保有中",IF(L191&gt;=0.06,"🟢利確推奨",IF(L191&gt;=0.05,"🟡利確直近",IF(L191&gt;=0.045,"🔵トレーリング検討",IF(L191&gt;-0.03,"📌保有中",IF(L191&gt;-0.04,"⚠️損切注意","🔴損切り"))))))))</f>
        <v/>
      </c>
      <c r="T191" s="596"/>
      <c r="U191" s="598"/>
      <c r="V191" s="703" t="str">
        <f>IF(OR(F191="",G191="",U191=""),"",IF(C191="売",(F191-U191)*G191,(U191-F191)*G191))</f>
        <v/>
      </c>
      <c r="W191" s="480" t="str">
        <f>IF(OR($E191="",$B191=""),"",IF($T191&lt;&gt;"",$T191-$E191,TODAY()-$E191)+1)</f>
        <v/>
      </c>
      <c r="X191" s="480" t="str">
        <f>IF(OR($AH191="",$AH191="保有中"),"",$AH191)</f>
        <v/>
      </c>
      <c r="Y191" s="488">
        <f>IF($B191="","",IF(COUNTIFS($B$4:$B191,$B191,$C$4:$C191,$C191)&gt;1,"⛔重複"&amp;COUNTIFS($B$4:$B191,$B191,$C$4:$C191,$C191)&amp;"回目",""))</f>
      </c>
      <c r="Z191" s="710"/>
      <c r="AB191">
        <f>IF($F191="","",MAX(100,ROUNDDOWN($AX$4/($F191*$AX$2)/100,0)*100))</f>
      </c>
      <c r="AC191">
        <f>IF(OR($F191="",$G191="",$U191=""),"",ROUND($V191-($F191+$U191)*$G191*$AX$6-IF($C191="売",$F191*$G191*$AX$7*$W191/365,0),0))</f>
      </c>
      <c r="AD191" s="608"/>
      <c r="AE191" s="600" t="str">
        <f>IF($E191="","",WORKDAY($E191,12))</f>
        <v/>
      </c>
      <c r="AF191" s="600"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0"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0" t="str">
        <f>IF(OR($B191="",$M191=""),"",IF(AND(N($AF191)=0,N($AG191)=0),IF(AND(ISNUMBER($H191),$H191&gt;0,IF($C191="売",$H191&gt;=$N191,$H191&lt;=$N191)),"損切確定",IF(AND(ISNUMBER($H191),$H191&gt;0,IF($C191="売",$H191&lt;=$M191,$H191&gt;=$M191)),"利益確定",IF($AE191&lt;=TODAY(),"日数制限","保有中"))),IF(N($AG191)=0,"利益確定",IF(N($AF191)=0,"損切確定",IF($AG191&lt;=$AF191,"損切確定","利益確定")))))</f>
        <v/>
      </c>
      <c r="AI191" s="600" t="str" cm="1">
        <f t="array" ref="AI191">IFERROR(INDEX(始値!$E$6:$BT$305,MATCH(TEXT($B191,"0"),TEXT(銘柄管理!$B$6:$B$305,"0"),0),MATCH($AE191,始値!$E$3:$BT$3,0)),"")</f>
        <v/>
      </c>
      <c r="AJ191" s="608" t="str">
        <f>IF(OR($V191="",$F191="",$G191=""),"",$V191/($F191*$G191))</f>
        <v/>
      </c>
      <c r="AK191" s="600" t="str">
        <f>IF($V191="","",IF($V191&gt;0,"○勝",IF($V191&lt;0,"●負","△引分")))</f>
        <v/>
      </c>
    </row>
    <row r="192" spans="1:37" ht="17.25" customHeight="1">
      <c r="A192" s="621" t="str">
        <f>IF(B192="","",HYPERLINK("https://kabutan.jp/stock/?code="&amp;B192,"株探"))</f>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IF(OR(F192="",G192="",H192=""),"",IF(C192="売",(F192-H192)*G192,(H192-F192)*G192))</f>
        <v/>
      </c>
      <c r="L192" s="708" t="str">
        <f>IF(OR(F192="",H192=""),"",IF(C192="売",(F192-H192)/F192,(H192-F192)/F192))</f>
        <v/>
      </c>
      <c r="M192" s="598" t="str">
        <f>IF($F192="","",IF($C192="売",CEILING($F192*IF($C192="売",1-$AX$3,1+$AX$3),IF($F192*IF($C192="売",1-$AX$3,1+$AX$3)&lt;=3000,1,IF($F192*IF($C192="売",1-$AX$3,1+$AX$3)&lt;=5000,5,IF($F192*IF($C192="売",1-$AX$3,1+$AX$3)&lt;=30000,10,IF($F192*IF($C192="売",1-$AX$3,1+$AX$3)&lt;=50000,50,IF($F192*IF($C192="売",1-$AX$3,1+$AX$3)&lt;=300000,100,500)))))),FLOOR($F192*IF($C192="売",1-$AX$3,1+$AX$3),IF($F192*IF($C192="売",1-$AX$3,1+$AX$3)&lt;=3000,1,IF($F192*IF($C192="売",1-$AX$3,1+$AX$3)&lt;=5000,5,IF($F192*IF($C192="売",1-$AX$3,1+$AX$3)&lt;=30000,10,IF($F192*IF($C192="売",1-$AX$3,1+$AX$3)&lt;=50000,50,IF($F192*IF($C192="売",1-$AX$3,1+$AX$3)&lt;=300000,100,500))))))))</f>
      </c>
      <c r="N192" s="598" t="str">
        <f>IF($F192="","",IF($C192="売",CEILING($F192*IF($C192="売",1+$AX$2,1-$AX$2),IF($F192*IF($C192="売",1+$AX$2,1-$AX$2)&lt;=3000,1,IF($F192*IF($C192="売",1+$AX$2,1-$AX$2)&lt;=5000,5,IF($F192*IF($C192="売",1+$AX$2,1-$AX$2)&lt;=30000,10,IF($F192*IF($C192="売",1+$AX$2,1-$AX$2)&lt;=50000,50,IF($F192*IF($C192="売",1+$AX$2,1-$AX$2)&lt;=300000,100,500)))))),FLOOR($F192*IF($C192="売",1+$AX$2,1-$AX$2),IF($F192*IF($C192="売",1+$AX$2,1-$AX$2)&lt;=3000,1,IF($F192*IF($C192="売",1+$AX$2,1-$AX$2)&lt;=5000,5,IF($F192*IF($C192="売",1+$AX$2,1-$AX$2)&lt;=30000,10,IF($F192*IF($C192="売",1+$AX$2,1-$AX$2)&lt;=50000,50,IF($F192*IF($C192="売",1+$AX$2,1-$AX$2)&lt;=300000,100,500))))))))</f>
      </c>
      <c r="O192" s="478" t="str">
        <f>IF(OR($B192="",$F192="",$H192=""),"",IF($S192="✅売却済","―決済済―",IF($C192="売",IF($H192&lt;=$M192,"🟢利確",IF(AND($R192&lt;&gt;"",$H192&gt;=$R192),"🟠TRAIL決済",IF($H192&gt;=$N192,"🔴損切",IF($W192&gt;=$AX$5,"⏱時間決済",IF($H192&gt;=$F192*(1+$AX$2*0.7),"⚠️損切接近","保持継続"))))),IF($H192&gt;=$M192,"🟢利確",IF(AND($R192&lt;&gt;"",$H192&lt;=$R192),"🟠TRAIL決済",IF($H192&lt;=$N192,"🔴損切",IF($W192&gt;=$AX$5,"⏱時間決済",IF($H192&lt;=$F192*(1-$AX$2*0.7),"⚠️損切接近","保持継続")))))))</f>
      </c>
      <c r="P192" s="445"/>
      <c r="Q192" s="445"/>
      <c r="R192" s="480" t="str">
        <f>IF(OR($F192="",$H192="",$N192=""),"",IF($S192="✅売却済","",IF($C192="売",IF($H192&gt;$F192*(1-$AX$2),$N192,CEILING(MIN($N192,IF($Q192="",$N192,$Q192*1.03)),IF($N192&lt;=3000,1,IF($N192&lt;=5000,5,IF($N192&lt;=30000,10,IF($N192&lt;=50000,50,IF($N192&lt;=300000,100,500))))))),IF($H192&lt;$F192*(1+$AX$2),$N192,FLOOR(MAX($N192,IF($P192="",$N192,$P192*0.97)),IF($N192&lt;=3000,1,IF($N192&lt;=5000,5,IF($N192&lt;=30000,10,IF($N192&lt;=50000,50,IF($N192&lt;=300000,100,500))))))))))</f>
      </c>
      <c r="S192" s="480" t="str">
        <f>IF(B192="","",IF(T192&lt;&gt;"","✅売却済",IF(OR(H192="",L192=""),"📌保有中",IF(L192&gt;=0.06,"🟢利確推奨",IF(L192&gt;=0.05,"🟡利確直近",IF(L192&gt;=0.045,"🔵トレーリング検討",IF(L192&gt;-0.03,"📌保有中",IF(L192&gt;-0.04,"⚠️損切注意","🔴損切り"))))))))</f>
        <v/>
      </c>
      <c r="T192" s="596"/>
      <c r="U192" s="598"/>
      <c r="V192" s="703" t="str">
        <f>IF(OR(F192="",G192="",U192=""),"",IF(C192="売",(F192-U192)*G192,(U192-F192)*G192))</f>
        <v/>
      </c>
      <c r="W192" s="480" t="str">
        <f>IF(OR($E192="",$B192=""),"",IF($T192&lt;&gt;"",$T192-$E192,TODAY()-$E192)+1)</f>
        <v/>
      </c>
      <c r="X192" s="480" t="str">
        <f>IF(OR($AH192="",$AH192="保有中"),"",$AH192)</f>
        <v/>
      </c>
      <c r="Y192" s="488">
        <f>IF($B192="","",IF(COUNTIFS($B$4:$B192,$B192,$C$4:$C192,$C192)&gt;1,"⛔重複"&amp;COUNTIFS($B$4:$B192,$B192,$C$4:$C192,$C192)&amp;"回目",""))</f>
      </c>
      <c r="Z192" s="710"/>
      <c r="AB192">
        <f>IF($F192="","",MAX(100,ROUNDDOWN($AX$4/($F192*$AX$2)/100,0)*100))</f>
      </c>
      <c r="AC192">
        <f>IF(OR($F192="",$G192="",$U192=""),"",ROUND($V192-($F192+$U192)*$G192*$AX$6-IF($C192="売",$F192*$G192*$AX$7*$W192/365,0),0))</f>
      </c>
      <c r="AD192" s="608"/>
      <c r="AE192" s="600" t="str">
        <f>IF($E192="","",WORKDAY($E192,12))</f>
        <v/>
      </c>
      <c r="AF192" s="600"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0"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0" t="str">
        <f>IF(OR($B192="",$M192=""),"",IF(AND(N($AF192)=0,N($AG192)=0),IF(AND(ISNUMBER($H192),$H192&gt;0,IF($C192="売",$H192&gt;=$N192,$H192&lt;=$N192)),"損切確定",IF(AND(ISNUMBER($H192),$H192&gt;0,IF($C192="売",$H192&lt;=$M192,$H192&gt;=$M192)),"利益確定",IF($AE192&lt;=TODAY(),"日数制限","保有中"))),IF(N($AG192)=0,"利益確定",IF(N($AF192)=0,"損切確定",IF($AG192&lt;=$AF192,"損切確定","利益確定")))))</f>
        <v/>
      </c>
      <c r="AI192" s="600" t="str" cm="1">
        <f t="array" ref="AI192">IFERROR(INDEX(始値!$E$6:$BT$305,MATCH(TEXT($B192,"0"),TEXT(銘柄管理!$B$6:$B$305,"0"),0),MATCH($AE192,始値!$E$3:$BT$3,0)),"")</f>
        <v/>
      </c>
      <c r="AJ192" s="608" t="str">
        <f>IF(OR($V192="",$F192="",$G192=""),"",$V192/($F192*$G192))</f>
        <v/>
      </c>
      <c r="AK192" s="600" t="str">
        <f>IF($V192="","",IF($V192&gt;0,"○勝",IF($V192&lt;0,"●負","△引分")))</f>
        <v/>
      </c>
    </row>
    <row r="193" spans="1:37" ht="17.25" customHeight="1">
      <c r="A193" s="621" t="str">
        <f>IF(B193="","",HYPERLINK("https://kabutan.jp/stock/?code="&amp;B193,"株探"))</f>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IF(OR(F193="",G193="",H193=""),"",IF(C193="売",(F193-H193)*G193,(H193-F193)*G193))</f>
        <v/>
      </c>
      <c r="L193" s="708" t="str">
        <f>IF(OR(F193="",H193=""),"",IF(C193="売",(F193-H193)/F193,(H193-F193)/F193))</f>
        <v/>
      </c>
      <c r="M193" s="598" t="str">
        <f>IF($F193="","",IF($C193="売",CEILING($F193*IF($C193="売",1-$AX$3,1+$AX$3),IF($F193*IF($C193="売",1-$AX$3,1+$AX$3)&lt;=3000,1,IF($F193*IF($C193="売",1-$AX$3,1+$AX$3)&lt;=5000,5,IF($F193*IF($C193="売",1-$AX$3,1+$AX$3)&lt;=30000,10,IF($F193*IF($C193="売",1-$AX$3,1+$AX$3)&lt;=50000,50,IF($F193*IF($C193="売",1-$AX$3,1+$AX$3)&lt;=300000,100,500)))))),FLOOR($F193*IF($C193="売",1-$AX$3,1+$AX$3),IF($F193*IF($C193="売",1-$AX$3,1+$AX$3)&lt;=3000,1,IF($F193*IF($C193="売",1-$AX$3,1+$AX$3)&lt;=5000,5,IF($F193*IF($C193="売",1-$AX$3,1+$AX$3)&lt;=30000,10,IF($F193*IF($C193="売",1-$AX$3,1+$AX$3)&lt;=50000,50,IF($F193*IF($C193="売",1-$AX$3,1+$AX$3)&lt;=300000,100,500))))))))</f>
      </c>
      <c r="N193" s="598" t="str">
        <f>IF($F193="","",IF($C193="売",CEILING($F193*IF($C193="売",1+$AX$2,1-$AX$2),IF($F193*IF($C193="売",1+$AX$2,1-$AX$2)&lt;=3000,1,IF($F193*IF($C193="売",1+$AX$2,1-$AX$2)&lt;=5000,5,IF($F193*IF($C193="売",1+$AX$2,1-$AX$2)&lt;=30000,10,IF($F193*IF($C193="売",1+$AX$2,1-$AX$2)&lt;=50000,50,IF($F193*IF($C193="売",1+$AX$2,1-$AX$2)&lt;=300000,100,500)))))),FLOOR($F193*IF($C193="売",1+$AX$2,1-$AX$2),IF($F193*IF($C193="売",1+$AX$2,1-$AX$2)&lt;=3000,1,IF($F193*IF($C193="売",1+$AX$2,1-$AX$2)&lt;=5000,5,IF($F193*IF($C193="売",1+$AX$2,1-$AX$2)&lt;=30000,10,IF($F193*IF($C193="売",1+$AX$2,1-$AX$2)&lt;=50000,50,IF($F193*IF($C193="売",1+$AX$2,1-$AX$2)&lt;=300000,100,500))))))))</f>
      </c>
      <c r="O193" s="478" t="str">
        <f>IF(OR($B193="",$F193="",$H193=""),"",IF($S193="✅売却済","―決済済―",IF($C193="売",IF($H193&lt;=$M193,"🟢利確",IF(AND($R193&lt;&gt;"",$H193&gt;=$R193),"🟠TRAIL決済",IF($H193&gt;=$N193,"🔴損切",IF($W193&gt;=$AX$5,"⏱時間決済",IF($H193&gt;=$F193*(1+$AX$2*0.7),"⚠️損切接近","保持継続"))))),IF($H193&gt;=$M193,"🟢利確",IF(AND($R193&lt;&gt;"",$H193&lt;=$R193),"🟠TRAIL決済",IF($H193&lt;=$N193,"🔴損切",IF($W193&gt;=$AX$5,"⏱時間決済",IF($H193&lt;=$F193*(1-$AX$2*0.7),"⚠️損切接近","保持継続")))))))</f>
      </c>
      <c r="P193" s="445"/>
      <c r="Q193" s="445"/>
      <c r="R193" s="480" t="str">
        <f>IF(OR($F193="",$H193="",$N193=""),"",IF($S193="✅売却済","",IF($C193="売",IF($H193&gt;$F193*(1-$AX$2),$N193,CEILING(MIN($N193,IF($Q193="",$N193,$Q193*1.03)),IF($N193&lt;=3000,1,IF($N193&lt;=5000,5,IF($N193&lt;=30000,10,IF($N193&lt;=50000,50,IF($N193&lt;=300000,100,500))))))),IF($H193&lt;$F193*(1+$AX$2),$N193,FLOOR(MAX($N193,IF($P193="",$N193,$P193*0.97)),IF($N193&lt;=3000,1,IF($N193&lt;=5000,5,IF($N193&lt;=30000,10,IF($N193&lt;=50000,50,IF($N193&lt;=300000,100,500))))))))))</f>
      </c>
      <c r="S193" s="480" t="str">
        <f>IF(B193="","",IF(T193&lt;&gt;"","✅売却済",IF(OR(H193="",L193=""),"📌保有中",IF(L193&gt;=0.06,"🟢利確推奨",IF(L193&gt;=0.05,"🟡利確直近",IF(L193&gt;=0.045,"🔵トレーリング検討",IF(L193&gt;-0.03,"📌保有中",IF(L193&gt;-0.04,"⚠️損切注意","🔴損切り"))))))))</f>
        <v/>
      </c>
      <c r="T193" s="596"/>
      <c r="U193" s="598"/>
      <c r="V193" s="703" t="str">
        <f>IF(OR(F193="",G193="",U193=""),"",IF(C193="売",(F193-U193)*G193,(U193-F193)*G193))</f>
        <v/>
      </c>
      <c r="W193" s="480" t="str">
        <f>IF(OR($E193="",$B193=""),"",IF($T193&lt;&gt;"",$T193-$E193,TODAY()-$E193)+1)</f>
        <v/>
      </c>
      <c r="X193" s="480" t="str">
        <f>IF(OR($AH193="",$AH193="保有中"),"",$AH193)</f>
        <v/>
      </c>
      <c r="Y193" s="488">
        <f>IF($B193="","",IF(COUNTIFS($B$4:$B193,$B193,$C$4:$C193,$C193)&gt;1,"⛔重複"&amp;COUNTIFS($B$4:$B193,$B193,$C$4:$C193,$C193)&amp;"回目",""))</f>
      </c>
      <c r="Z193" s="710"/>
      <c r="AB193">
        <f>IF($F193="","",MAX(100,ROUNDDOWN($AX$4/($F193*$AX$2)/100,0)*100))</f>
      </c>
      <c r="AC193">
        <f>IF(OR($F193="",$G193="",$U193=""),"",ROUND($V193-($F193+$U193)*$G193*$AX$6-IF($C193="売",$F193*$G193*$AX$7*$W193/365,0),0))</f>
      </c>
      <c r="AD193" s="608"/>
      <c r="AE193" s="600" t="str">
        <f>IF($E193="","",WORKDAY($E193,12))</f>
        <v/>
      </c>
      <c r="AF193" s="600"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0"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0" t="str">
        <f>IF(OR($B193="",$M193=""),"",IF(AND(N($AF193)=0,N($AG193)=0),IF(AND(ISNUMBER($H193),$H193&gt;0,IF($C193="売",$H193&gt;=$N193,$H193&lt;=$N193)),"損切確定",IF(AND(ISNUMBER($H193),$H193&gt;0,IF($C193="売",$H193&lt;=$M193,$H193&gt;=$M193)),"利益確定",IF($AE193&lt;=TODAY(),"日数制限","保有中"))),IF(N($AG193)=0,"利益確定",IF(N($AF193)=0,"損切確定",IF($AG193&lt;=$AF193,"損切確定","利益確定")))))</f>
        <v/>
      </c>
      <c r="AI193" s="600" t="str" cm="1">
        <f t="array" ref="AI193">IFERROR(INDEX(始値!$E$6:$BT$305,MATCH(TEXT($B193,"0"),TEXT(銘柄管理!$B$6:$B$305,"0"),0),MATCH($AE193,始値!$E$3:$BT$3,0)),"")</f>
        <v/>
      </c>
      <c r="AJ193" s="608" t="str">
        <f>IF(OR($V193="",$F193="",$G193=""),"",$V193/($F193*$G193))</f>
        <v/>
      </c>
      <c r="AK193" s="600" t="str">
        <f>IF($V193="","",IF($V193&gt;0,"○勝",IF($V193&lt;0,"●負","△引分")))</f>
        <v/>
      </c>
    </row>
    <row r="194" spans="1:37" ht="17.25" customHeight="1">
      <c r="A194" s="621" t="str">
        <f>IF(B194="","",HYPERLINK("https://kabutan.jp/stock/?code="&amp;B194,"株探"))</f>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IF(OR(F194="",G194="",H194=""),"",IF(C194="売",(F194-H194)*G194,(H194-F194)*G194))</f>
        <v/>
      </c>
      <c r="L194" s="708" t="str">
        <f>IF(OR(F194="",H194=""),"",IF(C194="売",(F194-H194)/F194,(H194-F194)/F194))</f>
        <v/>
      </c>
      <c r="M194" s="598" t="str">
        <f>IF($F194="","",IF($C194="売",CEILING($F194*IF($C194="売",1-$AX$3,1+$AX$3),IF($F194*IF($C194="売",1-$AX$3,1+$AX$3)&lt;=3000,1,IF($F194*IF($C194="売",1-$AX$3,1+$AX$3)&lt;=5000,5,IF($F194*IF($C194="売",1-$AX$3,1+$AX$3)&lt;=30000,10,IF($F194*IF($C194="売",1-$AX$3,1+$AX$3)&lt;=50000,50,IF($F194*IF($C194="売",1-$AX$3,1+$AX$3)&lt;=300000,100,500)))))),FLOOR($F194*IF($C194="売",1-$AX$3,1+$AX$3),IF($F194*IF($C194="売",1-$AX$3,1+$AX$3)&lt;=3000,1,IF($F194*IF($C194="売",1-$AX$3,1+$AX$3)&lt;=5000,5,IF($F194*IF($C194="売",1-$AX$3,1+$AX$3)&lt;=30000,10,IF($F194*IF($C194="売",1-$AX$3,1+$AX$3)&lt;=50000,50,IF($F194*IF($C194="売",1-$AX$3,1+$AX$3)&lt;=300000,100,500))))))))</f>
      </c>
      <c r="N194" s="598" t="str">
        <f>IF($F194="","",IF($C194="売",CEILING($F194*IF($C194="売",1+$AX$2,1-$AX$2),IF($F194*IF($C194="売",1+$AX$2,1-$AX$2)&lt;=3000,1,IF($F194*IF($C194="売",1+$AX$2,1-$AX$2)&lt;=5000,5,IF($F194*IF($C194="売",1+$AX$2,1-$AX$2)&lt;=30000,10,IF($F194*IF($C194="売",1+$AX$2,1-$AX$2)&lt;=50000,50,IF($F194*IF($C194="売",1+$AX$2,1-$AX$2)&lt;=300000,100,500)))))),FLOOR($F194*IF($C194="売",1+$AX$2,1-$AX$2),IF($F194*IF($C194="売",1+$AX$2,1-$AX$2)&lt;=3000,1,IF($F194*IF($C194="売",1+$AX$2,1-$AX$2)&lt;=5000,5,IF($F194*IF($C194="売",1+$AX$2,1-$AX$2)&lt;=30000,10,IF($F194*IF($C194="売",1+$AX$2,1-$AX$2)&lt;=50000,50,IF($F194*IF($C194="売",1+$AX$2,1-$AX$2)&lt;=300000,100,500))))))))</f>
      </c>
      <c r="O194" s="478" t="str">
        <f>IF(OR($B194="",$F194="",$H194=""),"",IF($S194="✅売却済","―決済済―",IF($C194="売",IF($H194&lt;=$M194,"🟢利確",IF(AND($R194&lt;&gt;"",$H194&gt;=$R194),"🟠TRAIL決済",IF($H194&gt;=$N194,"🔴損切",IF($W194&gt;=$AX$5,"⏱時間決済",IF($H194&gt;=$F194*(1+$AX$2*0.7),"⚠️損切接近","保持継続"))))),IF($H194&gt;=$M194,"🟢利確",IF(AND($R194&lt;&gt;"",$H194&lt;=$R194),"🟠TRAIL決済",IF($H194&lt;=$N194,"🔴損切",IF($W194&gt;=$AX$5,"⏱時間決済",IF($H194&lt;=$F194*(1-$AX$2*0.7),"⚠️損切接近","保持継続")))))))</f>
      </c>
      <c r="P194" s="445"/>
      <c r="Q194" s="445"/>
      <c r="R194" s="480" t="str">
        <f>IF(OR($F194="",$H194="",$N194=""),"",IF($S194="✅売却済","",IF($C194="売",IF($H194&gt;$F194*(1-$AX$2),$N194,CEILING(MIN($N194,IF($Q194="",$N194,$Q194*1.03)),IF($N194&lt;=3000,1,IF($N194&lt;=5000,5,IF($N194&lt;=30000,10,IF($N194&lt;=50000,50,IF($N194&lt;=300000,100,500))))))),IF($H194&lt;$F194*(1+$AX$2),$N194,FLOOR(MAX($N194,IF($P194="",$N194,$P194*0.97)),IF($N194&lt;=3000,1,IF($N194&lt;=5000,5,IF($N194&lt;=30000,10,IF($N194&lt;=50000,50,IF($N194&lt;=300000,100,500))))))))))</f>
      </c>
      <c r="S194" s="480" t="str">
        <f>IF(B194="","",IF(T194&lt;&gt;"","✅売却済",IF(OR(H194="",L194=""),"📌保有中",IF(L194&gt;=0.06,"🟢利確推奨",IF(L194&gt;=0.05,"🟡利確直近",IF(L194&gt;=0.045,"🔵トレーリング検討",IF(L194&gt;-0.03,"📌保有中",IF(L194&gt;-0.04,"⚠️損切注意","🔴損切り"))))))))</f>
        <v/>
      </c>
      <c r="T194" s="596"/>
      <c r="U194" s="598"/>
      <c r="V194" s="703" t="str">
        <f>IF(OR(F194="",G194="",U194=""),"",IF(C194="売",(F194-U194)*G194,(U194-F194)*G194))</f>
        <v/>
      </c>
      <c r="W194" s="480" t="str">
        <f>IF(OR($E194="",$B194=""),"",IF($T194&lt;&gt;"",$T194-$E194,TODAY()-$E194)+1)</f>
        <v/>
      </c>
      <c r="X194" s="480" t="str">
        <f>IF(OR($AH194="",$AH194="保有中"),"",$AH194)</f>
        <v/>
      </c>
      <c r="Y194" s="488">
        <f>IF($B194="","",IF(COUNTIFS($B$4:$B194,$B194,$C$4:$C194,$C194)&gt;1,"⛔重複"&amp;COUNTIFS($B$4:$B194,$B194,$C$4:$C194,$C194)&amp;"回目",""))</f>
      </c>
      <c r="Z194" s="710"/>
      <c r="AB194">
        <f>IF($F194="","",MAX(100,ROUNDDOWN($AX$4/($F194*$AX$2)/100,0)*100))</f>
      </c>
      <c r="AC194">
        <f>IF(OR($F194="",$G194="",$U194=""),"",ROUND($V194-($F194+$U194)*$G194*$AX$6-IF($C194="売",$F194*$G194*$AX$7*$W194/365,0),0))</f>
      </c>
      <c r="AD194" s="608"/>
      <c r="AE194" s="600" t="str">
        <f>IF($E194="","",WORKDAY($E194,12))</f>
        <v/>
      </c>
      <c r="AF194" s="600"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0"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0" t="str">
        <f>IF(OR($B194="",$M194=""),"",IF(AND(N($AF194)=0,N($AG194)=0),IF(AND(ISNUMBER($H194),$H194&gt;0,IF($C194="売",$H194&gt;=$N194,$H194&lt;=$N194)),"損切確定",IF(AND(ISNUMBER($H194),$H194&gt;0,IF($C194="売",$H194&lt;=$M194,$H194&gt;=$M194)),"利益確定",IF($AE194&lt;=TODAY(),"日数制限","保有中"))),IF(N($AG194)=0,"利益確定",IF(N($AF194)=0,"損切確定",IF($AG194&lt;=$AF194,"損切確定","利益確定")))))</f>
        <v/>
      </c>
      <c r="AI194" s="600" t="str" cm="1">
        <f t="array" ref="AI194">IFERROR(INDEX(始値!$E$6:$BT$305,MATCH(TEXT($B194,"0"),TEXT(銘柄管理!$B$6:$B$305,"0"),0),MATCH($AE194,始値!$E$3:$BT$3,0)),"")</f>
        <v/>
      </c>
      <c r="AJ194" s="608" t="str">
        <f>IF(OR($V194="",$F194="",$G194=""),"",$V194/($F194*$G194))</f>
        <v/>
      </c>
      <c r="AK194" s="600" t="str">
        <f>IF($V194="","",IF($V194&gt;0,"○勝",IF($V194&lt;0,"●負","△引分")))</f>
        <v/>
      </c>
    </row>
    <row r="195" spans="1:37" ht="17.25" customHeight="1">
      <c r="A195" s="621" t="str">
        <f>IF(B195="","",HYPERLINK("https://kabutan.jp/stock/?code="&amp;B195,"株探"))</f>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IF(OR(F195="",G195="",H195=""),"",IF(C195="売",(F195-H195)*G195,(H195-F195)*G195))</f>
        <v/>
      </c>
      <c r="L195" s="708" t="str">
        <f>IF(OR(F195="",H195=""),"",IF(C195="売",(F195-H195)/F195,(H195-F195)/F195))</f>
        <v/>
      </c>
      <c r="M195" s="598" t="str">
        <f>IF($F195="","",IF($C195="売",CEILING($F195*IF($C195="売",1-$AX$3,1+$AX$3),IF($F195*IF($C195="売",1-$AX$3,1+$AX$3)&lt;=3000,1,IF($F195*IF($C195="売",1-$AX$3,1+$AX$3)&lt;=5000,5,IF($F195*IF($C195="売",1-$AX$3,1+$AX$3)&lt;=30000,10,IF($F195*IF($C195="売",1-$AX$3,1+$AX$3)&lt;=50000,50,IF($F195*IF($C195="売",1-$AX$3,1+$AX$3)&lt;=300000,100,500)))))),FLOOR($F195*IF($C195="売",1-$AX$3,1+$AX$3),IF($F195*IF($C195="売",1-$AX$3,1+$AX$3)&lt;=3000,1,IF($F195*IF($C195="売",1-$AX$3,1+$AX$3)&lt;=5000,5,IF($F195*IF($C195="売",1-$AX$3,1+$AX$3)&lt;=30000,10,IF($F195*IF($C195="売",1-$AX$3,1+$AX$3)&lt;=50000,50,IF($F195*IF($C195="売",1-$AX$3,1+$AX$3)&lt;=300000,100,500))))))))</f>
      </c>
      <c r="N195" s="598" t="str">
        <f>IF($F195="","",IF($C195="売",CEILING($F195*IF($C195="売",1+$AX$2,1-$AX$2),IF($F195*IF($C195="売",1+$AX$2,1-$AX$2)&lt;=3000,1,IF($F195*IF($C195="売",1+$AX$2,1-$AX$2)&lt;=5000,5,IF($F195*IF($C195="売",1+$AX$2,1-$AX$2)&lt;=30000,10,IF($F195*IF($C195="売",1+$AX$2,1-$AX$2)&lt;=50000,50,IF($F195*IF($C195="売",1+$AX$2,1-$AX$2)&lt;=300000,100,500)))))),FLOOR($F195*IF($C195="売",1+$AX$2,1-$AX$2),IF($F195*IF($C195="売",1+$AX$2,1-$AX$2)&lt;=3000,1,IF($F195*IF($C195="売",1+$AX$2,1-$AX$2)&lt;=5000,5,IF($F195*IF($C195="売",1+$AX$2,1-$AX$2)&lt;=30000,10,IF($F195*IF($C195="売",1+$AX$2,1-$AX$2)&lt;=50000,50,IF($F195*IF($C195="売",1+$AX$2,1-$AX$2)&lt;=300000,100,500))))))))</f>
      </c>
      <c r="O195" s="478" t="str">
        <f>IF(OR($B195="",$F195="",$H195=""),"",IF($S195="✅売却済","―決済済―",IF($C195="売",IF($H195&lt;=$M195,"🟢利確",IF(AND($R195&lt;&gt;"",$H195&gt;=$R195),"🟠TRAIL決済",IF($H195&gt;=$N195,"🔴損切",IF($W195&gt;=$AX$5,"⏱時間決済",IF($H195&gt;=$F195*(1+$AX$2*0.7),"⚠️損切接近","保持継続"))))),IF($H195&gt;=$M195,"🟢利確",IF(AND($R195&lt;&gt;"",$H195&lt;=$R195),"🟠TRAIL決済",IF($H195&lt;=$N195,"🔴損切",IF($W195&gt;=$AX$5,"⏱時間決済",IF($H195&lt;=$F195*(1-$AX$2*0.7),"⚠️損切接近","保持継続")))))))</f>
      </c>
      <c r="P195" s="445"/>
      <c r="Q195" s="445"/>
      <c r="R195" s="480" t="str">
        <f>IF(OR($F195="",$H195="",$N195=""),"",IF($S195="✅売却済","",IF($C195="売",IF($H195&gt;$F195*(1-$AX$2),$N195,CEILING(MIN($N195,IF($Q195="",$N195,$Q195*1.03)),IF($N195&lt;=3000,1,IF($N195&lt;=5000,5,IF($N195&lt;=30000,10,IF($N195&lt;=50000,50,IF($N195&lt;=300000,100,500))))))),IF($H195&lt;$F195*(1+$AX$2),$N195,FLOOR(MAX($N195,IF($P195="",$N195,$P195*0.97)),IF($N195&lt;=3000,1,IF($N195&lt;=5000,5,IF($N195&lt;=30000,10,IF($N195&lt;=50000,50,IF($N195&lt;=300000,100,500))))))))))</f>
      </c>
      <c r="S195" s="480" t="str">
        <f>IF(B195="","",IF(T195&lt;&gt;"","✅売却済",IF(OR(H195="",L195=""),"📌保有中",IF(L195&gt;=0.06,"🟢利確推奨",IF(L195&gt;=0.05,"🟡利確直近",IF(L195&gt;=0.045,"🔵トレーリング検討",IF(L195&gt;-0.03,"📌保有中",IF(L195&gt;-0.04,"⚠️損切注意","🔴損切り"))))))))</f>
        <v/>
      </c>
      <c r="T195" s="596"/>
      <c r="U195" s="598"/>
      <c r="V195" s="703" t="str">
        <f>IF(OR(F195="",G195="",U195=""),"",IF(C195="売",(F195-U195)*G195,(U195-F195)*G195))</f>
        <v/>
      </c>
      <c r="W195" s="480" t="str">
        <f>IF(OR($E195="",$B195=""),"",IF($T195&lt;&gt;"",$T195-$E195,TODAY()-$E195)+1)</f>
        <v/>
      </c>
      <c r="X195" s="480" t="str">
        <f>IF(OR($AH195="",$AH195="保有中"),"",$AH195)</f>
        <v/>
      </c>
      <c r="Y195" s="488">
        <f>IF($B195="","",IF(COUNTIFS($B$4:$B195,$B195,$C$4:$C195,$C195)&gt;1,"⛔重複"&amp;COUNTIFS($B$4:$B195,$B195,$C$4:$C195,$C195)&amp;"回目",""))</f>
      </c>
      <c r="Z195" s="710"/>
      <c r="AB195">
        <f>IF($F195="","",MAX(100,ROUNDDOWN($AX$4/($F195*$AX$2)/100,0)*100))</f>
      </c>
      <c r="AC195">
        <f>IF(OR($F195="",$G195="",$U195=""),"",ROUND($V195-($F195+$U195)*$G195*$AX$6-IF($C195="売",$F195*$G195*$AX$7*$W195/365,0),0))</f>
      </c>
      <c r="AD195" s="608"/>
      <c r="AE195" s="600" t="str">
        <f>IF($E195="","",WORKDAY($E195,12))</f>
        <v/>
      </c>
      <c r="AF195" s="600"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0"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0" t="str">
        <f>IF(OR($B195="",$M195=""),"",IF(AND(N($AF195)=0,N($AG195)=0),IF(AND(ISNUMBER($H195),$H195&gt;0,IF($C195="売",$H195&gt;=$N195,$H195&lt;=$N195)),"損切確定",IF(AND(ISNUMBER($H195),$H195&gt;0,IF($C195="売",$H195&lt;=$M195,$H195&gt;=$M195)),"利益確定",IF($AE195&lt;=TODAY(),"日数制限","保有中"))),IF(N($AG195)=0,"利益確定",IF(N($AF195)=0,"損切確定",IF($AG195&lt;=$AF195,"損切確定","利益確定")))))</f>
        <v/>
      </c>
      <c r="AI195" s="600" t="str" cm="1">
        <f t="array" ref="AI195">IFERROR(INDEX(始値!$E$6:$BT$305,MATCH(TEXT($B195,"0"),TEXT(銘柄管理!$B$6:$B$305,"0"),0),MATCH($AE195,始値!$E$3:$BT$3,0)),"")</f>
        <v/>
      </c>
      <c r="AJ195" s="608" t="str">
        <f>IF(OR($V195="",$F195="",$G195=""),"",$V195/($F195*$G195))</f>
        <v/>
      </c>
      <c r="AK195" s="600" t="str">
        <f>IF($V195="","",IF($V195&gt;0,"○勝",IF($V195&lt;0,"●負","△引分")))</f>
        <v/>
      </c>
    </row>
    <row r="196" spans="1:37" ht="17.25" customHeight="1">
      <c r="A196" s="621" t="str">
        <f>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IF(OR(F196="",G196="",H196=""),"",IF(C196="売",(F196-H196)*G196,(H196-F196)*G196))</f>
        <v/>
      </c>
      <c r="L196" s="708" t="str">
        <f>IF(OR(F196="",H196=""),"",IF(C196="売",(F196-H196)/F196,(H196-F196)/F196))</f>
        <v/>
      </c>
      <c r="M196" s="598" t="str">
        <f>IF($F196="","",IF($C196="売",CEILING($F196*IF($C196="売",1-$AX$3,1+$AX$3),IF($F196*IF($C196="売",1-$AX$3,1+$AX$3)&lt;=3000,1,IF($F196*IF($C196="売",1-$AX$3,1+$AX$3)&lt;=5000,5,IF($F196*IF($C196="売",1-$AX$3,1+$AX$3)&lt;=30000,10,IF($F196*IF($C196="売",1-$AX$3,1+$AX$3)&lt;=50000,50,IF($F196*IF($C196="売",1-$AX$3,1+$AX$3)&lt;=300000,100,500)))))),FLOOR($F196*IF($C196="売",1-$AX$3,1+$AX$3),IF($F196*IF($C196="売",1-$AX$3,1+$AX$3)&lt;=3000,1,IF($F196*IF($C196="売",1-$AX$3,1+$AX$3)&lt;=5000,5,IF($F196*IF($C196="売",1-$AX$3,1+$AX$3)&lt;=30000,10,IF($F196*IF($C196="売",1-$AX$3,1+$AX$3)&lt;=50000,50,IF($F196*IF($C196="売",1-$AX$3,1+$AX$3)&lt;=300000,100,500))))))))</f>
      </c>
      <c r="N196" s="598" t="str">
        <f>IF($F196="","",IF($C196="売",CEILING($F196*IF($C196="売",1+$AX$2,1-$AX$2),IF($F196*IF($C196="売",1+$AX$2,1-$AX$2)&lt;=3000,1,IF($F196*IF($C196="売",1+$AX$2,1-$AX$2)&lt;=5000,5,IF($F196*IF($C196="売",1+$AX$2,1-$AX$2)&lt;=30000,10,IF($F196*IF($C196="売",1+$AX$2,1-$AX$2)&lt;=50000,50,IF($F196*IF($C196="売",1+$AX$2,1-$AX$2)&lt;=300000,100,500)))))),FLOOR($F196*IF($C196="売",1+$AX$2,1-$AX$2),IF($F196*IF($C196="売",1+$AX$2,1-$AX$2)&lt;=3000,1,IF($F196*IF($C196="売",1+$AX$2,1-$AX$2)&lt;=5000,5,IF($F196*IF($C196="売",1+$AX$2,1-$AX$2)&lt;=30000,10,IF($F196*IF($C196="売",1+$AX$2,1-$AX$2)&lt;=50000,50,IF($F196*IF($C196="売",1+$AX$2,1-$AX$2)&lt;=300000,100,500))))))))</f>
      </c>
      <c r="O196" s="478" t="str">
        <f>IF(OR($B196="",$F196="",$H196=""),"",IF($S196="✅売却済","―決済済―",IF($C196="売",IF($H196&lt;=$M196,"🟢利確",IF(AND($R196&lt;&gt;"",$H196&gt;=$R196),"🟠TRAIL決済",IF($H196&gt;=$N196,"🔴損切",IF($W196&gt;=$AX$5,"⏱時間決済",IF($H196&gt;=$F196*(1+$AX$2*0.7),"⚠️損切接近","保持継続"))))),IF($H196&gt;=$M196,"🟢利確",IF(AND($R196&lt;&gt;"",$H196&lt;=$R196),"🟠TRAIL決済",IF($H196&lt;=$N196,"🔴損切",IF($W196&gt;=$AX$5,"⏱時間決済",IF($H196&lt;=$F196*(1-$AX$2*0.7),"⚠️損切接近","保持継続")))))))</f>
      </c>
      <c r="P196" s="445"/>
      <c r="Q196" s="445"/>
      <c r="R196" s="480" t="str">
        <f>IF(OR($F196="",$H196="",$N196=""),"",IF($S196="✅売却済","",IF($C196="売",IF($H196&gt;$F196*(1-$AX$2),$N196,CEILING(MIN($N196,IF($Q196="",$N196,$Q196*1.03)),IF($N196&lt;=3000,1,IF($N196&lt;=5000,5,IF($N196&lt;=30000,10,IF($N196&lt;=50000,50,IF($N196&lt;=300000,100,500))))))),IF($H196&lt;$F196*(1+$AX$2),$N196,FLOOR(MAX($N196,IF($P196="",$N196,$P196*0.97)),IF($N196&lt;=3000,1,IF($N196&lt;=5000,5,IF($N196&lt;=30000,10,IF($N196&lt;=50000,50,IF($N196&lt;=300000,100,500))))))))))</f>
      </c>
      <c r="S196" s="480" t="str">
        <f>IF(B196="","",IF(T196&lt;&gt;"","✅売却済",IF(OR(H196="",L196=""),"📌保有中",IF(L196&gt;=0.06,"🟢利確推奨",IF(L196&gt;=0.05,"🟡利確直近",IF(L196&gt;=0.045,"🔵トレーリング検討",IF(L196&gt;-0.03,"📌保有中",IF(L196&gt;-0.04,"⚠️損切注意","🔴損切り"))))))))</f>
        <v/>
      </c>
      <c r="T196" s="596"/>
      <c r="U196" s="598"/>
      <c r="V196" s="703" t="str">
        <f>IF(OR(F196="",G196="",U196=""),"",IF(C196="売",(F196-U196)*G196,(U196-F196)*G196))</f>
        <v/>
      </c>
      <c r="W196" s="480" t="str">
        <f>IF(OR($E196="",$B196=""),"",IF($T196&lt;&gt;"",$T196-$E196,TODAY()-$E196)+1)</f>
        <v/>
      </c>
      <c r="X196" s="480" t="str">
        <f>IF(OR($AH196="",$AH196="保有中"),"",$AH196)</f>
        <v/>
      </c>
      <c r="Y196" s="488">
        <f>IF($B196="","",IF(COUNTIFS($B$4:$B196,$B196,$C$4:$C196,$C196)&gt;1,"⛔重複"&amp;COUNTIFS($B$4:$B196,$B196,$C$4:$C196,$C196)&amp;"回目",""))</f>
      </c>
      <c r="Z196" s="710"/>
      <c r="AB196">
        <f>IF($F196="","",MAX(100,ROUNDDOWN($AX$4/($F196*$AX$2)/100,0)*100))</f>
      </c>
      <c r="AC196">
        <f>IF(OR($F196="",$G196="",$U196=""),"",ROUND($V196-($F196+$U196)*$G196*$AX$6-IF($C196="売",$F196*$G196*$AX$7*$W196/365,0),0))</f>
      </c>
      <c r="AD196" s="608"/>
      <c r="AE196" s="600" t="str">
        <f>IF($E196="","",WORKDAY($E196,12))</f>
        <v/>
      </c>
      <c r="AF196" s="600"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0"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0" t="str">
        <f>IF(OR($B196="",$M196=""),"",IF(AND(N($AF196)=0,N($AG196)=0),IF(AND(ISNUMBER($H196),$H196&gt;0,IF($C196="売",$H196&gt;=$N196,$H196&lt;=$N196)),"損切確定",IF(AND(ISNUMBER($H196),$H196&gt;0,IF($C196="売",$H196&lt;=$M196,$H196&gt;=$M196)),"利益確定",IF($AE196&lt;=TODAY(),"日数制限","保有中"))),IF(N($AG196)=0,"利益確定",IF(N($AF196)=0,"損切確定",IF($AG196&lt;=$AF196,"損切確定","利益確定")))))</f>
        <v/>
      </c>
      <c r="AI196" s="600" t="str" cm="1">
        <f t="array" ref="AI196">IFERROR(INDEX(始値!$E$6:$BT$305,MATCH(TEXT($B196,"0"),TEXT(銘柄管理!$B$6:$B$305,"0"),0),MATCH($AE196,始値!$E$3:$BT$3,0)),"")</f>
        <v/>
      </c>
      <c r="AJ196" s="608" t="str">
        <f>IF(OR($V196="",$F196="",$G196=""),"",$V196/($F196*$G196))</f>
        <v/>
      </c>
      <c r="AK196" s="600" t="str">
        <f>IF($V196="","",IF($V196&gt;0,"○勝",IF($V196&lt;0,"●負","△引分")))</f>
        <v/>
      </c>
    </row>
    <row r="197" spans="1:37" ht="17.25" customHeight="1">
      <c r="A197" s="621" t="str">
        <f>IF(B197="","",HYPERLINK("https://kabutan.jp/stock/?code="&amp;B197,"株探"))</f>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IF(OR(F197="",G197="",H197=""),"",IF(C197="売",(F197-H197)*G197,(H197-F197)*G197))</f>
        <v/>
      </c>
      <c r="L197" s="708" t="str">
        <f>IF(OR(F197="",H197=""),"",IF(C197="売",(F197-H197)/F197,(H197-F197)/F197))</f>
        <v/>
      </c>
      <c r="M197" s="598" t="str">
        <f>IF($F197="","",IF($C197="売",CEILING($F197*IF($C197="売",1-$AX$3,1+$AX$3),IF($F197*IF($C197="売",1-$AX$3,1+$AX$3)&lt;=3000,1,IF($F197*IF($C197="売",1-$AX$3,1+$AX$3)&lt;=5000,5,IF($F197*IF($C197="売",1-$AX$3,1+$AX$3)&lt;=30000,10,IF($F197*IF($C197="売",1-$AX$3,1+$AX$3)&lt;=50000,50,IF($F197*IF($C197="売",1-$AX$3,1+$AX$3)&lt;=300000,100,500)))))),FLOOR($F197*IF($C197="売",1-$AX$3,1+$AX$3),IF($F197*IF($C197="売",1-$AX$3,1+$AX$3)&lt;=3000,1,IF($F197*IF($C197="売",1-$AX$3,1+$AX$3)&lt;=5000,5,IF($F197*IF($C197="売",1-$AX$3,1+$AX$3)&lt;=30000,10,IF($F197*IF($C197="売",1-$AX$3,1+$AX$3)&lt;=50000,50,IF($F197*IF($C197="売",1-$AX$3,1+$AX$3)&lt;=300000,100,500))))))))</f>
      </c>
      <c r="N197" s="598" t="str">
        <f>IF($F197="","",IF($C197="売",CEILING($F197*IF($C197="売",1+$AX$2,1-$AX$2),IF($F197*IF($C197="売",1+$AX$2,1-$AX$2)&lt;=3000,1,IF($F197*IF($C197="売",1+$AX$2,1-$AX$2)&lt;=5000,5,IF($F197*IF($C197="売",1+$AX$2,1-$AX$2)&lt;=30000,10,IF($F197*IF($C197="売",1+$AX$2,1-$AX$2)&lt;=50000,50,IF($F197*IF($C197="売",1+$AX$2,1-$AX$2)&lt;=300000,100,500)))))),FLOOR($F197*IF($C197="売",1+$AX$2,1-$AX$2),IF($F197*IF($C197="売",1+$AX$2,1-$AX$2)&lt;=3000,1,IF($F197*IF($C197="売",1+$AX$2,1-$AX$2)&lt;=5000,5,IF($F197*IF($C197="売",1+$AX$2,1-$AX$2)&lt;=30000,10,IF($F197*IF($C197="売",1+$AX$2,1-$AX$2)&lt;=50000,50,IF($F197*IF($C197="売",1+$AX$2,1-$AX$2)&lt;=300000,100,500))))))))</f>
      </c>
      <c r="O197" s="478" t="str">
        <f>IF(OR($B197="",$F197="",$H197=""),"",IF($S197="✅売却済","―決済済―",IF($C197="売",IF($H197&lt;=$M197,"🟢利確",IF(AND($R197&lt;&gt;"",$H197&gt;=$R197),"🟠TRAIL決済",IF($H197&gt;=$N197,"🔴損切",IF($W197&gt;=$AX$5,"⏱時間決済",IF($H197&gt;=$F197*(1+$AX$2*0.7),"⚠️損切接近","保持継続"))))),IF($H197&gt;=$M197,"🟢利確",IF(AND($R197&lt;&gt;"",$H197&lt;=$R197),"🟠TRAIL決済",IF($H197&lt;=$N197,"🔴損切",IF($W197&gt;=$AX$5,"⏱時間決済",IF($H197&lt;=$F197*(1-$AX$2*0.7),"⚠️損切接近","保持継続")))))))</f>
      </c>
      <c r="P197" s="445"/>
      <c r="Q197" s="445"/>
      <c r="R197" s="480" t="str">
        <f>IF(OR($F197="",$H197="",$N197=""),"",IF($S197="✅売却済","",IF($C197="売",IF($H197&gt;$F197*(1-$AX$2),$N197,CEILING(MIN($N197,IF($Q197="",$N197,$Q197*1.03)),IF($N197&lt;=3000,1,IF($N197&lt;=5000,5,IF($N197&lt;=30000,10,IF($N197&lt;=50000,50,IF($N197&lt;=300000,100,500))))))),IF($H197&lt;$F197*(1+$AX$2),$N197,FLOOR(MAX($N197,IF($P197="",$N197,$P197*0.97)),IF($N197&lt;=3000,1,IF($N197&lt;=5000,5,IF($N197&lt;=30000,10,IF($N197&lt;=50000,50,IF($N197&lt;=300000,100,500))))))))))</f>
      </c>
      <c r="S197" s="480" t="str">
        <f>IF(B197="","",IF(T197&lt;&gt;"","✅売却済",IF(OR(H197="",L197=""),"📌保有中",IF(L197&gt;=0.06,"🟢利確推奨",IF(L197&gt;=0.05,"🟡利確直近",IF(L197&gt;=0.045,"🔵トレーリング検討",IF(L197&gt;-0.03,"📌保有中",IF(L197&gt;-0.04,"⚠️損切注意","🔴損切り"))))))))</f>
        <v/>
      </c>
      <c r="T197" s="596"/>
      <c r="U197" s="598"/>
      <c r="V197" s="703" t="str">
        <f>IF(OR(F197="",G197="",U197=""),"",IF(C197="売",(F197-U197)*G197,(U197-F197)*G197))</f>
        <v/>
      </c>
      <c r="W197" s="480" t="str">
        <f>IF(OR($E197="",$B197=""),"",IF($T197&lt;&gt;"",$T197-$E197,TODAY()-$E197)+1)</f>
        <v/>
      </c>
      <c r="X197" s="480" t="str">
        <f>IF(OR($AH197="",$AH197="保有中"),"",$AH197)</f>
        <v/>
      </c>
      <c r="Y197" s="488">
        <f>IF($B197="","",IF(COUNTIFS($B$4:$B197,$B197,$C$4:$C197,$C197)&gt;1,"⛔重複"&amp;COUNTIFS($B$4:$B197,$B197,$C$4:$C197,$C197)&amp;"回目",""))</f>
      </c>
      <c r="Z197" s="710"/>
      <c r="AB197">
        <f>IF($F197="","",MAX(100,ROUNDDOWN($AX$4/($F197*$AX$2)/100,0)*100))</f>
      </c>
      <c r="AC197">
        <f>IF(OR($F197="",$G197="",$U197=""),"",ROUND($V197-($F197+$U197)*$G197*$AX$6-IF($C197="売",$F197*$G197*$AX$7*$W197/365,0),0))</f>
      </c>
      <c r="AD197" s="608"/>
      <c r="AE197" s="600" t="str">
        <f>IF($E197="","",WORKDAY($E197,12))</f>
        <v/>
      </c>
      <c r="AF197" s="600"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0"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0" t="str">
        <f>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IFERROR(INDEX(始値!$E$6:$BT$305,MATCH(TEXT($B197,"0"),TEXT(銘柄管理!$B$6:$B$305,"0"),0),MATCH($AE197,始値!$E$3:$BT$3,0)),"")</f>
        <v/>
      </c>
      <c r="AJ197" s="608" t="str">
        <f>IF(OR($V197="",$F197="",$G197=""),"",$V197/($F197*$G197))</f>
        <v/>
      </c>
      <c r="AK197" s="600" t="str">
        <f>IF($V197="","",IF($V197&gt;0,"○勝",IF($V197&lt;0,"●負","△引分")))</f>
        <v/>
      </c>
    </row>
    <row r="198" spans="1:37" ht="17.25" customHeight="1">
      <c r="A198" s="621" t="str">
        <f>IF(B198="","",HYPERLINK("https://kabutan.jp/stock/?code="&amp;B198,"株探"))</f>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IF(OR(F198="",G198="",H198=""),"",IF(C198="売",(F198-H198)*G198,(H198-F198)*G198))</f>
        <v/>
      </c>
      <c r="L198" s="708" t="str">
        <f>IF(OR(F198="",H198=""),"",IF(C198="売",(F198-H198)/F198,(H198-F198)/F198))</f>
        <v/>
      </c>
      <c r="M198" s="598" t="str">
        <f>IF($F198="","",IF($C198="売",CEILING($F198*IF($C198="売",1-$AX$3,1+$AX$3),IF($F198*IF($C198="売",1-$AX$3,1+$AX$3)&lt;=3000,1,IF($F198*IF($C198="売",1-$AX$3,1+$AX$3)&lt;=5000,5,IF($F198*IF($C198="売",1-$AX$3,1+$AX$3)&lt;=30000,10,IF($F198*IF($C198="売",1-$AX$3,1+$AX$3)&lt;=50000,50,IF($F198*IF($C198="売",1-$AX$3,1+$AX$3)&lt;=300000,100,500)))))),FLOOR($F198*IF($C198="売",1-$AX$3,1+$AX$3),IF($F198*IF($C198="売",1-$AX$3,1+$AX$3)&lt;=3000,1,IF($F198*IF($C198="売",1-$AX$3,1+$AX$3)&lt;=5000,5,IF($F198*IF($C198="売",1-$AX$3,1+$AX$3)&lt;=30000,10,IF($F198*IF($C198="売",1-$AX$3,1+$AX$3)&lt;=50000,50,IF($F198*IF($C198="売",1-$AX$3,1+$AX$3)&lt;=300000,100,500))))))))</f>
      </c>
      <c r="N198" s="598" t="str">
        <f>IF($F198="","",IF($C198="売",CEILING($F198*IF($C198="売",1+$AX$2,1-$AX$2),IF($F198*IF($C198="売",1+$AX$2,1-$AX$2)&lt;=3000,1,IF($F198*IF($C198="売",1+$AX$2,1-$AX$2)&lt;=5000,5,IF($F198*IF($C198="売",1+$AX$2,1-$AX$2)&lt;=30000,10,IF($F198*IF($C198="売",1+$AX$2,1-$AX$2)&lt;=50000,50,IF($F198*IF($C198="売",1+$AX$2,1-$AX$2)&lt;=300000,100,500)))))),FLOOR($F198*IF($C198="売",1+$AX$2,1-$AX$2),IF($F198*IF($C198="売",1+$AX$2,1-$AX$2)&lt;=3000,1,IF($F198*IF($C198="売",1+$AX$2,1-$AX$2)&lt;=5000,5,IF($F198*IF($C198="売",1+$AX$2,1-$AX$2)&lt;=30000,10,IF($F198*IF($C198="売",1+$AX$2,1-$AX$2)&lt;=50000,50,IF($F198*IF($C198="売",1+$AX$2,1-$AX$2)&lt;=300000,100,500))))))))</f>
      </c>
      <c r="O198" s="478" t="str">
        <f>IF(OR($B198="",$F198="",$H198=""),"",IF($S198="✅売却済","―決済済―",IF($C198="売",IF($H198&lt;=$M198,"🟢利確",IF(AND($R198&lt;&gt;"",$H198&gt;=$R198),"🟠TRAIL決済",IF($H198&gt;=$N198,"🔴損切",IF($W198&gt;=$AX$5,"⏱時間決済",IF($H198&gt;=$F198*(1+$AX$2*0.7),"⚠️損切接近","保持継続"))))),IF($H198&gt;=$M198,"🟢利確",IF(AND($R198&lt;&gt;"",$H198&lt;=$R198),"🟠TRAIL決済",IF($H198&lt;=$N198,"🔴損切",IF($W198&gt;=$AX$5,"⏱時間決済",IF($H198&lt;=$F198*(1-$AX$2*0.7),"⚠️損切接近","保持継続")))))))</f>
      </c>
      <c r="P198" s="445"/>
      <c r="Q198" s="445"/>
      <c r="R198" s="480" t="str">
        <f>IF(OR($F198="",$H198="",$N198=""),"",IF($S198="✅売却済","",IF($C198="売",IF($H198&gt;$F198*(1-$AX$2),$N198,CEILING(MIN($N198,IF($Q198="",$N198,$Q198*1.03)),IF($N198&lt;=3000,1,IF($N198&lt;=5000,5,IF($N198&lt;=30000,10,IF($N198&lt;=50000,50,IF($N198&lt;=300000,100,500))))))),IF($H198&lt;$F198*(1+$AX$2),$N198,FLOOR(MAX($N198,IF($P198="",$N198,$P198*0.97)),IF($N198&lt;=3000,1,IF($N198&lt;=5000,5,IF($N198&lt;=30000,10,IF($N198&lt;=50000,50,IF($N198&lt;=300000,100,500))))))))))</f>
      </c>
      <c r="S198" s="480" t="str">
        <f>IF(B198="","",IF(T198&lt;&gt;"","✅売却済",IF(OR(H198="",L198=""),"📌保有中",IF(L198&gt;=0.06,"🟢利確推奨",IF(L198&gt;=0.05,"🟡利確直近",IF(L198&gt;=0.045,"🔵トレーリング検討",IF(L198&gt;-0.03,"📌保有中",IF(L198&gt;-0.04,"⚠️損切注意","🔴損切り"))))))))</f>
        <v/>
      </c>
      <c r="T198" s="596"/>
      <c r="U198" s="598"/>
      <c r="V198" s="703" t="str">
        <f>IF(OR(F198="",G198="",U198=""),"",IF(C198="売",(F198-U198)*G198,(U198-F198)*G198))</f>
        <v/>
      </c>
      <c r="W198" s="480" t="str">
        <f>IF(OR($E198="",$B198=""),"",IF($T198&lt;&gt;"",$T198-$E198,TODAY()-$E198)+1)</f>
        <v/>
      </c>
      <c r="X198" s="480" t="str">
        <f>IF(OR($AH198="",$AH198="保有中"),"",$AH198)</f>
        <v/>
      </c>
      <c r="Y198" s="488">
        <f>IF($B198="","",IF(COUNTIFS($B$4:$B198,$B198,$C$4:$C198,$C198)&gt;1,"⛔重複"&amp;COUNTIFS($B$4:$B198,$B198,$C$4:$C198,$C198)&amp;"回目",""))</f>
      </c>
      <c r="Z198" s="710"/>
      <c r="AB198">
        <f>IF($F198="","",MAX(100,ROUNDDOWN($AX$4/($F198*$AX$2)/100,0)*100))</f>
      </c>
      <c r="AC198">
        <f>IF(OR($F198="",$G198="",$U198=""),"",ROUND($V198-($F198+$U198)*$G198*$AX$6-IF($C198="売",$F198*$G198*$AX$7*$W198/365,0),0))</f>
      </c>
      <c r="AD198" s="608"/>
      <c r="AE198" s="600" t="str">
        <f>IF($E198="","",WORKDAY($E198,12))</f>
        <v/>
      </c>
      <c r="AF198" s="600"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0"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0" t="str">
        <f>IF(OR($B198="",$M198=""),"",IF(AND(N($AF198)=0,N($AG198)=0),IF(AND(ISNUMBER($H198),$H198&gt;0,IF($C198="売",$H198&gt;=$N198,$H198&lt;=$N198)),"損切確定",IF(AND(ISNUMBER($H198),$H198&gt;0,IF($C198="売",$H198&lt;=$M198,$H198&gt;=$M198)),"利益確定",IF($AE198&lt;=TODAY(),"日数制限","保有中"))),IF(N($AG198)=0,"利益確定",IF(N($AF198)=0,"損切確定",IF($AG198&lt;=$AF198,"損切確定","利益確定")))))</f>
        <v/>
      </c>
      <c r="AI198" s="600" t="str" cm="1">
        <f t="array" ref="AI198">IFERROR(INDEX(始値!$E$6:$BT$305,MATCH(TEXT($B198,"0"),TEXT(銘柄管理!$B$6:$B$305,"0"),0),MATCH($AE198,始値!$E$3:$BT$3,0)),"")</f>
        <v/>
      </c>
      <c r="AJ198" s="608" t="str">
        <f>IF(OR($V198="",$F198="",$G198=""),"",$V198/($F198*$G198))</f>
        <v/>
      </c>
      <c r="AK198" s="600" t="str">
        <f>IF($V198="","",IF($V198&gt;0,"○勝",IF($V198&lt;0,"●負","△引分")))</f>
        <v/>
      </c>
    </row>
    <row r="199" spans="1:37" ht="17.25" customHeight="1">
      <c r="A199" s="621" t="str">
        <f>IF(B199="","",HYPERLINK("https://kabutan.jp/stock/?code="&amp;B199,"株探"))</f>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IF(OR(F199="",G199="",H199=""),"",IF(C199="売",(F199-H199)*G199,(H199-F199)*G199))</f>
        <v/>
      </c>
      <c r="L199" s="708" t="str">
        <f>IF(OR(F199="",H199=""),"",IF(C199="売",(F199-H199)/F199,(H199-F199)/F199))</f>
        <v/>
      </c>
      <c r="M199" s="598" t="str">
        <f>IF($F199="","",IF($C199="売",CEILING($F199*IF($C199="売",1-$AX$3,1+$AX$3),IF($F199*IF($C199="売",1-$AX$3,1+$AX$3)&lt;=3000,1,IF($F199*IF($C199="売",1-$AX$3,1+$AX$3)&lt;=5000,5,IF($F199*IF($C199="売",1-$AX$3,1+$AX$3)&lt;=30000,10,IF($F199*IF($C199="売",1-$AX$3,1+$AX$3)&lt;=50000,50,IF($F199*IF($C199="売",1-$AX$3,1+$AX$3)&lt;=300000,100,500)))))),FLOOR($F199*IF($C199="売",1-$AX$3,1+$AX$3),IF($F199*IF($C199="売",1-$AX$3,1+$AX$3)&lt;=3000,1,IF($F199*IF($C199="売",1-$AX$3,1+$AX$3)&lt;=5000,5,IF($F199*IF($C199="売",1-$AX$3,1+$AX$3)&lt;=30000,10,IF($F199*IF($C199="売",1-$AX$3,1+$AX$3)&lt;=50000,50,IF($F199*IF($C199="売",1-$AX$3,1+$AX$3)&lt;=300000,100,500))))))))</f>
      </c>
      <c r="N199" s="598" t="str">
        <f>IF($F199="","",IF($C199="売",CEILING($F199*IF($C199="売",1+$AX$2,1-$AX$2),IF($F199*IF($C199="売",1+$AX$2,1-$AX$2)&lt;=3000,1,IF($F199*IF($C199="売",1+$AX$2,1-$AX$2)&lt;=5000,5,IF($F199*IF($C199="売",1+$AX$2,1-$AX$2)&lt;=30000,10,IF($F199*IF($C199="売",1+$AX$2,1-$AX$2)&lt;=50000,50,IF($F199*IF($C199="売",1+$AX$2,1-$AX$2)&lt;=300000,100,500)))))),FLOOR($F199*IF($C199="売",1+$AX$2,1-$AX$2),IF($F199*IF($C199="売",1+$AX$2,1-$AX$2)&lt;=3000,1,IF($F199*IF($C199="売",1+$AX$2,1-$AX$2)&lt;=5000,5,IF($F199*IF($C199="売",1+$AX$2,1-$AX$2)&lt;=30000,10,IF($F199*IF($C199="売",1+$AX$2,1-$AX$2)&lt;=50000,50,IF($F199*IF($C199="売",1+$AX$2,1-$AX$2)&lt;=300000,100,500))))))))</f>
      </c>
      <c r="O199" s="478" t="str">
        <f>IF(OR($B199="",$F199="",$H199=""),"",IF($S199="✅売却済","―決済済―",IF($C199="売",IF($H199&lt;=$M199,"🟢利確",IF(AND($R199&lt;&gt;"",$H199&gt;=$R199),"🟠TRAIL決済",IF($H199&gt;=$N199,"🔴損切",IF($W199&gt;=$AX$5,"⏱時間決済",IF($H199&gt;=$F199*(1+$AX$2*0.7),"⚠️損切接近","保持継続"))))),IF($H199&gt;=$M199,"🟢利確",IF(AND($R199&lt;&gt;"",$H199&lt;=$R199),"🟠TRAIL決済",IF($H199&lt;=$N199,"🔴損切",IF($W199&gt;=$AX$5,"⏱時間決済",IF($H199&lt;=$F199*(1-$AX$2*0.7),"⚠️損切接近","保持継続")))))))</f>
      </c>
      <c r="P199" s="445"/>
      <c r="Q199" s="445"/>
      <c r="R199" s="480" t="str">
        <f>IF(OR($F199="",$H199="",$N199=""),"",IF($S199="✅売却済","",IF($C199="売",IF($H199&gt;$F199*(1-$AX$2),$N199,CEILING(MIN($N199,IF($Q199="",$N199,$Q199*1.03)),IF($N199&lt;=3000,1,IF($N199&lt;=5000,5,IF($N199&lt;=30000,10,IF($N199&lt;=50000,50,IF($N199&lt;=300000,100,500))))))),IF($H199&lt;$F199*(1+$AX$2),$N199,FLOOR(MAX($N199,IF($P199="",$N199,$P199*0.97)),IF($N199&lt;=3000,1,IF($N199&lt;=5000,5,IF($N199&lt;=30000,10,IF($N199&lt;=50000,50,IF($N199&lt;=300000,100,500))))))))))</f>
      </c>
      <c r="S199" s="480" t="str">
        <f>IF(B199="","",IF(T199&lt;&gt;"","✅売却済",IF(OR(H199="",L199=""),"📌保有中",IF(L199&gt;=0.06,"🟢利確推奨",IF(L199&gt;=0.05,"🟡利確直近",IF(L199&gt;=0.045,"🔵トレーリング検討",IF(L199&gt;-0.03,"📌保有中",IF(L199&gt;-0.04,"⚠️損切注意","🔴損切り"))))))))</f>
        <v/>
      </c>
      <c r="T199" s="596"/>
      <c r="U199" s="598"/>
      <c r="V199" s="703" t="str">
        <f>IF(OR(F199="",G199="",U199=""),"",IF(C199="売",(F199-U199)*G199,(U199-F199)*G199))</f>
        <v/>
      </c>
      <c r="W199" s="480" t="str">
        <f>IF(OR($E199="",$B199=""),"",IF($T199&lt;&gt;"",$T199-$E199,TODAY()-$E199)+1)</f>
        <v/>
      </c>
      <c r="X199" s="480" t="str">
        <f>IF(OR($AH199="",$AH199="保有中"),"",$AH199)</f>
        <v/>
      </c>
      <c r="Y199" s="488">
        <f>IF($B199="","",IF(COUNTIFS($B$4:$B199,$B199,$C$4:$C199,$C199)&gt;1,"⛔重複"&amp;COUNTIFS($B$4:$B199,$B199,$C$4:$C199,$C199)&amp;"回目",""))</f>
      </c>
      <c r="Z199" s="710"/>
      <c r="AB199">
        <f>IF($F199="","",MAX(100,ROUNDDOWN($AX$4/($F199*$AX$2)/100,0)*100))</f>
      </c>
      <c r="AC199">
        <f>IF(OR($F199="",$G199="",$U199=""),"",ROUND($V199-($F199+$U199)*$G199*$AX$6-IF($C199="売",$F199*$G199*$AX$7*$W199/365,0),0))</f>
      </c>
      <c r="AD199" s="608"/>
      <c r="AE199" s="600" t="str">
        <f>IF($E199="","",WORKDAY($E199,12))</f>
        <v/>
      </c>
      <c r="AF199" s="600"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0"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0" t="str">
        <f>IF(OR($B199="",$M199=""),"",IF(AND(N($AF199)=0,N($AG199)=0),IF(AND(ISNUMBER($H199),$H199&gt;0,IF($C199="売",$H199&gt;=$N199,$H199&lt;=$N199)),"損切確定",IF(AND(ISNUMBER($H199),$H199&gt;0,IF($C199="売",$H199&lt;=$M199,$H199&gt;=$M199)),"利益確定",IF($AE199&lt;=TODAY(),"日数制限","保有中"))),IF(N($AG199)=0,"利益確定",IF(N($AF199)=0,"損切確定",IF($AG199&lt;=$AF199,"損切確定","利益確定")))))</f>
        <v/>
      </c>
      <c r="AI199" s="600" t="str" cm="1">
        <f t="array" ref="AI199">IFERROR(INDEX(始値!$E$6:$BT$305,MATCH(TEXT($B199,"0"),TEXT(銘柄管理!$B$6:$B$305,"0"),0),MATCH($AE199,始値!$E$3:$BT$3,0)),"")</f>
        <v/>
      </c>
      <c r="AJ199" s="608" t="str">
        <f>IF(OR($V199="",$F199="",$G199=""),"",$V199/($F199*$G199))</f>
        <v/>
      </c>
      <c r="AK199" s="600" t="str">
        <f>IF($V199="","",IF($V199&gt;0,"○勝",IF($V199&lt;0,"●負","△引分")))</f>
        <v/>
      </c>
    </row>
    <row r="200" spans="1:37" ht="17.25" customHeight="1">
      <c r="A200" s="621" t="str">
        <f>IF(B200="","",HYPERLINK("https://kabutan.jp/stock/?code="&amp;B200,"株探"))</f>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IF(OR(F200="",G200="",H200=""),"",IF(C200="売",(F200-H200)*G200,(H200-F200)*G200))</f>
        <v/>
      </c>
      <c r="L200" s="708" t="str">
        <f>IF(OR(F200="",H200=""),"",IF(C200="売",(F200-H200)/F200,(H200-F200)/F200))</f>
        <v/>
      </c>
      <c r="M200" s="598" t="str">
        <f>IF($F200="","",IF($C200="売",CEILING($F200*IF($C200="売",1-$AX$3,1+$AX$3),IF($F200*IF($C200="売",1-$AX$3,1+$AX$3)&lt;=3000,1,IF($F200*IF($C200="売",1-$AX$3,1+$AX$3)&lt;=5000,5,IF($F200*IF($C200="売",1-$AX$3,1+$AX$3)&lt;=30000,10,IF($F200*IF($C200="売",1-$AX$3,1+$AX$3)&lt;=50000,50,IF($F200*IF($C200="売",1-$AX$3,1+$AX$3)&lt;=300000,100,500)))))),FLOOR($F200*IF($C200="売",1-$AX$3,1+$AX$3),IF($F200*IF($C200="売",1-$AX$3,1+$AX$3)&lt;=3000,1,IF($F200*IF($C200="売",1-$AX$3,1+$AX$3)&lt;=5000,5,IF($F200*IF($C200="売",1-$AX$3,1+$AX$3)&lt;=30000,10,IF($F200*IF($C200="売",1-$AX$3,1+$AX$3)&lt;=50000,50,IF($F200*IF($C200="売",1-$AX$3,1+$AX$3)&lt;=300000,100,500))))))))</f>
      </c>
      <c r="N200" s="598" t="str">
        <f>IF($F200="","",IF($C200="売",CEILING($F200*IF($C200="売",1+$AX$2,1-$AX$2),IF($F200*IF($C200="売",1+$AX$2,1-$AX$2)&lt;=3000,1,IF($F200*IF($C200="売",1+$AX$2,1-$AX$2)&lt;=5000,5,IF($F200*IF($C200="売",1+$AX$2,1-$AX$2)&lt;=30000,10,IF($F200*IF($C200="売",1+$AX$2,1-$AX$2)&lt;=50000,50,IF($F200*IF($C200="売",1+$AX$2,1-$AX$2)&lt;=300000,100,500)))))),FLOOR($F200*IF($C200="売",1+$AX$2,1-$AX$2),IF($F200*IF($C200="売",1+$AX$2,1-$AX$2)&lt;=3000,1,IF($F200*IF($C200="売",1+$AX$2,1-$AX$2)&lt;=5000,5,IF($F200*IF($C200="売",1+$AX$2,1-$AX$2)&lt;=30000,10,IF($F200*IF($C200="売",1+$AX$2,1-$AX$2)&lt;=50000,50,IF($F200*IF($C200="売",1+$AX$2,1-$AX$2)&lt;=300000,100,500))))))))</f>
      </c>
      <c r="O200" s="478" t="str">
        <f>IF(OR($B200="",$F200="",$H200=""),"",IF($S200="✅売却済","―決済済―",IF($C200="売",IF($H200&lt;=$M200,"🟢利確",IF(AND($R200&lt;&gt;"",$H200&gt;=$R200),"🟠TRAIL決済",IF($H200&gt;=$N200,"🔴損切",IF($W200&gt;=$AX$5,"⏱時間決済",IF($H200&gt;=$F200*(1+$AX$2*0.7),"⚠️損切接近","保持継続"))))),IF($H200&gt;=$M200,"🟢利確",IF(AND($R200&lt;&gt;"",$H200&lt;=$R200),"🟠TRAIL決済",IF($H200&lt;=$N200,"🔴損切",IF($W200&gt;=$AX$5,"⏱時間決済",IF($H200&lt;=$F200*(1-$AX$2*0.7),"⚠️損切接近","保持継続")))))))</f>
      </c>
      <c r="P200" s="445"/>
      <c r="Q200" s="445"/>
      <c r="R200" s="480" t="str">
        <f>IF(OR($F200="",$H200="",$N200=""),"",IF($S200="✅売却済","",IF($C200="売",IF($H200&gt;$F200*(1-$AX$2),$N200,CEILING(MIN($N200,IF($Q200="",$N200,$Q200*1.03)),IF($N200&lt;=3000,1,IF($N200&lt;=5000,5,IF($N200&lt;=30000,10,IF($N200&lt;=50000,50,IF($N200&lt;=300000,100,500))))))),IF($H200&lt;$F200*(1+$AX$2),$N200,FLOOR(MAX($N200,IF($P200="",$N200,$P200*0.97)),IF($N200&lt;=3000,1,IF($N200&lt;=5000,5,IF($N200&lt;=30000,10,IF($N200&lt;=50000,50,IF($N200&lt;=300000,100,500))))))))))</f>
      </c>
      <c r="S200" s="480" t="str">
        <f>IF(B200="","",IF(T200&lt;&gt;"","✅売却済",IF(OR(H200="",L200=""),"📌保有中",IF(L200&gt;=0.06,"🟢利確推奨",IF(L200&gt;=0.05,"🟡利確直近",IF(L200&gt;=0.045,"🔵トレーリング検討",IF(L200&gt;-0.03,"📌保有中",IF(L200&gt;-0.04,"⚠️損切注意","🔴損切り"))))))))</f>
        <v/>
      </c>
      <c r="T200" s="596"/>
      <c r="U200" s="598"/>
      <c r="V200" s="703" t="str">
        <f>IF(OR(F200="",G200="",U200=""),"",IF(C200="売",(F200-U200)*G200,(U200-F200)*G200))</f>
        <v/>
      </c>
      <c r="W200" s="480" t="str">
        <f>IF(OR($E200="",$B200=""),"",IF($T200&lt;&gt;"",$T200-$E200,TODAY()-$E200)+1)</f>
        <v/>
      </c>
      <c r="X200" s="480" t="str">
        <f>IF(OR($AH200="",$AH200="保有中"),"",$AH200)</f>
        <v/>
      </c>
      <c r="Y200" s="488">
        <f>IF($B200="","",IF(COUNTIFS($B$4:$B200,$B200,$C$4:$C200,$C200)&gt;1,"⛔重複"&amp;COUNTIFS($B$4:$B200,$B200,$C$4:$C200,$C200)&amp;"回目",""))</f>
      </c>
      <c r="Z200" s="710"/>
      <c r="AB200">
        <f>IF($F200="","",MAX(100,ROUNDDOWN($AX$4/($F200*$AX$2)/100,0)*100))</f>
      </c>
      <c r="AC200">
        <f>IF(OR($F200="",$G200="",$U200=""),"",ROUND($V200-($F200+$U200)*$G200*$AX$6-IF($C200="売",$F200*$G200*$AX$7*$W200/365,0),0))</f>
      </c>
      <c r="AD200" s="608"/>
      <c r="AE200" s="600" t="str">
        <f>IF($E200="","",WORKDAY($E200,12))</f>
        <v/>
      </c>
      <c r="AF200" s="600"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0"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0" t="str">
        <f>IF(OR($B200="",$M200=""),"",IF(AND(N($AF200)=0,N($AG200)=0),IF(AND(ISNUMBER($H200),$H200&gt;0,IF($C200="売",$H200&gt;=$N200,$H200&lt;=$N200)),"損切確定",IF(AND(ISNUMBER($H200),$H200&gt;0,IF($C200="売",$H200&lt;=$M200,$H200&gt;=$M200)),"利益確定",IF($AE200&lt;=TODAY(),"日数制限","保有中"))),IF(N($AG200)=0,"利益確定",IF(N($AF200)=0,"損切確定",IF($AG200&lt;=$AF200,"損切確定","利益確定")))))</f>
        <v/>
      </c>
      <c r="AI200" s="600" t="str" cm="1">
        <f t="array" ref="AI200">IFERROR(INDEX(始値!$E$6:$BT$305,MATCH(TEXT($B200,"0"),TEXT(銘柄管理!$B$6:$B$305,"0"),0),MATCH($AE200,始値!$E$3:$BT$3,0)),"")</f>
        <v/>
      </c>
      <c r="AJ200" s="608" t="str">
        <f>IF(OR($V200="",$F200="",$G200=""),"",$V200/($F200*$G200))</f>
        <v/>
      </c>
      <c r="AK200" s="600" t="str">
        <f>IF($V200="","",IF($V200&gt;0,"○勝",IF($V200&lt;0,"●負","△引分")))</f>
        <v/>
      </c>
    </row>
    <row r="201" spans="1:37" ht="17.25" customHeight="1">
      <c r="A201" s="621" t="str">
        <f>IF(B201="","",HYPERLINK("https://kabutan.jp/stock/?code="&amp;B201,"株探"))</f>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IF(OR(F201="",G201="",H201=""),"",IF(C201="売",(F201-H201)*G201,(H201-F201)*G201))</f>
        <v/>
      </c>
      <c r="L201" s="708" t="str">
        <f>IF(OR(F201="",H201=""),"",IF(C201="売",(F201-H201)/F201,(H201-F201)/F201))</f>
        <v/>
      </c>
      <c r="M201" s="598" t="str">
        <f>IF($F201="","",IF($C201="売",CEILING($F201*IF($C201="売",1-$AX$3,1+$AX$3),IF($F201*IF($C201="売",1-$AX$3,1+$AX$3)&lt;=3000,1,IF($F201*IF($C201="売",1-$AX$3,1+$AX$3)&lt;=5000,5,IF($F201*IF($C201="売",1-$AX$3,1+$AX$3)&lt;=30000,10,IF($F201*IF($C201="売",1-$AX$3,1+$AX$3)&lt;=50000,50,IF($F201*IF($C201="売",1-$AX$3,1+$AX$3)&lt;=300000,100,500)))))),FLOOR($F201*IF($C201="売",1-$AX$3,1+$AX$3),IF($F201*IF($C201="売",1-$AX$3,1+$AX$3)&lt;=3000,1,IF($F201*IF($C201="売",1-$AX$3,1+$AX$3)&lt;=5000,5,IF($F201*IF($C201="売",1-$AX$3,1+$AX$3)&lt;=30000,10,IF($F201*IF($C201="売",1-$AX$3,1+$AX$3)&lt;=50000,50,IF($F201*IF($C201="売",1-$AX$3,1+$AX$3)&lt;=300000,100,500))))))))</f>
      </c>
      <c r="N201" s="598" t="str">
        <f>IF($F201="","",IF($C201="売",CEILING($F201*IF($C201="売",1+$AX$2,1-$AX$2),IF($F201*IF($C201="売",1+$AX$2,1-$AX$2)&lt;=3000,1,IF($F201*IF($C201="売",1+$AX$2,1-$AX$2)&lt;=5000,5,IF($F201*IF($C201="売",1+$AX$2,1-$AX$2)&lt;=30000,10,IF($F201*IF($C201="売",1+$AX$2,1-$AX$2)&lt;=50000,50,IF($F201*IF($C201="売",1+$AX$2,1-$AX$2)&lt;=300000,100,500)))))),FLOOR($F201*IF($C201="売",1+$AX$2,1-$AX$2),IF($F201*IF($C201="売",1+$AX$2,1-$AX$2)&lt;=3000,1,IF($F201*IF($C201="売",1+$AX$2,1-$AX$2)&lt;=5000,5,IF($F201*IF($C201="売",1+$AX$2,1-$AX$2)&lt;=30000,10,IF($F201*IF($C201="売",1+$AX$2,1-$AX$2)&lt;=50000,50,IF($F201*IF($C201="売",1+$AX$2,1-$AX$2)&lt;=300000,100,500))))))))</f>
      </c>
      <c r="O201" s="478" t="str">
        <f>IF(OR($B201="",$F201="",$H201=""),"",IF($S201="✅売却済","―決済済―",IF($C201="売",IF($H201&lt;=$M201,"🟢利確",IF(AND($R201&lt;&gt;"",$H201&gt;=$R201),"🟠TRAIL決済",IF($H201&gt;=$N201,"🔴損切",IF($W201&gt;=$AX$5,"⏱時間決済",IF($H201&gt;=$F201*(1+$AX$2*0.7),"⚠️損切接近","保持継続"))))),IF($H201&gt;=$M201,"🟢利確",IF(AND($R201&lt;&gt;"",$H201&lt;=$R201),"🟠TRAIL決済",IF($H201&lt;=$N201,"🔴損切",IF($W201&gt;=$AX$5,"⏱時間決済",IF($H201&lt;=$F201*(1-$AX$2*0.7),"⚠️損切接近","保持継続")))))))</f>
      </c>
      <c r="P201" s="445"/>
      <c r="Q201" s="445"/>
      <c r="R201" s="480" t="str">
        <f>IF(OR($F201="",$H201="",$N201=""),"",IF($S201="✅売却済","",IF($C201="売",IF($H201&gt;$F201*(1-$AX$2),$N201,CEILING(MIN($N201,IF($Q201="",$N201,$Q201*1.03)),IF($N201&lt;=3000,1,IF($N201&lt;=5000,5,IF($N201&lt;=30000,10,IF($N201&lt;=50000,50,IF($N201&lt;=300000,100,500))))))),IF($H201&lt;$F201*(1+$AX$2),$N201,FLOOR(MAX($N201,IF($P201="",$N201,$P201*0.97)),IF($N201&lt;=3000,1,IF($N201&lt;=5000,5,IF($N201&lt;=30000,10,IF($N201&lt;=50000,50,IF($N201&lt;=300000,100,500))))))))))</f>
      </c>
      <c r="S201" s="480" t="str">
        <f>IF(B201="","",IF(T201&lt;&gt;"","✅売却済",IF(OR(H201="",L201=""),"📌保有中",IF(L201&gt;=0.06,"🟢利確推奨",IF(L201&gt;=0.05,"🟡利確直近",IF(L201&gt;=0.045,"🔵トレーリング検討",IF(L201&gt;-0.03,"📌保有中",IF(L201&gt;-0.04,"⚠️損切注意","🔴損切り"))))))))</f>
        <v/>
      </c>
      <c r="T201" s="596"/>
      <c r="U201" s="598"/>
      <c r="V201" s="703" t="str">
        <f>IF(OR(F201="",G201="",U201=""),"",IF(C201="売",(F201-U201)*G201,(U201-F201)*G201))</f>
        <v/>
      </c>
      <c r="W201" s="480" t="str">
        <f>IF(OR($E201="",$B201=""),"",IF($T201&lt;&gt;"",$T201-$E201,TODAY()-$E201)+1)</f>
        <v/>
      </c>
      <c r="X201" s="480" t="str">
        <f>IF(OR($AH201="",$AH201="保有中"),"",$AH201)</f>
        <v/>
      </c>
      <c r="Y201" s="488">
        <f>IF($B201="","",IF(COUNTIFS($B$4:$B201,$B201,$C$4:$C201,$C201)&gt;1,"⛔重複"&amp;COUNTIFS($B$4:$B201,$B201,$C$4:$C201,$C201)&amp;"回目",""))</f>
      </c>
      <c r="Z201" s="710"/>
      <c r="AB201">
        <f>IF($F201="","",MAX(100,ROUNDDOWN($AX$4/($F201*$AX$2)/100,0)*100))</f>
      </c>
      <c r="AC201">
        <f>IF(OR($F201="",$G201="",$U201=""),"",ROUND($V201-($F201+$U201)*$G201*$AX$6-IF($C201="売",$F201*$G201*$AX$7*$W201/365,0),0))</f>
      </c>
      <c r="AD201" s="608"/>
      <c r="AE201" s="600" t="str">
        <f>IF($E201="","",WORKDAY($E201,12))</f>
        <v/>
      </c>
      <c r="AF201" s="600"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0"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0" t="str">
        <f>IF(OR($B201="",$M201=""),"",IF(AND(N($AF201)=0,N($AG201)=0),IF(AND(ISNUMBER($H201),$H201&gt;0,IF($C201="売",$H201&gt;=$N201,$H201&lt;=$N201)),"損切確定",IF(AND(ISNUMBER($H201),$H201&gt;0,IF($C201="売",$H201&lt;=$M201,$H201&gt;=$M201)),"利益確定",IF($AE201&lt;=TODAY(),"日数制限","保有中"))),IF(N($AG201)=0,"利益確定",IF(N($AF201)=0,"損切確定",IF($AG201&lt;=$AF201,"損切確定","利益確定")))))</f>
        <v/>
      </c>
      <c r="AI201" s="600" t="str" cm="1">
        <f t="array" ref="AI201">IFERROR(INDEX(始値!$E$6:$BT$305,MATCH(TEXT($B201,"0"),TEXT(銘柄管理!$B$6:$B$305,"0"),0),MATCH($AE201,始値!$E$3:$BT$3,0)),"")</f>
        <v/>
      </c>
      <c r="AJ201" s="608" t="str">
        <f>IF(OR($V201="",$F201="",$G201=""),"",$V201/($F201*$G201))</f>
        <v/>
      </c>
      <c r="AK201" s="600" t="str">
        <f>IF($V201="","",IF($V201&gt;0,"○勝",IF($V201&lt;0,"●負","△引分")))</f>
        <v/>
      </c>
    </row>
    <row r="202" spans="1:37" ht="17.25" customHeight="1">
      <c r="A202" s="621" t="str">
        <f>IF(B202="","",HYPERLINK("https://kabutan.jp/stock/?code="&amp;B202,"株探"))</f>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IF(OR(F202="",G202="",H202=""),"",IF(C202="売",(F202-H202)*G202,(H202-F202)*G202))</f>
        <v/>
      </c>
      <c r="L202" s="708" t="str">
        <f>IF(OR(F202="",H202=""),"",IF(C202="売",(F202-H202)/F202,(H202-F202)/F202))</f>
        <v/>
      </c>
      <c r="M202" s="598" t="str">
        <f>IF($F202="","",IF($C202="売",CEILING($F202*IF($C202="売",1-$AX$3,1+$AX$3),IF($F202*IF($C202="売",1-$AX$3,1+$AX$3)&lt;=3000,1,IF($F202*IF($C202="売",1-$AX$3,1+$AX$3)&lt;=5000,5,IF($F202*IF($C202="売",1-$AX$3,1+$AX$3)&lt;=30000,10,IF($F202*IF($C202="売",1-$AX$3,1+$AX$3)&lt;=50000,50,IF($F202*IF($C202="売",1-$AX$3,1+$AX$3)&lt;=300000,100,500)))))),FLOOR($F202*IF($C202="売",1-$AX$3,1+$AX$3),IF($F202*IF($C202="売",1-$AX$3,1+$AX$3)&lt;=3000,1,IF($F202*IF($C202="売",1-$AX$3,1+$AX$3)&lt;=5000,5,IF($F202*IF($C202="売",1-$AX$3,1+$AX$3)&lt;=30000,10,IF($F202*IF($C202="売",1-$AX$3,1+$AX$3)&lt;=50000,50,IF($F202*IF($C202="売",1-$AX$3,1+$AX$3)&lt;=300000,100,500))))))))</f>
      </c>
      <c r="N202" s="598" t="str">
        <f>IF($F202="","",IF($C202="売",CEILING($F202*IF($C202="売",1+$AX$2,1-$AX$2),IF($F202*IF($C202="売",1+$AX$2,1-$AX$2)&lt;=3000,1,IF($F202*IF($C202="売",1+$AX$2,1-$AX$2)&lt;=5000,5,IF($F202*IF($C202="売",1+$AX$2,1-$AX$2)&lt;=30000,10,IF($F202*IF($C202="売",1+$AX$2,1-$AX$2)&lt;=50000,50,IF($F202*IF($C202="売",1+$AX$2,1-$AX$2)&lt;=300000,100,500)))))),FLOOR($F202*IF($C202="売",1+$AX$2,1-$AX$2),IF($F202*IF($C202="売",1+$AX$2,1-$AX$2)&lt;=3000,1,IF($F202*IF($C202="売",1+$AX$2,1-$AX$2)&lt;=5000,5,IF($F202*IF($C202="売",1+$AX$2,1-$AX$2)&lt;=30000,10,IF($F202*IF($C202="売",1+$AX$2,1-$AX$2)&lt;=50000,50,IF($F202*IF($C202="売",1+$AX$2,1-$AX$2)&lt;=300000,100,500))))))))</f>
      </c>
      <c r="O202" s="478" t="str">
        <f>IF(OR($B202="",$F202="",$H202=""),"",IF($S202="✅売却済","―決済済―",IF($C202="売",IF($H202&lt;=$M202,"🟢利確",IF(AND($R202&lt;&gt;"",$H202&gt;=$R202),"🟠TRAIL決済",IF($H202&gt;=$N202,"🔴損切",IF($W202&gt;=$AX$5,"⏱時間決済",IF($H202&gt;=$F202*(1+$AX$2*0.7),"⚠️損切接近","保持継続"))))),IF($H202&gt;=$M202,"🟢利確",IF(AND($R202&lt;&gt;"",$H202&lt;=$R202),"🟠TRAIL決済",IF($H202&lt;=$N202,"🔴損切",IF($W202&gt;=$AX$5,"⏱時間決済",IF($H202&lt;=$F202*(1-$AX$2*0.7),"⚠️損切接近","保持継続")))))))</f>
      </c>
      <c r="P202" s="445"/>
      <c r="Q202" s="445"/>
      <c r="R202" s="480" t="str">
        <f>IF(OR($F202="",$H202="",$N202=""),"",IF($S202="✅売却済","",IF($C202="売",IF($H202&gt;$F202*(1-$AX$2),$N202,CEILING(MIN($N202,IF($Q202="",$N202,$Q202*1.03)),IF($N202&lt;=3000,1,IF($N202&lt;=5000,5,IF($N202&lt;=30000,10,IF($N202&lt;=50000,50,IF($N202&lt;=300000,100,500))))))),IF($H202&lt;$F202*(1+$AX$2),$N202,FLOOR(MAX($N202,IF($P202="",$N202,$P202*0.97)),IF($N202&lt;=3000,1,IF($N202&lt;=5000,5,IF($N202&lt;=30000,10,IF($N202&lt;=50000,50,IF($N202&lt;=300000,100,500))))))))))</f>
      </c>
      <c r="S202" s="480" t="str">
        <f>IF(B202="","",IF(T202&lt;&gt;"","✅売却済",IF(OR(H202="",L202=""),"📌保有中",IF(L202&gt;=0.06,"🟢利確推奨",IF(L202&gt;=0.05,"🟡利確直近",IF(L202&gt;=0.045,"🔵トレーリング検討",IF(L202&gt;-0.03,"📌保有中",IF(L202&gt;-0.04,"⚠️損切注意","🔴損切り"))))))))</f>
        <v/>
      </c>
      <c r="T202" s="596"/>
      <c r="U202" s="598"/>
      <c r="V202" s="703" t="str">
        <f>IF(OR(F202="",G202="",U202=""),"",IF(C202="売",(F202-U202)*G202,(U202-F202)*G202))</f>
        <v/>
      </c>
      <c r="W202" s="480" t="str">
        <f>IF(OR($E202="",$B202=""),"",IF($T202&lt;&gt;"",$T202-$E202,TODAY()-$E202)+1)</f>
        <v/>
      </c>
      <c r="X202" s="480" t="str">
        <f>IF(OR($AH202="",$AH202="保有中"),"",$AH202)</f>
        <v/>
      </c>
      <c r="Y202" s="488">
        <f>IF($B202="","",IF(COUNTIFS($B$4:$B202,$B202,$C$4:$C202,$C202)&gt;1,"⛔重複"&amp;COUNTIFS($B$4:$B202,$B202,$C$4:$C202,$C202)&amp;"回目",""))</f>
      </c>
      <c r="Z202" s="710"/>
      <c r="AB202">
        <f>IF($F202="","",MAX(100,ROUNDDOWN($AX$4/($F202*$AX$2)/100,0)*100))</f>
      </c>
      <c r="AC202">
        <f>IF(OR($F202="",$G202="",$U202=""),"",ROUND($V202-($F202+$U202)*$G202*$AX$6-IF($C202="売",$F202*$G202*$AX$7*$W202/365,0),0))</f>
      </c>
      <c r="AD202" s="608"/>
      <c r="AE202" s="600" t="str">
        <f>IF($E202="","",WORKDAY($E202,12))</f>
        <v/>
      </c>
      <c r="AF202" s="600"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0"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0" t="str">
        <f>IF(OR($B202="",$M202=""),"",IF(AND(N($AF202)=0,N($AG202)=0),IF(AND(ISNUMBER($H202),$H202&gt;0,IF($C202="売",$H202&gt;=$N202,$H202&lt;=$N202)),"損切確定",IF(AND(ISNUMBER($H202),$H202&gt;0,IF($C202="売",$H202&lt;=$M202,$H202&gt;=$M202)),"利益確定",IF($AE202&lt;=TODAY(),"日数制限","保有中"))),IF(N($AG202)=0,"利益確定",IF(N($AF202)=0,"損切確定",IF($AG202&lt;=$AF202,"損切確定","利益確定")))))</f>
        <v/>
      </c>
      <c r="AI202" s="600" t="str" cm="1">
        <f t="array" ref="AI202">IFERROR(INDEX(始値!$E$6:$BT$305,MATCH(TEXT($B202,"0"),TEXT(銘柄管理!$B$6:$B$305,"0"),0),MATCH($AE202,始値!$E$3:$BT$3,0)),"")</f>
        <v/>
      </c>
      <c r="AJ202" s="608" t="str">
        <f>IF(OR($V202="",$F202="",$G202=""),"",$V202/($F202*$G202))</f>
        <v/>
      </c>
      <c r="AK202" s="600" t="str">
        <f>IF($V202="","",IF($V202&gt;0,"○勝",IF($V202&lt;0,"●負","△引分")))</f>
        <v/>
      </c>
    </row>
    <row r="203" spans="1:37" ht="17.25" customHeight="1">
      <c r="A203" s="621" t="str">
        <f>IF(B203="","",HYPERLINK("https://kabutan.jp/stock/?code="&amp;B203,"株探"))</f>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IF(OR(F203="",G203="",H203=""),"",IF(C203="売",(F203-H203)*G203,(H203-F203)*G203))</f>
        <v/>
      </c>
      <c r="L203" s="708" t="str">
        <f>IF(OR(F203="",H203=""),"",IF(C203="売",(F203-H203)/F203,(H203-F203)/F203))</f>
        <v/>
      </c>
      <c r="M203" s="598" t="str">
        <f>IF($F203="","",IF($C203="売",CEILING($F203*IF($C203="売",1-$AX$3,1+$AX$3),IF($F203*IF($C203="売",1-$AX$3,1+$AX$3)&lt;=3000,1,IF($F203*IF($C203="売",1-$AX$3,1+$AX$3)&lt;=5000,5,IF($F203*IF($C203="売",1-$AX$3,1+$AX$3)&lt;=30000,10,IF($F203*IF($C203="売",1-$AX$3,1+$AX$3)&lt;=50000,50,IF($F203*IF($C203="売",1-$AX$3,1+$AX$3)&lt;=300000,100,500)))))),FLOOR($F203*IF($C203="売",1-$AX$3,1+$AX$3),IF($F203*IF($C203="売",1-$AX$3,1+$AX$3)&lt;=3000,1,IF($F203*IF($C203="売",1-$AX$3,1+$AX$3)&lt;=5000,5,IF($F203*IF($C203="売",1-$AX$3,1+$AX$3)&lt;=30000,10,IF($F203*IF($C203="売",1-$AX$3,1+$AX$3)&lt;=50000,50,IF($F203*IF($C203="売",1-$AX$3,1+$AX$3)&lt;=300000,100,500))))))))</f>
      </c>
      <c r="N203" s="598" t="str">
        <f>IF($F203="","",IF($C203="売",CEILING($F203*IF($C203="売",1+$AX$2,1-$AX$2),IF($F203*IF($C203="売",1+$AX$2,1-$AX$2)&lt;=3000,1,IF($F203*IF($C203="売",1+$AX$2,1-$AX$2)&lt;=5000,5,IF($F203*IF($C203="売",1+$AX$2,1-$AX$2)&lt;=30000,10,IF($F203*IF($C203="売",1+$AX$2,1-$AX$2)&lt;=50000,50,IF($F203*IF($C203="売",1+$AX$2,1-$AX$2)&lt;=300000,100,500)))))),FLOOR($F203*IF($C203="売",1+$AX$2,1-$AX$2),IF($F203*IF($C203="売",1+$AX$2,1-$AX$2)&lt;=3000,1,IF($F203*IF($C203="売",1+$AX$2,1-$AX$2)&lt;=5000,5,IF($F203*IF($C203="売",1+$AX$2,1-$AX$2)&lt;=30000,10,IF($F203*IF($C203="売",1+$AX$2,1-$AX$2)&lt;=50000,50,IF($F203*IF($C203="売",1+$AX$2,1-$AX$2)&lt;=300000,100,500))))))))</f>
      </c>
      <c r="O203" s="478" t="str">
        <f>IF(OR($B203="",$F203="",$H203=""),"",IF($S203="✅売却済","―決済済―",IF($C203="売",IF($H203&lt;=$M203,"🟢利確",IF(AND($R203&lt;&gt;"",$H203&gt;=$R203),"🟠TRAIL決済",IF($H203&gt;=$N203,"🔴損切",IF($W203&gt;=$AX$5,"⏱時間決済",IF($H203&gt;=$F203*(1+$AX$2*0.7),"⚠️損切接近","保持継続"))))),IF($H203&gt;=$M203,"🟢利確",IF(AND($R203&lt;&gt;"",$H203&lt;=$R203),"🟠TRAIL決済",IF($H203&lt;=$N203,"🔴損切",IF($W203&gt;=$AX$5,"⏱時間決済",IF($H203&lt;=$F203*(1-$AX$2*0.7),"⚠️損切接近","保持継続")))))))</f>
      </c>
      <c r="P203" s="445"/>
      <c r="Q203" s="445"/>
      <c r="R203" s="480" t="str">
        <f>IF(OR($F203="",$H203="",$N203=""),"",IF($S203="✅売却済","",IF($C203="売",IF($H203&gt;$F203*(1-$AX$2),$N203,CEILING(MIN($N203,IF($Q203="",$N203,$Q203*1.03)),IF($N203&lt;=3000,1,IF($N203&lt;=5000,5,IF($N203&lt;=30000,10,IF($N203&lt;=50000,50,IF($N203&lt;=300000,100,500))))))),IF($H203&lt;$F203*(1+$AX$2),$N203,FLOOR(MAX($N203,IF($P203="",$N203,$P203*0.97)),IF($N203&lt;=3000,1,IF($N203&lt;=5000,5,IF($N203&lt;=30000,10,IF($N203&lt;=50000,50,IF($N203&lt;=300000,100,500))))))))))</f>
      </c>
      <c r="S203" s="480" t="str">
        <f>IF(B203="","",IF(T203&lt;&gt;"","✅売却済",IF(OR(H203="",L203=""),"📌保有中",IF(L203&gt;=0.06,"🟢利確推奨",IF(L203&gt;=0.05,"🟡利確直近",IF(L203&gt;=0.045,"🔵トレーリング検討",IF(L203&gt;-0.03,"📌保有中",IF(L203&gt;-0.04,"⚠️損切注意","🔴損切り"))))))))</f>
        <v/>
      </c>
      <c r="T203" s="596"/>
      <c r="U203" s="598"/>
      <c r="V203" s="703" t="str">
        <f>IF(OR(F203="",G203="",U203=""),"",IF(C203="売",(F203-U203)*G203,(U203-F203)*G203))</f>
        <v/>
      </c>
      <c r="W203" s="480" t="str">
        <f>IF(OR($E203="",$B203=""),"",IF($T203&lt;&gt;"",$T203-$E203,TODAY()-$E203)+1)</f>
        <v/>
      </c>
      <c r="X203" s="480" t="str">
        <f>IF(OR($AH203="",$AH203="保有中"),"",$AH203)</f>
        <v/>
      </c>
      <c r="Y203" s="488">
        <f>IF($B203="","",IF(COUNTIFS($B$4:$B203,$B203,$C$4:$C203,$C203)&gt;1,"⛔重複"&amp;COUNTIFS($B$4:$B203,$B203,$C$4:$C203,$C203)&amp;"回目",""))</f>
      </c>
      <c r="Z203" s="710"/>
      <c r="AB203">
        <f>IF($F203="","",MAX(100,ROUNDDOWN($AX$4/($F203*$AX$2)/100,0)*100))</f>
      </c>
      <c r="AC203">
        <f>IF(OR($F203="",$G203="",$U203=""),"",ROUND($V203-($F203+$U203)*$G203*$AX$6-IF($C203="売",$F203*$G203*$AX$7*$W203/365,0),0))</f>
      </c>
      <c r="AD203" s="608"/>
      <c r="AE203" s="600" t="str">
        <f>IF($E203="","",WORKDAY($E203,12))</f>
        <v/>
      </c>
      <c r="AF203" s="600"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0"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0" t="str">
        <f>IF(OR($B203="",$M203=""),"",IF(AND(N($AF203)=0,N($AG203)=0),IF(AND(ISNUMBER($H203),$H203&gt;0,IF($C203="売",$H203&gt;=$N203,$H203&lt;=$N203)),"損切確定",IF(AND(ISNUMBER($H203),$H203&gt;0,IF($C203="売",$H203&lt;=$M203,$H203&gt;=$M203)),"利益確定",IF($AE203&lt;=TODAY(),"日数制限","保有中"))),IF(N($AG203)=0,"利益確定",IF(N($AF203)=0,"損切確定",IF($AG203&lt;=$AF203,"損切確定","利益確定")))))</f>
        <v/>
      </c>
      <c r="AI203" s="600" t="str" cm="1">
        <f t="array" ref="AI203">IFERROR(INDEX(始値!$E$6:$BT$305,MATCH(TEXT($B203,"0"),TEXT(銘柄管理!$B$6:$B$305,"0"),0),MATCH($AE203,始値!$E$3:$BT$3,0)),"")</f>
        <v/>
      </c>
      <c r="AJ203" s="608" t="str">
        <f>IF(OR($V203="",$F203="",$G203=""),"",$V203/($F203*$G203))</f>
        <v/>
      </c>
      <c r="AK203" s="600" t="str">
        <f>IF($V203="","",IF($V203&gt;0,"○勝",IF($V203&lt;0,"●負","△引分")))</f>
        <v/>
      </c>
    </row>
    <row r="204" spans="1:37" ht="17.25" customHeight="1">
      <c r="A204" s="621" t="str">
        <f>IF(B204="","",HYPERLINK("https://kabutan.jp/stock/?code="&amp;B204,"株探"))</f>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IF(OR(F204="",G204="",H204=""),"",IF(C204="売",(F204-H204)*G204,(H204-F204)*G204))</f>
        <v/>
      </c>
      <c r="L204" s="708" t="str">
        <f>IF(OR(F204="",H204=""),"",IF(C204="売",(F204-H204)/F204,(H204-F204)/F204))</f>
        <v/>
      </c>
      <c r="M204" s="598" t="str">
        <f>IF($F204="","",IF($C204="売",CEILING($F204*IF($C204="売",1-$AX$3,1+$AX$3),IF($F204*IF($C204="売",1-$AX$3,1+$AX$3)&lt;=3000,1,IF($F204*IF($C204="売",1-$AX$3,1+$AX$3)&lt;=5000,5,IF($F204*IF($C204="売",1-$AX$3,1+$AX$3)&lt;=30000,10,IF($F204*IF($C204="売",1-$AX$3,1+$AX$3)&lt;=50000,50,IF($F204*IF($C204="売",1-$AX$3,1+$AX$3)&lt;=300000,100,500)))))),FLOOR($F204*IF($C204="売",1-$AX$3,1+$AX$3),IF($F204*IF($C204="売",1-$AX$3,1+$AX$3)&lt;=3000,1,IF($F204*IF($C204="売",1-$AX$3,1+$AX$3)&lt;=5000,5,IF($F204*IF($C204="売",1-$AX$3,1+$AX$3)&lt;=30000,10,IF($F204*IF($C204="売",1-$AX$3,1+$AX$3)&lt;=50000,50,IF($F204*IF($C204="売",1-$AX$3,1+$AX$3)&lt;=300000,100,500))))))))</f>
      </c>
      <c r="N204" s="598" t="str">
        <f>IF($F204="","",IF($C204="売",CEILING($F204*IF($C204="売",1+$AX$2,1-$AX$2),IF($F204*IF($C204="売",1+$AX$2,1-$AX$2)&lt;=3000,1,IF($F204*IF($C204="売",1+$AX$2,1-$AX$2)&lt;=5000,5,IF($F204*IF($C204="売",1+$AX$2,1-$AX$2)&lt;=30000,10,IF($F204*IF($C204="売",1+$AX$2,1-$AX$2)&lt;=50000,50,IF($F204*IF($C204="売",1+$AX$2,1-$AX$2)&lt;=300000,100,500)))))),FLOOR($F204*IF($C204="売",1+$AX$2,1-$AX$2),IF($F204*IF($C204="売",1+$AX$2,1-$AX$2)&lt;=3000,1,IF($F204*IF($C204="売",1+$AX$2,1-$AX$2)&lt;=5000,5,IF($F204*IF($C204="売",1+$AX$2,1-$AX$2)&lt;=30000,10,IF($F204*IF($C204="売",1+$AX$2,1-$AX$2)&lt;=50000,50,IF($F204*IF($C204="売",1+$AX$2,1-$AX$2)&lt;=300000,100,500))))))))</f>
      </c>
      <c r="O204" s="478" t="str">
        <f>IF(OR($B204="",$F204="",$H204=""),"",IF($S204="✅売却済","―決済済―",IF($C204="売",IF($H204&lt;=$M204,"🟢利確",IF(AND($R204&lt;&gt;"",$H204&gt;=$R204),"🟠TRAIL決済",IF($H204&gt;=$N204,"🔴損切",IF($W204&gt;=$AX$5,"⏱時間決済",IF($H204&gt;=$F204*(1+$AX$2*0.7),"⚠️損切接近","保持継続"))))),IF($H204&gt;=$M204,"🟢利確",IF(AND($R204&lt;&gt;"",$H204&lt;=$R204),"🟠TRAIL決済",IF($H204&lt;=$N204,"🔴損切",IF($W204&gt;=$AX$5,"⏱時間決済",IF($H204&lt;=$F204*(1-$AX$2*0.7),"⚠️損切接近","保持継続")))))))</f>
      </c>
      <c r="P204" s="445"/>
      <c r="Q204" s="445"/>
      <c r="R204" s="480" t="str">
        <f>IF(OR($F204="",$H204="",$N204=""),"",IF($S204="✅売却済","",IF($C204="売",IF($H204&gt;$F204*(1-$AX$2),$N204,CEILING(MIN($N204,IF($Q204="",$N204,$Q204*1.03)),IF($N204&lt;=3000,1,IF($N204&lt;=5000,5,IF($N204&lt;=30000,10,IF($N204&lt;=50000,50,IF($N204&lt;=300000,100,500))))))),IF($H204&lt;$F204*(1+$AX$2),$N204,FLOOR(MAX($N204,IF($P204="",$N204,$P204*0.97)),IF($N204&lt;=3000,1,IF($N204&lt;=5000,5,IF($N204&lt;=30000,10,IF($N204&lt;=50000,50,IF($N204&lt;=300000,100,500))))))))))</f>
      </c>
      <c r="S204" s="480" t="str">
        <f>IF(B204="","",IF(T204&lt;&gt;"","✅売却済",IF(OR(H204="",L204=""),"📌保有中",IF(L204&gt;=0.06,"🟢利確推奨",IF(L204&gt;=0.05,"🟡利確直近",IF(L204&gt;=0.045,"🔵トレーリング検討",IF(L204&gt;-0.03,"📌保有中",IF(L204&gt;-0.04,"⚠️損切注意","🔴損切り"))))))))</f>
        <v/>
      </c>
      <c r="T204" s="596"/>
      <c r="U204" s="598"/>
      <c r="V204" s="703" t="str">
        <f>IF(OR(F204="",G204="",U204=""),"",IF(C204="売",(F204-U204)*G204,(U204-F204)*G204))</f>
        <v/>
      </c>
      <c r="W204" s="480" t="str">
        <f>IF(OR($E204="",$B204=""),"",IF($T204&lt;&gt;"",$T204-$E204,TODAY()-$E204)+1)</f>
        <v/>
      </c>
      <c r="X204" s="480" t="str">
        <f>IF(OR($AH204="",$AH204="保有中"),"",$AH204)</f>
        <v/>
      </c>
      <c r="Y204" s="488">
        <f>IF($B204="","",IF(COUNTIFS($B$4:$B204,$B204,$C$4:$C204,$C204)&gt;1,"⛔重複"&amp;COUNTIFS($B$4:$B204,$B204,$C$4:$C204,$C204)&amp;"回目",""))</f>
      </c>
      <c r="Z204" s="710"/>
      <c r="AB204">
        <f>IF($F204="","",MAX(100,ROUNDDOWN($AX$4/($F204*$AX$2)/100,0)*100))</f>
      </c>
      <c r="AC204">
        <f>IF(OR($F204="",$G204="",$U204=""),"",ROUND($V204-($F204+$U204)*$G204*$AX$6-IF($C204="売",$F204*$G204*$AX$7*$W204/365,0),0))</f>
      </c>
      <c r="AD204" s="608"/>
      <c r="AE204" s="600" t="str">
        <f>IF($E204="","",WORKDAY($E204,12))</f>
        <v/>
      </c>
      <c r="AF204" s="600"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0"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0" t="str">
        <f>IF(OR($B204="",$M204=""),"",IF(AND(N($AF204)=0,N($AG204)=0),IF(AND(ISNUMBER($H204),$H204&gt;0,IF($C204="売",$H204&gt;=$N204,$H204&lt;=$N204)),"損切確定",IF(AND(ISNUMBER($H204),$H204&gt;0,IF($C204="売",$H204&lt;=$M204,$H204&gt;=$M204)),"利益確定",IF($AE204&lt;=TODAY(),"日数制限","保有中"))),IF(N($AG204)=0,"利益確定",IF(N($AF204)=0,"損切確定",IF($AG204&lt;=$AF204,"損切確定","利益確定")))))</f>
        <v/>
      </c>
      <c r="AI204" s="600" t="str" cm="1">
        <f t="array" ref="AI204">IFERROR(INDEX(始値!$E$6:$BT$305,MATCH(TEXT($B204,"0"),TEXT(銘柄管理!$B$6:$B$305,"0"),0),MATCH($AE204,始値!$E$3:$BT$3,0)),"")</f>
        <v/>
      </c>
      <c r="AJ204" s="608" t="str">
        <f>IF(OR($V204="",$F204="",$G204=""),"",$V204/($F204*$G204))</f>
        <v/>
      </c>
      <c r="AK204" s="600" t="str">
        <f>IF($V204="","",IF($V204&gt;0,"○勝",IF($V204&lt;0,"●負","△引分")))</f>
        <v/>
      </c>
    </row>
    <row r="205" spans="1:37" ht="17.25" customHeight="1">
      <c r="A205" s="621" t="str">
        <f>IF(B205="","",HYPERLINK("https://kabutan.jp/stock/?code="&amp;B205,"株探"))</f>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IF(OR(F205="",G205="",H205=""),"",IF(C205="売",(F205-H205)*G205,(H205-F205)*G205))</f>
        <v/>
      </c>
      <c r="L205" s="708" t="str">
        <f>IF(OR(F205="",H205=""),"",IF(C205="売",(F205-H205)/F205,(H205-F205)/F205))</f>
        <v/>
      </c>
      <c r="M205" s="598" t="str">
        <f>IF($F205="","",IF($C205="売",CEILING($F205*IF($C205="売",1-$AX$3,1+$AX$3),IF($F205*IF($C205="売",1-$AX$3,1+$AX$3)&lt;=3000,1,IF($F205*IF($C205="売",1-$AX$3,1+$AX$3)&lt;=5000,5,IF($F205*IF($C205="売",1-$AX$3,1+$AX$3)&lt;=30000,10,IF($F205*IF($C205="売",1-$AX$3,1+$AX$3)&lt;=50000,50,IF($F205*IF($C205="売",1-$AX$3,1+$AX$3)&lt;=300000,100,500)))))),FLOOR($F205*IF($C205="売",1-$AX$3,1+$AX$3),IF($F205*IF($C205="売",1-$AX$3,1+$AX$3)&lt;=3000,1,IF($F205*IF($C205="売",1-$AX$3,1+$AX$3)&lt;=5000,5,IF($F205*IF($C205="売",1-$AX$3,1+$AX$3)&lt;=30000,10,IF($F205*IF($C205="売",1-$AX$3,1+$AX$3)&lt;=50000,50,IF($F205*IF($C205="売",1-$AX$3,1+$AX$3)&lt;=300000,100,500))))))))</f>
      </c>
      <c r="N205" s="598" t="str">
        <f>IF($F205="","",IF($C205="売",CEILING($F205*IF($C205="売",1+$AX$2,1-$AX$2),IF($F205*IF($C205="売",1+$AX$2,1-$AX$2)&lt;=3000,1,IF($F205*IF($C205="売",1+$AX$2,1-$AX$2)&lt;=5000,5,IF($F205*IF($C205="売",1+$AX$2,1-$AX$2)&lt;=30000,10,IF($F205*IF($C205="売",1+$AX$2,1-$AX$2)&lt;=50000,50,IF($F205*IF($C205="売",1+$AX$2,1-$AX$2)&lt;=300000,100,500)))))),FLOOR($F205*IF($C205="売",1+$AX$2,1-$AX$2),IF($F205*IF($C205="売",1+$AX$2,1-$AX$2)&lt;=3000,1,IF($F205*IF($C205="売",1+$AX$2,1-$AX$2)&lt;=5000,5,IF($F205*IF($C205="売",1+$AX$2,1-$AX$2)&lt;=30000,10,IF($F205*IF($C205="売",1+$AX$2,1-$AX$2)&lt;=50000,50,IF($F205*IF($C205="売",1+$AX$2,1-$AX$2)&lt;=300000,100,500))))))))</f>
      </c>
      <c r="O205" s="478" t="str">
        <f>IF(OR($B205="",$F205="",$H205=""),"",IF($S205="✅売却済","―決済済―",IF($C205="売",IF($H205&lt;=$M205,"🟢利確",IF(AND($R205&lt;&gt;"",$H205&gt;=$R205),"🟠TRAIL決済",IF($H205&gt;=$N205,"🔴損切",IF($W205&gt;=$AX$5,"⏱時間決済",IF($H205&gt;=$F205*(1+$AX$2*0.7),"⚠️損切接近","保持継続"))))),IF($H205&gt;=$M205,"🟢利確",IF(AND($R205&lt;&gt;"",$H205&lt;=$R205),"🟠TRAIL決済",IF($H205&lt;=$N205,"🔴損切",IF($W205&gt;=$AX$5,"⏱時間決済",IF($H205&lt;=$F205*(1-$AX$2*0.7),"⚠️損切接近","保持継続")))))))</f>
      </c>
      <c r="P205" s="445"/>
      <c r="Q205" s="445"/>
      <c r="R205" s="480" t="str">
        <f>IF(OR($F205="",$H205="",$N205=""),"",IF($S205="✅売却済","",IF($C205="売",IF($H205&gt;$F205*(1-$AX$2),$N205,CEILING(MIN($N205,IF($Q205="",$N205,$Q205*1.03)),IF($N205&lt;=3000,1,IF($N205&lt;=5000,5,IF($N205&lt;=30000,10,IF($N205&lt;=50000,50,IF($N205&lt;=300000,100,500))))))),IF($H205&lt;$F205*(1+$AX$2),$N205,FLOOR(MAX($N205,IF($P205="",$N205,$P205*0.97)),IF($N205&lt;=3000,1,IF($N205&lt;=5000,5,IF($N205&lt;=30000,10,IF($N205&lt;=50000,50,IF($N205&lt;=300000,100,500))))))))))</f>
      </c>
      <c r="S205" s="480" t="str">
        <f>IF(B205="","",IF(T205&lt;&gt;"","✅売却済",IF(OR(H205="",L205=""),"📌保有中",IF(L205&gt;=0.06,"🟢利確推奨",IF(L205&gt;=0.05,"🟡利確直近",IF(L205&gt;=0.045,"🔵トレーリング検討",IF(L205&gt;-0.03,"📌保有中",IF(L205&gt;-0.04,"⚠️損切注意","🔴損切り"))))))))</f>
        <v/>
      </c>
      <c r="T205" s="596"/>
      <c r="U205" s="598"/>
      <c r="V205" s="703" t="str">
        <f>IF(OR(F205="",G205="",U205=""),"",IF(C205="売",(F205-U205)*G205,(U205-F205)*G205))</f>
        <v/>
      </c>
      <c r="W205" s="480" t="str">
        <f>IF(OR($E205="",$B205=""),"",IF($T205&lt;&gt;"",$T205-$E205,TODAY()-$E205)+1)</f>
        <v/>
      </c>
      <c r="X205" s="480" t="str">
        <f>IF(OR($AH205="",$AH205="保有中"),"",$AH205)</f>
        <v/>
      </c>
      <c r="Y205" s="488">
        <f>IF($B205="","",IF(COUNTIFS($B$4:$B205,$B205,$C$4:$C205,$C205)&gt;1,"⛔重複"&amp;COUNTIFS($B$4:$B205,$B205,$C$4:$C205,$C205)&amp;"回目",""))</f>
      </c>
      <c r="Z205" s="710"/>
      <c r="AB205">
        <f>IF($F205="","",MAX(100,ROUNDDOWN($AX$4/($F205*$AX$2)/100,0)*100))</f>
      </c>
      <c r="AC205">
        <f>IF(OR($F205="",$G205="",$U205=""),"",ROUND($V205-($F205+$U205)*$G205*$AX$6-IF($C205="売",$F205*$G205*$AX$7*$W205/365,0),0))</f>
      </c>
      <c r="AD205" s="608"/>
      <c r="AE205" s="600" t="str">
        <f>IF($E205="","",WORKDAY($E205,12))</f>
        <v/>
      </c>
      <c r="AF205" s="600"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0"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0" t="str">
        <f>IF(OR($B205="",$M205=""),"",IF(AND(N($AF205)=0,N($AG205)=0),IF(AND(ISNUMBER($H205),$H205&gt;0,IF($C205="売",$H205&gt;=$N205,$H205&lt;=$N205)),"損切確定",IF(AND(ISNUMBER($H205),$H205&gt;0,IF($C205="売",$H205&lt;=$M205,$H205&gt;=$M205)),"利益確定",IF($AE205&lt;=TODAY(),"日数制限","保有中"))),IF(N($AG205)=0,"利益確定",IF(N($AF205)=0,"損切確定",IF($AG205&lt;=$AF205,"損切確定","利益確定")))))</f>
        <v/>
      </c>
      <c r="AI205" s="600" t="str" cm="1">
        <f t="array" ref="AI205">IFERROR(INDEX(始値!$E$6:$BT$305,MATCH(TEXT($B205,"0"),TEXT(銘柄管理!$B$6:$B$305,"0"),0),MATCH($AE205,始値!$E$3:$BT$3,0)),"")</f>
        <v/>
      </c>
      <c r="AJ205" s="608" t="str">
        <f>IF(OR($V205="",$F205="",$G205=""),"",$V205/($F205*$G205))</f>
        <v/>
      </c>
      <c r="AK205" s="600" t="str">
        <f>IF($V205="","",IF($V205&gt;0,"○勝",IF($V205&lt;0,"●負","△引分")))</f>
        <v/>
      </c>
    </row>
    <row r="206" spans="1:37" ht="17.25" customHeight="1">
      <c r="A206" s="621" t="str">
        <f>IF(B206="","",HYPERLINK("https://kabutan.jp/stock/?code="&amp;B206,"株探"))</f>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IF(OR(F206="",G206="",H206=""),"",IF(C206="売",(F206-H206)*G206,(H206-F206)*G206))</f>
        <v/>
      </c>
      <c r="L206" s="708" t="str">
        <f>IF(OR(F206="",H206=""),"",IF(C206="売",(F206-H206)/F206,(H206-F206)/F206))</f>
        <v/>
      </c>
      <c r="M206" s="598" t="str">
        <f>IF($F206="","",IF($C206="売",CEILING($F206*IF($C206="売",1-$AX$3,1+$AX$3),IF($F206*IF($C206="売",1-$AX$3,1+$AX$3)&lt;=3000,1,IF($F206*IF($C206="売",1-$AX$3,1+$AX$3)&lt;=5000,5,IF($F206*IF($C206="売",1-$AX$3,1+$AX$3)&lt;=30000,10,IF($F206*IF($C206="売",1-$AX$3,1+$AX$3)&lt;=50000,50,IF($F206*IF($C206="売",1-$AX$3,1+$AX$3)&lt;=300000,100,500)))))),FLOOR($F206*IF($C206="売",1-$AX$3,1+$AX$3),IF($F206*IF($C206="売",1-$AX$3,1+$AX$3)&lt;=3000,1,IF($F206*IF($C206="売",1-$AX$3,1+$AX$3)&lt;=5000,5,IF($F206*IF($C206="売",1-$AX$3,1+$AX$3)&lt;=30000,10,IF($F206*IF($C206="売",1-$AX$3,1+$AX$3)&lt;=50000,50,IF($F206*IF($C206="売",1-$AX$3,1+$AX$3)&lt;=300000,100,500))))))))</f>
      </c>
      <c r="N206" s="598" t="str">
        <f>IF($F206="","",IF($C206="売",CEILING($F206*IF($C206="売",1+$AX$2,1-$AX$2),IF($F206*IF($C206="売",1+$AX$2,1-$AX$2)&lt;=3000,1,IF($F206*IF($C206="売",1+$AX$2,1-$AX$2)&lt;=5000,5,IF($F206*IF($C206="売",1+$AX$2,1-$AX$2)&lt;=30000,10,IF($F206*IF($C206="売",1+$AX$2,1-$AX$2)&lt;=50000,50,IF($F206*IF($C206="売",1+$AX$2,1-$AX$2)&lt;=300000,100,500)))))),FLOOR($F206*IF($C206="売",1+$AX$2,1-$AX$2),IF($F206*IF($C206="売",1+$AX$2,1-$AX$2)&lt;=3000,1,IF($F206*IF($C206="売",1+$AX$2,1-$AX$2)&lt;=5000,5,IF($F206*IF($C206="売",1+$AX$2,1-$AX$2)&lt;=30000,10,IF($F206*IF($C206="売",1+$AX$2,1-$AX$2)&lt;=50000,50,IF($F206*IF($C206="売",1+$AX$2,1-$AX$2)&lt;=300000,100,500))))))))</f>
      </c>
      <c r="O206" s="478" t="str">
        <f>IF(OR($B206="",$F206="",$H206=""),"",IF($S206="✅売却済","―決済済―",IF($C206="売",IF($H206&lt;=$M206,"🟢利確",IF(AND($R206&lt;&gt;"",$H206&gt;=$R206),"🟠TRAIL決済",IF($H206&gt;=$N206,"🔴損切",IF($W206&gt;=$AX$5,"⏱時間決済",IF($H206&gt;=$F206*(1+$AX$2*0.7),"⚠️損切接近","保持継続"))))),IF($H206&gt;=$M206,"🟢利確",IF(AND($R206&lt;&gt;"",$H206&lt;=$R206),"🟠TRAIL決済",IF($H206&lt;=$N206,"🔴損切",IF($W206&gt;=$AX$5,"⏱時間決済",IF($H206&lt;=$F206*(1-$AX$2*0.7),"⚠️損切接近","保持継続")))))))</f>
      </c>
      <c r="P206" s="445"/>
      <c r="Q206" s="445"/>
      <c r="R206" s="480" t="str">
        <f>IF(OR($F206="",$H206="",$N206=""),"",IF($S206="✅売却済","",IF($C206="売",IF($H206&gt;$F206*(1-$AX$2),$N206,CEILING(MIN($N206,IF($Q206="",$N206,$Q206*1.03)),IF($N206&lt;=3000,1,IF($N206&lt;=5000,5,IF($N206&lt;=30000,10,IF($N206&lt;=50000,50,IF($N206&lt;=300000,100,500))))))),IF($H206&lt;$F206*(1+$AX$2),$N206,FLOOR(MAX($N206,IF($P206="",$N206,$P206*0.97)),IF($N206&lt;=3000,1,IF($N206&lt;=5000,5,IF($N206&lt;=30000,10,IF($N206&lt;=50000,50,IF($N206&lt;=300000,100,500))))))))))</f>
      </c>
      <c r="S206" s="480" t="str">
        <f>IF(B206="","",IF(T206&lt;&gt;"","✅売却済",IF(OR(H206="",L206=""),"📌保有中",IF(L206&gt;=0.06,"🟢利確推奨",IF(L206&gt;=0.05,"🟡利確直近",IF(L206&gt;=0.045,"🔵トレーリング検討",IF(L206&gt;-0.03,"📌保有中",IF(L206&gt;-0.04,"⚠️損切注意","🔴損切り"))))))))</f>
        <v/>
      </c>
      <c r="T206" s="596"/>
      <c r="U206" s="598"/>
      <c r="V206" s="703" t="str">
        <f>IF(OR(F206="",G206="",U206=""),"",IF(C206="売",(F206-U206)*G206,(U206-F206)*G206))</f>
        <v/>
      </c>
      <c r="W206" s="480" t="str">
        <f>IF(OR($E206="",$B206=""),"",IF($T206&lt;&gt;"",$T206-$E206,TODAY()-$E206)+1)</f>
        <v/>
      </c>
      <c r="X206" s="480" t="str">
        <f>IF(OR($AH206="",$AH206="保有中"),"",$AH206)</f>
        <v/>
      </c>
      <c r="Y206" s="488">
        <f>IF($B206="","",IF(COUNTIFS($B$4:$B206,$B206,$C$4:$C206,$C206)&gt;1,"⛔重複"&amp;COUNTIFS($B$4:$B206,$B206,$C$4:$C206,$C206)&amp;"回目",""))</f>
      </c>
      <c r="Z206" s="710"/>
      <c r="AB206">
        <f>IF($F206="","",MAX(100,ROUNDDOWN($AX$4/($F206*$AX$2)/100,0)*100))</f>
      </c>
      <c r="AC206">
        <f>IF(OR($F206="",$G206="",$U206=""),"",ROUND($V206-($F206+$U206)*$G206*$AX$6-IF($C206="売",$F206*$G206*$AX$7*$W206/365,0),0))</f>
      </c>
      <c r="AD206" s="608"/>
      <c r="AE206" s="600" t="str">
        <f>IF($E206="","",WORKDAY($E206,12))</f>
        <v/>
      </c>
      <c r="AF206" s="600"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0"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0" t="str">
        <f>IF(OR($B206="",$M206=""),"",IF(AND(N($AF206)=0,N($AG206)=0),IF(AND(ISNUMBER($H206),$H206&gt;0,IF($C206="売",$H206&gt;=$N206,$H206&lt;=$N206)),"損切確定",IF(AND(ISNUMBER($H206),$H206&gt;0,IF($C206="売",$H206&lt;=$M206,$H206&gt;=$M206)),"利益確定",IF($AE206&lt;=TODAY(),"日数制限","保有中"))),IF(N($AG206)=0,"利益確定",IF(N($AF206)=0,"損切確定",IF($AG206&lt;=$AF206,"損切確定","利益確定")))))</f>
        <v/>
      </c>
      <c r="AI206" s="600" t="str" cm="1">
        <f t="array" ref="AI206">IFERROR(INDEX(始値!$E$6:$BT$305,MATCH(TEXT($B206,"0"),TEXT(銘柄管理!$B$6:$B$305,"0"),0),MATCH($AE206,始値!$E$3:$BT$3,0)),"")</f>
        <v/>
      </c>
      <c r="AJ206" s="608" t="str">
        <f>IF(OR($V206="",$F206="",$G206=""),"",$V206/($F206*$G206))</f>
        <v/>
      </c>
      <c r="AK206" s="600" t="str">
        <f>IF($V206="","",IF($V206&gt;0,"○勝",IF($V206&lt;0,"●負","△引分")))</f>
        <v/>
      </c>
    </row>
    <row r="207" spans="1:37" ht="17.25" customHeight="1">
      <c r="A207" s="621" t="str">
        <f>IF(B207="","",HYPERLINK("https://kabutan.jp/stock/?code="&amp;B207,"株探"))</f>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IF(OR(F207="",G207="",H207=""),"",IF(C207="売",(F207-H207)*G207,(H207-F207)*G207))</f>
        <v/>
      </c>
      <c r="L207" s="708" t="str">
        <f>IF(OR(F207="",H207=""),"",IF(C207="売",(F207-H207)/F207,(H207-F207)/F207))</f>
        <v/>
      </c>
      <c r="M207" s="598" t="str">
        <f>IF($F207="","",IF($C207="売",CEILING($F207*IF($C207="売",1-$AX$3,1+$AX$3),IF($F207*IF($C207="売",1-$AX$3,1+$AX$3)&lt;=3000,1,IF($F207*IF($C207="売",1-$AX$3,1+$AX$3)&lt;=5000,5,IF($F207*IF($C207="売",1-$AX$3,1+$AX$3)&lt;=30000,10,IF($F207*IF($C207="売",1-$AX$3,1+$AX$3)&lt;=50000,50,IF($F207*IF($C207="売",1-$AX$3,1+$AX$3)&lt;=300000,100,500)))))),FLOOR($F207*IF($C207="売",1-$AX$3,1+$AX$3),IF($F207*IF($C207="売",1-$AX$3,1+$AX$3)&lt;=3000,1,IF($F207*IF($C207="売",1-$AX$3,1+$AX$3)&lt;=5000,5,IF($F207*IF($C207="売",1-$AX$3,1+$AX$3)&lt;=30000,10,IF($F207*IF($C207="売",1-$AX$3,1+$AX$3)&lt;=50000,50,IF($F207*IF($C207="売",1-$AX$3,1+$AX$3)&lt;=300000,100,500))))))))</f>
      </c>
      <c r="N207" s="598" t="str">
        <f>IF($F207="","",IF($C207="売",CEILING($F207*IF($C207="売",1+$AX$2,1-$AX$2),IF($F207*IF($C207="売",1+$AX$2,1-$AX$2)&lt;=3000,1,IF($F207*IF($C207="売",1+$AX$2,1-$AX$2)&lt;=5000,5,IF($F207*IF($C207="売",1+$AX$2,1-$AX$2)&lt;=30000,10,IF($F207*IF($C207="売",1+$AX$2,1-$AX$2)&lt;=50000,50,IF($F207*IF($C207="売",1+$AX$2,1-$AX$2)&lt;=300000,100,500)))))),FLOOR($F207*IF($C207="売",1+$AX$2,1-$AX$2),IF($F207*IF($C207="売",1+$AX$2,1-$AX$2)&lt;=3000,1,IF($F207*IF($C207="売",1+$AX$2,1-$AX$2)&lt;=5000,5,IF($F207*IF($C207="売",1+$AX$2,1-$AX$2)&lt;=30000,10,IF($F207*IF($C207="売",1+$AX$2,1-$AX$2)&lt;=50000,50,IF($F207*IF($C207="売",1+$AX$2,1-$AX$2)&lt;=300000,100,500))))))))</f>
      </c>
      <c r="O207" s="478" t="str">
        <f>IF(OR($B207="",$F207="",$H207=""),"",IF($S207="✅売却済","―決済済―",IF($C207="売",IF($H207&lt;=$M207,"🟢利確",IF(AND($R207&lt;&gt;"",$H207&gt;=$R207),"🟠TRAIL決済",IF($H207&gt;=$N207,"🔴損切",IF($W207&gt;=$AX$5,"⏱時間決済",IF($H207&gt;=$F207*(1+$AX$2*0.7),"⚠️損切接近","保持継続"))))),IF($H207&gt;=$M207,"🟢利確",IF(AND($R207&lt;&gt;"",$H207&lt;=$R207),"🟠TRAIL決済",IF($H207&lt;=$N207,"🔴損切",IF($W207&gt;=$AX$5,"⏱時間決済",IF($H207&lt;=$F207*(1-$AX$2*0.7),"⚠️損切接近","保持継続")))))))</f>
      </c>
      <c r="P207" s="445"/>
      <c r="Q207" s="445"/>
      <c r="R207" s="480" t="str">
        <f>IF(OR($F207="",$H207="",$N207=""),"",IF($S207="✅売却済","",IF($C207="売",IF($H207&gt;$F207*(1-$AX$2),$N207,CEILING(MIN($N207,IF($Q207="",$N207,$Q207*1.03)),IF($N207&lt;=3000,1,IF($N207&lt;=5000,5,IF($N207&lt;=30000,10,IF($N207&lt;=50000,50,IF($N207&lt;=300000,100,500))))))),IF($H207&lt;$F207*(1+$AX$2),$N207,FLOOR(MAX($N207,IF($P207="",$N207,$P207*0.97)),IF($N207&lt;=3000,1,IF($N207&lt;=5000,5,IF($N207&lt;=30000,10,IF($N207&lt;=50000,50,IF($N207&lt;=300000,100,500))))))))))</f>
      </c>
      <c r="S207" s="480" t="str">
        <f>IF(B207="","",IF(T207&lt;&gt;"","✅売却済",IF(OR(H207="",L207=""),"📌保有中",IF(L207&gt;=0.06,"🟢利確推奨",IF(L207&gt;=0.05,"🟡利確直近",IF(L207&gt;=0.045,"🔵トレーリング検討",IF(L207&gt;-0.03,"📌保有中",IF(L207&gt;-0.04,"⚠️損切注意","🔴損切り"))))))))</f>
        <v/>
      </c>
      <c r="T207" s="596"/>
      <c r="U207" s="598"/>
      <c r="V207" s="703" t="str">
        <f>IF(OR(F207="",G207="",U207=""),"",IF(C207="売",(F207-U207)*G207,(U207-F207)*G207))</f>
        <v/>
      </c>
      <c r="W207" s="480" t="str">
        <f>IF(OR($E207="",$B207=""),"",IF($T207&lt;&gt;"",$T207-$E207,TODAY()-$E207)+1)</f>
        <v/>
      </c>
      <c r="X207" s="480" t="str">
        <f>IF(OR($AH207="",$AH207="保有中"),"",$AH207)</f>
        <v/>
      </c>
      <c r="Y207" s="488">
        <f>IF($B207="","",IF(COUNTIFS($B$4:$B207,$B207,$C$4:$C207,$C207)&gt;1,"⛔重複"&amp;COUNTIFS($B$4:$B207,$B207,$C$4:$C207,$C207)&amp;"回目",""))</f>
      </c>
      <c r="Z207" s="710"/>
      <c r="AB207">
        <f>IF($F207="","",MAX(100,ROUNDDOWN($AX$4/($F207*$AX$2)/100,0)*100))</f>
      </c>
      <c r="AC207">
        <f>IF(OR($F207="",$G207="",$U207=""),"",ROUND($V207-($F207+$U207)*$G207*$AX$6-IF($C207="売",$F207*$G207*$AX$7*$W207/365,0),0))</f>
      </c>
      <c r="AD207" s="608"/>
      <c r="AE207" s="600" t="str">
        <f>IF($E207="","",WORKDAY($E207,12))</f>
        <v/>
      </c>
      <c r="AF207" s="600"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0"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0" t="str">
        <f>IF(OR($B207="",$M207=""),"",IF(AND(N($AF207)=0,N($AG207)=0),IF(AND(ISNUMBER($H207),$H207&gt;0,IF($C207="売",$H207&gt;=$N207,$H207&lt;=$N207)),"損切確定",IF(AND(ISNUMBER($H207),$H207&gt;0,IF($C207="売",$H207&lt;=$M207,$H207&gt;=$M207)),"利益確定",IF($AE207&lt;=TODAY(),"日数制限","保有中"))),IF(N($AG207)=0,"利益確定",IF(N($AF207)=0,"損切確定",IF($AG207&lt;=$AF207,"損切確定","利益確定")))))</f>
        <v/>
      </c>
      <c r="AI207" s="600" t="str" cm="1">
        <f t="array" ref="AI207">IFERROR(INDEX(始値!$E$6:$BT$305,MATCH(TEXT($B207,"0"),TEXT(銘柄管理!$B$6:$B$305,"0"),0),MATCH($AE207,始値!$E$3:$BT$3,0)),"")</f>
        <v/>
      </c>
      <c r="AJ207" s="608" t="str">
        <f>IF(OR($V207="",$F207="",$G207=""),"",$V207/($F207*$G207))</f>
        <v/>
      </c>
      <c r="AK207" s="600" t="str">
        <f>IF($V207="","",IF($V207&gt;0,"○勝",IF($V207&lt;0,"●負","△引分")))</f>
        <v/>
      </c>
    </row>
    <row r="208" spans="1:37" ht="17.25" customHeight="1">
      <c r="A208" s="621" t="str">
        <f>IF(B208="","",HYPERLINK("https://kabutan.jp/stock/?code="&amp;B208,"株探"))</f>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IF(OR(F208="",G208="",H208=""),"",IF(C208="売",(F208-H208)*G208,(H208-F208)*G208))</f>
        <v/>
      </c>
      <c r="L208" s="708" t="str">
        <f>IF(OR(F208="",H208=""),"",IF(C208="売",(F208-H208)/F208,(H208-F208)/F208))</f>
        <v/>
      </c>
      <c r="M208" s="598" t="str">
        <f>IF($F208="","",IF($C208="売",CEILING($F208*IF($C208="売",1-$AX$3,1+$AX$3),IF($F208*IF($C208="売",1-$AX$3,1+$AX$3)&lt;=3000,1,IF($F208*IF($C208="売",1-$AX$3,1+$AX$3)&lt;=5000,5,IF($F208*IF($C208="売",1-$AX$3,1+$AX$3)&lt;=30000,10,IF($F208*IF($C208="売",1-$AX$3,1+$AX$3)&lt;=50000,50,IF($F208*IF($C208="売",1-$AX$3,1+$AX$3)&lt;=300000,100,500)))))),FLOOR($F208*IF($C208="売",1-$AX$3,1+$AX$3),IF($F208*IF($C208="売",1-$AX$3,1+$AX$3)&lt;=3000,1,IF($F208*IF($C208="売",1-$AX$3,1+$AX$3)&lt;=5000,5,IF($F208*IF($C208="売",1-$AX$3,1+$AX$3)&lt;=30000,10,IF($F208*IF($C208="売",1-$AX$3,1+$AX$3)&lt;=50000,50,IF($F208*IF($C208="売",1-$AX$3,1+$AX$3)&lt;=300000,100,500))))))))</f>
      </c>
      <c r="N208" s="598" t="str">
        <f>IF($F208="","",IF($C208="売",CEILING($F208*IF($C208="売",1+$AX$2,1-$AX$2),IF($F208*IF($C208="売",1+$AX$2,1-$AX$2)&lt;=3000,1,IF($F208*IF($C208="売",1+$AX$2,1-$AX$2)&lt;=5000,5,IF($F208*IF($C208="売",1+$AX$2,1-$AX$2)&lt;=30000,10,IF($F208*IF($C208="売",1+$AX$2,1-$AX$2)&lt;=50000,50,IF($F208*IF($C208="売",1+$AX$2,1-$AX$2)&lt;=300000,100,500)))))),FLOOR($F208*IF($C208="売",1+$AX$2,1-$AX$2),IF($F208*IF($C208="売",1+$AX$2,1-$AX$2)&lt;=3000,1,IF($F208*IF($C208="売",1+$AX$2,1-$AX$2)&lt;=5000,5,IF($F208*IF($C208="売",1+$AX$2,1-$AX$2)&lt;=30000,10,IF($F208*IF($C208="売",1+$AX$2,1-$AX$2)&lt;=50000,50,IF($F208*IF($C208="売",1+$AX$2,1-$AX$2)&lt;=300000,100,500))))))))</f>
      </c>
      <c r="O208" s="478" t="str">
        <f>IF(OR($B208="",$F208="",$H208=""),"",IF($S208="✅売却済","―決済済―",IF($C208="売",IF($H208&lt;=$M208,"🟢利確",IF(AND($R208&lt;&gt;"",$H208&gt;=$R208),"🟠TRAIL決済",IF($H208&gt;=$N208,"🔴損切",IF($W208&gt;=$AX$5,"⏱時間決済",IF($H208&gt;=$F208*(1+$AX$2*0.7),"⚠️損切接近","保持継続"))))),IF($H208&gt;=$M208,"🟢利確",IF(AND($R208&lt;&gt;"",$H208&lt;=$R208),"🟠TRAIL決済",IF($H208&lt;=$N208,"🔴損切",IF($W208&gt;=$AX$5,"⏱時間決済",IF($H208&lt;=$F208*(1-$AX$2*0.7),"⚠️損切接近","保持継続")))))))</f>
      </c>
      <c r="P208" s="445"/>
      <c r="Q208" s="445"/>
      <c r="R208" s="480" t="str">
        <f>IF(OR($F208="",$H208="",$N208=""),"",IF($S208="✅売却済","",IF($C208="売",IF($H208&gt;$F208*(1-$AX$2),$N208,CEILING(MIN($N208,IF($Q208="",$N208,$Q208*1.03)),IF($N208&lt;=3000,1,IF($N208&lt;=5000,5,IF($N208&lt;=30000,10,IF($N208&lt;=50000,50,IF($N208&lt;=300000,100,500))))))),IF($H208&lt;$F208*(1+$AX$2),$N208,FLOOR(MAX($N208,IF($P208="",$N208,$P208*0.97)),IF($N208&lt;=3000,1,IF($N208&lt;=5000,5,IF($N208&lt;=30000,10,IF($N208&lt;=50000,50,IF($N208&lt;=300000,100,500))))))))))</f>
      </c>
      <c r="S208" s="480" t="str">
        <f>IF(B208="","",IF(T208&lt;&gt;"","✅売却済",IF(OR(H208="",L208=""),"📌保有中",IF(L208&gt;=0.06,"🟢利確推奨",IF(L208&gt;=0.05,"🟡利確直近",IF(L208&gt;=0.045,"🔵トレーリング検討",IF(L208&gt;-0.03,"📌保有中",IF(L208&gt;-0.04,"⚠️損切注意","🔴損切り"))))))))</f>
        <v/>
      </c>
      <c r="T208" s="596"/>
      <c r="U208" s="598"/>
      <c r="V208" s="703" t="str">
        <f>IF(OR(F208="",G208="",U208=""),"",IF(C208="売",(F208-U208)*G208,(U208-F208)*G208))</f>
        <v/>
      </c>
      <c r="W208" s="480" t="str">
        <f>IF(OR($E208="",$B208=""),"",IF($T208&lt;&gt;"",$T208-$E208,TODAY()-$E208)+1)</f>
        <v/>
      </c>
      <c r="X208" s="480" t="str">
        <f>IF(OR($AH208="",$AH208="保有中"),"",$AH208)</f>
        <v/>
      </c>
      <c r="Y208" s="488">
        <f>IF($B208="","",IF(COUNTIFS($B$4:$B208,$B208,$C$4:$C208,$C208)&gt;1,"⛔重複"&amp;COUNTIFS($B$4:$B208,$B208,$C$4:$C208,$C208)&amp;"回目",""))</f>
      </c>
      <c r="Z208" s="710"/>
      <c r="AB208">
        <f>IF($F208="","",MAX(100,ROUNDDOWN($AX$4/($F208*$AX$2)/100,0)*100))</f>
      </c>
      <c r="AC208">
        <f>IF(OR($F208="",$G208="",$U208=""),"",ROUND($V208-($F208+$U208)*$G208*$AX$6-IF($C208="売",$F208*$G208*$AX$7*$W208/365,0),0))</f>
      </c>
      <c r="AD208" s="608"/>
      <c r="AE208" s="600" t="str">
        <f>IF($E208="","",WORKDAY($E208,12))</f>
        <v/>
      </c>
      <c r="AF208" s="600"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0"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0" t="str">
        <f>IF(OR($B208="",$M208=""),"",IF(AND(N($AF208)=0,N($AG208)=0),IF(AND(ISNUMBER($H208),$H208&gt;0,IF($C208="売",$H208&gt;=$N208,$H208&lt;=$N208)),"損切確定",IF(AND(ISNUMBER($H208),$H208&gt;0,IF($C208="売",$H208&lt;=$M208,$H208&gt;=$M208)),"利益確定",IF($AE208&lt;=TODAY(),"日数制限","保有中"))),IF(N($AG208)=0,"利益確定",IF(N($AF208)=0,"損切確定",IF($AG208&lt;=$AF208,"損切確定","利益確定")))))</f>
        <v/>
      </c>
      <c r="AI208" s="600" t="str" cm="1">
        <f t="array" ref="AI208">IFERROR(INDEX(始値!$E$6:$BT$305,MATCH(TEXT($B208,"0"),TEXT(銘柄管理!$B$6:$B$305,"0"),0),MATCH($AE208,始値!$E$3:$BT$3,0)),"")</f>
        <v/>
      </c>
      <c r="AJ208" s="608" t="str">
        <f>IF(OR($V208="",$F208="",$G208=""),"",$V208/($F208*$G208))</f>
        <v/>
      </c>
      <c r="AK208" s="600" t="str">
        <f>IF($V208="","",IF($V208&gt;0,"○勝",IF($V208&lt;0,"●負","△引分")))</f>
        <v/>
      </c>
    </row>
    <row r="209" spans="1:37" ht="17.25" customHeight="1">
      <c r="A209" s="621" t="str">
        <f>IF(B209="","",HYPERLINK("https://kabutan.jp/stock/?code="&amp;B209,"株探"))</f>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IF(OR(F209="",G209="",H209=""),"",IF(C209="売",(F209-H209)*G209,(H209-F209)*G209))</f>
        <v/>
      </c>
      <c r="L209" s="708" t="str">
        <f>IF(OR(F209="",H209=""),"",IF(C209="売",(F209-H209)/F209,(H209-F209)/F209))</f>
        <v/>
      </c>
      <c r="M209" s="598" t="str">
        <f>IF($F209="","",IF($C209="売",CEILING($F209*IF($C209="売",1-$AX$3,1+$AX$3),IF($F209*IF($C209="売",1-$AX$3,1+$AX$3)&lt;=3000,1,IF($F209*IF($C209="売",1-$AX$3,1+$AX$3)&lt;=5000,5,IF($F209*IF($C209="売",1-$AX$3,1+$AX$3)&lt;=30000,10,IF($F209*IF($C209="売",1-$AX$3,1+$AX$3)&lt;=50000,50,IF($F209*IF($C209="売",1-$AX$3,1+$AX$3)&lt;=300000,100,500)))))),FLOOR($F209*IF($C209="売",1-$AX$3,1+$AX$3),IF($F209*IF($C209="売",1-$AX$3,1+$AX$3)&lt;=3000,1,IF($F209*IF($C209="売",1-$AX$3,1+$AX$3)&lt;=5000,5,IF($F209*IF($C209="売",1-$AX$3,1+$AX$3)&lt;=30000,10,IF($F209*IF($C209="売",1-$AX$3,1+$AX$3)&lt;=50000,50,IF($F209*IF($C209="売",1-$AX$3,1+$AX$3)&lt;=300000,100,500))))))))</f>
      </c>
      <c r="N209" s="598" t="str">
        <f>IF($F209="","",IF($C209="売",CEILING($F209*IF($C209="売",1+$AX$2,1-$AX$2),IF($F209*IF($C209="売",1+$AX$2,1-$AX$2)&lt;=3000,1,IF($F209*IF($C209="売",1+$AX$2,1-$AX$2)&lt;=5000,5,IF($F209*IF($C209="売",1+$AX$2,1-$AX$2)&lt;=30000,10,IF($F209*IF($C209="売",1+$AX$2,1-$AX$2)&lt;=50000,50,IF($F209*IF($C209="売",1+$AX$2,1-$AX$2)&lt;=300000,100,500)))))),FLOOR($F209*IF($C209="売",1+$AX$2,1-$AX$2),IF($F209*IF($C209="売",1+$AX$2,1-$AX$2)&lt;=3000,1,IF($F209*IF($C209="売",1+$AX$2,1-$AX$2)&lt;=5000,5,IF($F209*IF($C209="売",1+$AX$2,1-$AX$2)&lt;=30000,10,IF($F209*IF($C209="売",1+$AX$2,1-$AX$2)&lt;=50000,50,IF($F209*IF($C209="売",1+$AX$2,1-$AX$2)&lt;=300000,100,500))))))))</f>
      </c>
      <c r="O209" s="478" t="str">
        <f>IF(OR($B209="",$F209="",$H209=""),"",IF($S209="✅売却済","―決済済―",IF($C209="売",IF($H209&lt;=$M209,"🟢利確",IF(AND($R209&lt;&gt;"",$H209&gt;=$R209),"🟠TRAIL決済",IF($H209&gt;=$N209,"🔴損切",IF($W209&gt;=$AX$5,"⏱時間決済",IF($H209&gt;=$F209*(1+$AX$2*0.7),"⚠️損切接近","保持継続"))))),IF($H209&gt;=$M209,"🟢利確",IF(AND($R209&lt;&gt;"",$H209&lt;=$R209),"🟠TRAIL決済",IF($H209&lt;=$N209,"🔴損切",IF($W209&gt;=$AX$5,"⏱時間決済",IF($H209&lt;=$F209*(1-$AX$2*0.7),"⚠️損切接近","保持継続")))))))</f>
      </c>
      <c r="P209" s="445"/>
      <c r="Q209" s="445"/>
      <c r="R209" s="480" t="str">
        <f>IF(OR($F209="",$H209="",$N209=""),"",IF($S209="✅売却済","",IF($C209="売",IF($H209&gt;$F209*(1-$AX$2),$N209,CEILING(MIN($N209,IF($Q209="",$N209,$Q209*1.03)),IF($N209&lt;=3000,1,IF($N209&lt;=5000,5,IF($N209&lt;=30000,10,IF($N209&lt;=50000,50,IF($N209&lt;=300000,100,500))))))),IF($H209&lt;$F209*(1+$AX$2),$N209,FLOOR(MAX($N209,IF($P209="",$N209,$P209*0.97)),IF($N209&lt;=3000,1,IF($N209&lt;=5000,5,IF($N209&lt;=30000,10,IF($N209&lt;=50000,50,IF($N209&lt;=300000,100,500))))))))))</f>
      </c>
      <c r="S209" s="480" t="str">
        <f>IF(B209="","",IF(T209&lt;&gt;"","✅売却済",IF(OR(H209="",L209=""),"📌保有中",IF(L209&gt;=0.06,"🟢利確推奨",IF(L209&gt;=0.05,"🟡利確直近",IF(L209&gt;=0.045,"🔵トレーリング検討",IF(L209&gt;-0.03,"📌保有中",IF(L209&gt;-0.04,"⚠️損切注意","🔴損切り"))))))))</f>
        <v/>
      </c>
      <c r="T209" s="596"/>
      <c r="U209" s="598"/>
      <c r="V209" s="703" t="str">
        <f>IF(OR(F209="",G209="",U209=""),"",IF(C209="売",(F209-U209)*G209,(U209-F209)*G209))</f>
        <v/>
      </c>
      <c r="W209" s="480" t="str">
        <f>IF(OR($E209="",$B209=""),"",IF($T209&lt;&gt;"",$T209-$E209,TODAY()-$E209)+1)</f>
        <v/>
      </c>
      <c r="X209" s="480" t="str">
        <f>IF(OR($AH209="",$AH209="保有中"),"",$AH209)</f>
        <v/>
      </c>
      <c r="Y209" s="488">
        <f>IF($B209="","",IF(COUNTIFS($B$4:$B209,$B209,$C$4:$C209,$C209)&gt;1,"⛔重複"&amp;COUNTIFS($B$4:$B209,$B209,$C$4:$C209,$C209)&amp;"回目",""))</f>
      </c>
      <c r="Z209" s="710"/>
      <c r="AB209">
        <f>IF($F209="","",MAX(100,ROUNDDOWN($AX$4/($F209*$AX$2)/100,0)*100))</f>
      </c>
      <c r="AC209">
        <f>IF(OR($F209="",$G209="",$U209=""),"",ROUND($V209-($F209+$U209)*$G209*$AX$6-IF($C209="売",$F209*$G209*$AX$7*$W209/365,0),0))</f>
      </c>
      <c r="AD209" s="608"/>
      <c r="AE209" s="600" t="str">
        <f>IF($E209="","",WORKDAY($E209,12))</f>
        <v/>
      </c>
      <c r="AF209" s="600"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0"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0" t="str">
        <f>IF(OR($B209="",$M209=""),"",IF(AND(N($AF209)=0,N($AG209)=0),IF(AND(ISNUMBER($H209),$H209&gt;0,IF($C209="売",$H209&gt;=$N209,$H209&lt;=$N209)),"損切確定",IF(AND(ISNUMBER($H209),$H209&gt;0,IF($C209="売",$H209&lt;=$M209,$H209&gt;=$M209)),"利益確定",IF($AE209&lt;=TODAY(),"日数制限","保有中"))),IF(N($AG209)=0,"利益確定",IF(N($AF209)=0,"損切確定",IF($AG209&lt;=$AF209,"損切確定","利益確定")))))</f>
        <v/>
      </c>
      <c r="AI209" s="600" t="str" cm="1">
        <f t="array" ref="AI209">IFERROR(INDEX(始値!$E$6:$BT$305,MATCH(TEXT($B209,"0"),TEXT(銘柄管理!$B$6:$B$305,"0"),0),MATCH($AE209,始値!$E$3:$BT$3,0)),"")</f>
        <v/>
      </c>
      <c r="AJ209" s="608" t="str">
        <f>IF(OR($V209="",$F209="",$G209=""),"",$V209/($F209*$G209))</f>
        <v/>
      </c>
      <c r="AK209" s="600" t="str">
        <f>IF($V209="","",IF($V209&gt;0,"○勝",IF($V209&lt;0,"●負","△引分")))</f>
        <v/>
      </c>
    </row>
    <row r="210" spans="1:37" ht="17.25" customHeight="1">
      <c r="A210" s="621" t="str">
        <f>IF(B210="","",HYPERLINK("https://kabutan.jp/stock/?code="&amp;B210,"株探"))</f>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IF(OR(F210="",G210="",H210=""),"",IF(C210="売",(F210-H210)*G210,(H210-F210)*G210))</f>
        <v/>
      </c>
      <c r="L210" s="708" t="str">
        <f>IF(OR(F210="",H210=""),"",IF(C210="売",(F210-H210)/F210,(H210-F210)/F210))</f>
        <v/>
      </c>
      <c r="M210" s="598" t="str">
        <f>IF($F210="","",IF($C210="売",CEILING($F210*IF($C210="売",1-$AX$3,1+$AX$3),IF($F210*IF($C210="売",1-$AX$3,1+$AX$3)&lt;=3000,1,IF($F210*IF($C210="売",1-$AX$3,1+$AX$3)&lt;=5000,5,IF($F210*IF($C210="売",1-$AX$3,1+$AX$3)&lt;=30000,10,IF($F210*IF($C210="売",1-$AX$3,1+$AX$3)&lt;=50000,50,IF($F210*IF($C210="売",1-$AX$3,1+$AX$3)&lt;=300000,100,500)))))),FLOOR($F210*IF($C210="売",1-$AX$3,1+$AX$3),IF($F210*IF($C210="売",1-$AX$3,1+$AX$3)&lt;=3000,1,IF($F210*IF($C210="売",1-$AX$3,1+$AX$3)&lt;=5000,5,IF($F210*IF($C210="売",1-$AX$3,1+$AX$3)&lt;=30000,10,IF($F210*IF($C210="売",1-$AX$3,1+$AX$3)&lt;=50000,50,IF($F210*IF($C210="売",1-$AX$3,1+$AX$3)&lt;=300000,100,500))))))))</f>
      </c>
      <c r="N210" s="598" t="str">
        <f>IF($F210="","",IF($C210="売",CEILING($F210*IF($C210="売",1+$AX$2,1-$AX$2),IF($F210*IF($C210="売",1+$AX$2,1-$AX$2)&lt;=3000,1,IF($F210*IF($C210="売",1+$AX$2,1-$AX$2)&lt;=5000,5,IF($F210*IF($C210="売",1+$AX$2,1-$AX$2)&lt;=30000,10,IF($F210*IF($C210="売",1+$AX$2,1-$AX$2)&lt;=50000,50,IF($F210*IF($C210="売",1+$AX$2,1-$AX$2)&lt;=300000,100,500)))))),FLOOR($F210*IF($C210="売",1+$AX$2,1-$AX$2),IF($F210*IF($C210="売",1+$AX$2,1-$AX$2)&lt;=3000,1,IF($F210*IF($C210="売",1+$AX$2,1-$AX$2)&lt;=5000,5,IF($F210*IF($C210="売",1+$AX$2,1-$AX$2)&lt;=30000,10,IF($F210*IF($C210="売",1+$AX$2,1-$AX$2)&lt;=50000,50,IF($F210*IF($C210="売",1+$AX$2,1-$AX$2)&lt;=300000,100,500))))))))</f>
      </c>
      <c r="O210" s="478" t="str">
        <f>IF(OR($B210="",$F210="",$H210=""),"",IF($S210="✅売却済","―決済済―",IF($C210="売",IF($H210&lt;=$M210,"🟢利確",IF(AND($R210&lt;&gt;"",$H210&gt;=$R210),"🟠TRAIL決済",IF($H210&gt;=$N210,"🔴損切",IF($W210&gt;=$AX$5,"⏱時間決済",IF($H210&gt;=$F210*(1+$AX$2*0.7),"⚠️損切接近","保持継続"))))),IF($H210&gt;=$M210,"🟢利確",IF(AND($R210&lt;&gt;"",$H210&lt;=$R210),"🟠TRAIL決済",IF($H210&lt;=$N210,"🔴損切",IF($W210&gt;=$AX$5,"⏱時間決済",IF($H210&lt;=$F210*(1-$AX$2*0.7),"⚠️損切接近","保持継続")))))))</f>
      </c>
      <c r="P210" s="445"/>
      <c r="Q210" s="445"/>
      <c r="R210" s="480" t="str">
        <f>IF(OR($F210="",$H210="",$N210=""),"",IF($S210="✅売却済","",IF($C210="売",IF($H210&gt;$F210*(1-$AX$2),$N210,CEILING(MIN($N210,IF($Q210="",$N210,$Q210*1.03)),IF($N210&lt;=3000,1,IF($N210&lt;=5000,5,IF($N210&lt;=30000,10,IF($N210&lt;=50000,50,IF($N210&lt;=300000,100,500))))))),IF($H210&lt;$F210*(1+$AX$2),$N210,FLOOR(MAX($N210,IF($P210="",$N210,$P210*0.97)),IF($N210&lt;=3000,1,IF($N210&lt;=5000,5,IF($N210&lt;=30000,10,IF($N210&lt;=50000,50,IF($N210&lt;=300000,100,500))))))))))</f>
      </c>
      <c r="S210" s="480" t="str">
        <f>IF(B210="","",IF(T210&lt;&gt;"","✅売却済",IF(OR(H210="",L210=""),"📌保有中",IF(L210&gt;=0.06,"🟢利確推奨",IF(L210&gt;=0.05,"🟡利確直近",IF(L210&gt;=0.045,"🔵トレーリング検討",IF(L210&gt;-0.03,"📌保有中",IF(L210&gt;-0.04,"⚠️損切注意","🔴損切り"))))))))</f>
        <v/>
      </c>
      <c r="T210" s="596"/>
      <c r="U210" s="598"/>
      <c r="V210" s="703" t="str">
        <f>IF(OR(F210="",G210="",U210=""),"",IF(C210="売",(F210-U210)*G210,(U210-F210)*G210))</f>
        <v/>
      </c>
      <c r="W210" s="480" t="str">
        <f>IF(OR($E210="",$B210=""),"",IF($T210&lt;&gt;"",$T210-$E210,TODAY()-$E210)+1)</f>
        <v/>
      </c>
      <c r="X210" s="480" t="str">
        <f>IF(OR($AH210="",$AH210="保有中"),"",$AH210)</f>
        <v/>
      </c>
      <c r="Y210" s="488">
        <f>IF($B210="","",IF(COUNTIFS($B$4:$B210,$B210,$C$4:$C210,$C210)&gt;1,"⛔重複"&amp;COUNTIFS($B$4:$B210,$B210,$C$4:$C210,$C210)&amp;"回目",""))</f>
      </c>
      <c r="Z210" s="710"/>
      <c r="AB210">
        <f>IF($F210="","",MAX(100,ROUNDDOWN($AX$4/($F210*$AX$2)/100,0)*100))</f>
      </c>
      <c r="AC210">
        <f>IF(OR($F210="",$G210="",$U210=""),"",ROUND($V210-($F210+$U210)*$G210*$AX$6-IF($C210="売",$F210*$G210*$AX$7*$W210/365,0),0))</f>
      </c>
      <c r="AD210" s="608"/>
      <c r="AE210" s="600" t="str">
        <f>IF($E210="","",WORKDAY($E210,12))</f>
        <v/>
      </c>
      <c r="AF210" s="600"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0"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0" t="str">
        <f>IF(OR($B210="",$M210=""),"",IF(AND(N($AF210)=0,N($AG210)=0),IF(AND(ISNUMBER($H210),$H210&gt;0,IF($C210="売",$H210&gt;=$N210,$H210&lt;=$N210)),"損切確定",IF(AND(ISNUMBER($H210),$H210&gt;0,IF($C210="売",$H210&lt;=$M210,$H210&gt;=$M210)),"利益確定",IF($AE210&lt;=TODAY(),"日数制限","保有中"))),IF(N($AG210)=0,"利益確定",IF(N($AF210)=0,"損切確定",IF($AG210&lt;=$AF210,"損切確定","利益確定")))))</f>
        <v/>
      </c>
      <c r="AI210" s="600" t="str" cm="1">
        <f t="array" ref="AI210">IFERROR(INDEX(始値!$E$6:$BT$305,MATCH(TEXT($B210,"0"),TEXT(銘柄管理!$B$6:$B$305,"0"),0),MATCH($AE210,始値!$E$3:$BT$3,0)),"")</f>
        <v/>
      </c>
      <c r="AJ210" s="608" t="str">
        <f>IF(OR($V210="",$F210="",$G210=""),"",$V210/($F210*$G210))</f>
        <v/>
      </c>
      <c r="AK210" s="600" t="str">
        <f>IF($V210="","",IF($V210&gt;0,"○勝",IF($V210&lt;0,"●負","△引分")))</f>
        <v/>
      </c>
    </row>
    <row r="211" spans="1:37" ht="17.25" customHeight="1">
      <c r="A211" s="621" t="str">
        <f>IF(B211="","",HYPERLINK("https://kabutan.jp/stock/?code="&amp;B211,"株探"))</f>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IF(OR(F211="",G211="",H211=""),"",IF(C211="売",(F211-H211)*G211,(H211-F211)*G211))</f>
        <v/>
      </c>
      <c r="L211" s="708" t="str">
        <f>IF(OR(F211="",H211=""),"",IF(C211="売",(F211-H211)/F211,(H211-F211)/F211))</f>
        <v/>
      </c>
      <c r="M211" s="598" t="str">
        <f>IF($F211="","",IF($C211="売",CEILING($F211*IF($C211="売",1-$AX$3,1+$AX$3),IF($F211*IF($C211="売",1-$AX$3,1+$AX$3)&lt;=3000,1,IF($F211*IF($C211="売",1-$AX$3,1+$AX$3)&lt;=5000,5,IF($F211*IF($C211="売",1-$AX$3,1+$AX$3)&lt;=30000,10,IF($F211*IF($C211="売",1-$AX$3,1+$AX$3)&lt;=50000,50,IF($F211*IF($C211="売",1-$AX$3,1+$AX$3)&lt;=300000,100,500)))))),FLOOR($F211*IF($C211="売",1-$AX$3,1+$AX$3),IF($F211*IF($C211="売",1-$AX$3,1+$AX$3)&lt;=3000,1,IF($F211*IF($C211="売",1-$AX$3,1+$AX$3)&lt;=5000,5,IF($F211*IF($C211="売",1-$AX$3,1+$AX$3)&lt;=30000,10,IF($F211*IF($C211="売",1-$AX$3,1+$AX$3)&lt;=50000,50,IF($F211*IF($C211="売",1-$AX$3,1+$AX$3)&lt;=300000,100,500))))))))</f>
      </c>
      <c r="N211" s="598" t="str">
        <f>IF($F211="","",IF($C211="売",CEILING($F211*IF($C211="売",1+$AX$2,1-$AX$2),IF($F211*IF($C211="売",1+$AX$2,1-$AX$2)&lt;=3000,1,IF($F211*IF($C211="売",1+$AX$2,1-$AX$2)&lt;=5000,5,IF($F211*IF($C211="売",1+$AX$2,1-$AX$2)&lt;=30000,10,IF($F211*IF($C211="売",1+$AX$2,1-$AX$2)&lt;=50000,50,IF($F211*IF($C211="売",1+$AX$2,1-$AX$2)&lt;=300000,100,500)))))),FLOOR($F211*IF($C211="売",1+$AX$2,1-$AX$2),IF($F211*IF($C211="売",1+$AX$2,1-$AX$2)&lt;=3000,1,IF($F211*IF($C211="売",1+$AX$2,1-$AX$2)&lt;=5000,5,IF($F211*IF($C211="売",1+$AX$2,1-$AX$2)&lt;=30000,10,IF($F211*IF($C211="売",1+$AX$2,1-$AX$2)&lt;=50000,50,IF($F211*IF($C211="売",1+$AX$2,1-$AX$2)&lt;=300000,100,500))))))))</f>
      </c>
      <c r="O211" s="478" t="str">
        <f>IF(OR($B211="",$F211="",$H211=""),"",IF($S211="✅売却済","―決済済―",IF($C211="売",IF($H211&lt;=$M211,"🟢利確",IF(AND($R211&lt;&gt;"",$H211&gt;=$R211),"🟠TRAIL決済",IF($H211&gt;=$N211,"🔴損切",IF($W211&gt;=$AX$5,"⏱時間決済",IF($H211&gt;=$F211*(1+$AX$2*0.7),"⚠️損切接近","保持継続"))))),IF($H211&gt;=$M211,"🟢利確",IF(AND($R211&lt;&gt;"",$H211&lt;=$R211),"🟠TRAIL決済",IF($H211&lt;=$N211,"🔴損切",IF($W211&gt;=$AX$5,"⏱時間決済",IF($H211&lt;=$F211*(1-$AX$2*0.7),"⚠️損切接近","保持継続")))))))</f>
      </c>
      <c r="P211" s="445"/>
      <c r="Q211" s="445"/>
      <c r="R211" s="480" t="str">
        <f>IF(OR($F211="",$H211="",$N211=""),"",IF($S211="✅売却済","",IF($C211="売",IF($H211&gt;$F211*(1-$AX$2),$N211,CEILING(MIN($N211,IF($Q211="",$N211,$Q211*1.03)),IF($N211&lt;=3000,1,IF($N211&lt;=5000,5,IF($N211&lt;=30000,10,IF($N211&lt;=50000,50,IF($N211&lt;=300000,100,500))))))),IF($H211&lt;$F211*(1+$AX$2),$N211,FLOOR(MAX($N211,IF($P211="",$N211,$P211*0.97)),IF($N211&lt;=3000,1,IF($N211&lt;=5000,5,IF($N211&lt;=30000,10,IF($N211&lt;=50000,50,IF($N211&lt;=300000,100,500))))))))))</f>
      </c>
      <c r="S211" s="480" t="str">
        <f>IF(B211="","",IF(T211&lt;&gt;"","✅売却済",IF(OR(H211="",L211=""),"📌保有中",IF(L211&gt;=0.06,"🟢利確推奨",IF(L211&gt;=0.05,"🟡利確直近",IF(L211&gt;=0.045,"🔵トレーリング検討",IF(L211&gt;-0.03,"📌保有中",IF(L211&gt;-0.04,"⚠️損切注意","🔴損切り"))))))))</f>
        <v/>
      </c>
      <c r="T211" s="596"/>
      <c r="U211" s="598"/>
      <c r="V211" s="703" t="str">
        <f>IF(OR(F211="",G211="",U211=""),"",IF(C211="売",(F211-U211)*G211,(U211-F211)*G211))</f>
        <v/>
      </c>
      <c r="W211" s="480" t="str">
        <f>IF(OR($E211="",$B211=""),"",IF($T211&lt;&gt;"",$T211-$E211,TODAY()-$E211)+1)</f>
        <v/>
      </c>
      <c r="X211" s="480" t="str">
        <f>IF(OR($AH211="",$AH211="保有中"),"",$AH211)</f>
        <v/>
      </c>
      <c r="Y211" s="488">
        <f>IF($B211="","",IF(COUNTIFS($B$4:$B211,$B211,$C$4:$C211,$C211)&gt;1,"⛔重複"&amp;COUNTIFS($B$4:$B211,$B211,$C$4:$C211,$C211)&amp;"回目",""))</f>
      </c>
      <c r="Z211" s="710"/>
      <c r="AB211">
        <f>IF($F211="","",MAX(100,ROUNDDOWN($AX$4/($F211*$AX$2)/100,0)*100))</f>
      </c>
      <c r="AC211">
        <f>IF(OR($F211="",$G211="",$U211=""),"",ROUND($V211-($F211+$U211)*$G211*$AX$6-IF($C211="売",$F211*$G211*$AX$7*$W211/365,0),0))</f>
      </c>
      <c r="AD211" s="608"/>
      <c r="AE211" s="600" t="str">
        <f>IF($E211="","",WORKDAY($E211,12))</f>
        <v/>
      </c>
      <c r="AF211" s="600"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0"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0" t="str">
        <f>IF(OR($B211="",$M211=""),"",IF(AND(N($AF211)=0,N($AG211)=0),IF(AND(ISNUMBER($H211),$H211&gt;0,IF($C211="売",$H211&gt;=$N211,$H211&lt;=$N211)),"損切確定",IF(AND(ISNUMBER($H211),$H211&gt;0,IF($C211="売",$H211&lt;=$M211,$H211&gt;=$M211)),"利益確定",IF($AE211&lt;=TODAY(),"日数制限","保有中"))),IF(N($AG211)=0,"利益確定",IF(N($AF211)=0,"損切確定",IF($AG211&lt;=$AF211,"損切確定","利益確定")))))</f>
        <v/>
      </c>
      <c r="AI211" s="600" t="str" cm="1">
        <f t="array" ref="AI211">IFERROR(INDEX(始値!$E$6:$BT$305,MATCH(TEXT($B211,"0"),TEXT(銘柄管理!$B$6:$B$305,"0"),0),MATCH($AE211,始値!$E$3:$BT$3,0)),"")</f>
        <v/>
      </c>
      <c r="AJ211" s="608" t="str">
        <f>IF(OR($V211="",$F211="",$G211=""),"",$V211/($F211*$G211))</f>
        <v/>
      </c>
      <c r="AK211" s="600" t="str">
        <f>IF($V211="","",IF($V211&gt;0,"○勝",IF($V211&lt;0,"●負","△引分")))</f>
        <v/>
      </c>
    </row>
    <row r="212" spans="1:37" ht="17.25" customHeight="1">
      <c r="A212" s="621" t="str">
        <f>IF(B212="","",HYPERLINK("https://kabutan.jp/stock/?code="&amp;B212,"株探"))</f>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IF(OR(F212="",G212="",H212=""),"",IF(C212="売",(F212-H212)*G212,(H212-F212)*G212))</f>
        <v/>
      </c>
      <c r="L212" s="708" t="str">
        <f>IF(OR(F212="",H212=""),"",IF(C212="売",(F212-H212)/F212,(H212-F212)/F212))</f>
        <v/>
      </c>
      <c r="M212" s="598" t="str">
        <f>IF($F212="","",IF($C212="売",CEILING($F212*IF($C212="売",1-$AX$3,1+$AX$3),IF($F212*IF($C212="売",1-$AX$3,1+$AX$3)&lt;=3000,1,IF($F212*IF($C212="売",1-$AX$3,1+$AX$3)&lt;=5000,5,IF($F212*IF($C212="売",1-$AX$3,1+$AX$3)&lt;=30000,10,IF($F212*IF($C212="売",1-$AX$3,1+$AX$3)&lt;=50000,50,IF($F212*IF($C212="売",1-$AX$3,1+$AX$3)&lt;=300000,100,500)))))),FLOOR($F212*IF($C212="売",1-$AX$3,1+$AX$3),IF($F212*IF($C212="売",1-$AX$3,1+$AX$3)&lt;=3000,1,IF($F212*IF($C212="売",1-$AX$3,1+$AX$3)&lt;=5000,5,IF($F212*IF($C212="売",1-$AX$3,1+$AX$3)&lt;=30000,10,IF($F212*IF($C212="売",1-$AX$3,1+$AX$3)&lt;=50000,50,IF($F212*IF($C212="売",1-$AX$3,1+$AX$3)&lt;=300000,100,500))))))))</f>
      </c>
      <c r="N212" s="598" t="str">
        <f>IF($F212="","",IF($C212="売",CEILING($F212*IF($C212="売",1+$AX$2,1-$AX$2),IF($F212*IF($C212="売",1+$AX$2,1-$AX$2)&lt;=3000,1,IF($F212*IF($C212="売",1+$AX$2,1-$AX$2)&lt;=5000,5,IF($F212*IF($C212="売",1+$AX$2,1-$AX$2)&lt;=30000,10,IF($F212*IF($C212="売",1+$AX$2,1-$AX$2)&lt;=50000,50,IF($F212*IF($C212="売",1+$AX$2,1-$AX$2)&lt;=300000,100,500)))))),FLOOR($F212*IF($C212="売",1+$AX$2,1-$AX$2),IF($F212*IF($C212="売",1+$AX$2,1-$AX$2)&lt;=3000,1,IF($F212*IF($C212="売",1+$AX$2,1-$AX$2)&lt;=5000,5,IF($F212*IF($C212="売",1+$AX$2,1-$AX$2)&lt;=30000,10,IF($F212*IF($C212="売",1+$AX$2,1-$AX$2)&lt;=50000,50,IF($F212*IF($C212="売",1+$AX$2,1-$AX$2)&lt;=300000,100,500))))))))</f>
      </c>
      <c r="O212" s="478" t="str">
        <f>IF(OR($B212="",$F212="",$H212=""),"",IF($S212="✅売却済","―決済済―",IF($C212="売",IF($H212&lt;=$M212,"🟢利確",IF(AND($R212&lt;&gt;"",$H212&gt;=$R212),"🟠TRAIL決済",IF($H212&gt;=$N212,"🔴損切",IF($W212&gt;=$AX$5,"⏱時間決済",IF($H212&gt;=$F212*(1+$AX$2*0.7),"⚠️損切接近","保持継続"))))),IF($H212&gt;=$M212,"🟢利確",IF(AND($R212&lt;&gt;"",$H212&lt;=$R212),"🟠TRAIL決済",IF($H212&lt;=$N212,"🔴損切",IF($W212&gt;=$AX$5,"⏱時間決済",IF($H212&lt;=$F212*(1-$AX$2*0.7),"⚠️損切接近","保持継続")))))))</f>
      </c>
      <c r="P212" s="445"/>
      <c r="Q212" s="445"/>
      <c r="R212" s="480" t="str">
        <f>IF(OR($F212="",$H212="",$N212=""),"",IF($S212="✅売却済","",IF($C212="売",IF($H212&gt;$F212*(1-$AX$2),$N212,CEILING(MIN($N212,IF($Q212="",$N212,$Q212*1.03)),IF($N212&lt;=3000,1,IF($N212&lt;=5000,5,IF($N212&lt;=30000,10,IF($N212&lt;=50000,50,IF($N212&lt;=300000,100,500))))))),IF($H212&lt;$F212*(1+$AX$2),$N212,FLOOR(MAX($N212,IF($P212="",$N212,$P212*0.97)),IF($N212&lt;=3000,1,IF($N212&lt;=5000,5,IF($N212&lt;=30000,10,IF($N212&lt;=50000,50,IF($N212&lt;=300000,100,500))))))))))</f>
      </c>
      <c r="S212" s="480" t="str">
        <f>IF(B212="","",IF(T212&lt;&gt;"","✅売却済",IF(OR(H212="",L212=""),"📌保有中",IF(L212&gt;=0.06,"🟢利確推奨",IF(L212&gt;=0.05,"🟡利確直近",IF(L212&gt;=0.045,"🔵トレーリング検討",IF(L212&gt;-0.03,"📌保有中",IF(L212&gt;-0.04,"⚠️損切注意","🔴損切り"))))))))</f>
        <v/>
      </c>
      <c r="T212" s="596"/>
      <c r="U212" s="598"/>
      <c r="V212" s="703" t="str">
        <f>IF(OR(F212="",G212="",U212=""),"",IF(C212="売",(F212-U212)*G212,(U212-F212)*G212))</f>
        <v/>
      </c>
      <c r="W212" s="480" t="str">
        <f>IF(OR($E212="",$B212=""),"",IF($T212&lt;&gt;"",$T212-$E212,TODAY()-$E212)+1)</f>
        <v/>
      </c>
      <c r="X212" s="480" t="str">
        <f>IF(OR($AH212="",$AH212="保有中"),"",$AH212)</f>
        <v/>
      </c>
      <c r="Y212" s="488">
        <f>IF($B212="","",IF(COUNTIFS($B$4:$B212,$B212,$C$4:$C212,$C212)&gt;1,"⛔重複"&amp;COUNTIFS($B$4:$B212,$B212,$C$4:$C212,$C212)&amp;"回目",""))</f>
      </c>
      <c r="Z212" s="710"/>
      <c r="AB212">
        <f>IF($F212="","",MAX(100,ROUNDDOWN($AX$4/($F212*$AX$2)/100,0)*100))</f>
      </c>
      <c r="AC212">
        <f>IF(OR($F212="",$G212="",$U212=""),"",ROUND($V212-($F212+$U212)*$G212*$AX$6-IF($C212="売",$F212*$G212*$AX$7*$W212/365,0),0))</f>
      </c>
      <c r="AD212" s="608"/>
      <c r="AE212" s="600" t="str">
        <f>IF($E212="","",WORKDAY($E212,12))</f>
        <v/>
      </c>
      <c r="AF212" s="600"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0"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0" t="str">
        <f>IF(OR($B212="",$M212=""),"",IF(AND(N($AF212)=0,N($AG212)=0),IF(AND(ISNUMBER($H212),$H212&gt;0,IF($C212="売",$H212&gt;=$N212,$H212&lt;=$N212)),"損切確定",IF(AND(ISNUMBER($H212),$H212&gt;0,IF($C212="売",$H212&lt;=$M212,$H212&gt;=$M212)),"利益確定",IF($AE212&lt;=TODAY(),"日数制限","保有中"))),IF(N($AG212)=0,"利益確定",IF(N($AF212)=0,"損切確定",IF($AG212&lt;=$AF212,"損切確定","利益確定")))))</f>
        <v/>
      </c>
      <c r="AI212" s="600" t="str" cm="1">
        <f t="array" ref="AI212">IFERROR(INDEX(始値!$E$6:$BT$305,MATCH(TEXT($B212,"0"),TEXT(銘柄管理!$B$6:$B$305,"0"),0),MATCH($AE212,始値!$E$3:$BT$3,0)),"")</f>
        <v/>
      </c>
      <c r="AJ212" s="608" t="str">
        <f>IF(OR($V212="",$F212="",$G212=""),"",$V212/($F212*$G212))</f>
        <v/>
      </c>
      <c r="AK212" s="600" t="str">
        <f>IF($V212="","",IF($V212&gt;0,"○勝",IF($V212&lt;0,"●負","△引分")))</f>
        <v/>
      </c>
    </row>
    <row r="213" spans="1:37" ht="17.25" customHeight="1">
      <c r="A213" s="621" t="str">
        <f>IF(B213="","",HYPERLINK("https://kabutan.jp/stock/?code="&amp;B213,"株探"))</f>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IF(OR(F213="",G213="",H213=""),"",IF(C213="売",(F213-H213)*G213,(H213-F213)*G213))</f>
        <v/>
      </c>
      <c r="L213" s="708" t="str">
        <f>IF(OR(F213="",H213=""),"",IF(C213="売",(F213-H213)/F213,(H213-F213)/F213))</f>
        <v/>
      </c>
      <c r="M213" s="598" t="str">
        <f>IF($F213="","",IF($C213="売",CEILING($F213*IF($C213="売",1-$AX$3,1+$AX$3),IF($F213*IF($C213="売",1-$AX$3,1+$AX$3)&lt;=3000,1,IF($F213*IF($C213="売",1-$AX$3,1+$AX$3)&lt;=5000,5,IF($F213*IF($C213="売",1-$AX$3,1+$AX$3)&lt;=30000,10,IF($F213*IF($C213="売",1-$AX$3,1+$AX$3)&lt;=50000,50,IF($F213*IF($C213="売",1-$AX$3,1+$AX$3)&lt;=300000,100,500)))))),FLOOR($F213*IF($C213="売",1-$AX$3,1+$AX$3),IF($F213*IF($C213="売",1-$AX$3,1+$AX$3)&lt;=3000,1,IF($F213*IF($C213="売",1-$AX$3,1+$AX$3)&lt;=5000,5,IF($F213*IF($C213="売",1-$AX$3,1+$AX$3)&lt;=30000,10,IF($F213*IF($C213="売",1-$AX$3,1+$AX$3)&lt;=50000,50,IF($F213*IF($C213="売",1-$AX$3,1+$AX$3)&lt;=300000,100,500))))))))</f>
      </c>
      <c r="N213" s="598" t="str">
        <f>IF($F213="","",IF($C213="売",CEILING($F213*IF($C213="売",1+$AX$2,1-$AX$2),IF($F213*IF($C213="売",1+$AX$2,1-$AX$2)&lt;=3000,1,IF($F213*IF($C213="売",1+$AX$2,1-$AX$2)&lt;=5000,5,IF($F213*IF($C213="売",1+$AX$2,1-$AX$2)&lt;=30000,10,IF($F213*IF($C213="売",1+$AX$2,1-$AX$2)&lt;=50000,50,IF($F213*IF($C213="売",1+$AX$2,1-$AX$2)&lt;=300000,100,500)))))),FLOOR($F213*IF($C213="売",1+$AX$2,1-$AX$2),IF($F213*IF($C213="売",1+$AX$2,1-$AX$2)&lt;=3000,1,IF($F213*IF($C213="売",1+$AX$2,1-$AX$2)&lt;=5000,5,IF($F213*IF($C213="売",1+$AX$2,1-$AX$2)&lt;=30000,10,IF($F213*IF($C213="売",1+$AX$2,1-$AX$2)&lt;=50000,50,IF($F213*IF($C213="売",1+$AX$2,1-$AX$2)&lt;=300000,100,500))))))))</f>
      </c>
      <c r="O213" s="478" t="str">
        <f>IF(OR($B213="",$F213="",$H213=""),"",IF($S213="✅売却済","―決済済―",IF($C213="売",IF($H213&lt;=$M213,"🟢利確",IF(AND($R213&lt;&gt;"",$H213&gt;=$R213),"🟠TRAIL決済",IF($H213&gt;=$N213,"🔴損切",IF($W213&gt;=$AX$5,"⏱時間決済",IF($H213&gt;=$F213*(1+$AX$2*0.7),"⚠️損切接近","保持継続"))))),IF($H213&gt;=$M213,"🟢利確",IF(AND($R213&lt;&gt;"",$H213&lt;=$R213),"🟠TRAIL決済",IF($H213&lt;=$N213,"🔴損切",IF($W213&gt;=$AX$5,"⏱時間決済",IF($H213&lt;=$F213*(1-$AX$2*0.7),"⚠️損切接近","保持継続")))))))</f>
      </c>
      <c r="P213" s="445"/>
      <c r="Q213" s="445"/>
      <c r="R213" s="480" t="str">
        <f>IF(OR($F213="",$H213="",$N213=""),"",IF($S213="✅売却済","",IF($C213="売",IF($H213&gt;$F213*(1-$AX$2),$N213,CEILING(MIN($N213,IF($Q213="",$N213,$Q213*1.03)),IF($N213&lt;=3000,1,IF($N213&lt;=5000,5,IF($N213&lt;=30000,10,IF($N213&lt;=50000,50,IF($N213&lt;=300000,100,500))))))),IF($H213&lt;$F213*(1+$AX$2),$N213,FLOOR(MAX($N213,IF($P213="",$N213,$P213*0.97)),IF($N213&lt;=3000,1,IF($N213&lt;=5000,5,IF($N213&lt;=30000,10,IF($N213&lt;=50000,50,IF($N213&lt;=300000,100,500))))))))))</f>
      </c>
      <c r="S213" s="480" t="str">
        <f>IF(B213="","",IF(T213&lt;&gt;"","✅売却済",IF(OR(H213="",L213=""),"📌保有中",IF(L213&gt;=0.06,"🟢利確推奨",IF(L213&gt;=0.05,"🟡利確直近",IF(L213&gt;=0.045,"🔵トレーリング検討",IF(L213&gt;-0.03,"📌保有中",IF(L213&gt;-0.04,"⚠️損切注意","🔴損切り"))))))))</f>
        <v/>
      </c>
      <c r="T213" s="596"/>
      <c r="U213" s="598"/>
      <c r="V213" s="703" t="str">
        <f>IF(OR(F213="",G213="",U213=""),"",IF(C213="売",(F213-U213)*G213,(U213-F213)*G213))</f>
        <v/>
      </c>
      <c r="W213" s="480" t="str">
        <f>IF(OR($E213="",$B213=""),"",IF($T213&lt;&gt;"",$T213-$E213,TODAY()-$E213)+1)</f>
        <v/>
      </c>
      <c r="X213" s="480" t="str">
        <f>IF(OR($AH213="",$AH213="保有中"),"",$AH213)</f>
        <v/>
      </c>
      <c r="Y213" s="488">
        <f>IF($B213="","",IF(COUNTIFS($B$4:$B213,$B213,$C$4:$C213,$C213)&gt;1,"⛔重複"&amp;COUNTIFS($B$4:$B213,$B213,$C$4:$C213,$C213)&amp;"回目",""))</f>
      </c>
      <c r="Z213" s="710"/>
      <c r="AB213">
        <f>IF($F213="","",MAX(100,ROUNDDOWN($AX$4/($F213*$AX$2)/100,0)*100))</f>
      </c>
      <c r="AC213">
        <f>IF(OR($F213="",$G213="",$U213=""),"",ROUND($V213-($F213+$U213)*$G213*$AX$6-IF($C213="売",$F213*$G213*$AX$7*$W213/365,0),0))</f>
      </c>
      <c r="AD213" s="608"/>
      <c r="AE213" s="600" t="str">
        <f>IF($E213="","",WORKDAY($E213,12))</f>
        <v/>
      </c>
      <c r="AF213" s="600"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0"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0" t="str">
        <f>IF(OR($B213="",$M213=""),"",IF(AND(N($AF213)=0,N($AG213)=0),IF(AND(ISNUMBER($H213),$H213&gt;0,IF($C213="売",$H213&gt;=$N213,$H213&lt;=$N213)),"損切確定",IF(AND(ISNUMBER($H213),$H213&gt;0,IF($C213="売",$H213&lt;=$M213,$H213&gt;=$M213)),"利益確定",IF($AE213&lt;=TODAY(),"日数制限","保有中"))),IF(N($AG213)=0,"利益確定",IF(N($AF213)=0,"損切確定",IF($AG213&lt;=$AF213,"損切確定","利益確定")))))</f>
        <v/>
      </c>
      <c r="AI213" s="600" t="str" cm="1">
        <f t="array" ref="AI213">IFERROR(INDEX(始値!$E$6:$BT$305,MATCH(TEXT($B213,"0"),TEXT(銘柄管理!$B$6:$B$305,"0"),0),MATCH($AE213,始値!$E$3:$BT$3,0)),"")</f>
        <v/>
      </c>
      <c r="AJ213" s="608" t="str">
        <f>IF(OR($V213="",$F213="",$G213=""),"",$V213/($F213*$G213))</f>
        <v/>
      </c>
      <c r="AK213" s="600" t="str">
        <f>IF($V213="","",IF($V213&gt;0,"○勝",IF($V213&lt;0,"●負","△引分")))</f>
        <v/>
      </c>
    </row>
    <row r="214" spans="1:37" ht="17.25" customHeight="1">
      <c r="A214" s="621" t="str">
        <f>IF(B214="","",HYPERLINK("https://kabutan.jp/stock/?code="&amp;B214,"株探"))</f>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IF(OR(F214="",G214="",H214=""),"",IF(C214="売",(F214-H214)*G214,(H214-F214)*G214))</f>
        <v/>
      </c>
      <c r="L214" s="708" t="str">
        <f>IF(OR(F214="",H214=""),"",IF(C214="売",(F214-H214)/F214,(H214-F214)/F214))</f>
        <v/>
      </c>
      <c r="M214" s="598" t="str">
        <f>IF($F214="","",IF($C214="売",CEILING($F214*IF($C214="売",1-$AX$3,1+$AX$3),IF($F214*IF($C214="売",1-$AX$3,1+$AX$3)&lt;=3000,1,IF($F214*IF($C214="売",1-$AX$3,1+$AX$3)&lt;=5000,5,IF($F214*IF($C214="売",1-$AX$3,1+$AX$3)&lt;=30000,10,IF($F214*IF($C214="売",1-$AX$3,1+$AX$3)&lt;=50000,50,IF($F214*IF($C214="売",1-$AX$3,1+$AX$3)&lt;=300000,100,500)))))),FLOOR($F214*IF($C214="売",1-$AX$3,1+$AX$3),IF($F214*IF($C214="売",1-$AX$3,1+$AX$3)&lt;=3000,1,IF($F214*IF($C214="売",1-$AX$3,1+$AX$3)&lt;=5000,5,IF($F214*IF($C214="売",1-$AX$3,1+$AX$3)&lt;=30000,10,IF($F214*IF($C214="売",1-$AX$3,1+$AX$3)&lt;=50000,50,IF($F214*IF($C214="売",1-$AX$3,1+$AX$3)&lt;=300000,100,500))))))))</f>
      </c>
      <c r="N214" s="598" t="str">
        <f>IF($F214="","",IF($C214="売",CEILING($F214*IF($C214="売",1+$AX$2,1-$AX$2),IF($F214*IF($C214="売",1+$AX$2,1-$AX$2)&lt;=3000,1,IF($F214*IF($C214="売",1+$AX$2,1-$AX$2)&lt;=5000,5,IF($F214*IF($C214="売",1+$AX$2,1-$AX$2)&lt;=30000,10,IF($F214*IF($C214="売",1+$AX$2,1-$AX$2)&lt;=50000,50,IF($F214*IF($C214="売",1+$AX$2,1-$AX$2)&lt;=300000,100,500)))))),FLOOR($F214*IF($C214="売",1+$AX$2,1-$AX$2),IF($F214*IF($C214="売",1+$AX$2,1-$AX$2)&lt;=3000,1,IF($F214*IF($C214="売",1+$AX$2,1-$AX$2)&lt;=5000,5,IF($F214*IF($C214="売",1+$AX$2,1-$AX$2)&lt;=30000,10,IF($F214*IF($C214="売",1+$AX$2,1-$AX$2)&lt;=50000,50,IF($F214*IF($C214="売",1+$AX$2,1-$AX$2)&lt;=300000,100,500))))))))</f>
      </c>
      <c r="O214" s="478" t="str">
        <f>IF(OR($B214="",$F214="",$H214=""),"",IF($S214="✅売却済","―決済済―",IF($C214="売",IF($H214&lt;=$M214,"🟢利確",IF(AND($R214&lt;&gt;"",$H214&gt;=$R214),"🟠TRAIL決済",IF($H214&gt;=$N214,"🔴損切",IF($W214&gt;=$AX$5,"⏱時間決済",IF($H214&gt;=$F214*(1+$AX$2*0.7),"⚠️損切接近","保持継続"))))),IF($H214&gt;=$M214,"🟢利確",IF(AND($R214&lt;&gt;"",$H214&lt;=$R214),"🟠TRAIL決済",IF($H214&lt;=$N214,"🔴損切",IF($W214&gt;=$AX$5,"⏱時間決済",IF($H214&lt;=$F214*(1-$AX$2*0.7),"⚠️損切接近","保持継続")))))))</f>
      </c>
      <c r="P214" s="445"/>
      <c r="Q214" s="445"/>
      <c r="R214" s="480" t="str">
        <f>IF(OR($F214="",$H214="",$N214=""),"",IF($S214="✅売却済","",IF($C214="売",IF($H214&gt;$F214*(1-$AX$2),$N214,CEILING(MIN($N214,IF($Q214="",$N214,$Q214*1.03)),IF($N214&lt;=3000,1,IF($N214&lt;=5000,5,IF($N214&lt;=30000,10,IF($N214&lt;=50000,50,IF($N214&lt;=300000,100,500))))))),IF($H214&lt;$F214*(1+$AX$2),$N214,FLOOR(MAX($N214,IF($P214="",$N214,$P214*0.97)),IF($N214&lt;=3000,1,IF($N214&lt;=5000,5,IF($N214&lt;=30000,10,IF($N214&lt;=50000,50,IF($N214&lt;=300000,100,500))))))))))</f>
      </c>
      <c r="S214" s="480" t="str">
        <f>IF(B214="","",IF(T214&lt;&gt;"","✅売却済",IF(OR(H214="",L214=""),"📌保有中",IF(L214&gt;=0.06,"🟢利確推奨",IF(L214&gt;=0.05,"🟡利確直近",IF(L214&gt;=0.045,"🔵トレーリング検討",IF(L214&gt;-0.03,"📌保有中",IF(L214&gt;-0.04,"⚠️損切注意","🔴損切り"))))))))</f>
        <v/>
      </c>
      <c r="T214" s="596"/>
      <c r="U214" s="598"/>
      <c r="V214" s="703" t="str">
        <f>IF(OR(F214="",G214="",U214=""),"",IF(C214="売",(F214-U214)*G214,(U214-F214)*G214))</f>
        <v/>
      </c>
      <c r="W214" s="480" t="str">
        <f>IF(OR($E214="",$B214=""),"",IF($T214&lt;&gt;"",$T214-$E214,TODAY()-$E214)+1)</f>
        <v/>
      </c>
      <c r="X214" s="480" t="str">
        <f>IF(OR($AH214="",$AH214="保有中"),"",$AH214)</f>
        <v/>
      </c>
      <c r="Y214" s="488">
        <f>IF($B214="","",IF(COUNTIFS($B$4:$B214,$B214,$C$4:$C214,$C214)&gt;1,"⛔重複"&amp;COUNTIFS($B$4:$B214,$B214,$C$4:$C214,$C214)&amp;"回目",""))</f>
      </c>
      <c r="Z214" s="710"/>
      <c r="AB214">
        <f>IF($F214="","",MAX(100,ROUNDDOWN($AX$4/($F214*$AX$2)/100,0)*100))</f>
      </c>
      <c r="AC214">
        <f>IF(OR($F214="",$G214="",$U214=""),"",ROUND($V214-($F214+$U214)*$G214*$AX$6-IF($C214="売",$F214*$G214*$AX$7*$W214/365,0),0))</f>
      </c>
      <c r="AD214" s="608"/>
      <c r="AE214" s="600" t="str">
        <f>IF($E214="","",WORKDAY($E214,12))</f>
        <v/>
      </c>
      <c r="AF214" s="600"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0"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0" t="str">
        <f>IF(OR($B214="",$M214=""),"",IF(AND(N($AF214)=0,N($AG214)=0),IF(AND(ISNUMBER($H214),$H214&gt;0,IF($C214="売",$H214&gt;=$N214,$H214&lt;=$N214)),"損切確定",IF(AND(ISNUMBER($H214),$H214&gt;0,IF($C214="売",$H214&lt;=$M214,$H214&gt;=$M214)),"利益確定",IF($AE214&lt;=TODAY(),"日数制限","保有中"))),IF(N($AG214)=0,"利益確定",IF(N($AF214)=0,"損切確定",IF($AG214&lt;=$AF214,"損切確定","利益確定")))))</f>
        <v/>
      </c>
      <c r="AI214" s="600" t="str" cm="1">
        <f t="array" ref="AI214">IFERROR(INDEX(始値!$E$6:$BT$305,MATCH(TEXT($B214,"0"),TEXT(銘柄管理!$B$6:$B$305,"0"),0),MATCH($AE214,始値!$E$3:$BT$3,0)),"")</f>
        <v/>
      </c>
      <c r="AJ214" s="608" t="str">
        <f>IF(OR($V214="",$F214="",$G214=""),"",$V214/($F214*$G214))</f>
        <v/>
      </c>
      <c r="AK214" s="600" t="str">
        <f>IF($V214="","",IF($V214&gt;0,"○勝",IF($V214&lt;0,"●負","△引分")))</f>
        <v/>
      </c>
    </row>
    <row r="215" spans="1:37" ht="17.25" customHeight="1">
      <c r="A215" s="621" t="str">
        <f>IF(B215="","",HYPERLINK("https://kabutan.jp/stock/?code="&amp;B215,"株探"))</f>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IF(OR(F215="",G215="",H215=""),"",IF(C215="売",(F215-H215)*G215,(H215-F215)*G215))</f>
        <v/>
      </c>
      <c r="L215" s="708" t="str">
        <f>IF(OR(F215="",H215=""),"",IF(C215="売",(F215-H215)/F215,(H215-F215)/F215))</f>
        <v/>
      </c>
      <c r="M215" s="598" t="str">
        <f>IF($F215="","",IF($C215="売",CEILING($F215*IF($C215="売",1-$AX$3,1+$AX$3),IF($F215*IF($C215="売",1-$AX$3,1+$AX$3)&lt;=3000,1,IF($F215*IF($C215="売",1-$AX$3,1+$AX$3)&lt;=5000,5,IF($F215*IF($C215="売",1-$AX$3,1+$AX$3)&lt;=30000,10,IF($F215*IF($C215="売",1-$AX$3,1+$AX$3)&lt;=50000,50,IF($F215*IF($C215="売",1-$AX$3,1+$AX$3)&lt;=300000,100,500)))))),FLOOR($F215*IF($C215="売",1-$AX$3,1+$AX$3),IF($F215*IF($C215="売",1-$AX$3,1+$AX$3)&lt;=3000,1,IF($F215*IF($C215="売",1-$AX$3,1+$AX$3)&lt;=5000,5,IF($F215*IF($C215="売",1-$AX$3,1+$AX$3)&lt;=30000,10,IF($F215*IF($C215="売",1-$AX$3,1+$AX$3)&lt;=50000,50,IF($F215*IF($C215="売",1-$AX$3,1+$AX$3)&lt;=300000,100,500))))))))</f>
      </c>
      <c r="N215" s="598" t="str">
        <f>IF($F215="","",IF($C215="売",CEILING($F215*IF($C215="売",1+$AX$2,1-$AX$2),IF($F215*IF($C215="売",1+$AX$2,1-$AX$2)&lt;=3000,1,IF($F215*IF($C215="売",1+$AX$2,1-$AX$2)&lt;=5000,5,IF($F215*IF($C215="売",1+$AX$2,1-$AX$2)&lt;=30000,10,IF($F215*IF($C215="売",1+$AX$2,1-$AX$2)&lt;=50000,50,IF($F215*IF($C215="売",1+$AX$2,1-$AX$2)&lt;=300000,100,500)))))),FLOOR($F215*IF($C215="売",1+$AX$2,1-$AX$2),IF($F215*IF($C215="売",1+$AX$2,1-$AX$2)&lt;=3000,1,IF($F215*IF($C215="売",1+$AX$2,1-$AX$2)&lt;=5000,5,IF($F215*IF($C215="売",1+$AX$2,1-$AX$2)&lt;=30000,10,IF($F215*IF($C215="売",1+$AX$2,1-$AX$2)&lt;=50000,50,IF($F215*IF($C215="売",1+$AX$2,1-$AX$2)&lt;=300000,100,500))))))))</f>
      </c>
      <c r="O215" s="478" t="str">
        <f>IF(OR($B215="",$F215="",$H215=""),"",IF($S215="✅売却済","―決済済―",IF($C215="売",IF($H215&lt;=$M215,"🟢利確",IF(AND($R215&lt;&gt;"",$H215&gt;=$R215),"🟠TRAIL決済",IF($H215&gt;=$N215,"🔴損切",IF($W215&gt;=$AX$5,"⏱時間決済",IF($H215&gt;=$F215*(1+$AX$2*0.7),"⚠️損切接近","保持継続"))))),IF($H215&gt;=$M215,"🟢利確",IF(AND($R215&lt;&gt;"",$H215&lt;=$R215),"🟠TRAIL決済",IF($H215&lt;=$N215,"🔴損切",IF($W215&gt;=$AX$5,"⏱時間決済",IF($H215&lt;=$F215*(1-$AX$2*0.7),"⚠️損切接近","保持継続")))))))</f>
      </c>
      <c r="P215" s="445"/>
      <c r="Q215" s="445"/>
      <c r="R215" s="480" t="str">
        <f>IF(OR($F215="",$H215="",$N215=""),"",IF($S215="✅売却済","",IF($C215="売",IF($H215&gt;$F215*(1-$AX$2),$N215,CEILING(MIN($N215,IF($Q215="",$N215,$Q215*1.03)),IF($N215&lt;=3000,1,IF($N215&lt;=5000,5,IF($N215&lt;=30000,10,IF($N215&lt;=50000,50,IF($N215&lt;=300000,100,500))))))),IF($H215&lt;$F215*(1+$AX$2),$N215,FLOOR(MAX($N215,IF($P215="",$N215,$P215*0.97)),IF($N215&lt;=3000,1,IF($N215&lt;=5000,5,IF($N215&lt;=30000,10,IF($N215&lt;=50000,50,IF($N215&lt;=300000,100,500))))))))))</f>
      </c>
      <c r="S215" s="480" t="str">
        <f>IF(B215="","",IF(T215&lt;&gt;"","✅売却済",IF(OR(H215="",L215=""),"📌保有中",IF(L215&gt;=0.06,"🟢利確推奨",IF(L215&gt;=0.05,"🟡利確直近",IF(L215&gt;=0.045,"🔵トレーリング検討",IF(L215&gt;-0.03,"📌保有中",IF(L215&gt;-0.04,"⚠️損切注意","🔴損切り"))))))))</f>
        <v/>
      </c>
      <c r="T215" s="596"/>
      <c r="U215" s="598"/>
      <c r="V215" s="703" t="str">
        <f>IF(OR(F215="",G215="",U215=""),"",IF(C215="売",(F215-U215)*G215,(U215-F215)*G215))</f>
        <v/>
      </c>
      <c r="W215" s="480" t="str">
        <f>IF(OR($E215="",$B215=""),"",IF($T215&lt;&gt;"",$T215-$E215,TODAY()-$E215)+1)</f>
        <v/>
      </c>
      <c r="X215" s="480" t="str">
        <f>IF(OR($AH215="",$AH215="保有中"),"",$AH215)</f>
        <v/>
      </c>
      <c r="Y215" s="488">
        <f>IF($B215="","",IF(COUNTIFS($B$4:$B215,$B215,$C$4:$C215,$C215)&gt;1,"⛔重複"&amp;COUNTIFS($B$4:$B215,$B215,$C$4:$C215,$C215)&amp;"回目",""))</f>
      </c>
      <c r="Z215" s="710"/>
      <c r="AB215">
        <f>IF($F215="","",MAX(100,ROUNDDOWN($AX$4/($F215*$AX$2)/100,0)*100))</f>
      </c>
      <c r="AC215">
        <f>IF(OR($F215="",$G215="",$U215=""),"",ROUND($V215-($F215+$U215)*$G215*$AX$6-IF($C215="売",$F215*$G215*$AX$7*$W215/365,0),0))</f>
      </c>
      <c r="AD215" s="608"/>
      <c r="AE215" s="600" t="str">
        <f>IF($E215="","",WORKDAY($E215,12))</f>
        <v/>
      </c>
      <c r="AF215" s="600"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0"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0" t="str">
        <f>IF(OR($B215="",$M215=""),"",IF(AND(N($AF215)=0,N($AG215)=0),IF(AND(ISNUMBER($H215),$H215&gt;0,IF($C215="売",$H215&gt;=$N215,$H215&lt;=$N215)),"損切確定",IF(AND(ISNUMBER($H215),$H215&gt;0,IF($C215="売",$H215&lt;=$M215,$H215&gt;=$M215)),"利益確定",IF($AE215&lt;=TODAY(),"日数制限","保有中"))),IF(N($AG215)=0,"利益確定",IF(N($AF215)=0,"損切確定",IF($AG215&lt;=$AF215,"損切確定","利益確定")))))</f>
        <v/>
      </c>
      <c r="AI215" s="600" t="str" cm="1">
        <f t="array" ref="AI215">IFERROR(INDEX(始値!$E$6:$BT$305,MATCH(TEXT($B215,"0"),TEXT(銘柄管理!$B$6:$B$305,"0"),0),MATCH($AE215,始値!$E$3:$BT$3,0)),"")</f>
        <v/>
      </c>
      <c r="AJ215" s="608" t="str">
        <f>IF(OR($V215="",$F215="",$G215=""),"",$V215/($F215*$G215))</f>
        <v/>
      </c>
      <c r="AK215" s="600" t="str">
        <f>IF($V215="","",IF($V215&gt;0,"○勝",IF($V215&lt;0,"●負","△引分")))</f>
        <v/>
      </c>
    </row>
    <row r="216" spans="1:37" ht="17.25" customHeight="1">
      <c r="A216" s="621" t="str">
        <f>IF(B216="","",HYPERLINK("https://kabutan.jp/stock/?code="&amp;B216,"株探"))</f>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IF(OR(F216="",G216="",H216=""),"",IF(C216="売",(F216-H216)*G216,(H216-F216)*G216))</f>
        <v/>
      </c>
      <c r="L216" s="708" t="str">
        <f>IF(OR(F216="",H216=""),"",IF(C216="売",(F216-H216)/F216,(H216-F216)/F216))</f>
        <v/>
      </c>
      <c r="M216" s="598" t="str">
        <f>IF($F216="","",IF($C216="売",CEILING($F216*IF($C216="売",1-$AX$3,1+$AX$3),IF($F216*IF($C216="売",1-$AX$3,1+$AX$3)&lt;=3000,1,IF($F216*IF($C216="売",1-$AX$3,1+$AX$3)&lt;=5000,5,IF($F216*IF($C216="売",1-$AX$3,1+$AX$3)&lt;=30000,10,IF($F216*IF($C216="売",1-$AX$3,1+$AX$3)&lt;=50000,50,IF($F216*IF($C216="売",1-$AX$3,1+$AX$3)&lt;=300000,100,500)))))),FLOOR($F216*IF($C216="売",1-$AX$3,1+$AX$3),IF($F216*IF($C216="売",1-$AX$3,1+$AX$3)&lt;=3000,1,IF($F216*IF($C216="売",1-$AX$3,1+$AX$3)&lt;=5000,5,IF($F216*IF($C216="売",1-$AX$3,1+$AX$3)&lt;=30000,10,IF($F216*IF($C216="売",1-$AX$3,1+$AX$3)&lt;=50000,50,IF($F216*IF($C216="売",1-$AX$3,1+$AX$3)&lt;=300000,100,500))))))))</f>
      </c>
      <c r="N216" s="598" t="str">
        <f>IF($F216="","",IF($C216="売",CEILING($F216*IF($C216="売",1+$AX$2,1-$AX$2),IF($F216*IF($C216="売",1+$AX$2,1-$AX$2)&lt;=3000,1,IF($F216*IF($C216="売",1+$AX$2,1-$AX$2)&lt;=5000,5,IF($F216*IF($C216="売",1+$AX$2,1-$AX$2)&lt;=30000,10,IF($F216*IF($C216="売",1+$AX$2,1-$AX$2)&lt;=50000,50,IF($F216*IF($C216="売",1+$AX$2,1-$AX$2)&lt;=300000,100,500)))))),FLOOR($F216*IF($C216="売",1+$AX$2,1-$AX$2),IF($F216*IF($C216="売",1+$AX$2,1-$AX$2)&lt;=3000,1,IF($F216*IF($C216="売",1+$AX$2,1-$AX$2)&lt;=5000,5,IF($F216*IF($C216="売",1+$AX$2,1-$AX$2)&lt;=30000,10,IF($F216*IF($C216="売",1+$AX$2,1-$AX$2)&lt;=50000,50,IF($F216*IF($C216="売",1+$AX$2,1-$AX$2)&lt;=300000,100,500))))))))</f>
      </c>
      <c r="O216" s="478" t="str">
        <f>IF(OR($B216="",$F216="",$H216=""),"",IF($S216="✅売却済","―決済済―",IF($C216="売",IF($H216&lt;=$M216,"🟢利確",IF(AND($R216&lt;&gt;"",$H216&gt;=$R216),"🟠TRAIL決済",IF($H216&gt;=$N216,"🔴損切",IF($W216&gt;=$AX$5,"⏱時間決済",IF($H216&gt;=$F216*(1+$AX$2*0.7),"⚠️損切接近","保持継続"))))),IF($H216&gt;=$M216,"🟢利確",IF(AND($R216&lt;&gt;"",$H216&lt;=$R216),"🟠TRAIL決済",IF($H216&lt;=$N216,"🔴損切",IF($W216&gt;=$AX$5,"⏱時間決済",IF($H216&lt;=$F216*(1-$AX$2*0.7),"⚠️損切接近","保持継続")))))))</f>
      </c>
      <c r="P216" s="445"/>
      <c r="Q216" s="445"/>
      <c r="R216" s="480" t="str">
        <f>IF(OR($F216="",$H216="",$N216=""),"",IF($S216="✅売却済","",IF($C216="売",IF($H216&gt;$F216*(1-$AX$2),$N216,CEILING(MIN($N216,IF($Q216="",$N216,$Q216*1.03)),IF($N216&lt;=3000,1,IF($N216&lt;=5000,5,IF($N216&lt;=30000,10,IF($N216&lt;=50000,50,IF($N216&lt;=300000,100,500))))))),IF($H216&lt;$F216*(1+$AX$2),$N216,FLOOR(MAX($N216,IF($P216="",$N216,$P216*0.97)),IF($N216&lt;=3000,1,IF($N216&lt;=5000,5,IF($N216&lt;=30000,10,IF($N216&lt;=50000,50,IF($N216&lt;=300000,100,500))))))))))</f>
      </c>
      <c r="S216" s="480" t="str">
        <f>IF(B216="","",IF(T216&lt;&gt;"","✅売却済",IF(OR(H216="",L216=""),"📌保有中",IF(L216&gt;=0.06,"🟢利確推奨",IF(L216&gt;=0.05,"🟡利確直近",IF(L216&gt;=0.045,"🔵トレーリング検討",IF(L216&gt;-0.03,"📌保有中",IF(L216&gt;-0.04,"⚠️損切注意","🔴損切り"))))))))</f>
        <v/>
      </c>
      <c r="T216" s="596"/>
      <c r="U216" s="598"/>
      <c r="V216" s="703" t="str">
        <f>IF(OR(F216="",G216="",U216=""),"",IF(C216="売",(F216-U216)*G216,(U216-F216)*G216))</f>
        <v/>
      </c>
      <c r="W216" s="480" t="str">
        <f>IF(OR($E216="",$B216=""),"",IF($T216&lt;&gt;"",$T216-$E216,TODAY()-$E216)+1)</f>
        <v/>
      </c>
      <c r="X216" s="480" t="str">
        <f>IF(OR($AH216="",$AH216="保有中"),"",$AH216)</f>
        <v/>
      </c>
      <c r="Y216" s="488">
        <f>IF($B216="","",IF(COUNTIFS($B$4:$B216,$B216,$C$4:$C216,$C216)&gt;1,"⛔重複"&amp;COUNTIFS($B$4:$B216,$B216,$C$4:$C216,$C216)&amp;"回目",""))</f>
      </c>
      <c r="Z216" s="710"/>
      <c r="AB216">
        <f>IF($F216="","",MAX(100,ROUNDDOWN($AX$4/($F216*$AX$2)/100,0)*100))</f>
      </c>
      <c r="AC216">
        <f>IF(OR($F216="",$G216="",$U216=""),"",ROUND($V216-($F216+$U216)*$G216*$AX$6-IF($C216="売",$F216*$G216*$AX$7*$W216/365,0),0))</f>
      </c>
      <c r="AD216" s="608"/>
      <c r="AE216" s="600" t="str">
        <f>IF($E216="","",WORKDAY($E216,12))</f>
        <v/>
      </c>
      <c r="AF216" s="600"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0"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0" t="str">
        <f>IF(OR($B216="",$M216=""),"",IF(AND(N($AF216)=0,N($AG216)=0),IF(AND(ISNUMBER($H216),$H216&gt;0,IF($C216="売",$H216&gt;=$N216,$H216&lt;=$N216)),"損切確定",IF(AND(ISNUMBER($H216),$H216&gt;0,IF($C216="売",$H216&lt;=$M216,$H216&gt;=$M216)),"利益確定",IF($AE216&lt;=TODAY(),"日数制限","保有中"))),IF(N($AG216)=0,"利益確定",IF(N($AF216)=0,"損切確定",IF($AG216&lt;=$AF216,"損切確定","利益確定")))))</f>
        <v/>
      </c>
      <c r="AI216" s="600" t="str" cm="1">
        <f t="array" ref="AI216">IFERROR(INDEX(始値!$E$6:$BT$305,MATCH(TEXT($B216,"0"),TEXT(銘柄管理!$B$6:$B$305,"0"),0),MATCH($AE216,始値!$E$3:$BT$3,0)),"")</f>
        <v/>
      </c>
      <c r="AJ216" s="608" t="str">
        <f>IF(OR($V216="",$F216="",$G216=""),"",$V216/($F216*$G216))</f>
        <v/>
      </c>
      <c r="AK216" s="600" t="str">
        <f>IF($V216="","",IF($V216&gt;0,"○勝",IF($V216&lt;0,"●負","△引分")))</f>
        <v/>
      </c>
    </row>
    <row r="217" spans="1:37" ht="17.25" customHeight="1">
      <c r="A217" s="621" t="str">
        <f>IF(B217="","",HYPERLINK("https://kabutan.jp/stock/?code="&amp;B217,"株探"))</f>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IF(OR(F217="",G217="",H217=""),"",IF(C217="売",(F217-H217)*G217,(H217-F217)*G217))</f>
        <v/>
      </c>
      <c r="L217" s="708" t="str">
        <f>IF(OR(F217="",H217=""),"",IF(C217="売",(F217-H217)/F217,(H217-F217)/F217))</f>
        <v/>
      </c>
      <c r="M217" s="598" t="str">
        <f>IF($F217="","",IF($C217="売",CEILING($F217*IF($C217="売",1-$AX$3,1+$AX$3),IF($F217*IF($C217="売",1-$AX$3,1+$AX$3)&lt;=3000,1,IF($F217*IF($C217="売",1-$AX$3,1+$AX$3)&lt;=5000,5,IF($F217*IF($C217="売",1-$AX$3,1+$AX$3)&lt;=30000,10,IF($F217*IF($C217="売",1-$AX$3,1+$AX$3)&lt;=50000,50,IF($F217*IF($C217="売",1-$AX$3,1+$AX$3)&lt;=300000,100,500)))))),FLOOR($F217*IF($C217="売",1-$AX$3,1+$AX$3),IF($F217*IF($C217="売",1-$AX$3,1+$AX$3)&lt;=3000,1,IF($F217*IF($C217="売",1-$AX$3,1+$AX$3)&lt;=5000,5,IF($F217*IF($C217="売",1-$AX$3,1+$AX$3)&lt;=30000,10,IF($F217*IF($C217="売",1-$AX$3,1+$AX$3)&lt;=50000,50,IF($F217*IF($C217="売",1-$AX$3,1+$AX$3)&lt;=300000,100,500))))))))</f>
      </c>
      <c r="N217" s="598" t="str">
        <f>IF($F217="","",IF($C217="売",CEILING($F217*IF($C217="売",1+$AX$2,1-$AX$2),IF($F217*IF($C217="売",1+$AX$2,1-$AX$2)&lt;=3000,1,IF($F217*IF($C217="売",1+$AX$2,1-$AX$2)&lt;=5000,5,IF($F217*IF($C217="売",1+$AX$2,1-$AX$2)&lt;=30000,10,IF($F217*IF($C217="売",1+$AX$2,1-$AX$2)&lt;=50000,50,IF($F217*IF($C217="売",1+$AX$2,1-$AX$2)&lt;=300000,100,500)))))),FLOOR($F217*IF($C217="売",1+$AX$2,1-$AX$2),IF($F217*IF($C217="売",1+$AX$2,1-$AX$2)&lt;=3000,1,IF($F217*IF($C217="売",1+$AX$2,1-$AX$2)&lt;=5000,5,IF($F217*IF($C217="売",1+$AX$2,1-$AX$2)&lt;=30000,10,IF($F217*IF($C217="売",1+$AX$2,1-$AX$2)&lt;=50000,50,IF($F217*IF($C217="売",1+$AX$2,1-$AX$2)&lt;=300000,100,500))))))))</f>
      </c>
      <c r="O217" s="478" t="str">
        <f>IF(OR($B217="",$F217="",$H217=""),"",IF($S217="✅売却済","―決済済―",IF($C217="売",IF($H217&lt;=$M217,"🟢利確",IF(AND($R217&lt;&gt;"",$H217&gt;=$R217),"🟠TRAIL決済",IF($H217&gt;=$N217,"🔴損切",IF($W217&gt;=$AX$5,"⏱時間決済",IF($H217&gt;=$F217*(1+$AX$2*0.7),"⚠️損切接近","保持継続"))))),IF($H217&gt;=$M217,"🟢利確",IF(AND($R217&lt;&gt;"",$H217&lt;=$R217),"🟠TRAIL決済",IF($H217&lt;=$N217,"🔴損切",IF($W217&gt;=$AX$5,"⏱時間決済",IF($H217&lt;=$F217*(1-$AX$2*0.7),"⚠️損切接近","保持継続")))))))</f>
      </c>
      <c r="P217" s="445"/>
      <c r="Q217" s="445"/>
      <c r="R217" s="480" t="str">
        <f>IF(OR($F217="",$H217="",$N217=""),"",IF($S217="✅売却済","",IF($C217="売",IF($H217&gt;$F217*(1-$AX$2),$N217,CEILING(MIN($N217,IF($Q217="",$N217,$Q217*1.03)),IF($N217&lt;=3000,1,IF($N217&lt;=5000,5,IF($N217&lt;=30000,10,IF($N217&lt;=50000,50,IF($N217&lt;=300000,100,500))))))),IF($H217&lt;$F217*(1+$AX$2),$N217,FLOOR(MAX($N217,IF($P217="",$N217,$P217*0.97)),IF($N217&lt;=3000,1,IF($N217&lt;=5000,5,IF($N217&lt;=30000,10,IF($N217&lt;=50000,50,IF($N217&lt;=300000,100,500))))))))))</f>
      </c>
      <c r="S217" s="480" t="str">
        <f>IF(B217="","",IF(T217&lt;&gt;"","✅売却済",IF(OR(H217="",L217=""),"📌保有中",IF(L217&gt;=0.06,"🟢利確推奨",IF(L217&gt;=0.05,"🟡利確直近",IF(L217&gt;=0.045,"🔵トレーリング検討",IF(L217&gt;-0.03,"📌保有中",IF(L217&gt;-0.04,"⚠️損切注意","🔴損切り"))))))))</f>
        <v/>
      </c>
      <c r="T217" s="596"/>
      <c r="U217" s="598"/>
      <c r="V217" s="703" t="str">
        <f>IF(OR(F217="",G217="",U217=""),"",IF(C217="売",(F217-U217)*G217,(U217-F217)*G217))</f>
        <v/>
      </c>
      <c r="W217" s="480" t="str">
        <f>IF(OR($E217="",$B217=""),"",IF($T217&lt;&gt;"",$T217-$E217,TODAY()-$E217)+1)</f>
        <v/>
      </c>
      <c r="X217" s="480" t="str">
        <f>IF(OR($AH217="",$AH217="保有中"),"",$AH217)</f>
        <v/>
      </c>
      <c r="Y217" s="488">
        <f>IF($B217="","",IF(COUNTIFS($B$4:$B217,$B217,$C$4:$C217,$C217)&gt;1,"⛔重複"&amp;COUNTIFS($B$4:$B217,$B217,$C$4:$C217,$C217)&amp;"回目",""))</f>
      </c>
      <c r="Z217" s="710"/>
      <c r="AB217">
        <f>IF($F217="","",MAX(100,ROUNDDOWN($AX$4/($F217*$AX$2)/100,0)*100))</f>
      </c>
      <c r="AC217">
        <f>IF(OR($F217="",$G217="",$U217=""),"",ROUND($V217-($F217+$U217)*$G217*$AX$6-IF($C217="売",$F217*$G217*$AX$7*$W217/365,0),0))</f>
      </c>
      <c r="AD217" s="608"/>
      <c r="AE217" s="600" t="str">
        <f>IF($E217="","",WORKDAY($E217,12))</f>
        <v/>
      </c>
      <c r="AF217" s="600"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0"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0" t="str">
        <f>IF(OR($B217="",$M217=""),"",IF(AND(N($AF217)=0,N($AG217)=0),IF(AND(ISNUMBER($H217),$H217&gt;0,IF($C217="売",$H217&gt;=$N217,$H217&lt;=$N217)),"損切確定",IF(AND(ISNUMBER($H217),$H217&gt;0,IF($C217="売",$H217&lt;=$M217,$H217&gt;=$M217)),"利益確定",IF($AE217&lt;=TODAY(),"日数制限","保有中"))),IF(N($AG217)=0,"利益確定",IF(N($AF217)=0,"損切確定",IF($AG217&lt;=$AF217,"損切確定","利益確定")))))</f>
        <v/>
      </c>
      <c r="AI217" s="600" t="str" cm="1">
        <f t="array" ref="AI217">IFERROR(INDEX(始値!$E$6:$BT$305,MATCH(TEXT($B217,"0"),TEXT(銘柄管理!$B$6:$B$305,"0"),0),MATCH($AE217,始値!$E$3:$BT$3,0)),"")</f>
        <v/>
      </c>
      <c r="AJ217" s="608" t="str">
        <f>IF(OR($V217="",$F217="",$G217=""),"",$V217/($F217*$G217))</f>
        <v/>
      </c>
      <c r="AK217" s="600" t="str">
        <f>IF($V217="","",IF($V217&gt;0,"○勝",IF($V217&lt;0,"●負","△引分")))</f>
        <v/>
      </c>
    </row>
    <row r="218" spans="1:37" ht="17.25" customHeight="1">
      <c r="A218" s="621" t="str">
        <f>IF(B218="","",HYPERLINK("https://kabutan.jp/stock/?code="&amp;B218,"株探"))</f>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IF(OR(F218="",G218="",H218=""),"",IF(C218="売",(F218-H218)*G218,(H218-F218)*G218))</f>
        <v/>
      </c>
      <c r="L218" s="708" t="str">
        <f>IF(OR(F218="",H218=""),"",IF(C218="売",(F218-H218)/F218,(H218-F218)/F218))</f>
        <v/>
      </c>
      <c r="M218" s="598" t="str">
        <f>IF($F218="","",IF($C218="売",CEILING($F218*IF($C218="売",1-$AX$3,1+$AX$3),IF($F218*IF($C218="売",1-$AX$3,1+$AX$3)&lt;=3000,1,IF($F218*IF($C218="売",1-$AX$3,1+$AX$3)&lt;=5000,5,IF($F218*IF($C218="売",1-$AX$3,1+$AX$3)&lt;=30000,10,IF($F218*IF($C218="売",1-$AX$3,1+$AX$3)&lt;=50000,50,IF($F218*IF($C218="売",1-$AX$3,1+$AX$3)&lt;=300000,100,500)))))),FLOOR($F218*IF($C218="売",1-$AX$3,1+$AX$3),IF($F218*IF($C218="売",1-$AX$3,1+$AX$3)&lt;=3000,1,IF($F218*IF($C218="売",1-$AX$3,1+$AX$3)&lt;=5000,5,IF($F218*IF($C218="売",1-$AX$3,1+$AX$3)&lt;=30000,10,IF($F218*IF($C218="売",1-$AX$3,1+$AX$3)&lt;=50000,50,IF($F218*IF($C218="売",1-$AX$3,1+$AX$3)&lt;=300000,100,500))))))))</f>
      </c>
      <c r="N218" s="598" t="str">
        <f>IF($F218="","",IF($C218="売",CEILING($F218*IF($C218="売",1+$AX$2,1-$AX$2),IF($F218*IF($C218="売",1+$AX$2,1-$AX$2)&lt;=3000,1,IF($F218*IF($C218="売",1+$AX$2,1-$AX$2)&lt;=5000,5,IF($F218*IF($C218="売",1+$AX$2,1-$AX$2)&lt;=30000,10,IF($F218*IF($C218="売",1+$AX$2,1-$AX$2)&lt;=50000,50,IF($F218*IF($C218="売",1+$AX$2,1-$AX$2)&lt;=300000,100,500)))))),FLOOR($F218*IF($C218="売",1+$AX$2,1-$AX$2),IF($F218*IF($C218="売",1+$AX$2,1-$AX$2)&lt;=3000,1,IF($F218*IF($C218="売",1+$AX$2,1-$AX$2)&lt;=5000,5,IF($F218*IF($C218="売",1+$AX$2,1-$AX$2)&lt;=30000,10,IF($F218*IF($C218="売",1+$AX$2,1-$AX$2)&lt;=50000,50,IF($F218*IF($C218="売",1+$AX$2,1-$AX$2)&lt;=300000,100,500))))))))</f>
      </c>
      <c r="O218" s="478" t="str">
        <f>IF(OR($B218="",$F218="",$H218=""),"",IF($S218="✅売却済","―決済済―",IF($C218="売",IF($H218&lt;=$M218,"🟢利確",IF(AND($R218&lt;&gt;"",$H218&gt;=$R218),"🟠TRAIL決済",IF($H218&gt;=$N218,"🔴損切",IF($W218&gt;=$AX$5,"⏱時間決済",IF($H218&gt;=$F218*(1+$AX$2*0.7),"⚠️損切接近","保持継続"))))),IF($H218&gt;=$M218,"🟢利確",IF(AND($R218&lt;&gt;"",$H218&lt;=$R218),"🟠TRAIL決済",IF($H218&lt;=$N218,"🔴損切",IF($W218&gt;=$AX$5,"⏱時間決済",IF($H218&lt;=$F218*(1-$AX$2*0.7),"⚠️損切接近","保持継続")))))))</f>
      </c>
      <c r="P218" s="445"/>
      <c r="Q218" s="445"/>
      <c r="R218" s="480" t="str">
        <f>IF(OR($F218="",$H218="",$N218=""),"",IF($S218="✅売却済","",IF($C218="売",IF($H218&gt;$F218*(1-$AX$2),$N218,CEILING(MIN($N218,IF($Q218="",$N218,$Q218*1.03)),IF($N218&lt;=3000,1,IF($N218&lt;=5000,5,IF($N218&lt;=30000,10,IF($N218&lt;=50000,50,IF($N218&lt;=300000,100,500))))))),IF($H218&lt;$F218*(1+$AX$2),$N218,FLOOR(MAX($N218,IF($P218="",$N218,$P218*0.97)),IF($N218&lt;=3000,1,IF($N218&lt;=5000,5,IF($N218&lt;=30000,10,IF($N218&lt;=50000,50,IF($N218&lt;=300000,100,500))))))))))</f>
      </c>
      <c r="S218" s="480" t="str">
        <f>IF(B218="","",IF(T218&lt;&gt;"","✅売却済",IF(OR(H218="",L218=""),"📌保有中",IF(L218&gt;=0.06,"🟢利確推奨",IF(L218&gt;=0.05,"🟡利確直近",IF(L218&gt;=0.045,"🔵トレーリング検討",IF(L218&gt;-0.03,"📌保有中",IF(L218&gt;-0.04,"⚠️損切注意","🔴損切り"))))))))</f>
        <v/>
      </c>
      <c r="T218" s="596"/>
      <c r="U218" s="598"/>
      <c r="V218" s="703" t="str">
        <f>IF(OR(F218="",G218="",U218=""),"",IF(C218="売",(F218-U218)*G218,(U218-F218)*G218))</f>
        <v/>
      </c>
      <c r="W218" s="480" t="str">
        <f>IF(OR($E218="",$B218=""),"",IF($T218&lt;&gt;"",$T218-$E218,TODAY()-$E218)+1)</f>
        <v/>
      </c>
      <c r="X218" s="480" t="str">
        <f>IF(OR($AH218="",$AH218="保有中"),"",$AH218)</f>
        <v/>
      </c>
      <c r="Y218" s="488">
        <f>IF($B218="","",IF(COUNTIFS($B$4:$B218,$B218,$C$4:$C218,$C218)&gt;1,"⛔重複"&amp;COUNTIFS($B$4:$B218,$B218,$C$4:$C218,$C218)&amp;"回目",""))</f>
      </c>
      <c r="Z218" s="710"/>
      <c r="AB218">
        <f>IF($F218="","",MAX(100,ROUNDDOWN($AX$4/($F218*$AX$2)/100,0)*100))</f>
      </c>
      <c r="AC218">
        <f>IF(OR($F218="",$G218="",$U218=""),"",ROUND($V218-($F218+$U218)*$G218*$AX$6-IF($C218="売",$F218*$G218*$AX$7*$W218/365,0),0))</f>
      </c>
      <c r="AD218" s="608"/>
      <c r="AE218" s="600" t="str">
        <f>IF($E218="","",WORKDAY($E218,12))</f>
        <v/>
      </c>
      <c r="AF218" s="600"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0"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0" t="str">
        <f>IF(OR($B218="",$M218=""),"",IF(AND(N($AF218)=0,N($AG218)=0),IF(AND(ISNUMBER($H218),$H218&gt;0,IF($C218="売",$H218&gt;=$N218,$H218&lt;=$N218)),"損切確定",IF(AND(ISNUMBER($H218),$H218&gt;0,IF($C218="売",$H218&lt;=$M218,$H218&gt;=$M218)),"利益確定",IF($AE218&lt;=TODAY(),"日数制限","保有中"))),IF(N($AG218)=0,"利益確定",IF(N($AF218)=0,"損切確定",IF($AG218&lt;=$AF218,"損切確定","利益確定")))))</f>
        <v/>
      </c>
      <c r="AI218" s="600" t="str" cm="1">
        <f t="array" ref="AI218">IFERROR(INDEX(始値!$E$6:$BT$305,MATCH(TEXT($B218,"0"),TEXT(銘柄管理!$B$6:$B$305,"0"),0),MATCH($AE218,始値!$E$3:$BT$3,0)),"")</f>
        <v/>
      </c>
      <c r="AJ218" s="608" t="str">
        <f>IF(OR($V218="",$F218="",$G218=""),"",$V218/($F218*$G218))</f>
        <v/>
      </c>
      <c r="AK218" s="600" t="str">
        <f>IF($V218="","",IF($V218&gt;0,"○勝",IF($V218&lt;0,"●負","△引分")))</f>
        <v/>
      </c>
    </row>
    <row r="219" spans="1:37" ht="17.25" customHeight="1">
      <c r="A219" s="621" t="str">
        <f>IF(B219="","",HYPERLINK("https://kabutan.jp/stock/?code="&amp;B219,"株探"))</f>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IF(OR(F219="",G219="",H219=""),"",IF(C219="売",(F219-H219)*G219,(H219-F219)*G219))</f>
        <v/>
      </c>
      <c r="L219" s="708" t="str">
        <f>IF(OR(F219="",H219=""),"",IF(C219="売",(F219-H219)/F219,(H219-F219)/F219))</f>
        <v/>
      </c>
      <c r="M219" s="598" t="str">
        <f>IF($F219="","",IF($C219="売",CEILING($F219*IF($C219="売",1-$AX$3,1+$AX$3),IF($F219*IF($C219="売",1-$AX$3,1+$AX$3)&lt;=3000,1,IF($F219*IF($C219="売",1-$AX$3,1+$AX$3)&lt;=5000,5,IF($F219*IF($C219="売",1-$AX$3,1+$AX$3)&lt;=30000,10,IF($F219*IF($C219="売",1-$AX$3,1+$AX$3)&lt;=50000,50,IF($F219*IF($C219="売",1-$AX$3,1+$AX$3)&lt;=300000,100,500)))))),FLOOR($F219*IF($C219="売",1-$AX$3,1+$AX$3),IF($F219*IF($C219="売",1-$AX$3,1+$AX$3)&lt;=3000,1,IF($F219*IF($C219="売",1-$AX$3,1+$AX$3)&lt;=5000,5,IF($F219*IF($C219="売",1-$AX$3,1+$AX$3)&lt;=30000,10,IF($F219*IF($C219="売",1-$AX$3,1+$AX$3)&lt;=50000,50,IF($F219*IF($C219="売",1-$AX$3,1+$AX$3)&lt;=300000,100,500))))))))</f>
      </c>
      <c r="N219" s="598" t="str">
        <f>IF($F219="","",IF($C219="売",CEILING($F219*IF($C219="売",1+$AX$2,1-$AX$2),IF($F219*IF($C219="売",1+$AX$2,1-$AX$2)&lt;=3000,1,IF($F219*IF($C219="売",1+$AX$2,1-$AX$2)&lt;=5000,5,IF($F219*IF($C219="売",1+$AX$2,1-$AX$2)&lt;=30000,10,IF($F219*IF($C219="売",1+$AX$2,1-$AX$2)&lt;=50000,50,IF($F219*IF($C219="売",1+$AX$2,1-$AX$2)&lt;=300000,100,500)))))),FLOOR($F219*IF($C219="売",1+$AX$2,1-$AX$2),IF($F219*IF($C219="売",1+$AX$2,1-$AX$2)&lt;=3000,1,IF($F219*IF($C219="売",1+$AX$2,1-$AX$2)&lt;=5000,5,IF($F219*IF($C219="売",1+$AX$2,1-$AX$2)&lt;=30000,10,IF($F219*IF($C219="売",1+$AX$2,1-$AX$2)&lt;=50000,50,IF($F219*IF($C219="売",1+$AX$2,1-$AX$2)&lt;=300000,100,500))))))))</f>
      </c>
      <c r="O219" s="478" t="str">
        <f>IF(OR($B219="",$F219="",$H219=""),"",IF($S219="✅売却済","―決済済―",IF($C219="売",IF($H219&lt;=$M219,"🟢利確",IF(AND($R219&lt;&gt;"",$H219&gt;=$R219),"🟠TRAIL決済",IF($H219&gt;=$N219,"🔴損切",IF($W219&gt;=$AX$5,"⏱時間決済",IF($H219&gt;=$F219*(1+$AX$2*0.7),"⚠️損切接近","保持継続"))))),IF($H219&gt;=$M219,"🟢利確",IF(AND($R219&lt;&gt;"",$H219&lt;=$R219),"🟠TRAIL決済",IF($H219&lt;=$N219,"🔴損切",IF($W219&gt;=$AX$5,"⏱時間決済",IF($H219&lt;=$F219*(1-$AX$2*0.7),"⚠️損切接近","保持継続")))))))</f>
      </c>
      <c r="P219" s="445"/>
      <c r="Q219" s="445"/>
      <c r="R219" s="480" t="str">
        <f>IF(OR($F219="",$H219="",$N219=""),"",IF($S219="✅売却済","",IF($C219="売",IF($H219&gt;$F219*(1-$AX$2),$N219,CEILING(MIN($N219,IF($Q219="",$N219,$Q219*1.03)),IF($N219&lt;=3000,1,IF($N219&lt;=5000,5,IF($N219&lt;=30000,10,IF($N219&lt;=50000,50,IF($N219&lt;=300000,100,500))))))),IF($H219&lt;$F219*(1+$AX$2),$N219,FLOOR(MAX($N219,IF($P219="",$N219,$P219*0.97)),IF($N219&lt;=3000,1,IF($N219&lt;=5000,5,IF($N219&lt;=30000,10,IF($N219&lt;=50000,50,IF($N219&lt;=300000,100,500))))))))))</f>
      </c>
      <c r="S219" s="480" t="str">
        <f>IF(B219="","",IF(T219&lt;&gt;"","✅売却済",IF(OR(H219="",L219=""),"📌保有中",IF(L219&gt;=0.06,"🟢利確推奨",IF(L219&gt;=0.05,"🟡利確直近",IF(L219&gt;=0.045,"🔵トレーリング検討",IF(L219&gt;-0.03,"📌保有中",IF(L219&gt;-0.04,"⚠️損切注意","🔴損切り"))))))))</f>
        <v/>
      </c>
      <c r="T219" s="596"/>
      <c r="U219" s="598"/>
      <c r="V219" s="703" t="str">
        <f>IF(OR(F219="",G219="",U219=""),"",IF(C219="売",(F219-U219)*G219,(U219-F219)*G219))</f>
        <v/>
      </c>
      <c r="W219" s="480" t="str">
        <f>IF(OR($E219="",$B219=""),"",IF($T219&lt;&gt;"",$T219-$E219,TODAY()-$E219)+1)</f>
        <v/>
      </c>
      <c r="X219" s="480" t="str">
        <f>IF(OR($AH219="",$AH219="保有中"),"",$AH219)</f>
        <v/>
      </c>
      <c r="Y219" s="488">
        <f>IF($B219="","",IF(COUNTIFS($B$4:$B219,$B219,$C$4:$C219,$C219)&gt;1,"⛔重複"&amp;COUNTIFS($B$4:$B219,$B219,$C$4:$C219,$C219)&amp;"回目",""))</f>
      </c>
      <c r="Z219" s="710"/>
      <c r="AB219">
        <f>IF($F219="","",MAX(100,ROUNDDOWN($AX$4/($F219*$AX$2)/100,0)*100))</f>
      </c>
      <c r="AC219">
        <f>IF(OR($F219="",$G219="",$U219=""),"",ROUND($V219-($F219+$U219)*$G219*$AX$6-IF($C219="売",$F219*$G219*$AX$7*$W219/365,0),0))</f>
      </c>
      <c r="AD219" s="608"/>
      <c r="AE219" s="600" t="str">
        <f>IF($E219="","",WORKDAY($E219,12))</f>
        <v/>
      </c>
      <c r="AF219" s="600"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0"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0" t="str">
        <f>IF(OR($B219="",$M219=""),"",IF(AND(N($AF219)=0,N($AG219)=0),IF(AND(ISNUMBER($H219),$H219&gt;0,IF($C219="売",$H219&gt;=$N219,$H219&lt;=$N219)),"損切確定",IF(AND(ISNUMBER($H219),$H219&gt;0,IF($C219="売",$H219&lt;=$M219,$H219&gt;=$M219)),"利益確定",IF($AE219&lt;=TODAY(),"日数制限","保有中"))),IF(N($AG219)=0,"利益確定",IF(N($AF219)=0,"損切確定",IF($AG219&lt;=$AF219,"損切確定","利益確定")))))</f>
        <v/>
      </c>
      <c r="AI219" s="600" t="str" cm="1">
        <f t="array" ref="AI219">IFERROR(INDEX(始値!$E$6:$BT$305,MATCH(TEXT($B219,"0"),TEXT(銘柄管理!$B$6:$B$305,"0"),0),MATCH($AE219,始値!$E$3:$BT$3,0)),"")</f>
        <v/>
      </c>
      <c r="AJ219" s="608" t="str">
        <f>IF(OR($V219="",$F219="",$G219=""),"",$V219/($F219*$G219))</f>
        <v/>
      </c>
      <c r="AK219" s="600" t="str">
        <f>IF($V219="","",IF($V219&gt;0,"○勝",IF($V219&lt;0,"●負","△引分")))</f>
        <v/>
      </c>
    </row>
    <row r="220" spans="1:37" ht="17.25" customHeight="1">
      <c r="A220" s="621" t="str">
        <f>IF(B220="","",HYPERLINK("https://kabutan.jp/stock/?code="&amp;B220,"株探"))</f>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IF(OR(F220="",G220="",H220=""),"",IF(C220="売",(F220-H220)*G220,(H220-F220)*G220))</f>
        <v/>
      </c>
      <c r="L220" s="708" t="str">
        <f>IF(OR(F220="",H220=""),"",IF(C220="売",(F220-H220)/F220,(H220-F220)/F220))</f>
        <v/>
      </c>
      <c r="M220" s="598" t="str">
        <f>IF($F220="","",IF($C220="売",CEILING($F220*IF($C220="売",1-$AX$3,1+$AX$3),IF($F220*IF($C220="売",1-$AX$3,1+$AX$3)&lt;=3000,1,IF($F220*IF($C220="売",1-$AX$3,1+$AX$3)&lt;=5000,5,IF($F220*IF($C220="売",1-$AX$3,1+$AX$3)&lt;=30000,10,IF($F220*IF($C220="売",1-$AX$3,1+$AX$3)&lt;=50000,50,IF($F220*IF($C220="売",1-$AX$3,1+$AX$3)&lt;=300000,100,500)))))),FLOOR($F220*IF($C220="売",1-$AX$3,1+$AX$3),IF($F220*IF($C220="売",1-$AX$3,1+$AX$3)&lt;=3000,1,IF($F220*IF($C220="売",1-$AX$3,1+$AX$3)&lt;=5000,5,IF($F220*IF($C220="売",1-$AX$3,1+$AX$3)&lt;=30000,10,IF($F220*IF($C220="売",1-$AX$3,1+$AX$3)&lt;=50000,50,IF($F220*IF($C220="売",1-$AX$3,1+$AX$3)&lt;=300000,100,500))))))))</f>
      </c>
      <c r="N220" s="598" t="str">
        <f>IF($F220="","",IF($C220="売",CEILING($F220*IF($C220="売",1+$AX$2,1-$AX$2),IF($F220*IF($C220="売",1+$AX$2,1-$AX$2)&lt;=3000,1,IF($F220*IF($C220="売",1+$AX$2,1-$AX$2)&lt;=5000,5,IF($F220*IF($C220="売",1+$AX$2,1-$AX$2)&lt;=30000,10,IF($F220*IF($C220="売",1+$AX$2,1-$AX$2)&lt;=50000,50,IF($F220*IF($C220="売",1+$AX$2,1-$AX$2)&lt;=300000,100,500)))))),FLOOR($F220*IF($C220="売",1+$AX$2,1-$AX$2),IF($F220*IF($C220="売",1+$AX$2,1-$AX$2)&lt;=3000,1,IF($F220*IF($C220="売",1+$AX$2,1-$AX$2)&lt;=5000,5,IF($F220*IF($C220="売",1+$AX$2,1-$AX$2)&lt;=30000,10,IF($F220*IF($C220="売",1+$AX$2,1-$AX$2)&lt;=50000,50,IF($F220*IF($C220="売",1+$AX$2,1-$AX$2)&lt;=300000,100,500))))))))</f>
      </c>
      <c r="O220" s="478" t="str">
        <f>IF(OR($B220="",$F220="",$H220=""),"",IF($S220="✅売却済","―決済済―",IF($C220="売",IF($H220&lt;=$M220,"🟢利確",IF(AND($R220&lt;&gt;"",$H220&gt;=$R220),"🟠TRAIL決済",IF($H220&gt;=$N220,"🔴損切",IF($W220&gt;=$AX$5,"⏱時間決済",IF($H220&gt;=$F220*(1+$AX$2*0.7),"⚠️損切接近","保持継続"))))),IF($H220&gt;=$M220,"🟢利確",IF(AND($R220&lt;&gt;"",$H220&lt;=$R220),"🟠TRAIL決済",IF($H220&lt;=$N220,"🔴損切",IF($W220&gt;=$AX$5,"⏱時間決済",IF($H220&lt;=$F220*(1-$AX$2*0.7),"⚠️損切接近","保持継続")))))))</f>
      </c>
      <c r="P220" s="445"/>
      <c r="Q220" s="445"/>
      <c r="R220" s="480" t="str">
        <f>IF(OR($F220="",$H220="",$N220=""),"",IF($S220="✅売却済","",IF($C220="売",IF($H220&gt;$F220*(1-$AX$2),$N220,CEILING(MIN($N220,IF($Q220="",$N220,$Q220*1.03)),IF($N220&lt;=3000,1,IF($N220&lt;=5000,5,IF($N220&lt;=30000,10,IF($N220&lt;=50000,50,IF($N220&lt;=300000,100,500))))))),IF($H220&lt;$F220*(1+$AX$2),$N220,FLOOR(MAX($N220,IF($P220="",$N220,$P220*0.97)),IF($N220&lt;=3000,1,IF($N220&lt;=5000,5,IF($N220&lt;=30000,10,IF($N220&lt;=50000,50,IF($N220&lt;=300000,100,500))))))))))</f>
      </c>
      <c r="S220" s="480" t="str">
        <f>IF(B220="","",IF(T220&lt;&gt;"","✅売却済",IF(OR(H220="",L220=""),"📌保有中",IF(L220&gt;=0.06,"🟢利確推奨",IF(L220&gt;=0.05,"🟡利確直近",IF(L220&gt;=0.045,"🔵トレーリング検討",IF(L220&gt;-0.03,"📌保有中",IF(L220&gt;-0.04,"⚠️損切注意","🔴損切り"))))))))</f>
        <v/>
      </c>
      <c r="T220" s="596"/>
      <c r="U220" s="598"/>
      <c r="V220" s="703" t="str">
        <f>IF(OR(F220="",G220="",U220=""),"",IF(C220="売",(F220-U220)*G220,(U220-F220)*G220))</f>
        <v/>
      </c>
      <c r="W220" s="480" t="str">
        <f>IF(OR($E220="",$B220=""),"",IF($T220&lt;&gt;"",$T220-$E220,TODAY()-$E220)+1)</f>
        <v/>
      </c>
      <c r="X220" s="480" t="str">
        <f>IF(OR($AH220="",$AH220="保有中"),"",$AH220)</f>
        <v/>
      </c>
      <c r="Y220" s="488">
        <f>IF($B220="","",IF(COUNTIFS($B$4:$B220,$B220,$C$4:$C220,$C220)&gt;1,"⛔重複"&amp;COUNTIFS($B$4:$B220,$B220,$C$4:$C220,$C220)&amp;"回目",""))</f>
      </c>
      <c r="Z220" s="710"/>
      <c r="AB220">
        <f>IF($F220="","",MAX(100,ROUNDDOWN($AX$4/($F220*$AX$2)/100,0)*100))</f>
      </c>
      <c r="AC220">
        <f>IF(OR($F220="",$G220="",$U220=""),"",ROUND($V220-($F220+$U220)*$G220*$AX$6-IF($C220="売",$F220*$G220*$AX$7*$W220/365,0),0))</f>
      </c>
      <c r="AD220" s="608"/>
      <c r="AE220" s="600" t="str">
        <f>IF($E220="","",WORKDAY($E220,12))</f>
        <v/>
      </c>
      <c r="AF220" s="600"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0"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0" t="str">
        <f>IF(OR($B220="",$M220=""),"",IF(AND(N($AF220)=0,N($AG220)=0),IF(AND(ISNUMBER($H220),$H220&gt;0,IF($C220="売",$H220&gt;=$N220,$H220&lt;=$N220)),"損切確定",IF(AND(ISNUMBER($H220),$H220&gt;0,IF($C220="売",$H220&lt;=$M220,$H220&gt;=$M220)),"利益確定",IF($AE220&lt;=TODAY(),"日数制限","保有中"))),IF(N($AG220)=0,"利益確定",IF(N($AF220)=0,"損切確定",IF($AG220&lt;=$AF220,"損切確定","利益確定")))))</f>
        <v/>
      </c>
      <c r="AI220" s="600" t="str" cm="1">
        <f t="array" ref="AI220">IFERROR(INDEX(始値!$E$6:$BT$305,MATCH(TEXT($B220,"0"),TEXT(銘柄管理!$B$6:$B$305,"0"),0),MATCH($AE220,始値!$E$3:$BT$3,0)),"")</f>
        <v/>
      </c>
      <c r="AJ220" s="608" t="str">
        <f>IF(OR($V220="",$F220="",$G220=""),"",$V220/($F220*$G220))</f>
        <v/>
      </c>
      <c r="AK220" s="600" t="str">
        <f>IF($V220="","",IF($V220&gt;0,"○勝",IF($V220&lt;0,"●負","△引分")))</f>
        <v/>
      </c>
    </row>
    <row r="221" spans="1:37" ht="17.25" customHeight="1">
      <c r="A221" s="621" t="str">
        <f>IF(B221="","",HYPERLINK("https://kabutan.jp/stock/?code="&amp;B221,"株探"))</f>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IF(OR(F221="",G221="",H221=""),"",IF(C221="売",(F221-H221)*G221,(H221-F221)*G221))</f>
        <v/>
      </c>
      <c r="L221" s="708" t="str">
        <f>IF(OR(F221="",H221=""),"",IF(C221="売",(F221-H221)/F221,(H221-F221)/F221))</f>
        <v/>
      </c>
      <c r="M221" s="598" t="str">
        <f>IF($F221="","",IF($C221="売",CEILING($F221*IF($C221="売",1-$AX$3,1+$AX$3),IF($F221*IF($C221="売",1-$AX$3,1+$AX$3)&lt;=3000,1,IF($F221*IF($C221="売",1-$AX$3,1+$AX$3)&lt;=5000,5,IF($F221*IF($C221="売",1-$AX$3,1+$AX$3)&lt;=30000,10,IF($F221*IF($C221="売",1-$AX$3,1+$AX$3)&lt;=50000,50,IF($F221*IF($C221="売",1-$AX$3,1+$AX$3)&lt;=300000,100,500)))))),FLOOR($F221*IF($C221="売",1-$AX$3,1+$AX$3),IF($F221*IF($C221="売",1-$AX$3,1+$AX$3)&lt;=3000,1,IF($F221*IF($C221="売",1-$AX$3,1+$AX$3)&lt;=5000,5,IF($F221*IF($C221="売",1-$AX$3,1+$AX$3)&lt;=30000,10,IF($F221*IF($C221="売",1-$AX$3,1+$AX$3)&lt;=50000,50,IF($F221*IF($C221="売",1-$AX$3,1+$AX$3)&lt;=300000,100,500))))))))</f>
      </c>
      <c r="N221" s="598" t="str">
        <f>IF($F221="","",IF($C221="売",CEILING($F221*IF($C221="売",1+$AX$2,1-$AX$2),IF($F221*IF($C221="売",1+$AX$2,1-$AX$2)&lt;=3000,1,IF($F221*IF($C221="売",1+$AX$2,1-$AX$2)&lt;=5000,5,IF($F221*IF($C221="売",1+$AX$2,1-$AX$2)&lt;=30000,10,IF($F221*IF($C221="売",1+$AX$2,1-$AX$2)&lt;=50000,50,IF($F221*IF($C221="売",1+$AX$2,1-$AX$2)&lt;=300000,100,500)))))),FLOOR($F221*IF($C221="売",1+$AX$2,1-$AX$2),IF($F221*IF($C221="売",1+$AX$2,1-$AX$2)&lt;=3000,1,IF($F221*IF($C221="売",1+$AX$2,1-$AX$2)&lt;=5000,5,IF($F221*IF($C221="売",1+$AX$2,1-$AX$2)&lt;=30000,10,IF($F221*IF($C221="売",1+$AX$2,1-$AX$2)&lt;=50000,50,IF($F221*IF($C221="売",1+$AX$2,1-$AX$2)&lt;=300000,100,500))))))))</f>
      </c>
      <c r="O221" s="478" t="str">
        <f>IF(OR($B221="",$F221="",$H221=""),"",IF($S221="✅売却済","―決済済―",IF($C221="売",IF($H221&lt;=$M221,"🟢利確",IF(AND($R221&lt;&gt;"",$H221&gt;=$R221),"🟠TRAIL決済",IF($H221&gt;=$N221,"🔴損切",IF($W221&gt;=$AX$5,"⏱時間決済",IF($H221&gt;=$F221*(1+$AX$2*0.7),"⚠️損切接近","保持継続"))))),IF($H221&gt;=$M221,"🟢利確",IF(AND($R221&lt;&gt;"",$H221&lt;=$R221),"🟠TRAIL決済",IF($H221&lt;=$N221,"🔴損切",IF($W221&gt;=$AX$5,"⏱時間決済",IF($H221&lt;=$F221*(1-$AX$2*0.7),"⚠️損切接近","保持継続")))))))</f>
      </c>
      <c r="P221" s="445"/>
      <c r="Q221" s="445"/>
      <c r="R221" s="480" t="str">
        <f>IF(OR($F221="",$H221="",$N221=""),"",IF($S221="✅売却済","",IF($C221="売",IF($H221&gt;$F221*(1-$AX$2),$N221,CEILING(MIN($N221,IF($Q221="",$N221,$Q221*1.03)),IF($N221&lt;=3000,1,IF($N221&lt;=5000,5,IF($N221&lt;=30000,10,IF($N221&lt;=50000,50,IF($N221&lt;=300000,100,500))))))),IF($H221&lt;$F221*(1+$AX$2),$N221,FLOOR(MAX($N221,IF($P221="",$N221,$P221*0.97)),IF($N221&lt;=3000,1,IF($N221&lt;=5000,5,IF($N221&lt;=30000,10,IF($N221&lt;=50000,50,IF($N221&lt;=300000,100,500))))))))))</f>
      </c>
      <c r="S221" s="480" t="str">
        <f>IF(B221="","",IF(T221&lt;&gt;"","✅売却済",IF(OR(H221="",L221=""),"📌保有中",IF(L221&gt;=0.06,"🟢利確推奨",IF(L221&gt;=0.05,"🟡利確直近",IF(L221&gt;=0.045,"🔵トレーリング検討",IF(L221&gt;-0.03,"📌保有中",IF(L221&gt;-0.04,"⚠️損切注意","🔴損切り"))))))))</f>
        <v/>
      </c>
      <c r="T221" s="596"/>
      <c r="U221" s="598"/>
      <c r="V221" s="703" t="str">
        <f>IF(OR(F221="",G221="",U221=""),"",IF(C221="売",(F221-U221)*G221,(U221-F221)*G221))</f>
        <v/>
      </c>
      <c r="W221" s="480" t="str">
        <f>IF(OR($E221="",$B221=""),"",IF($T221&lt;&gt;"",$T221-$E221,TODAY()-$E221)+1)</f>
        <v/>
      </c>
      <c r="X221" s="480" t="str">
        <f>IF(OR($AH221="",$AH221="保有中"),"",$AH221)</f>
        <v/>
      </c>
      <c r="Y221" s="488">
        <f>IF($B221="","",IF(COUNTIFS($B$4:$B221,$B221,$C$4:$C221,$C221)&gt;1,"⛔重複"&amp;COUNTIFS($B$4:$B221,$B221,$C$4:$C221,$C221)&amp;"回目",""))</f>
      </c>
      <c r="Z221" s="710"/>
      <c r="AB221">
        <f>IF($F221="","",MAX(100,ROUNDDOWN($AX$4/($F221*$AX$2)/100,0)*100))</f>
      </c>
      <c r="AC221">
        <f>IF(OR($F221="",$G221="",$U221=""),"",ROUND($V221-($F221+$U221)*$G221*$AX$6-IF($C221="売",$F221*$G221*$AX$7*$W221/365,0),0))</f>
      </c>
      <c r="AD221" s="608"/>
      <c r="AE221" s="600" t="str">
        <f>IF($E221="","",WORKDAY($E221,12))</f>
        <v/>
      </c>
      <c r="AF221" s="600"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0"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0" t="str">
        <f>IF(OR($B221="",$M221=""),"",IF(AND(N($AF221)=0,N($AG221)=0),IF(AND(ISNUMBER($H221),$H221&gt;0,IF($C221="売",$H221&gt;=$N221,$H221&lt;=$N221)),"損切確定",IF(AND(ISNUMBER($H221),$H221&gt;0,IF($C221="売",$H221&lt;=$M221,$H221&gt;=$M221)),"利益確定",IF($AE221&lt;=TODAY(),"日数制限","保有中"))),IF(N($AG221)=0,"利益確定",IF(N($AF221)=0,"損切確定",IF($AG221&lt;=$AF221,"損切確定","利益確定")))))</f>
        <v/>
      </c>
      <c r="AI221" s="600" t="str" cm="1">
        <f t="array" ref="AI221">IFERROR(INDEX(始値!$E$6:$BT$305,MATCH(TEXT($B221,"0"),TEXT(銘柄管理!$B$6:$B$305,"0"),0),MATCH($AE221,始値!$E$3:$BT$3,0)),"")</f>
        <v/>
      </c>
      <c r="AJ221" s="608" t="str">
        <f>IF(OR($V221="",$F221="",$G221=""),"",$V221/($F221*$G221))</f>
        <v/>
      </c>
      <c r="AK221" s="600" t="str">
        <f>IF($V221="","",IF($V221&gt;0,"○勝",IF($V221&lt;0,"●負","△引分")))</f>
        <v/>
      </c>
    </row>
    <row r="222" spans="1:37" ht="17.25" customHeight="1">
      <c r="A222" s="621" t="str">
        <f>IF(B222="","",HYPERLINK("https://kabutan.jp/stock/?code="&amp;B222,"株探"))</f>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IF(OR(F222="",G222="",H222=""),"",IF(C222="売",(F222-H222)*G222,(H222-F222)*G222))</f>
        <v/>
      </c>
      <c r="L222" s="708" t="str">
        <f>IF(OR(F222="",H222=""),"",IF(C222="売",(F222-H222)/F222,(H222-F222)/F222))</f>
        <v/>
      </c>
      <c r="M222" s="598" t="str">
        <f>IF($F222="","",IF($C222="売",CEILING($F222*IF($C222="売",1-$AX$3,1+$AX$3),IF($F222*IF($C222="売",1-$AX$3,1+$AX$3)&lt;=3000,1,IF($F222*IF($C222="売",1-$AX$3,1+$AX$3)&lt;=5000,5,IF($F222*IF($C222="売",1-$AX$3,1+$AX$3)&lt;=30000,10,IF($F222*IF($C222="売",1-$AX$3,1+$AX$3)&lt;=50000,50,IF($F222*IF($C222="売",1-$AX$3,1+$AX$3)&lt;=300000,100,500)))))),FLOOR($F222*IF($C222="売",1-$AX$3,1+$AX$3),IF($F222*IF($C222="売",1-$AX$3,1+$AX$3)&lt;=3000,1,IF($F222*IF($C222="売",1-$AX$3,1+$AX$3)&lt;=5000,5,IF($F222*IF($C222="売",1-$AX$3,1+$AX$3)&lt;=30000,10,IF($F222*IF($C222="売",1-$AX$3,1+$AX$3)&lt;=50000,50,IF($F222*IF($C222="売",1-$AX$3,1+$AX$3)&lt;=300000,100,500))))))))</f>
      </c>
      <c r="N222" s="598" t="str">
        <f>IF($F222="","",IF($C222="売",CEILING($F222*IF($C222="売",1+$AX$2,1-$AX$2),IF($F222*IF($C222="売",1+$AX$2,1-$AX$2)&lt;=3000,1,IF($F222*IF($C222="売",1+$AX$2,1-$AX$2)&lt;=5000,5,IF($F222*IF($C222="売",1+$AX$2,1-$AX$2)&lt;=30000,10,IF($F222*IF($C222="売",1+$AX$2,1-$AX$2)&lt;=50000,50,IF($F222*IF($C222="売",1+$AX$2,1-$AX$2)&lt;=300000,100,500)))))),FLOOR($F222*IF($C222="売",1+$AX$2,1-$AX$2),IF($F222*IF($C222="売",1+$AX$2,1-$AX$2)&lt;=3000,1,IF($F222*IF($C222="売",1+$AX$2,1-$AX$2)&lt;=5000,5,IF($F222*IF($C222="売",1+$AX$2,1-$AX$2)&lt;=30000,10,IF($F222*IF($C222="売",1+$AX$2,1-$AX$2)&lt;=50000,50,IF($F222*IF($C222="売",1+$AX$2,1-$AX$2)&lt;=300000,100,500))))))))</f>
      </c>
      <c r="O222" s="478" t="str">
        <f>IF(OR($B222="",$F222="",$H222=""),"",IF($S222="✅売却済","―決済済―",IF($C222="売",IF($H222&lt;=$M222,"🟢利確",IF(AND($R222&lt;&gt;"",$H222&gt;=$R222),"🟠TRAIL決済",IF($H222&gt;=$N222,"🔴損切",IF($W222&gt;=$AX$5,"⏱時間決済",IF($H222&gt;=$F222*(1+$AX$2*0.7),"⚠️損切接近","保持継続"))))),IF($H222&gt;=$M222,"🟢利確",IF(AND($R222&lt;&gt;"",$H222&lt;=$R222),"🟠TRAIL決済",IF($H222&lt;=$N222,"🔴損切",IF($W222&gt;=$AX$5,"⏱時間決済",IF($H222&lt;=$F222*(1-$AX$2*0.7),"⚠️損切接近","保持継続")))))))</f>
      </c>
      <c r="P222" s="445"/>
      <c r="Q222" s="445"/>
      <c r="R222" s="480" t="str">
        <f>IF(OR($F222="",$H222="",$N222=""),"",IF($S222="✅売却済","",IF($C222="売",IF($H222&gt;$F222*(1-$AX$2),$N222,CEILING(MIN($N222,IF($Q222="",$N222,$Q222*1.03)),IF($N222&lt;=3000,1,IF($N222&lt;=5000,5,IF($N222&lt;=30000,10,IF($N222&lt;=50000,50,IF($N222&lt;=300000,100,500))))))),IF($H222&lt;$F222*(1+$AX$2),$N222,FLOOR(MAX($N222,IF($P222="",$N222,$P222*0.97)),IF($N222&lt;=3000,1,IF($N222&lt;=5000,5,IF($N222&lt;=30000,10,IF($N222&lt;=50000,50,IF($N222&lt;=300000,100,500))))))))))</f>
      </c>
      <c r="S222" s="480" t="str">
        <f>IF(B222="","",IF(T222&lt;&gt;"","✅売却済",IF(OR(H222="",L222=""),"📌保有中",IF(L222&gt;=0.06,"🟢利確推奨",IF(L222&gt;=0.05,"🟡利確直近",IF(L222&gt;=0.045,"🔵トレーリング検討",IF(L222&gt;-0.03,"📌保有中",IF(L222&gt;-0.04,"⚠️損切注意","🔴損切り"))))))))</f>
        <v/>
      </c>
      <c r="T222" s="596"/>
      <c r="U222" s="598"/>
      <c r="V222" s="703" t="str">
        <f>IF(OR(F222="",G222="",U222=""),"",IF(C222="売",(F222-U222)*G222,(U222-F222)*G222))</f>
        <v/>
      </c>
      <c r="W222" s="480" t="str">
        <f>IF(OR($E222="",$B222=""),"",IF($T222&lt;&gt;"",$T222-$E222,TODAY()-$E222)+1)</f>
        <v/>
      </c>
      <c r="X222" s="480" t="str">
        <f>IF(OR($AH222="",$AH222="保有中"),"",$AH222)</f>
        <v/>
      </c>
      <c r="Y222" s="488">
        <f>IF($B222="","",IF(COUNTIFS($B$4:$B222,$B222,$C$4:$C222,$C222)&gt;1,"⛔重複"&amp;COUNTIFS($B$4:$B222,$B222,$C$4:$C222,$C222)&amp;"回目",""))</f>
      </c>
      <c r="Z222" s="710"/>
      <c r="AB222">
        <f>IF($F222="","",MAX(100,ROUNDDOWN($AX$4/($F222*$AX$2)/100,0)*100))</f>
      </c>
      <c r="AC222">
        <f>IF(OR($F222="",$G222="",$U222=""),"",ROUND($V222-($F222+$U222)*$G222*$AX$6-IF($C222="売",$F222*$G222*$AX$7*$W222/365,0),0))</f>
      </c>
      <c r="AD222" s="608"/>
      <c r="AE222" s="600" t="str">
        <f>IF($E222="","",WORKDAY($E222,12))</f>
        <v/>
      </c>
      <c r="AF222" s="600"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0"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0" t="str">
        <f>IF(OR($B222="",$M222=""),"",IF(AND(N($AF222)=0,N($AG222)=0),IF(AND(ISNUMBER($H222),$H222&gt;0,IF($C222="売",$H222&gt;=$N222,$H222&lt;=$N222)),"損切確定",IF(AND(ISNUMBER($H222),$H222&gt;0,IF($C222="売",$H222&lt;=$M222,$H222&gt;=$M222)),"利益確定",IF($AE222&lt;=TODAY(),"日数制限","保有中"))),IF(N($AG222)=0,"利益確定",IF(N($AF222)=0,"損切確定",IF($AG222&lt;=$AF222,"損切確定","利益確定")))))</f>
        <v/>
      </c>
      <c r="AI222" s="600" t="str" cm="1">
        <f t="array" ref="AI222">IFERROR(INDEX(始値!$E$6:$BT$305,MATCH(TEXT($B222,"0"),TEXT(銘柄管理!$B$6:$B$305,"0"),0),MATCH($AE222,始値!$E$3:$BT$3,0)),"")</f>
        <v/>
      </c>
      <c r="AJ222" s="608" t="str">
        <f>IF(OR($V222="",$F222="",$G222=""),"",$V222/($F222*$G222))</f>
        <v/>
      </c>
      <c r="AK222" s="600" t="str">
        <f>IF($V222="","",IF($V222&gt;0,"○勝",IF($V222&lt;0,"●負","△引分")))</f>
        <v/>
      </c>
    </row>
    <row r="223" spans="1:37" ht="17.25" customHeight="1">
      <c r="A223" s="621" t="str">
        <f>IF(B223="","",HYPERLINK("https://kabutan.jp/stock/?code="&amp;B223,"株探"))</f>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IF(OR(F223="",G223="",H223=""),"",IF(C223="売",(F223-H223)*G223,(H223-F223)*G223))</f>
        <v/>
      </c>
      <c r="L223" s="708" t="str">
        <f>IF(OR(F223="",H223=""),"",IF(C223="売",(F223-H223)/F223,(H223-F223)/F223))</f>
        <v/>
      </c>
      <c r="M223" s="598" t="str">
        <f>IF($F223="","",IF($C223="売",CEILING($F223*IF($C223="売",1-$AX$3,1+$AX$3),IF($F223*IF($C223="売",1-$AX$3,1+$AX$3)&lt;=3000,1,IF($F223*IF($C223="売",1-$AX$3,1+$AX$3)&lt;=5000,5,IF($F223*IF($C223="売",1-$AX$3,1+$AX$3)&lt;=30000,10,IF($F223*IF($C223="売",1-$AX$3,1+$AX$3)&lt;=50000,50,IF($F223*IF($C223="売",1-$AX$3,1+$AX$3)&lt;=300000,100,500)))))),FLOOR($F223*IF($C223="売",1-$AX$3,1+$AX$3),IF($F223*IF($C223="売",1-$AX$3,1+$AX$3)&lt;=3000,1,IF($F223*IF($C223="売",1-$AX$3,1+$AX$3)&lt;=5000,5,IF($F223*IF($C223="売",1-$AX$3,1+$AX$3)&lt;=30000,10,IF($F223*IF($C223="売",1-$AX$3,1+$AX$3)&lt;=50000,50,IF($F223*IF($C223="売",1-$AX$3,1+$AX$3)&lt;=300000,100,500))))))))</f>
      </c>
      <c r="N223" s="598" t="str">
        <f>IF($F223="","",IF($C223="売",CEILING($F223*IF($C223="売",1+$AX$2,1-$AX$2),IF($F223*IF($C223="売",1+$AX$2,1-$AX$2)&lt;=3000,1,IF($F223*IF($C223="売",1+$AX$2,1-$AX$2)&lt;=5000,5,IF($F223*IF($C223="売",1+$AX$2,1-$AX$2)&lt;=30000,10,IF($F223*IF($C223="売",1+$AX$2,1-$AX$2)&lt;=50000,50,IF($F223*IF($C223="売",1+$AX$2,1-$AX$2)&lt;=300000,100,500)))))),FLOOR($F223*IF($C223="売",1+$AX$2,1-$AX$2),IF($F223*IF($C223="売",1+$AX$2,1-$AX$2)&lt;=3000,1,IF($F223*IF($C223="売",1+$AX$2,1-$AX$2)&lt;=5000,5,IF($F223*IF($C223="売",1+$AX$2,1-$AX$2)&lt;=30000,10,IF($F223*IF($C223="売",1+$AX$2,1-$AX$2)&lt;=50000,50,IF($F223*IF($C223="売",1+$AX$2,1-$AX$2)&lt;=300000,100,500))))))))</f>
      </c>
      <c r="O223" s="478" t="str">
        <f>IF(OR($B223="",$F223="",$H223=""),"",IF($S223="✅売却済","―決済済―",IF($C223="売",IF($H223&lt;=$M223,"🟢利確",IF(AND($R223&lt;&gt;"",$H223&gt;=$R223),"🟠TRAIL決済",IF($H223&gt;=$N223,"🔴損切",IF($W223&gt;=$AX$5,"⏱時間決済",IF($H223&gt;=$F223*(1+$AX$2*0.7),"⚠️損切接近","保持継続"))))),IF($H223&gt;=$M223,"🟢利確",IF(AND($R223&lt;&gt;"",$H223&lt;=$R223),"🟠TRAIL決済",IF($H223&lt;=$N223,"🔴損切",IF($W223&gt;=$AX$5,"⏱時間決済",IF($H223&lt;=$F223*(1-$AX$2*0.7),"⚠️損切接近","保持継続")))))))</f>
      </c>
      <c r="P223" s="445"/>
      <c r="Q223" s="445"/>
      <c r="R223" s="480" t="str">
        <f>IF(OR($F223="",$H223="",$N223=""),"",IF($S223="✅売却済","",IF($C223="売",IF($H223&gt;$F223*(1-$AX$2),$N223,CEILING(MIN($N223,IF($Q223="",$N223,$Q223*1.03)),IF($N223&lt;=3000,1,IF($N223&lt;=5000,5,IF($N223&lt;=30000,10,IF($N223&lt;=50000,50,IF($N223&lt;=300000,100,500))))))),IF($H223&lt;$F223*(1+$AX$2),$N223,FLOOR(MAX($N223,IF($P223="",$N223,$P223*0.97)),IF($N223&lt;=3000,1,IF($N223&lt;=5000,5,IF($N223&lt;=30000,10,IF($N223&lt;=50000,50,IF($N223&lt;=300000,100,500))))))))))</f>
      </c>
      <c r="S223" s="480" t="str">
        <f>IF(B223="","",IF(T223&lt;&gt;"","✅売却済",IF(OR(H223="",L223=""),"📌保有中",IF(L223&gt;=0.06,"🟢利確推奨",IF(L223&gt;=0.05,"🟡利確直近",IF(L223&gt;=0.045,"🔵トレーリング検討",IF(L223&gt;-0.03,"📌保有中",IF(L223&gt;-0.04,"⚠️損切注意","🔴損切り"))))))))</f>
        <v/>
      </c>
      <c r="T223" s="596"/>
      <c r="U223" s="598"/>
      <c r="V223" s="703" t="str">
        <f>IF(OR(F223="",G223="",U223=""),"",IF(C223="売",(F223-U223)*G223,(U223-F223)*G223))</f>
        <v/>
      </c>
      <c r="W223" s="480" t="str">
        <f>IF(OR($E223="",$B223=""),"",IF($T223&lt;&gt;"",$T223-$E223,TODAY()-$E223)+1)</f>
        <v/>
      </c>
      <c r="X223" s="480" t="str">
        <f>IF(OR($AH223="",$AH223="保有中"),"",$AH223)</f>
        <v/>
      </c>
      <c r="Y223" s="488">
        <f>IF($B223="","",IF(COUNTIFS($B$4:$B223,$B223,$C$4:$C223,$C223)&gt;1,"⛔重複"&amp;COUNTIFS($B$4:$B223,$B223,$C$4:$C223,$C223)&amp;"回目",""))</f>
      </c>
      <c r="Z223" s="710"/>
      <c r="AB223">
        <f>IF($F223="","",MAX(100,ROUNDDOWN($AX$4/($F223*$AX$2)/100,0)*100))</f>
      </c>
      <c r="AC223">
        <f>IF(OR($F223="",$G223="",$U223=""),"",ROUND($V223-($F223+$U223)*$G223*$AX$6-IF($C223="売",$F223*$G223*$AX$7*$W223/365,0),0))</f>
      </c>
      <c r="AD223" s="608"/>
      <c r="AE223" s="600" t="str">
        <f>IF($E223="","",WORKDAY($E223,12))</f>
        <v/>
      </c>
      <c r="AF223" s="600"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0"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0" t="str">
        <f>IF(OR($B223="",$M223=""),"",IF(AND(N($AF223)=0,N($AG223)=0),IF(AND(ISNUMBER($H223),$H223&gt;0,IF($C223="売",$H223&gt;=$N223,$H223&lt;=$N223)),"損切確定",IF(AND(ISNUMBER($H223),$H223&gt;0,IF($C223="売",$H223&lt;=$M223,$H223&gt;=$M223)),"利益確定",IF($AE223&lt;=TODAY(),"日数制限","保有中"))),IF(N($AG223)=0,"利益確定",IF(N($AF223)=0,"損切確定",IF($AG223&lt;=$AF223,"損切確定","利益確定")))))</f>
        <v/>
      </c>
      <c r="AI223" s="600" t="str" cm="1">
        <f t="array" ref="AI223">IFERROR(INDEX(始値!$E$6:$BT$305,MATCH(TEXT($B223,"0"),TEXT(銘柄管理!$B$6:$B$305,"0"),0),MATCH($AE223,始値!$E$3:$BT$3,0)),"")</f>
        <v/>
      </c>
      <c r="AJ223" s="608" t="str">
        <f>IF(OR($V223="",$F223="",$G223=""),"",$V223/($F223*$G223))</f>
        <v/>
      </c>
      <c r="AK223" s="600" t="str">
        <f>IF($V223="","",IF($V223&gt;0,"○勝",IF($V223&lt;0,"●負","△引分")))</f>
        <v/>
      </c>
    </row>
    <row r="224" spans="1:37" ht="17.25" customHeight="1">
      <c r="A224" s="621" t="str">
        <f>IF(B224="","",HYPERLINK("https://kabutan.jp/stock/?code="&amp;B224,"株探"))</f>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IF(OR(F224="",G224="",H224=""),"",IF(C224="売",(F224-H224)*G224,(H224-F224)*G224))</f>
        <v/>
      </c>
      <c r="L224" s="708" t="str">
        <f>IF(OR(F224="",H224=""),"",IF(C224="売",(F224-H224)/F224,(H224-F224)/F224))</f>
        <v/>
      </c>
      <c r="M224" s="598" t="str">
        <f>IF($F224="","",IF($C224="売",CEILING($F224*IF($C224="売",1-$AX$3,1+$AX$3),IF($F224*IF($C224="売",1-$AX$3,1+$AX$3)&lt;=3000,1,IF($F224*IF($C224="売",1-$AX$3,1+$AX$3)&lt;=5000,5,IF($F224*IF($C224="売",1-$AX$3,1+$AX$3)&lt;=30000,10,IF($F224*IF($C224="売",1-$AX$3,1+$AX$3)&lt;=50000,50,IF($F224*IF($C224="売",1-$AX$3,1+$AX$3)&lt;=300000,100,500)))))),FLOOR($F224*IF($C224="売",1-$AX$3,1+$AX$3),IF($F224*IF($C224="売",1-$AX$3,1+$AX$3)&lt;=3000,1,IF($F224*IF($C224="売",1-$AX$3,1+$AX$3)&lt;=5000,5,IF($F224*IF($C224="売",1-$AX$3,1+$AX$3)&lt;=30000,10,IF($F224*IF($C224="売",1-$AX$3,1+$AX$3)&lt;=50000,50,IF($F224*IF($C224="売",1-$AX$3,1+$AX$3)&lt;=300000,100,500))))))))</f>
      </c>
      <c r="N224" s="598" t="str">
        <f>IF($F224="","",IF($C224="売",CEILING($F224*IF($C224="売",1+$AX$2,1-$AX$2),IF($F224*IF($C224="売",1+$AX$2,1-$AX$2)&lt;=3000,1,IF($F224*IF($C224="売",1+$AX$2,1-$AX$2)&lt;=5000,5,IF($F224*IF($C224="売",1+$AX$2,1-$AX$2)&lt;=30000,10,IF($F224*IF($C224="売",1+$AX$2,1-$AX$2)&lt;=50000,50,IF($F224*IF($C224="売",1+$AX$2,1-$AX$2)&lt;=300000,100,500)))))),FLOOR($F224*IF($C224="売",1+$AX$2,1-$AX$2),IF($F224*IF($C224="売",1+$AX$2,1-$AX$2)&lt;=3000,1,IF($F224*IF($C224="売",1+$AX$2,1-$AX$2)&lt;=5000,5,IF($F224*IF($C224="売",1+$AX$2,1-$AX$2)&lt;=30000,10,IF($F224*IF($C224="売",1+$AX$2,1-$AX$2)&lt;=50000,50,IF($F224*IF($C224="売",1+$AX$2,1-$AX$2)&lt;=300000,100,500))))))))</f>
      </c>
      <c r="O224" s="478" t="str">
        <f>IF(OR($B224="",$F224="",$H224=""),"",IF($S224="✅売却済","―決済済―",IF($C224="売",IF($H224&lt;=$M224,"🟢利確",IF(AND($R224&lt;&gt;"",$H224&gt;=$R224),"🟠TRAIL決済",IF($H224&gt;=$N224,"🔴損切",IF($W224&gt;=$AX$5,"⏱時間決済",IF($H224&gt;=$F224*(1+$AX$2*0.7),"⚠️損切接近","保持継続"))))),IF($H224&gt;=$M224,"🟢利確",IF(AND($R224&lt;&gt;"",$H224&lt;=$R224),"🟠TRAIL決済",IF($H224&lt;=$N224,"🔴損切",IF($W224&gt;=$AX$5,"⏱時間決済",IF($H224&lt;=$F224*(1-$AX$2*0.7),"⚠️損切接近","保持継続")))))))</f>
      </c>
      <c r="P224" s="445"/>
      <c r="Q224" s="445"/>
      <c r="R224" s="480" t="str">
        <f>IF(OR($F224="",$H224="",$N224=""),"",IF($S224="✅売却済","",IF($C224="売",IF($H224&gt;$F224*(1-$AX$2),$N224,CEILING(MIN($N224,IF($Q224="",$N224,$Q224*1.03)),IF($N224&lt;=3000,1,IF($N224&lt;=5000,5,IF($N224&lt;=30000,10,IF($N224&lt;=50000,50,IF($N224&lt;=300000,100,500))))))),IF($H224&lt;$F224*(1+$AX$2),$N224,FLOOR(MAX($N224,IF($P224="",$N224,$P224*0.97)),IF($N224&lt;=3000,1,IF($N224&lt;=5000,5,IF($N224&lt;=30000,10,IF($N224&lt;=50000,50,IF($N224&lt;=300000,100,500))))))))))</f>
      </c>
      <c r="S224" s="480" t="str">
        <f>IF(B224="","",IF(T224&lt;&gt;"","✅売却済",IF(OR(H224="",L224=""),"📌保有中",IF(L224&gt;=0.06,"🟢利確推奨",IF(L224&gt;=0.05,"🟡利確直近",IF(L224&gt;=0.045,"🔵トレーリング検討",IF(L224&gt;-0.03,"📌保有中",IF(L224&gt;-0.04,"⚠️損切注意","🔴損切り"))))))))</f>
        <v/>
      </c>
      <c r="T224" s="596"/>
      <c r="U224" s="598"/>
      <c r="V224" s="703" t="str">
        <f>IF(OR(F224="",G224="",U224=""),"",IF(C224="売",(F224-U224)*G224,(U224-F224)*G224))</f>
        <v/>
      </c>
      <c r="W224" s="480" t="str">
        <f>IF(OR($E224="",$B224=""),"",IF($T224&lt;&gt;"",$T224-$E224,TODAY()-$E224)+1)</f>
        <v/>
      </c>
      <c r="X224" s="480" t="str">
        <f>IF(OR($AH224="",$AH224="保有中"),"",$AH224)</f>
        <v/>
      </c>
      <c r="Y224" s="488">
        <f>IF($B224="","",IF(COUNTIFS($B$4:$B224,$B224,$C$4:$C224,$C224)&gt;1,"⛔重複"&amp;COUNTIFS($B$4:$B224,$B224,$C$4:$C224,$C224)&amp;"回目",""))</f>
      </c>
      <c r="Z224" s="710"/>
      <c r="AB224">
        <f>IF($F224="","",MAX(100,ROUNDDOWN($AX$4/($F224*$AX$2)/100,0)*100))</f>
      </c>
      <c r="AC224">
        <f>IF(OR($F224="",$G224="",$U224=""),"",ROUND($V224-($F224+$U224)*$G224*$AX$6-IF($C224="売",$F224*$G224*$AX$7*$W224/365,0),0))</f>
      </c>
      <c r="AD224" s="608"/>
      <c r="AE224" s="600" t="str">
        <f>IF($E224="","",WORKDAY($E224,12))</f>
        <v/>
      </c>
      <c r="AF224" s="600"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0"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0" t="str">
        <f>IF(OR($B224="",$M224=""),"",IF(AND(N($AF224)=0,N($AG224)=0),IF(AND(ISNUMBER($H224),$H224&gt;0,IF($C224="売",$H224&gt;=$N224,$H224&lt;=$N224)),"損切確定",IF(AND(ISNUMBER($H224),$H224&gt;0,IF($C224="売",$H224&lt;=$M224,$H224&gt;=$M224)),"利益確定",IF($AE224&lt;=TODAY(),"日数制限","保有中"))),IF(N($AG224)=0,"利益確定",IF(N($AF224)=0,"損切確定",IF($AG224&lt;=$AF224,"損切確定","利益確定")))))</f>
        <v/>
      </c>
      <c r="AI224" s="600" t="str" cm="1">
        <f t="array" ref="AI224">IFERROR(INDEX(始値!$E$6:$BT$305,MATCH(TEXT($B224,"0"),TEXT(銘柄管理!$B$6:$B$305,"0"),0),MATCH($AE224,始値!$E$3:$BT$3,0)),"")</f>
        <v/>
      </c>
      <c r="AJ224" s="608" t="str">
        <f>IF(OR($V224="",$F224="",$G224=""),"",$V224/($F224*$G224))</f>
        <v/>
      </c>
      <c r="AK224" s="600" t="str">
        <f>IF($V224="","",IF($V224&gt;0,"○勝",IF($V224&lt;0,"●負","△引分")))</f>
        <v/>
      </c>
    </row>
    <row r="225" spans="1:37" ht="17.25" customHeight="1">
      <c r="A225" s="621" t="str">
        <f>IF(B225="","",HYPERLINK("https://kabutan.jp/stock/?code="&amp;B225,"株探"))</f>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IF(OR(F225="",G225="",H225=""),"",IF(C225="売",(F225-H225)*G225,(H225-F225)*G225))</f>
        <v/>
      </c>
      <c r="L225" s="708" t="str">
        <f>IF(OR(F225="",H225=""),"",IF(C225="売",(F225-H225)/F225,(H225-F225)/F225))</f>
        <v/>
      </c>
      <c r="M225" s="598" t="str">
        <f>IF($F225="","",IF($C225="売",CEILING($F225*IF($C225="売",1-$AX$3,1+$AX$3),IF($F225*IF($C225="売",1-$AX$3,1+$AX$3)&lt;=3000,1,IF($F225*IF($C225="売",1-$AX$3,1+$AX$3)&lt;=5000,5,IF($F225*IF($C225="売",1-$AX$3,1+$AX$3)&lt;=30000,10,IF($F225*IF($C225="売",1-$AX$3,1+$AX$3)&lt;=50000,50,IF($F225*IF($C225="売",1-$AX$3,1+$AX$3)&lt;=300000,100,500)))))),FLOOR($F225*IF($C225="売",1-$AX$3,1+$AX$3),IF($F225*IF($C225="売",1-$AX$3,1+$AX$3)&lt;=3000,1,IF($F225*IF($C225="売",1-$AX$3,1+$AX$3)&lt;=5000,5,IF($F225*IF($C225="売",1-$AX$3,1+$AX$3)&lt;=30000,10,IF($F225*IF($C225="売",1-$AX$3,1+$AX$3)&lt;=50000,50,IF($F225*IF($C225="売",1-$AX$3,1+$AX$3)&lt;=300000,100,500))))))))</f>
      </c>
      <c r="N225" s="598" t="str">
        <f>IF($F225="","",IF($C225="売",CEILING($F225*IF($C225="売",1+$AX$2,1-$AX$2),IF($F225*IF($C225="売",1+$AX$2,1-$AX$2)&lt;=3000,1,IF($F225*IF($C225="売",1+$AX$2,1-$AX$2)&lt;=5000,5,IF($F225*IF($C225="売",1+$AX$2,1-$AX$2)&lt;=30000,10,IF($F225*IF($C225="売",1+$AX$2,1-$AX$2)&lt;=50000,50,IF($F225*IF($C225="売",1+$AX$2,1-$AX$2)&lt;=300000,100,500)))))),FLOOR($F225*IF($C225="売",1+$AX$2,1-$AX$2),IF($F225*IF($C225="売",1+$AX$2,1-$AX$2)&lt;=3000,1,IF($F225*IF($C225="売",1+$AX$2,1-$AX$2)&lt;=5000,5,IF($F225*IF($C225="売",1+$AX$2,1-$AX$2)&lt;=30000,10,IF($F225*IF($C225="売",1+$AX$2,1-$AX$2)&lt;=50000,50,IF($F225*IF($C225="売",1+$AX$2,1-$AX$2)&lt;=300000,100,500))))))))</f>
      </c>
      <c r="O225" s="478" t="str">
        <f>IF(OR($B225="",$F225="",$H225=""),"",IF($S225="✅売却済","―決済済―",IF($C225="売",IF($H225&lt;=$M225,"🟢利確",IF(AND($R225&lt;&gt;"",$H225&gt;=$R225),"🟠TRAIL決済",IF($H225&gt;=$N225,"🔴損切",IF($W225&gt;=$AX$5,"⏱時間決済",IF($H225&gt;=$F225*(1+$AX$2*0.7),"⚠️損切接近","保持継続"))))),IF($H225&gt;=$M225,"🟢利確",IF(AND($R225&lt;&gt;"",$H225&lt;=$R225),"🟠TRAIL決済",IF($H225&lt;=$N225,"🔴損切",IF($W225&gt;=$AX$5,"⏱時間決済",IF($H225&lt;=$F225*(1-$AX$2*0.7),"⚠️損切接近","保持継続")))))))</f>
      </c>
      <c r="P225" s="445"/>
      <c r="Q225" s="445"/>
      <c r="R225" s="480" t="str">
        <f>IF(OR($F225="",$H225="",$N225=""),"",IF($S225="✅売却済","",IF($C225="売",IF($H225&gt;$F225*(1-$AX$2),$N225,CEILING(MIN($N225,IF($Q225="",$N225,$Q225*1.03)),IF($N225&lt;=3000,1,IF($N225&lt;=5000,5,IF($N225&lt;=30000,10,IF($N225&lt;=50000,50,IF($N225&lt;=300000,100,500))))))),IF($H225&lt;$F225*(1+$AX$2),$N225,FLOOR(MAX($N225,IF($P225="",$N225,$P225*0.97)),IF($N225&lt;=3000,1,IF($N225&lt;=5000,5,IF($N225&lt;=30000,10,IF($N225&lt;=50000,50,IF($N225&lt;=300000,100,500))))))))))</f>
      </c>
      <c r="S225" s="480" t="str">
        <f>IF(B225="","",IF(T225&lt;&gt;"","✅売却済",IF(OR(H225="",L225=""),"📌保有中",IF(L225&gt;=0.06,"🟢利確推奨",IF(L225&gt;=0.05,"🟡利確直近",IF(L225&gt;=0.045,"🔵トレーリング検討",IF(L225&gt;-0.03,"📌保有中",IF(L225&gt;-0.04,"⚠️損切注意","🔴損切り"))))))))</f>
        <v/>
      </c>
      <c r="T225" s="596"/>
      <c r="U225" s="598"/>
      <c r="V225" s="703" t="str">
        <f>IF(OR(F225="",G225="",U225=""),"",IF(C225="売",(F225-U225)*G225,(U225-F225)*G225))</f>
        <v/>
      </c>
      <c r="W225" s="480" t="str">
        <f>IF(OR($E225="",$B225=""),"",IF($T225&lt;&gt;"",$T225-$E225,TODAY()-$E225)+1)</f>
        <v/>
      </c>
      <c r="X225" s="480" t="str">
        <f>IF(OR($AH225="",$AH225="保有中"),"",$AH225)</f>
        <v/>
      </c>
      <c r="Y225" s="488">
        <f>IF($B225="","",IF(COUNTIFS($B$4:$B225,$B225,$C$4:$C225,$C225)&gt;1,"⛔重複"&amp;COUNTIFS($B$4:$B225,$B225,$C$4:$C225,$C225)&amp;"回目",""))</f>
      </c>
      <c r="Z225" s="710"/>
      <c r="AB225">
        <f>IF($F225="","",MAX(100,ROUNDDOWN($AX$4/($F225*$AX$2)/100,0)*100))</f>
      </c>
      <c r="AC225">
        <f>IF(OR($F225="",$G225="",$U225=""),"",ROUND($V225-($F225+$U225)*$G225*$AX$6-IF($C225="売",$F225*$G225*$AX$7*$W225/365,0),0))</f>
      </c>
      <c r="AD225" s="608"/>
      <c r="AE225" s="600" t="str">
        <f>IF($E225="","",WORKDAY($E225,12))</f>
        <v/>
      </c>
      <c r="AF225" s="600"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0"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0" t="str">
        <f>IF(OR($B225="",$M225=""),"",IF(AND(N($AF225)=0,N($AG225)=0),IF(AND(ISNUMBER($H225),$H225&gt;0,IF($C225="売",$H225&gt;=$N225,$H225&lt;=$N225)),"損切確定",IF(AND(ISNUMBER($H225),$H225&gt;0,IF($C225="売",$H225&lt;=$M225,$H225&gt;=$M225)),"利益確定",IF($AE225&lt;=TODAY(),"日数制限","保有中"))),IF(N($AG225)=0,"利益確定",IF(N($AF225)=0,"損切確定",IF($AG225&lt;=$AF225,"損切確定","利益確定")))))</f>
        <v/>
      </c>
      <c r="AI225" s="600" t="str" cm="1">
        <f t="array" ref="AI225">IFERROR(INDEX(始値!$E$6:$BT$305,MATCH(TEXT($B225,"0"),TEXT(銘柄管理!$B$6:$B$305,"0"),0),MATCH($AE225,始値!$E$3:$BT$3,0)),"")</f>
        <v/>
      </c>
      <c r="AJ225" s="608" t="str">
        <f>IF(OR($V225="",$F225="",$G225=""),"",$V225/($F225*$G225))</f>
        <v/>
      </c>
      <c r="AK225" s="600" t="str">
        <f>IF($V225="","",IF($V225&gt;0,"○勝",IF($V225&lt;0,"●負","△引分")))</f>
        <v/>
      </c>
    </row>
    <row r="226" spans="1:37" ht="17.25" customHeight="1">
      <c r="A226" s="621" t="str">
        <f>IF(B226="","",HYPERLINK("https://kabutan.jp/stock/?code="&amp;B226,"株探"))</f>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IF(OR(F226="",G226="",H226=""),"",IF(C226="売",(F226-H226)*G226,(H226-F226)*G226))</f>
        <v/>
      </c>
      <c r="L226" s="708" t="str">
        <f>IF(OR(F226="",H226=""),"",IF(C226="売",(F226-H226)/F226,(H226-F226)/F226))</f>
        <v/>
      </c>
      <c r="M226" s="598" t="str">
        <f>IF($F226="","",IF($C226="売",CEILING($F226*IF($C226="売",1-$AX$3,1+$AX$3),IF($F226*IF($C226="売",1-$AX$3,1+$AX$3)&lt;=3000,1,IF($F226*IF($C226="売",1-$AX$3,1+$AX$3)&lt;=5000,5,IF($F226*IF($C226="売",1-$AX$3,1+$AX$3)&lt;=30000,10,IF($F226*IF($C226="売",1-$AX$3,1+$AX$3)&lt;=50000,50,IF($F226*IF($C226="売",1-$AX$3,1+$AX$3)&lt;=300000,100,500)))))),FLOOR($F226*IF($C226="売",1-$AX$3,1+$AX$3),IF($F226*IF($C226="売",1-$AX$3,1+$AX$3)&lt;=3000,1,IF($F226*IF($C226="売",1-$AX$3,1+$AX$3)&lt;=5000,5,IF($F226*IF($C226="売",1-$AX$3,1+$AX$3)&lt;=30000,10,IF($F226*IF($C226="売",1-$AX$3,1+$AX$3)&lt;=50000,50,IF($F226*IF($C226="売",1-$AX$3,1+$AX$3)&lt;=300000,100,500))))))))</f>
      </c>
      <c r="N226" s="598" t="str">
        <f>IF($F226="","",IF($C226="売",CEILING($F226*IF($C226="売",1+$AX$2,1-$AX$2),IF($F226*IF($C226="売",1+$AX$2,1-$AX$2)&lt;=3000,1,IF($F226*IF($C226="売",1+$AX$2,1-$AX$2)&lt;=5000,5,IF($F226*IF($C226="売",1+$AX$2,1-$AX$2)&lt;=30000,10,IF($F226*IF($C226="売",1+$AX$2,1-$AX$2)&lt;=50000,50,IF($F226*IF($C226="売",1+$AX$2,1-$AX$2)&lt;=300000,100,500)))))),FLOOR($F226*IF($C226="売",1+$AX$2,1-$AX$2),IF($F226*IF($C226="売",1+$AX$2,1-$AX$2)&lt;=3000,1,IF($F226*IF($C226="売",1+$AX$2,1-$AX$2)&lt;=5000,5,IF($F226*IF($C226="売",1+$AX$2,1-$AX$2)&lt;=30000,10,IF($F226*IF($C226="売",1+$AX$2,1-$AX$2)&lt;=50000,50,IF($F226*IF($C226="売",1+$AX$2,1-$AX$2)&lt;=300000,100,500))))))))</f>
      </c>
      <c r="O226" s="478" t="str">
        <f>IF(OR($B226="",$F226="",$H226=""),"",IF($S226="✅売却済","―決済済―",IF($C226="売",IF($H226&lt;=$M226,"🟢利確",IF(AND($R226&lt;&gt;"",$H226&gt;=$R226),"🟠TRAIL決済",IF($H226&gt;=$N226,"🔴損切",IF($W226&gt;=$AX$5,"⏱時間決済",IF($H226&gt;=$F226*(1+$AX$2*0.7),"⚠️損切接近","保持継続"))))),IF($H226&gt;=$M226,"🟢利確",IF(AND($R226&lt;&gt;"",$H226&lt;=$R226),"🟠TRAIL決済",IF($H226&lt;=$N226,"🔴損切",IF($W226&gt;=$AX$5,"⏱時間決済",IF($H226&lt;=$F226*(1-$AX$2*0.7),"⚠️損切接近","保持継続")))))))</f>
      </c>
      <c r="P226" s="445"/>
      <c r="Q226" s="445"/>
      <c r="R226" s="480" t="str">
        <f>IF(OR($F226="",$H226="",$N226=""),"",IF($S226="✅売却済","",IF($C226="売",IF($H226&gt;$F226*(1-$AX$2),$N226,CEILING(MIN($N226,IF($Q226="",$N226,$Q226*1.03)),IF($N226&lt;=3000,1,IF($N226&lt;=5000,5,IF($N226&lt;=30000,10,IF($N226&lt;=50000,50,IF($N226&lt;=300000,100,500))))))),IF($H226&lt;$F226*(1+$AX$2),$N226,FLOOR(MAX($N226,IF($P226="",$N226,$P226*0.97)),IF($N226&lt;=3000,1,IF($N226&lt;=5000,5,IF($N226&lt;=30000,10,IF($N226&lt;=50000,50,IF($N226&lt;=300000,100,500))))))))))</f>
      </c>
      <c r="S226" s="480" t="str">
        <f>IF(B226="","",IF(T226&lt;&gt;"","✅売却済",IF(OR(H226="",L226=""),"📌保有中",IF(L226&gt;=0.06,"🟢利確推奨",IF(L226&gt;=0.05,"🟡利確直近",IF(L226&gt;=0.045,"🔵トレーリング検討",IF(L226&gt;-0.03,"📌保有中",IF(L226&gt;-0.04,"⚠️損切注意","🔴損切り"))))))))</f>
        <v/>
      </c>
      <c r="T226" s="596"/>
      <c r="U226" s="598"/>
      <c r="V226" s="703" t="str">
        <f>IF(OR(F226="",G226="",U226=""),"",IF(C226="売",(F226-U226)*G226,(U226-F226)*G226))</f>
        <v/>
      </c>
      <c r="W226" s="480" t="str">
        <f>IF(OR($E226="",$B226=""),"",IF($T226&lt;&gt;"",$T226-$E226,TODAY()-$E226)+1)</f>
        <v/>
      </c>
      <c r="X226" s="480" t="str">
        <f>IF(OR($AH226="",$AH226="保有中"),"",$AH226)</f>
        <v/>
      </c>
      <c r="Y226" s="488">
        <f>IF($B226="","",IF(COUNTIFS($B$4:$B226,$B226,$C$4:$C226,$C226)&gt;1,"⛔重複"&amp;COUNTIFS($B$4:$B226,$B226,$C$4:$C226,$C226)&amp;"回目",""))</f>
      </c>
      <c r="Z226" s="710"/>
      <c r="AB226">
        <f>IF($F226="","",MAX(100,ROUNDDOWN($AX$4/($F226*$AX$2)/100,0)*100))</f>
      </c>
      <c r="AC226">
        <f>IF(OR($F226="",$G226="",$U226=""),"",ROUND($V226-($F226+$U226)*$G226*$AX$6-IF($C226="売",$F226*$G226*$AX$7*$W226/365,0),0))</f>
      </c>
      <c r="AD226" s="608"/>
      <c r="AE226" s="600" t="str">
        <f>IF($E226="","",WORKDAY($E226,12))</f>
        <v/>
      </c>
      <c r="AF226" s="600"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0"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0" t="str">
        <f>IF(OR($B226="",$M226=""),"",IF(AND(N($AF226)=0,N($AG226)=0),IF(AND(ISNUMBER($H226),$H226&gt;0,IF($C226="売",$H226&gt;=$N226,$H226&lt;=$N226)),"損切確定",IF(AND(ISNUMBER($H226),$H226&gt;0,IF($C226="売",$H226&lt;=$M226,$H226&gt;=$M226)),"利益確定",IF($AE226&lt;=TODAY(),"日数制限","保有中"))),IF(N($AG226)=0,"利益確定",IF(N($AF226)=0,"損切確定",IF($AG226&lt;=$AF226,"損切確定","利益確定")))))</f>
        <v/>
      </c>
      <c r="AI226" s="600" t="str" cm="1">
        <f t="array" ref="AI226">IFERROR(INDEX(始値!$E$6:$BT$305,MATCH(TEXT($B226,"0"),TEXT(銘柄管理!$B$6:$B$305,"0"),0),MATCH($AE226,始値!$E$3:$BT$3,0)),"")</f>
        <v/>
      </c>
      <c r="AJ226" s="608" t="str">
        <f>IF(OR($V226="",$F226="",$G226=""),"",$V226/($F226*$G226))</f>
        <v/>
      </c>
      <c r="AK226" s="600" t="str">
        <f>IF($V226="","",IF($V226&gt;0,"○勝",IF($V226&lt;0,"●負","△引分")))</f>
        <v/>
      </c>
    </row>
    <row r="227" spans="1:37" ht="17.25" customHeight="1">
      <c r="A227" s="621" t="str">
        <f>IF(B227="","",HYPERLINK("https://kabutan.jp/stock/?code="&amp;B227,"株探"))</f>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IF(OR(F227="",G227="",H227=""),"",IF(C227="売",(F227-H227)*G227,(H227-F227)*G227))</f>
        <v/>
      </c>
      <c r="L227" s="708" t="str">
        <f>IF(OR(F227="",H227=""),"",IF(C227="売",(F227-H227)/F227,(H227-F227)/F227))</f>
        <v/>
      </c>
      <c r="M227" s="598" t="str">
        <f>IF($F227="","",IF($C227="売",CEILING($F227*IF($C227="売",1-$AX$3,1+$AX$3),IF($F227*IF($C227="売",1-$AX$3,1+$AX$3)&lt;=3000,1,IF($F227*IF($C227="売",1-$AX$3,1+$AX$3)&lt;=5000,5,IF($F227*IF($C227="売",1-$AX$3,1+$AX$3)&lt;=30000,10,IF($F227*IF($C227="売",1-$AX$3,1+$AX$3)&lt;=50000,50,IF($F227*IF($C227="売",1-$AX$3,1+$AX$3)&lt;=300000,100,500)))))),FLOOR($F227*IF($C227="売",1-$AX$3,1+$AX$3),IF($F227*IF($C227="売",1-$AX$3,1+$AX$3)&lt;=3000,1,IF($F227*IF($C227="売",1-$AX$3,1+$AX$3)&lt;=5000,5,IF($F227*IF($C227="売",1-$AX$3,1+$AX$3)&lt;=30000,10,IF($F227*IF($C227="売",1-$AX$3,1+$AX$3)&lt;=50000,50,IF($F227*IF($C227="売",1-$AX$3,1+$AX$3)&lt;=300000,100,500))))))))</f>
      </c>
      <c r="N227" s="598" t="str">
        <f>IF($F227="","",IF($C227="売",CEILING($F227*IF($C227="売",1+$AX$2,1-$AX$2),IF($F227*IF($C227="売",1+$AX$2,1-$AX$2)&lt;=3000,1,IF($F227*IF($C227="売",1+$AX$2,1-$AX$2)&lt;=5000,5,IF($F227*IF($C227="売",1+$AX$2,1-$AX$2)&lt;=30000,10,IF($F227*IF($C227="売",1+$AX$2,1-$AX$2)&lt;=50000,50,IF($F227*IF($C227="売",1+$AX$2,1-$AX$2)&lt;=300000,100,500)))))),FLOOR($F227*IF($C227="売",1+$AX$2,1-$AX$2),IF($F227*IF($C227="売",1+$AX$2,1-$AX$2)&lt;=3000,1,IF($F227*IF($C227="売",1+$AX$2,1-$AX$2)&lt;=5000,5,IF($F227*IF($C227="売",1+$AX$2,1-$AX$2)&lt;=30000,10,IF($F227*IF($C227="売",1+$AX$2,1-$AX$2)&lt;=50000,50,IF($F227*IF($C227="売",1+$AX$2,1-$AX$2)&lt;=300000,100,500))))))))</f>
      </c>
      <c r="O227" s="478" t="str">
        <f>IF(OR($B227="",$F227="",$H227=""),"",IF($S227="✅売却済","―決済済―",IF($C227="売",IF($H227&lt;=$M227,"🟢利確",IF(AND($R227&lt;&gt;"",$H227&gt;=$R227),"🟠TRAIL決済",IF($H227&gt;=$N227,"🔴損切",IF($W227&gt;=$AX$5,"⏱時間決済",IF($H227&gt;=$F227*(1+$AX$2*0.7),"⚠️損切接近","保持継続"))))),IF($H227&gt;=$M227,"🟢利確",IF(AND($R227&lt;&gt;"",$H227&lt;=$R227),"🟠TRAIL決済",IF($H227&lt;=$N227,"🔴損切",IF($W227&gt;=$AX$5,"⏱時間決済",IF($H227&lt;=$F227*(1-$AX$2*0.7),"⚠️損切接近","保持継続")))))))</f>
      </c>
      <c r="P227" s="445"/>
      <c r="Q227" s="445"/>
      <c r="R227" s="480" t="str">
        <f>IF(OR($F227="",$H227="",$N227=""),"",IF($S227="✅売却済","",IF($C227="売",IF($H227&gt;$F227*(1-$AX$2),$N227,CEILING(MIN($N227,IF($Q227="",$N227,$Q227*1.03)),IF($N227&lt;=3000,1,IF($N227&lt;=5000,5,IF($N227&lt;=30000,10,IF($N227&lt;=50000,50,IF($N227&lt;=300000,100,500))))))),IF($H227&lt;$F227*(1+$AX$2),$N227,FLOOR(MAX($N227,IF($P227="",$N227,$P227*0.97)),IF($N227&lt;=3000,1,IF($N227&lt;=5000,5,IF($N227&lt;=30000,10,IF($N227&lt;=50000,50,IF($N227&lt;=300000,100,500))))))))))</f>
      </c>
      <c r="S227" s="480" t="str">
        <f>IF(B227="","",IF(T227&lt;&gt;"","✅売却済",IF(OR(H227="",L227=""),"📌保有中",IF(L227&gt;=0.06,"🟢利確推奨",IF(L227&gt;=0.05,"🟡利確直近",IF(L227&gt;=0.045,"🔵トレーリング検討",IF(L227&gt;-0.03,"📌保有中",IF(L227&gt;-0.04,"⚠️損切注意","🔴損切り"))))))))</f>
        <v/>
      </c>
      <c r="T227" s="596"/>
      <c r="U227" s="598"/>
      <c r="V227" s="703" t="str">
        <f>IF(OR(F227="",G227="",U227=""),"",IF(C227="売",(F227-U227)*G227,(U227-F227)*G227))</f>
        <v/>
      </c>
      <c r="W227" s="480" t="str">
        <f>IF(OR($E227="",$B227=""),"",IF($T227&lt;&gt;"",$T227-$E227,TODAY()-$E227)+1)</f>
        <v/>
      </c>
      <c r="X227" s="480" t="str">
        <f>IF(OR($AH227="",$AH227="保有中"),"",$AH227)</f>
        <v/>
      </c>
      <c r="Y227" s="488">
        <f>IF($B227="","",IF(COUNTIFS($B$4:$B227,$B227,$C$4:$C227,$C227)&gt;1,"⛔重複"&amp;COUNTIFS($B$4:$B227,$B227,$C$4:$C227,$C227)&amp;"回目",""))</f>
      </c>
      <c r="Z227" s="710"/>
      <c r="AB227">
        <f>IF($F227="","",MAX(100,ROUNDDOWN($AX$4/($F227*$AX$2)/100,0)*100))</f>
      </c>
      <c r="AC227">
        <f>IF(OR($F227="",$G227="",$U227=""),"",ROUND($V227-($F227+$U227)*$G227*$AX$6-IF($C227="売",$F227*$G227*$AX$7*$W227/365,0),0))</f>
      </c>
      <c r="AD227" s="608"/>
      <c r="AE227" s="600" t="str">
        <f>IF($E227="","",WORKDAY($E227,12))</f>
        <v/>
      </c>
      <c r="AF227" s="600"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0"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0" t="str">
        <f>IF(OR($B227="",$M227=""),"",IF(AND(N($AF227)=0,N($AG227)=0),IF(AND(ISNUMBER($H227),$H227&gt;0,IF($C227="売",$H227&gt;=$N227,$H227&lt;=$N227)),"損切確定",IF(AND(ISNUMBER($H227),$H227&gt;0,IF($C227="売",$H227&lt;=$M227,$H227&gt;=$M227)),"利益確定",IF($AE227&lt;=TODAY(),"日数制限","保有中"))),IF(N($AG227)=0,"利益確定",IF(N($AF227)=0,"損切確定",IF($AG227&lt;=$AF227,"損切確定","利益確定")))))</f>
        <v/>
      </c>
      <c r="AI227" s="600" t="str" cm="1">
        <f t="array" ref="AI227">IFERROR(INDEX(始値!$E$6:$BT$305,MATCH(TEXT($B227,"0"),TEXT(銘柄管理!$B$6:$B$305,"0"),0),MATCH($AE227,始値!$E$3:$BT$3,0)),"")</f>
        <v/>
      </c>
      <c r="AJ227" s="608" t="str">
        <f>IF(OR($V227="",$F227="",$G227=""),"",$V227/($F227*$G227))</f>
        <v/>
      </c>
      <c r="AK227" s="600" t="str">
        <f>IF($V227="","",IF($V227&gt;0,"○勝",IF($V227&lt;0,"●負","△引分")))</f>
        <v/>
      </c>
    </row>
    <row r="228" spans="1:37" ht="17.25" customHeight="1">
      <c r="A228" s="621" t="str">
        <f>IF(B228="","",HYPERLINK("https://kabutan.jp/stock/?code="&amp;B228,"株探"))</f>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IF(OR(F228="",G228="",H228=""),"",IF(C228="売",(F228-H228)*G228,(H228-F228)*G228))</f>
        <v/>
      </c>
      <c r="L228" s="708" t="str">
        <f>IF(OR(F228="",H228=""),"",IF(C228="売",(F228-H228)/F228,(H228-F228)/F228))</f>
        <v/>
      </c>
      <c r="M228" s="598" t="str">
        <f>IF($F228="","",IF($C228="売",CEILING($F228*IF($C228="売",1-$AX$3,1+$AX$3),IF($F228*IF($C228="売",1-$AX$3,1+$AX$3)&lt;=3000,1,IF($F228*IF($C228="売",1-$AX$3,1+$AX$3)&lt;=5000,5,IF($F228*IF($C228="売",1-$AX$3,1+$AX$3)&lt;=30000,10,IF($F228*IF($C228="売",1-$AX$3,1+$AX$3)&lt;=50000,50,IF($F228*IF($C228="売",1-$AX$3,1+$AX$3)&lt;=300000,100,500)))))),FLOOR($F228*IF($C228="売",1-$AX$3,1+$AX$3),IF($F228*IF($C228="売",1-$AX$3,1+$AX$3)&lt;=3000,1,IF($F228*IF($C228="売",1-$AX$3,1+$AX$3)&lt;=5000,5,IF($F228*IF($C228="売",1-$AX$3,1+$AX$3)&lt;=30000,10,IF($F228*IF($C228="売",1-$AX$3,1+$AX$3)&lt;=50000,50,IF($F228*IF($C228="売",1-$AX$3,1+$AX$3)&lt;=300000,100,500))))))))</f>
      </c>
      <c r="N228" s="598" t="str">
        <f>IF($F228="","",IF($C228="売",CEILING($F228*IF($C228="売",1+$AX$2,1-$AX$2),IF($F228*IF($C228="売",1+$AX$2,1-$AX$2)&lt;=3000,1,IF($F228*IF($C228="売",1+$AX$2,1-$AX$2)&lt;=5000,5,IF($F228*IF($C228="売",1+$AX$2,1-$AX$2)&lt;=30000,10,IF($F228*IF($C228="売",1+$AX$2,1-$AX$2)&lt;=50000,50,IF($F228*IF($C228="売",1+$AX$2,1-$AX$2)&lt;=300000,100,500)))))),FLOOR($F228*IF($C228="売",1+$AX$2,1-$AX$2),IF($F228*IF($C228="売",1+$AX$2,1-$AX$2)&lt;=3000,1,IF($F228*IF($C228="売",1+$AX$2,1-$AX$2)&lt;=5000,5,IF($F228*IF($C228="売",1+$AX$2,1-$AX$2)&lt;=30000,10,IF($F228*IF($C228="売",1+$AX$2,1-$AX$2)&lt;=50000,50,IF($F228*IF($C228="売",1+$AX$2,1-$AX$2)&lt;=300000,100,500))))))))</f>
      </c>
      <c r="O228" s="478" t="str">
        <f>IF(OR($B228="",$F228="",$H228=""),"",IF($S228="✅売却済","―決済済―",IF($C228="売",IF($H228&lt;=$M228,"🟢利確",IF(AND($R228&lt;&gt;"",$H228&gt;=$R228),"🟠TRAIL決済",IF($H228&gt;=$N228,"🔴損切",IF($W228&gt;=$AX$5,"⏱時間決済",IF($H228&gt;=$F228*(1+$AX$2*0.7),"⚠️損切接近","保持継続"))))),IF($H228&gt;=$M228,"🟢利確",IF(AND($R228&lt;&gt;"",$H228&lt;=$R228),"🟠TRAIL決済",IF($H228&lt;=$N228,"🔴損切",IF($W228&gt;=$AX$5,"⏱時間決済",IF($H228&lt;=$F228*(1-$AX$2*0.7),"⚠️損切接近","保持継続")))))))</f>
      </c>
      <c r="P228" s="445"/>
      <c r="Q228" s="445"/>
      <c r="R228" s="480" t="str">
        <f>IF(OR($F228="",$H228="",$N228=""),"",IF($S228="✅売却済","",IF($C228="売",IF($H228&gt;$F228*(1-$AX$2),$N228,CEILING(MIN($N228,IF($Q228="",$N228,$Q228*1.03)),IF($N228&lt;=3000,1,IF($N228&lt;=5000,5,IF($N228&lt;=30000,10,IF($N228&lt;=50000,50,IF($N228&lt;=300000,100,500))))))),IF($H228&lt;$F228*(1+$AX$2),$N228,FLOOR(MAX($N228,IF($P228="",$N228,$P228*0.97)),IF($N228&lt;=3000,1,IF($N228&lt;=5000,5,IF($N228&lt;=30000,10,IF($N228&lt;=50000,50,IF($N228&lt;=300000,100,500))))))))))</f>
      </c>
      <c r="S228" s="480" t="str">
        <f>IF(B228="","",IF(T228&lt;&gt;"","✅売却済",IF(OR(H228="",L228=""),"📌保有中",IF(L228&gt;=0.06,"🟢利確推奨",IF(L228&gt;=0.05,"🟡利確直近",IF(L228&gt;=0.045,"🔵トレーリング検討",IF(L228&gt;-0.03,"📌保有中",IF(L228&gt;-0.04,"⚠️損切注意","🔴損切り"))))))))</f>
        <v/>
      </c>
      <c r="T228" s="596"/>
      <c r="U228" s="598"/>
      <c r="V228" s="703" t="str">
        <f>IF(OR(F228="",G228="",U228=""),"",IF(C228="売",(F228-U228)*G228,(U228-F228)*G228))</f>
        <v/>
      </c>
      <c r="W228" s="480" t="str">
        <f>IF(OR($E228="",$B228=""),"",IF($T228&lt;&gt;"",$T228-$E228,TODAY()-$E228)+1)</f>
        <v/>
      </c>
      <c r="X228" s="480" t="str">
        <f>IF(OR($AH228="",$AH228="保有中"),"",$AH228)</f>
        <v/>
      </c>
      <c r="Y228" s="488">
        <f>IF($B228="","",IF(COUNTIFS($B$4:$B228,$B228,$C$4:$C228,$C228)&gt;1,"⛔重複"&amp;COUNTIFS($B$4:$B228,$B228,$C$4:$C228,$C228)&amp;"回目",""))</f>
      </c>
      <c r="Z228" s="710"/>
      <c r="AB228">
        <f>IF($F228="","",MAX(100,ROUNDDOWN($AX$4/($F228*$AX$2)/100,0)*100))</f>
      </c>
      <c r="AC228">
        <f>IF(OR($F228="",$G228="",$U228=""),"",ROUND($V228-($F228+$U228)*$G228*$AX$6-IF($C228="売",$F228*$G228*$AX$7*$W228/365,0),0))</f>
      </c>
      <c r="AD228" s="608"/>
      <c r="AE228" s="600" t="str">
        <f>IF($E228="","",WORKDAY($E228,12))</f>
        <v/>
      </c>
      <c r="AF228" s="600"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0"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0" t="str">
        <f>IF(OR($B228="",$M228=""),"",IF(AND(N($AF228)=0,N($AG228)=0),IF(AND(ISNUMBER($H228),$H228&gt;0,IF($C228="売",$H228&gt;=$N228,$H228&lt;=$N228)),"損切確定",IF(AND(ISNUMBER($H228),$H228&gt;0,IF($C228="売",$H228&lt;=$M228,$H228&gt;=$M228)),"利益確定",IF($AE228&lt;=TODAY(),"日数制限","保有中"))),IF(N($AG228)=0,"利益確定",IF(N($AF228)=0,"損切確定",IF($AG228&lt;=$AF228,"損切確定","利益確定")))))</f>
        <v/>
      </c>
      <c r="AI228" s="600" t="str" cm="1">
        <f t="array" ref="AI228">IFERROR(INDEX(始値!$E$6:$BT$305,MATCH(TEXT($B228,"0"),TEXT(銘柄管理!$B$6:$B$305,"0"),0),MATCH($AE228,始値!$E$3:$BT$3,0)),"")</f>
        <v/>
      </c>
      <c r="AJ228" s="608" t="str">
        <f>IF(OR($V228="",$F228="",$G228=""),"",$V228/($F228*$G228))</f>
        <v/>
      </c>
      <c r="AK228" s="600" t="str">
        <f>IF($V228="","",IF($V228&gt;0,"○勝",IF($V228&lt;0,"●負","△引分")))</f>
        <v/>
      </c>
    </row>
    <row r="229" spans="1:37" ht="17.25" customHeight="1">
      <c r="A229" s="621" t="str">
        <f>IF(B229="","",HYPERLINK("https://kabutan.jp/stock/?code="&amp;B229,"株探"))</f>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IF(OR(F229="",G229="",H229=""),"",IF(C229="売",(F229-H229)*G229,(H229-F229)*G229))</f>
        <v/>
      </c>
      <c r="L229" s="708" t="str">
        <f>IF(OR(F229="",H229=""),"",IF(C229="売",(F229-H229)/F229,(H229-F229)/F229))</f>
        <v/>
      </c>
      <c r="M229" s="598" t="str">
        <f>IF($F229="","",IF($C229="売",CEILING($F229*IF($C229="売",1-$AX$3,1+$AX$3),IF($F229*IF($C229="売",1-$AX$3,1+$AX$3)&lt;=3000,1,IF($F229*IF($C229="売",1-$AX$3,1+$AX$3)&lt;=5000,5,IF($F229*IF($C229="売",1-$AX$3,1+$AX$3)&lt;=30000,10,IF($F229*IF($C229="売",1-$AX$3,1+$AX$3)&lt;=50000,50,IF($F229*IF($C229="売",1-$AX$3,1+$AX$3)&lt;=300000,100,500)))))),FLOOR($F229*IF($C229="売",1-$AX$3,1+$AX$3),IF($F229*IF($C229="売",1-$AX$3,1+$AX$3)&lt;=3000,1,IF($F229*IF($C229="売",1-$AX$3,1+$AX$3)&lt;=5000,5,IF($F229*IF($C229="売",1-$AX$3,1+$AX$3)&lt;=30000,10,IF($F229*IF($C229="売",1-$AX$3,1+$AX$3)&lt;=50000,50,IF($F229*IF($C229="売",1-$AX$3,1+$AX$3)&lt;=300000,100,500))))))))</f>
      </c>
      <c r="N229" s="598" t="str">
        <f>IF($F229="","",IF($C229="売",CEILING($F229*IF($C229="売",1+$AX$2,1-$AX$2),IF($F229*IF($C229="売",1+$AX$2,1-$AX$2)&lt;=3000,1,IF($F229*IF($C229="売",1+$AX$2,1-$AX$2)&lt;=5000,5,IF($F229*IF($C229="売",1+$AX$2,1-$AX$2)&lt;=30000,10,IF($F229*IF($C229="売",1+$AX$2,1-$AX$2)&lt;=50000,50,IF($F229*IF($C229="売",1+$AX$2,1-$AX$2)&lt;=300000,100,500)))))),FLOOR($F229*IF($C229="売",1+$AX$2,1-$AX$2),IF($F229*IF($C229="売",1+$AX$2,1-$AX$2)&lt;=3000,1,IF($F229*IF($C229="売",1+$AX$2,1-$AX$2)&lt;=5000,5,IF($F229*IF($C229="売",1+$AX$2,1-$AX$2)&lt;=30000,10,IF($F229*IF($C229="売",1+$AX$2,1-$AX$2)&lt;=50000,50,IF($F229*IF($C229="売",1+$AX$2,1-$AX$2)&lt;=300000,100,500))))))))</f>
      </c>
      <c r="O229" s="478" t="str">
        <f>IF(OR($B229="",$F229="",$H229=""),"",IF($S229="✅売却済","―決済済―",IF($C229="売",IF($H229&lt;=$M229,"🟢利確",IF(AND($R229&lt;&gt;"",$H229&gt;=$R229),"🟠TRAIL決済",IF($H229&gt;=$N229,"🔴損切",IF($W229&gt;=$AX$5,"⏱時間決済",IF($H229&gt;=$F229*(1+$AX$2*0.7),"⚠️損切接近","保持継続"))))),IF($H229&gt;=$M229,"🟢利確",IF(AND($R229&lt;&gt;"",$H229&lt;=$R229),"🟠TRAIL決済",IF($H229&lt;=$N229,"🔴損切",IF($W229&gt;=$AX$5,"⏱時間決済",IF($H229&lt;=$F229*(1-$AX$2*0.7),"⚠️損切接近","保持継続")))))))</f>
      </c>
      <c r="P229" s="445"/>
      <c r="Q229" s="445"/>
      <c r="R229" s="480" t="str">
        <f>IF(OR($F229="",$H229="",$N229=""),"",IF($S229="✅売却済","",IF($C229="売",IF($H229&gt;$F229*(1-$AX$2),$N229,CEILING(MIN($N229,IF($Q229="",$N229,$Q229*1.03)),IF($N229&lt;=3000,1,IF($N229&lt;=5000,5,IF($N229&lt;=30000,10,IF($N229&lt;=50000,50,IF($N229&lt;=300000,100,500))))))),IF($H229&lt;$F229*(1+$AX$2),$N229,FLOOR(MAX($N229,IF($P229="",$N229,$P229*0.97)),IF($N229&lt;=3000,1,IF($N229&lt;=5000,5,IF($N229&lt;=30000,10,IF($N229&lt;=50000,50,IF($N229&lt;=300000,100,500))))))))))</f>
      </c>
      <c r="S229" s="480" t="str">
        <f>IF(B229="","",IF(T229&lt;&gt;"","✅売却済",IF(OR(H229="",L229=""),"📌保有中",IF(L229&gt;=0.06,"🟢利確推奨",IF(L229&gt;=0.05,"🟡利確直近",IF(L229&gt;=0.045,"🔵トレーリング検討",IF(L229&gt;-0.03,"📌保有中",IF(L229&gt;-0.04,"⚠️損切注意","🔴損切り"))))))))</f>
        <v/>
      </c>
      <c r="T229" s="596"/>
      <c r="U229" s="598"/>
      <c r="V229" s="703" t="str">
        <f>IF(OR(F229="",G229="",U229=""),"",IF(C229="売",(F229-U229)*G229,(U229-F229)*G229))</f>
        <v/>
      </c>
      <c r="W229" s="480" t="str">
        <f>IF(OR($E229="",$B229=""),"",IF($T229&lt;&gt;"",$T229-$E229,TODAY()-$E229)+1)</f>
        <v/>
      </c>
      <c r="X229" s="480" t="str">
        <f>IF(OR($AH229="",$AH229="保有中"),"",$AH229)</f>
        <v/>
      </c>
      <c r="Y229" s="488">
        <f>IF($B229="","",IF(COUNTIFS($B$4:$B229,$B229,$C$4:$C229,$C229)&gt;1,"⛔重複"&amp;COUNTIFS($B$4:$B229,$B229,$C$4:$C229,$C229)&amp;"回目",""))</f>
      </c>
      <c r="Z229" s="710"/>
      <c r="AB229">
        <f>IF($F229="","",MAX(100,ROUNDDOWN($AX$4/($F229*$AX$2)/100,0)*100))</f>
      </c>
      <c r="AC229">
        <f>IF(OR($F229="",$G229="",$U229=""),"",ROUND($V229-($F229+$U229)*$G229*$AX$6-IF($C229="売",$F229*$G229*$AX$7*$W229/365,0),0))</f>
      </c>
      <c r="AD229" s="608"/>
      <c r="AE229" s="600" t="str">
        <f>IF($E229="","",WORKDAY($E229,12))</f>
        <v/>
      </c>
      <c r="AF229" s="600"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0"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0" t="str">
        <f>IF(OR($B229="",$M229=""),"",IF(AND(N($AF229)=0,N($AG229)=0),IF(AND(ISNUMBER($H229),$H229&gt;0,IF($C229="売",$H229&gt;=$N229,$H229&lt;=$N229)),"損切確定",IF(AND(ISNUMBER($H229),$H229&gt;0,IF($C229="売",$H229&lt;=$M229,$H229&gt;=$M229)),"利益確定",IF($AE229&lt;=TODAY(),"日数制限","保有中"))),IF(N($AG229)=0,"利益確定",IF(N($AF229)=0,"損切確定",IF($AG229&lt;=$AF229,"損切確定","利益確定")))))</f>
        <v/>
      </c>
      <c r="AI229" s="600" t="str" cm="1">
        <f t="array" ref="AI229">IFERROR(INDEX(始値!$E$6:$BT$305,MATCH(TEXT($B229,"0"),TEXT(銘柄管理!$B$6:$B$305,"0"),0),MATCH($AE229,始値!$E$3:$BT$3,0)),"")</f>
        <v/>
      </c>
      <c r="AJ229" s="608" t="str">
        <f>IF(OR($V229="",$F229="",$G229=""),"",$V229/($F229*$G229))</f>
        <v/>
      </c>
      <c r="AK229" s="600" t="str">
        <f>IF($V229="","",IF($V229&gt;0,"○勝",IF($V229&lt;0,"●負","△引分")))</f>
        <v/>
      </c>
    </row>
    <row r="230" spans="1:37" ht="17.25" customHeight="1">
      <c r="A230" s="621" t="str">
        <f>IF(B230="","",HYPERLINK("https://kabutan.jp/stock/?code="&amp;B230,"株探"))</f>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IF(OR(F230="",G230="",H230=""),"",IF(C230="売",(F230-H230)*G230,(H230-F230)*G230))</f>
        <v/>
      </c>
      <c r="L230" s="708" t="str">
        <f>IF(OR(F230="",H230=""),"",IF(C230="売",(F230-H230)/F230,(H230-F230)/F230))</f>
        <v/>
      </c>
      <c r="M230" s="598" t="str">
        <f>IF($F230="","",IF($C230="売",CEILING($F230*IF($C230="売",1-$AX$3,1+$AX$3),IF($F230*IF($C230="売",1-$AX$3,1+$AX$3)&lt;=3000,1,IF($F230*IF($C230="売",1-$AX$3,1+$AX$3)&lt;=5000,5,IF($F230*IF($C230="売",1-$AX$3,1+$AX$3)&lt;=30000,10,IF($F230*IF($C230="売",1-$AX$3,1+$AX$3)&lt;=50000,50,IF($F230*IF($C230="売",1-$AX$3,1+$AX$3)&lt;=300000,100,500)))))),FLOOR($F230*IF($C230="売",1-$AX$3,1+$AX$3),IF($F230*IF($C230="売",1-$AX$3,1+$AX$3)&lt;=3000,1,IF($F230*IF($C230="売",1-$AX$3,1+$AX$3)&lt;=5000,5,IF($F230*IF($C230="売",1-$AX$3,1+$AX$3)&lt;=30000,10,IF($F230*IF($C230="売",1-$AX$3,1+$AX$3)&lt;=50000,50,IF($F230*IF($C230="売",1-$AX$3,1+$AX$3)&lt;=300000,100,500))))))))</f>
      </c>
      <c r="N230" s="598" t="str">
        <f>IF($F230="","",IF($C230="売",CEILING($F230*IF($C230="売",1+$AX$2,1-$AX$2),IF($F230*IF($C230="売",1+$AX$2,1-$AX$2)&lt;=3000,1,IF($F230*IF($C230="売",1+$AX$2,1-$AX$2)&lt;=5000,5,IF($F230*IF($C230="売",1+$AX$2,1-$AX$2)&lt;=30000,10,IF($F230*IF($C230="売",1+$AX$2,1-$AX$2)&lt;=50000,50,IF($F230*IF($C230="売",1+$AX$2,1-$AX$2)&lt;=300000,100,500)))))),FLOOR($F230*IF($C230="売",1+$AX$2,1-$AX$2),IF($F230*IF($C230="売",1+$AX$2,1-$AX$2)&lt;=3000,1,IF($F230*IF($C230="売",1+$AX$2,1-$AX$2)&lt;=5000,5,IF($F230*IF($C230="売",1+$AX$2,1-$AX$2)&lt;=30000,10,IF($F230*IF($C230="売",1+$AX$2,1-$AX$2)&lt;=50000,50,IF($F230*IF($C230="売",1+$AX$2,1-$AX$2)&lt;=300000,100,500))))))))</f>
      </c>
      <c r="O230" s="478" t="str">
        <f>IF(OR($B230="",$F230="",$H230=""),"",IF($S230="✅売却済","―決済済―",IF($C230="売",IF($H230&lt;=$M230,"🟢利確",IF(AND($R230&lt;&gt;"",$H230&gt;=$R230),"🟠TRAIL決済",IF($H230&gt;=$N230,"🔴損切",IF($W230&gt;=$AX$5,"⏱時間決済",IF($H230&gt;=$F230*(1+$AX$2*0.7),"⚠️損切接近","保持継続"))))),IF($H230&gt;=$M230,"🟢利確",IF(AND($R230&lt;&gt;"",$H230&lt;=$R230),"🟠TRAIL決済",IF($H230&lt;=$N230,"🔴損切",IF($W230&gt;=$AX$5,"⏱時間決済",IF($H230&lt;=$F230*(1-$AX$2*0.7),"⚠️損切接近","保持継続")))))))</f>
      </c>
      <c r="P230" s="445"/>
      <c r="Q230" s="445"/>
      <c r="R230" s="480" t="str">
        <f>IF(OR($F230="",$H230="",$N230=""),"",IF($S230="✅売却済","",IF($C230="売",IF($H230&gt;$F230*(1-$AX$2),$N230,CEILING(MIN($N230,IF($Q230="",$N230,$Q230*1.03)),IF($N230&lt;=3000,1,IF($N230&lt;=5000,5,IF($N230&lt;=30000,10,IF($N230&lt;=50000,50,IF($N230&lt;=300000,100,500))))))),IF($H230&lt;$F230*(1+$AX$2),$N230,FLOOR(MAX($N230,IF($P230="",$N230,$P230*0.97)),IF($N230&lt;=3000,1,IF($N230&lt;=5000,5,IF($N230&lt;=30000,10,IF($N230&lt;=50000,50,IF($N230&lt;=300000,100,500))))))))))</f>
      </c>
      <c r="S230" s="480" t="str">
        <f>IF(B230="","",IF(T230&lt;&gt;"","✅売却済",IF(OR(H230="",L230=""),"📌保有中",IF(L230&gt;=0.06,"🟢利確推奨",IF(L230&gt;=0.05,"🟡利確直近",IF(L230&gt;=0.045,"🔵トレーリング検討",IF(L230&gt;-0.03,"📌保有中",IF(L230&gt;-0.04,"⚠️損切注意","🔴損切り"))))))))</f>
        <v/>
      </c>
      <c r="T230" s="596"/>
      <c r="U230" s="598"/>
      <c r="V230" s="703" t="str">
        <f>IF(OR(F230="",G230="",U230=""),"",IF(C230="売",(F230-U230)*G230,(U230-F230)*G230))</f>
        <v/>
      </c>
      <c r="W230" s="480" t="str">
        <f>IF(OR($E230="",$B230=""),"",IF($T230&lt;&gt;"",$T230-$E230,TODAY()-$E230)+1)</f>
        <v/>
      </c>
      <c r="X230" s="480" t="str">
        <f>IF(OR($AH230="",$AH230="保有中"),"",$AH230)</f>
        <v/>
      </c>
      <c r="Y230" s="488">
        <f>IF($B230="","",IF(COUNTIFS($B$4:$B230,$B230,$C$4:$C230,$C230)&gt;1,"⛔重複"&amp;COUNTIFS($B$4:$B230,$B230,$C$4:$C230,$C230)&amp;"回目",""))</f>
      </c>
      <c r="Z230" s="710"/>
      <c r="AB230">
        <f>IF($F230="","",MAX(100,ROUNDDOWN($AX$4/($F230*$AX$2)/100,0)*100))</f>
      </c>
      <c r="AC230">
        <f>IF(OR($F230="",$G230="",$U230=""),"",ROUND($V230-($F230+$U230)*$G230*$AX$6-IF($C230="売",$F230*$G230*$AX$7*$W230/365,0),0))</f>
      </c>
      <c r="AD230" s="608"/>
      <c r="AE230" s="600" t="str">
        <f>IF($E230="","",WORKDAY($E230,12))</f>
        <v/>
      </c>
      <c r="AF230" s="600"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0"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0" t="str">
        <f>IF(OR($B230="",$M230=""),"",IF(AND(N($AF230)=0,N($AG230)=0),IF(AND(ISNUMBER($H230),$H230&gt;0,IF($C230="売",$H230&gt;=$N230,$H230&lt;=$N230)),"損切確定",IF(AND(ISNUMBER($H230),$H230&gt;0,IF($C230="売",$H230&lt;=$M230,$H230&gt;=$M230)),"利益確定",IF($AE230&lt;=TODAY(),"日数制限","保有中"))),IF(N($AG230)=0,"利益確定",IF(N($AF230)=0,"損切確定",IF($AG230&lt;=$AF230,"損切確定","利益確定")))))</f>
        <v/>
      </c>
      <c r="AI230" s="600" t="str" cm="1">
        <f t="array" ref="AI230">IFERROR(INDEX(始値!$E$6:$BT$305,MATCH(TEXT($B230,"0"),TEXT(銘柄管理!$B$6:$B$305,"0"),0),MATCH($AE230,始値!$E$3:$BT$3,0)),"")</f>
        <v/>
      </c>
      <c r="AJ230" s="608" t="str">
        <f>IF(OR($V230="",$F230="",$G230=""),"",$V230/($F230*$G230))</f>
        <v/>
      </c>
      <c r="AK230" s="600" t="str">
        <f>IF($V230="","",IF($V230&gt;0,"○勝",IF($V230&lt;0,"●負","△引分")))</f>
        <v/>
      </c>
    </row>
    <row r="231" spans="1:37" ht="17.25" customHeight="1">
      <c r="A231" s="621" t="str">
        <f>IF(B231="","",HYPERLINK("https://kabutan.jp/stock/?code="&amp;B231,"株探"))</f>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IF(OR(F231="",G231="",H231=""),"",IF(C231="売",(F231-H231)*G231,(H231-F231)*G231))</f>
        <v/>
      </c>
      <c r="L231" s="708" t="str">
        <f>IF(OR(F231="",H231=""),"",IF(C231="売",(F231-H231)/F231,(H231-F231)/F231))</f>
        <v/>
      </c>
      <c r="M231" s="598" t="str">
        <f>IF($F231="","",IF($C231="売",CEILING($F231*IF($C231="売",1-$AX$3,1+$AX$3),IF($F231*IF($C231="売",1-$AX$3,1+$AX$3)&lt;=3000,1,IF($F231*IF($C231="売",1-$AX$3,1+$AX$3)&lt;=5000,5,IF($F231*IF($C231="売",1-$AX$3,1+$AX$3)&lt;=30000,10,IF($F231*IF($C231="売",1-$AX$3,1+$AX$3)&lt;=50000,50,IF($F231*IF($C231="売",1-$AX$3,1+$AX$3)&lt;=300000,100,500)))))),FLOOR($F231*IF($C231="売",1-$AX$3,1+$AX$3),IF($F231*IF($C231="売",1-$AX$3,1+$AX$3)&lt;=3000,1,IF($F231*IF($C231="売",1-$AX$3,1+$AX$3)&lt;=5000,5,IF($F231*IF($C231="売",1-$AX$3,1+$AX$3)&lt;=30000,10,IF($F231*IF($C231="売",1-$AX$3,1+$AX$3)&lt;=50000,50,IF($F231*IF($C231="売",1-$AX$3,1+$AX$3)&lt;=300000,100,500))))))))</f>
      </c>
      <c r="N231" s="598" t="str">
        <f>IF($F231="","",IF($C231="売",CEILING($F231*IF($C231="売",1+$AX$2,1-$AX$2),IF($F231*IF($C231="売",1+$AX$2,1-$AX$2)&lt;=3000,1,IF($F231*IF($C231="売",1+$AX$2,1-$AX$2)&lt;=5000,5,IF($F231*IF($C231="売",1+$AX$2,1-$AX$2)&lt;=30000,10,IF($F231*IF($C231="売",1+$AX$2,1-$AX$2)&lt;=50000,50,IF($F231*IF($C231="売",1+$AX$2,1-$AX$2)&lt;=300000,100,500)))))),FLOOR($F231*IF($C231="売",1+$AX$2,1-$AX$2),IF($F231*IF($C231="売",1+$AX$2,1-$AX$2)&lt;=3000,1,IF($F231*IF($C231="売",1+$AX$2,1-$AX$2)&lt;=5000,5,IF($F231*IF($C231="売",1+$AX$2,1-$AX$2)&lt;=30000,10,IF($F231*IF($C231="売",1+$AX$2,1-$AX$2)&lt;=50000,50,IF($F231*IF($C231="売",1+$AX$2,1-$AX$2)&lt;=300000,100,500))))))))</f>
      </c>
      <c r="O231" s="478" t="str">
        <f>IF(OR($B231="",$F231="",$H231=""),"",IF($S231="✅売却済","―決済済―",IF($C231="売",IF($H231&lt;=$M231,"🟢利確",IF(AND($R231&lt;&gt;"",$H231&gt;=$R231),"🟠TRAIL決済",IF($H231&gt;=$N231,"🔴損切",IF($W231&gt;=$AX$5,"⏱時間決済",IF($H231&gt;=$F231*(1+$AX$2*0.7),"⚠️損切接近","保持継続"))))),IF($H231&gt;=$M231,"🟢利確",IF(AND($R231&lt;&gt;"",$H231&lt;=$R231),"🟠TRAIL決済",IF($H231&lt;=$N231,"🔴損切",IF($W231&gt;=$AX$5,"⏱時間決済",IF($H231&lt;=$F231*(1-$AX$2*0.7),"⚠️損切接近","保持継続")))))))</f>
      </c>
      <c r="P231" s="445"/>
      <c r="Q231" s="445"/>
      <c r="R231" s="480" t="str">
        <f>IF(OR($F231="",$H231="",$N231=""),"",IF($S231="✅売却済","",IF($C231="売",IF($H231&gt;$F231*(1-$AX$2),$N231,CEILING(MIN($N231,IF($Q231="",$N231,$Q231*1.03)),IF($N231&lt;=3000,1,IF($N231&lt;=5000,5,IF($N231&lt;=30000,10,IF($N231&lt;=50000,50,IF($N231&lt;=300000,100,500))))))),IF($H231&lt;$F231*(1+$AX$2),$N231,FLOOR(MAX($N231,IF($P231="",$N231,$P231*0.97)),IF($N231&lt;=3000,1,IF($N231&lt;=5000,5,IF($N231&lt;=30000,10,IF($N231&lt;=50000,50,IF($N231&lt;=300000,100,500))))))))))</f>
      </c>
      <c r="S231" s="480" t="str">
        <f>IF(B231="","",IF(T231&lt;&gt;"","✅売却済",IF(OR(H231="",L231=""),"📌保有中",IF(L231&gt;=0.06,"🟢利確推奨",IF(L231&gt;=0.05,"🟡利確直近",IF(L231&gt;=0.045,"🔵トレーリング検討",IF(L231&gt;-0.03,"📌保有中",IF(L231&gt;-0.04,"⚠️損切注意","🔴損切り"))))))))</f>
        <v/>
      </c>
      <c r="T231" s="596"/>
      <c r="U231" s="598"/>
      <c r="V231" s="703" t="str">
        <f>IF(OR(F231="",G231="",U231=""),"",IF(C231="売",(F231-U231)*G231,(U231-F231)*G231))</f>
        <v/>
      </c>
      <c r="W231" s="480" t="str">
        <f>IF(OR($E231="",$B231=""),"",IF($T231&lt;&gt;"",$T231-$E231,TODAY()-$E231)+1)</f>
        <v/>
      </c>
      <c r="X231" s="480" t="str">
        <f>IF(OR($AH231="",$AH231="保有中"),"",$AH231)</f>
        <v/>
      </c>
      <c r="Y231" s="488">
        <f>IF($B231="","",IF(COUNTIFS($B$4:$B231,$B231,$C$4:$C231,$C231)&gt;1,"⛔重複"&amp;COUNTIFS($B$4:$B231,$B231,$C$4:$C231,$C231)&amp;"回目",""))</f>
      </c>
      <c r="Z231" s="710"/>
      <c r="AB231">
        <f>IF($F231="","",MAX(100,ROUNDDOWN($AX$4/($F231*$AX$2)/100,0)*100))</f>
      </c>
      <c r="AC231">
        <f>IF(OR($F231="",$G231="",$U231=""),"",ROUND($V231-($F231+$U231)*$G231*$AX$6-IF($C231="売",$F231*$G231*$AX$7*$W231/365,0),0))</f>
      </c>
      <c r="AD231" s="608"/>
      <c r="AE231" s="600" t="str">
        <f>IF($E231="","",WORKDAY($E231,12))</f>
        <v/>
      </c>
      <c r="AF231" s="600"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0"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0" t="str">
        <f>IF(OR($B231="",$M231=""),"",IF(AND(N($AF231)=0,N($AG231)=0),IF(AND(ISNUMBER($H231),$H231&gt;0,IF($C231="売",$H231&gt;=$N231,$H231&lt;=$N231)),"損切確定",IF(AND(ISNUMBER($H231),$H231&gt;0,IF($C231="売",$H231&lt;=$M231,$H231&gt;=$M231)),"利益確定",IF($AE231&lt;=TODAY(),"日数制限","保有中"))),IF(N($AG231)=0,"利益確定",IF(N($AF231)=0,"損切確定",IF($AG231&lt;=$AF231,"損切確定","利益確定")))))</f>
        <v/>
      </c>
      <c r="AI231" s="600" t="str" cm="1">
        <f t="array" ref="AI231">IFERROR(INDEX(始値!$E$6:$BT$305,MATCH(TEXT($B231,"0"),TEXT(銘柄管理!$B$6:$B$305,"0"),0),MATCH($AE231,始値!$E$3:$BT$3,0)),"")</f>
        <v/>
      </c>
      <c r="AJ231" s="608" t="str">
        <f>IF(OR($V231="",$F231="",$G231=""),"",$V231/($F231*$G231))</f>
        <v/>
      </c>
      <c r="AK231" s="600" t="str">
        <f>IF($V231="","",IF($V231&gt;0,"○勝",IF($V231&lt;0,"●負","△引分")))</f>
        <v/>
      </c>
    </row>
    <row r="232" spans="1:37" ht="17.25" customHeight="1">
      <c r="A232" s="621" t="str">
        <f>IF(B232="","",HYPERLINK("https://kabutan.jp/stock/?code="&amp;B232,"株探"))</f>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IF(OR(F232="",G232="",H232=""),"",IF(C232="売",(F232-H232)*G232,(H232-F232)*G232))</f>
        <v/>
      </c>
      <c r="L232" s="708" t="str">
        <f>IF(OR(F232="",H232=""),"",IF(C232="売",(F232-H232)/F232,(H232-F232)/F232))</f>
        <v/>
      </c>
      <c r="M232" s="598" t="str">
        <f>IF($F232="","",IF($C232="売",CEILING($F232*IF($C232="売",1-$AX$3,1+$AX$3),IF($F232*IF($C232="売",1-$AX$3,1+$AX$3)&lt;=3000,1,IF($F232*IF($C232="売",1-$AX$3,1+$AX$3)&lt;=5000,5,IF($F232*IF($C232="売",1-$AX$3,1+$AX$3)&lt;=30000,10,IF($F232*IF($C232="売",1-$AX$3,1+$AX$3)&lt;=50000,50,IF($F232*IF($C232="売",1-$AX$3,1+$AX$3)&lt;=300000,100,500)))))),FLOOR($F232*IF($C232="売",1-$AX$3,1+$AX$3),IF($F232*IF($C232="売",1-$AX$3,1+$AX$3)&lt;=3000,1,IF($F232*IF($C232="売",1-$AX$3,1+$AX$3)&lt;=5000,5,IF($F232*IF($C232="売",1-$AX$3,1+$AX$3)&lt;=30000,10,IF($F232*IF($C232="売",1-$AX$3,1+$AX$3)&lt;=50000,50,IF($F232*IF($C232="売",1-$AX$3,1+$AX$3)&lt;=300000,100,500))))))))</f>
      </c>
      <c r="N232" s="598" t="str">
        <f>IF($F232="","",IF($C232="売",CEILING($F232*IF($C232="売",1+$AX$2,1-$AX$2),IF($F232*IF($C232="売",1+$AX$2,1-$AX$2)&lt;=3000,1,IF($F232*IF($C232="売",1+$AX$2,1-$AX$2)&lt;=5000,5,IF($F232*IF($C232="売",1+$AX$2,1-$AX$2)&lt;=30000,10,IF($F232*IF($C232="売",1+$AX$2,1-$AX$2)&lt;=50000,50,IF($F232*IF($C232="売",1+$AX$2,1-$AX$2)&lt;=300000,100,500)))))),FLOOR($F232*IF($C232="売",1+$AX$2,1-$AX$2),IF($F232*IF($C232="売",1+$AX$2,1-$AX$2)&lt;=3000,1,IF($F232*IF($C232="売",1+$AX$2,1-$AX$2)&lt;=5000,5,IF($F232*IF($C232="売",1+$AX$2,1-$AX$2)&lt;=30000,10,IF($F232*IF($C232="売",1+$AX$2,1-$AX$2)&lt;=50000,50,IF($F232*IF($C232="売",1+$AX$2,1-$AX$2)&lt;=300000,100,500))))))))</f>
      </c>
      <c r="O232" s="478" t="str">
        <f>IF(OR($B232="",$F232="",$H232=""),"",IF($S232="✅売却済","―決済済―",IF($C232="売",IF($H232&lt;=$M232,"🟢利確",IF(AND($R232&lt;&gt;"",$H232&gt;=$R232),"🟠TRAIL決済",IF($H232&gt;=$N232,"🔴損切",IF($W232&gt;=$AX$5,"⏱時間決済",IF($H232&gt;=$F232*(1+$AX$2*0.7),"⚠️損切接近","保持継続"))))),IF($H232&gt;=$M232,"🟢利確",IF(AND($R232&lt;&gt;"",$H232&lt;=$R232),"🟠TRAIL決済",IF($H232&lt;=$N232,"🔴損切",IF($W232&gt;=$AX$5,"⏱時間決済",IF($H232&lt;=$F232*(1-$AX$2*0.7),"⚠️損切接近","保持継続")))))))</f>
      </c>
      <c r="P232" s="445"/>
      <c r="Q232" s="445"/>
      <c r="R232" s="480" t="str">
        <f>IF(OR($F232="",$H232="",$N232=""),"",IF($S232="✅売却済","",IF($C232="売",IF($H232&gt;$F232*(1-$AX$2),$N232,CEILING(MIN($N232,IF($Q232="",$N232,$Q232*1.03)),IF($N232&lt;=3000,1,IF($N232&lt;=5000,5,IF($N232&lt;=30000,10,IF($N232&lt;=50000,50,IF($N232&lt;=300000,100,500))))))),IF($H232&lt;$F232*(1+$AX$2),$N232,FLOOR(MAX($N232,IF($P232="",$N232,$P232*0.97)),IF($N232&lt;=3000,1,IF($N232&lt;=5000,5,IF($N232&lt;=30000,10,IF($N232&lt;=50000,50,IF($N232&lt;=300000,100,500))))))))))</f>
      </c>
      <c r="S232" s="480" t="str">
        <f>IF(B232="","",IF(T232&lt;&gt;"","✅売却済",IF(OR(H232="",L232=""),"📌保有中",IF(L232&gt;=0.06,"🟢利確推奨",IF(L232&gt;=0.05,"🟡利確直近",IF(L232&gt;=0.045,"🔵トレーリング検討",IF(L232&gt;-0.03,"📌保有中",IF(L232&gt;-0.04,"⚠️損切注意","🔴損切り"))))))))</f>
        <v/>
      </c>
      <c r="T232" s="596"/>
      <c r="U232" s="598"/>
      <c r="V232" s="703" t="str">
        <f>IF(OR(F232="",G232="",U232=""),"",IF(C232="売",(F232-U232)*G232,(U232-F232)*G232))</f>
        <v/>
      </c>
      <c r="W232" s="480" t="str">
        <f>IF(OR($E232="",$B232=""),"",IF($T232&lt;&gt;"",$T232-$E232,TODAY()-$E232)+1)</f>
        <v/>
      </c>
      <c r="X232" s="480" t="str">
        <f>IF(OR($AH232="",$AH232="保有中"),"",$AH232)</f>
        <v/>
      </c>
      <c r="Y232" s="488">
        <f>IF($B232="","",IF(COUNTIFS($B$4:$B232,$B232,$C$4:$C232,$C232)&gt;1,"⛔重複"&amp;COUNTIFS($B$4:$B232,$B232,$C$4:$C232,$C232)&amp;"回目",""))</f>
      </c>
      <c r="Z232" s="710"/>
      <c r="AB232">
        <f>IF($F232="","",MAX(100,ROUNDDOWN($AX$4/($F232*$AX$2)/100,0)*100))</f>
      </c>
      <c r="AC232">
        <f>IF(OR($F232="",$G232="",$U232=""),"",ROUND($V232-($F232+$U232)*$G232*$AX$6-IF($C232="売",$F232*$G232*$AX$7*$W232/365,0),0))</f>
      </c>
      <c r="AD232" s="608"/>
      <c r="AE232" s="600" t="str">
        <f>IF($E232="","",WORKDAY($E232,12))</f>
        <v/>
      </c>
      <c r="AF232" s="600"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0"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0" t="str">
        <f>IF(OR($B232="",$M232=""),"",IF(AND(N($AF232)=0,N($AG232)=0),IF(AND(ISNUMBER($H232),$H232&gt;0,IF($C232="売",$H232&gt;=$N232,$H232&lt;=$N232)),"損切確定",IF(AND(ISNUMBER($H232),$H232&gt;0,IF($C232="売",$H232&lt;=$M232,$H232&gt;=$M232)),"利益確定",IF($AE232&lt;=TODAY(),"日数制限","保有中"))),IF(N($AG232)=0,"利益確定",IF(N($AF232)=0,"損切確定",IF($AG232&lt;=$AF232,"損切確定","利益確定")))))</f>
        <v/>
      </c>
      <c r="AI232" s="600" t="str" cm="1">
        <f t="array" ref="AI232">IFERROR(INDEX(始値!$E$6:$BT$305,MATCH(TEXT($B232,"0"),TEXT(銘柄管理!$B$6:$B$305,"0"),0),MATCH($AE232,始値!$E$3:$BT$3,0)),"")</f>
        <v/>
      </c>
      <c r="AJ232" s="608" t="str">
        <f>IF(OR($V232="",$F232="",$G232=""),"",$V232/($F232*$G232))</f>
        <v/>
      </c>
      <c r="AK232" s="600" t="str">
        <f>IF($V232="","",IF($V232&gt;0,"○勝",IF($V232&lt;0,"●負","△引分")))</f>
        <v/>
      </c>
    </row>
    <row r="233" spans="1:37" ht="17.25" customHeight="1">
      <c r="A233" s="621" t="str">
        <f>IF(B233="","",HYPERLINK("https://kabutan.jp/stock/?code="&amp;B233,"株探"))</f>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IF(OR(F233="",G233="",H233=""),"",IF(C233="売",(F233-H233)*G233,(H233-F233)*G233))</f>
        <v/>
      </c>
      <c r="L233" s="708" t="str">
        <f>IF(OR(F233="",H233=""),"",IF(C233="売",(F233-H233)/F233,(H233-F233)/F233))</f>
        <v/>
      </c>
      <c r="M233" s="598" t="str">
        <f>IF($F233="","",IF($C233="売",CEILING($F233*IF($C233="売",1-$AX$3,1+$AX$3),IF($F233*IF($C233="売",1-$AX$3,1+$AX$3)&lt;=3000,1,IF($F233*IF($C233="売",1-$AX$3,1+$AX$3)&lt;=5000,5,IF($F233*IF($C233="売",1-$AX$3,1+$AX$3)&lt;=30000,10,IF($F233*IF($C233="売",1-$AX$3,1+$AX$3)&lt;=50000,50,IF($F233*IF($C233="売",1-$AX$3,1+$AX$3)&lt;=300000,100,500)))))),FLOOR($F233*IF($C233="売",1-$AX$3,1+$AX$3),IF($F233*IF($C233="売",1-$AX$3,1+$AX$3)&lt;=3000,1,IF($F233*IF($C233="売",1-$AX$3,1+$AX$3)&lt;=5000,5,IF($F233*IF($C233="売",1-$AX$3,1+$AX$3)&lt;=30000,10,IF($F233*IF($C233="売",1-$AX$3,1+$AX$3)&lt;=50000,50,IF($F233*IF($C233="売",1-$AX$3,1+$AX$3)&lt;=300000,100,500))))))))</f>
      </c>
      <c r="N233" s="598" t="str">
        <f>IF($F233="","",IF($C233="売",CEILING($F233*IF($C233="売",1+$AX$2,1-$AX$2),IF($F233*IF($C233="売",1+$AX$2,1-$AX$2)&lt;=3000,1,IF($F233*IF($C233="売",1+$AX$2,1-$AX$2)&lt;=5000,5,IF($F233*IF($C233="売",1+$AX$2,1-$AX$2)&lt;=30000,10,IF($F233*IF($C233="売",1+$AX$2,1-$AX$2)&lt;=50000,50,IF($F233*IF($C233="売",1+$AX$2,1-$AX$2)&lt;=300000,100,500)))))),FLOOR($F233*IF($C233="売",1+$AX$2,1-$AX$2),IF($F233*IF($C233="売",1+$AX$2,1-$AX$2)&lt;=3000,1,IF($F233*IF($C233="売",1+$AX$2,1-$AX$2)&lt;=5000,5,IF($F233*IF($C233="売",1+$AX$2,1-$AX$2)&lt;=30000,10,IF($F233*IF($C233="売",1+$AX$2,1-$AX$2)&lt;=50000,50,IF($F233*IF($C233="売",1+$AX$2,1-$AX$2)&lt;=300000,100,500))))))))</f>
      </c>
      <c r="O233" s="478" t="str">
        <f>IF(OR($B233="",$F233="",$H233=""),"",IF($S233="✅売却済","―決済済―",IF($C233="売",IF($H233&lt;=$M233,"🟢利確",IF(AND($R233&lt;&gt;"",$H233&gt;=$R233),"🟠TRAIL決済",IF($H233&gt;=$N233,"🔴損切",IF($W233&gt;=$AX$5,"⏱時間決済",IF($H233&gt;=$F233*(1+$AX$2*0.7),"⚠️損切接近","保持継続"))))),IF($H233&gt;=$M233,"🟢利確",IF(AND($R233&lt;&gt;"",$H233&lt;=$R233),"🟠TRAIL決済",IF($H233&lt;=$N233,"🔴損切",IF($W233&gt;=$AX$5,"⏱時間決済",IF($H233&lt;=$F233*(1-$AX$2*0.7),"⚠️損切接近","保持継続")))))))</f>
      </c>
      <c r="P233" s="445"/>
      <c r="Q233" s="445"/>
      <c r="R233" s="480" t="str">
        <f>IF(OR($F233="",$H233="",$N233=""),"",IF($S233="✅売却済","",IF($C233="売",IF($H233&gt;$F233*(1-$AX$2),$N233,CEILING(MIN($N233,IF($Q233="",$N233,$Q233*1.03)),IF($N233&lt;=3000,1,IF($N233&lt;=5000,5,IF($N233&lt;=30000,10,IF($N233&lt;=50000,50,IF($N233&lt;=300000,100,500))))))),IF($H233&lt;$F233*(1+$AX$2),$N233,FLOOR(MAX($N233,IF($P233="",$N233,$P233*0.97)),IF($N233&lt;=3000,1,IF($N233&lt;=5000,5,IF($N233&lt;=30000,10,IF($N233&lt;=50000,50,IF($N233&lt;=300000,100,500))))))))))</f>
      </c>
      <c r="S233" s="480" t="str">
        <f>IF(B233="","",IF(T233&lt;&gt;"","✅売却済",IF(OR(H233="",L233=""),"📌保有中",IF(L233&gt;=0.06,"🟢利確推奨",IF(L233&gt;=0.05,"🟡利確直近",IF(L233&gt;=0.045,"🔵トレーリング検討",IF(L233&gt;-0.03,"📌保有中",IF(L233&gt;-0.04,"⚠️損切注意","🔴損切り"))))))))</f>
        <v/>
      </c>
      <c r="T233" s="596"/>
      <c r="U233" s="598"/>
      <c r="V233" s="703" t="str">
        <f>IF(OR(F233="",G233="",U233=""),"",IF(C233="売",(F233-U233)*G233,(U233-F233)*G233))</f>
        <v/>
      </c>
      <c r="W233" s="480" t="str">
        <f>IF(OR($E233="",$B233=""),"",IF($T233&lt;&gt;"",$T233-$E233,TODAY()-$E233)+1)</f>
        <v/>
      </c>
      <c r="X233" s="480" t="str">
        <f>IF(OR($AH233="",$AH233="保有中"),"",$AH233)</f>
        <v/>
      </c>
      <c r="Y233" s="488">
        <f>IF($B233="","",IF(COUNTIFS($B$4:$B233,$B233,$C$4:$C233,$C233)&gt;1,"⛔重複"&amp;COUNTIFS($B$4:$B233,$B233,$C$4:$C233,$C233)&amp;"回目",""))</f>
      </c>
      <c r="Z233" s="710"/>
      <c r="AB233">
        <f>IF($F233="","",MAX(100,ROUNDDOWN($AX$4/($F233*$AX$2)/100,0)*100))</f>
      </c>
      <c r="AC233">
        <f>IF(OR($F233="",$G233="",$U233=""),"",ROUND($V233-($F233+$U233)*$G233*$AX$6-IF($C233="売",$F233*$G233*$AX$7*$W233/365,0),0))</f>
      </c>
      <c r="AD233" s="608"/>
      <c r="AE233" s="600" t="str">
        <f>IF($E233="","",WORKDAY($E233,12))</f>
        <v/>
      </c>
      <c r="AF233" s="600"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0"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0" t="str">
        <f>IF(OR($B233="",$M233=""),"",IF(AND(N($AF233)=0,N($AG233)=0),IF(AND(ISNUMBER($H233),$H233&gt;0,IF($C233="売",$H233&gt;=$N233,$H233&lt;=$N233)),"損切確定",IF(AND(ISNUMBER($H233),$H233&gt;0,IF($C233="売",$H233&lt;=$M233,$H233&gt;=$M233)),"利益確定",IF($AE233&lt;=TODAY(),"日数制限","保有中"))),IF(N($AG233)=0,"利益確定",IF(N($AF233)=0,"損切確定",IF($AG233&lt;=$AF233,"損切確定","利益確定")))))</f>
        <v/>
      </c>
      <c r="AI233" s="600" t="str" cm="1">
        <f t="array" ref="AI233">IFERROR(INDEX(始値!$E$6:$BT$305,MATCH(TEXT($B233,"0"),TEXT(銘柄管理!$B$6:$B$305,"0"),0),MATCH($AE233,始値!$E$3:$BT$3,0)),"")</f>
        <v/>
      </c>
      <c r="AJ233" s="608" t="str">
        <f>IF(OR($V233="",$F233="",$G233=""),"",$V233/($F233*$G233))</f>
        <v/>
      </c>
      <c r="AK233" s="600" t="str">
        <f>IF($V233="","",IF($V233&gt;0,"○勝",IF($V233&lt;0,"●負","△引分")))</f>
        <v/>
      </c>
    </row>
    <row r="234" spans="1:37" ht="17.25" customHeight="1">
      <c r="A234" s="621" t="str">
        <f>IF(B234="","",HYPERLINK("https://kabutan.jp/stock/?code="&amp;B234,"株探"))</f>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IF(OR(F234="",G234="",H234=""),"",IF(C234="売",(F234-H234)*G234,(H234-F234)*G234))</f>
        <v/>
      </c>
      <c r="L234" s="708" t="str">
        <f>IF(OR(F234="",H234=""),"",IF(C234="売",(F234-H234)/F234,(H234-F234)/F234))</f>
        <v/>
      </c>
      <c r="M234" s="598" t="str">
        <f>IF($F234="","",IF($C234="売",CEILING($F234*IF($C234="売",1-$AX$3,1+$AX$3),IF($F234*IF($C234="売",1-$AX$3,1+$AX$3)&lt;=3000,1,IF($F234*IF($C234="売",1-$AX$3,1+$AX$3)&lt;=5000,5,IF($F234*IF($C234="売",1-$AX$3,1+$AX$3)&lt;=30000,10,IF($F234*IF($C234="売",1-$AX$3,1+$AX$3)&lt;=50000,50,IF($F234*IF($C234="売",1-$AX$3,1+$AX$3)&lt;=300000,100,500)))))),FLOOR($F234*IF($C234="売",1-$AX$3,1+$AX$3),IF($F234*IF($C234="売",1-$AX$3,1+$AX$3)&lt;=3000,1,IF($F234*IF($C234="売",1-$AX$3,1+$AX$3)&lt;=5000,5,IF($F234*IF($C234="売",1-$AX$3,1+$AX$3)&lt;=30000,10,IF($F234*IF($C234="売",1-$AX$3,1+$AX$3)&lt;=50000,50,IF($F234*IF($C234="売",1-$AX$3,1+$AX$3)&lt;=300000,100,500))))))))</f>
      </c>
      <c r="N234" s="598" t="str">
        <f>IF($F234="","",IF($C234="売",CEILING($F234*IF($C234="売",1+$AX$2,1-$AX$2),IF($F234*IF($C234="売",1+$AX$2,1-$AX$2)&lt;=3000,1,IF($F234*IF($C234="売",1+$AX$2,1-$AX$2)&lt;=5000,5,IF($F234*IF($C234="売",1+$AX$2,1-$AX$2)&lt;=30000,10,IF($F234*IF($C234="売",1+$AX$2,1-$AX$2)&lt;=50000,50,IF($F234*IF($C234="売",1+$AX$2,1-$AX$2)&lt;=300000,100,500)))))),FLOOR($F234*IF($C234="売",1+$AX$2,1-$AX$2),IF($F234*IF($C234="売",1+$AX$2,1-$AX$2)&lt;=3000,1,IF($F234*IF($C234="売",1+$AX$2,1-$AX$2)&lt;=5000,5,IF($F234*IF($C234="売",1+$AX$2,1-$AX$2)&lt;=30000,10,IF($F234*IF($C234="売",1+$AX$2,1-$AX$2)&lt;=50000,50,IF($F234*IF($C234="売",1+$AX$2,1-$AX$2)&lt;=300000,100,500))))))))</f>
      </c>
      <c r="O234" s="478" t="str">
        <f>IF(OR($B234="",$F234="",$H234=""),"",IF($S234="✅売却済","―決済済―",IF($C234="売",IF($H234&lt;=$M234,"🟢利確",IF(AND($R234&lt;&gt;"",$H234&gt;=$R234),"🟠TRAIL決済",IF($H234&gt;=$N234,"🔴損切",IF($W234&gt;=$AX$5,"⏱時間決済",IF($H234&gt;=$F234*(1+$AX$2*0.7),"⚠️損切接近","保持継続"))))),IF($H234&gt;=$M234,"🟢利確",IF(AND($R234&lt;&gt;"",$H234&lt;=$R234),"🟠TRAIL決済",IF($H234&lt;=$N234,"🔴損切",IF($W234&gt;=$AX$5,"⏱時間決済",IF($H234&lt;=$F234*(1-$AX$2*0.7),"⚠️損切接近","保持継続")))))))</f>
      </c>
      <c r="P234" s="445"/>
      <c r="Q234" s="445"/>
      <c r="R234" s="480" t="str">
        <f>IF(OR($F234="",$H234="",$N234=""),"",IF($S234="✅売却済","",IF($C234="売",IF($H234&gt;$F234*(1-$AX$2),$N234,CEILING(MIN($N234,IF($Q234="",$N234,$Q234*1.03)),IF($N234&lt;=3000,1,IF($N234&lt;=5000,5,IF($N234&lt;=30000,10,IF($N234&lt;=50000,50,IF($N234&lt;=300000,100,500))))))),IF($H234&lt;$F234*(1+$AX$2),$N234,FLOOR(MAX($N234,IF($P234="",$N234,$P234*0.97)),IF($N234&lt;=3000,1,IF($N234&lt;=5000,5,IF($N234&lt;=30000,10,IF($N234&lt;=50000,50,IF($N234&lt;=300000,100,500))))))))))</f>
      </c>
      <c r="S234" s="480" t="str">
        <f>IF(B234="","",IF(T234&lt;&gt;"","✅売却済",IF(OR(H234="",L234=""),"📌保有中",IF(L234&gt;=0.06,"🟢利確推奨",IF(L234&gt;=0.05,"🟡利確直近",IF(L234&gt;=0.045,"🔵トレーリング検討",IF(L234&gt;-0.03,"📌保有中",IF(L234&gt;-0.04,"⚠️損切注意","🔴損切り"))))))))</f>
        <v/>
      </c>
      <c r="T234" s="596"/>
      <c r="U234" s="598"/>
      <c r="V234" s="703" t="str">
        <f>IF(OR(F234="",G234="",U234=""),"",IF(C234="売",(F234-U234)*G234,(U234-F234)*G234))</f>
        <v/>
      </c>
      <c r="W234" s="480" t="str">
        <f>IF(OR($E234="",$B234=""),"",IF($T234&lt;&gt;"",$T234-$E234,TODAY()-$E234)+1)</f>
        <v/>
      </c>
      <c r="X234" s="480" t="str">
        <f>IF(OR($AH234="",$AH234="保有中"),"",$AH234)</f>
        <v/>
      </c>
      <c r="Y234" s="488">
        <f>IF($B234="","",IF(COUNTIFS($B$4:$B234,$B234,$C$4:$C234,$C234)&gt;1,"⛔重複"&amp;COUNTIFS($B$4:$B234,$B234,$C$4:$C234,$C234)&amp;"回目",""))</f>
      </c>
      <c r="Z234" s="710"/>
      <c r="AB234">
        <f>IF($F234="","",MAX(100,ROUNDDOWN($AX$4/($F234*$AX$2)/100,0)*100))</f>
      </c>
      <c r="AC234">
        <f>IF(OR($F234="",$G234="",$U234=""),"",ROUND($V234-($F234+$U234)*$G234*$AX$6-IF($C234="売",$F234*$G234*$AX$7*$W234/365,0),0))</f>
      </c>
      <c r="AD234" s="608"/>
      <c r="AE234" s="600" t="str">
        <f>IF($E234="","",WORKDAY($E234,12))</f>
        <v/>
      </c>
      <c r="AF234" s="600"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0"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0" t="str">
        <f>IF(OR($B234="",$M234=""),"",IF(AND(N($AF234)=0,N($AG234)=0),IF(AND(ISNUMBER($H234),$H234&gt;0,IF($C234="売",$H234&gt;=$N234,$H234&lt;=$N234)),"損切確定",IF(AND(ISNUMBER($H234),$H234&gt;0,IF($C234="売",$H234&lt;=$M234,$H234&gt;=$M234)),"利益確定",IF($AE234&lt;=TODAY(),"日数制限","保有中"))),IF(N($AG234)=0,"利益確定",IF(N($AF234)=0,"損切確定",IF($AG234&lt;=$AF234,"損切確定","利益確定")))))</f>
        <v/>
      </c>
      <c r="AI234" s="600" t="str" cm="1">
        <f t="array" ref="AI234">IFERROR(INDEX(始値!$E$6:$BT$305,MATCH(TEXT($B234,"0"),TEXT(銘柄管理!$B$6:$B$305,"0"),0),MATCH($AE234,始値!$E$3:$BT$3,0)),"")</f>
        <v/>
      </c>
      <c r="AJ234" s="608" t="str">
        <f>IF(OR($V234="",$F234="",$G234=""),"",$V234/($F234*$G234))</f>
        <v/>
      </c>
      <c r="AK234" s="600" t="str">
        <f>IF($V234="","",IF($V234&gt;0,"○勝",IF($V234&lt;0,"●負","△引分")))</f>
        <v/>
      </c>
    </row>
    <row r="235" spans="1:37" ht="17.25" customHeight="1">
      <c r="A235" s="621" t="str">
        <f>IF(B235="","",HYPERLINK("https://kabutan.jp/stock/?code="&amp;B235,"株探"))</f>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IF(OR(F235="",G235="",H235=""),"",IF(C235="売",(F235-H235)*G235,(H235-F235)*G235))</f>
        <v/>
      </c>
      <c r="L235" s="708" t="str">
        <f>IF(OR(F235="",H235=""),"",IF(C235="売",(F235-H235)/F235,(H235-F235)/F235))</f>
        <v/>
      </c>
      <c r="M235" s="598" t="str">
        <f>IF($F235="","",IF($C235="売",CEILING($F235*IF($C235="売",1-$AX$3,1+$AX$3),IF($F235*IF($C235="売",1-$AX$3,1+$AX$3)&lt;=3000,1,IF($F235*IF($C235="売",1-$AX$3,1+$AX$3)&lt;=5000,5,IF($F235*IF($C235="売",1-$AX$3,1+$AX$3)&lt;=30000,10,IF($F235*IF($C235="売",1-$AX$3,1+$AX$3)&lt;=50000,50,IF($F235*IF($C235="売",1-$AX$3,1+$AX$3)&lt;=300000,100,500)))))),FLOOR($F235*IF($C235="売",1-$AX$3,1+$AX$3),IF($F235*IF($C235="売",1-$AX$3,1+$AX$3)&lt;=3000,1,IF($F235*IF($C235="売",1-$AX$3,1+$AX$3)&lt;=5000,5,IF($F235*IF($C235="売",1-$AX$3,1+$AX$3)&lt;=30000,10,IF($F235*IF($C235="売",1-$AX$3,1+$AX$3)&lt;=50000,50,IF($F235*IF($C235="売",1-$AX$3,1+$AX$3)&lt;=300000,100,500))))))))</f>
      </c>
      <c r="N235" s="598" t="str">
        <f>IF($F235="","",IF($C235="売",CEILING($F235*IF($C235="売",1+$AX$2,1-$AX$2),IF($F235*IF($C235="売",1+$AX$2,1-$AX$2)&lt;=3000,1,IF($F235*IF($C235="売",1+$AX$2,1-$AX$2)&lt;=5000,5,IF($F235*IF($C235="売",1+$AX$2,1-$AX$2)&lt;=30000,10,IF($F235*IF($C235="売",1+$AX$2,1-$AX$2)&lt;=50000,50,IF($F235*IF($C235="売",1+$AX$2,1-$AX$2)&lt;=300000,100,500)))))),FLOOR($F235*IF($C235="売",1+$AX$2,1-$AX$2),IF($F235*IF($C235="売",1+$AX$2,1-$AX$2)&lt;=3000,1,IF($F235*IF($C235="売",1+$AX$2,1-$AX$2)&lt;=5000,5,IF($F235*IF($C235="売",1+$AX$2,1-$AX$2)&lt;=30000,10,IF($F235*IF($C235="売",1+$AX$2,1-$AX$2)&lt;=50000,50,IF($F235*IF($C235="売",1+$AX$2,1-$AX$2)&lt;=300000,100,500))))))))</f>
      </c>
      <c r="O235" s="478" t="str">
        <f>IF(OR($B235="",$F235="",$H235=""),"",IF($S235="✅売却済","―決済済―",IF($C235="売",IF($H235&lt;=$M235,"🟢利確",IF(AND($R235&lt;&gt;"",$H235&gt;=$R235),"🟠TRAIL決済",IF($H235&gt;=$N235,"🔴損切",IF($W235&gt;=$AX$5,"⏱時間決済",IF($H235&gt;=$F235*(1+$AX$2*0.7),"⚠️損切接近","保持継続"))))),IF($H235&gt;=$M235,"🟢利確",IF(AND($R235&lt;&gt;"",$H235&lt;=$R235),"🟠TRAIL決済",IF($H235&lt;=$N235,"🔴損切",IF($W235&gt;=$AX$5,"⏱時間決済",IF($H235&lt;=$F235*(1-$AX$2*0.7),"⚠️損切接近","保持継続")))))))</f>
      </c>
      <c r="P235" s="445"/>
      <c r="Q235" s="445"/>
      <c r="R235" s="480" t="str">
        <f>IF(OR($F235="",$H235="",$N235=""),"",IF($S235="✅売却済","",IF($C235="売",IF($H235&gt;$F235*(1-$AX$2),$N235,CEILING(MIN($N235,IF($Q235="",$N235,$Q235*1.03)),IF($N235&lt;=3000,1,IF($N235&lt;=5000,5,IF($N235&lt;=30000,10,IF($N235&lt;=50000,50,IF($N235&lt;=300000,100,500))))))),IF($H235&lt;$F235*(1+$AX$2),$N235,FLOOR(MAX($N235,IF($P235="",$N235,$P235*0.97)),IF($N235&lt;=3000,1,IF($N235&lt;=5000,5,IF($N235&lt;=30000,10,IF($N235&lt;=50000,50,IF($N235&lt;=300000,100,500))))))))))</f>
      </c>
      <c r="S235" s="480" t="str">
        <f>IF(B235="","",IF(T235&lt;&gt;"","✅売却済",IF(OR(H235="",L235=""),"📌保有中",IF(L235&gt;=0.06,"🟢利確推奨",IF(L235&gt;=0.05,"🟡利確直近",IF(L235&gt;=0.045,"🔵トレーリング検討",IF(L235&gt;-0.03,"📌保有中",IF(L235&gt;-0.04,"⚠️損切注意","🔴損切り"))))))))</f>
        <v/>
      </c>
      <c r="T235" s="596"/>
      <c r="U235" s="598"/>
      <c r="V235" s="703" t="str">
        <f>IF(OR(F235="",G235="",U235=""),"",IF(C235="売",(F235-U235)*G235,(U235-F235)*G235))</f>
        <v/>
      </c>
      <c r="W235" s="480" t="str">
        <f>IF(OR($E235="",$B235=""),"",IF($T235&lt;&gt;"",$T235-$E235,TODAY()-$E235)+1)</f>
        <v/>
      </c>
      <c r="X235" s="480" t="str">
        <f>IF(OR($AH235="",$AH235="保有中"),"",$AH235)</f>
        <v/>
      </c>
      <c r="Y235" s="488">
        <f>IF($B235="","",IF(COUNTIFS($B$4:$B235,$B235,$C$4:$C235,$C235)&gt;1,"⛔重複"&amp;COUNTIFS($B$4:$B235,$B235,$C$4:$C235,$C235)&amp;"回目",""))</f>
      </c>
      <c r="Z235" s="710"/>
      <c r="AB235">
        <f>IF($F235="","",MAX(100,ROUNDDOWN($AX$4/($F235*$AX$2)/100,0)*100))</f>
      </c>
      <c r="AC235">
        <f>IF(OR($F235="",$G235="",$U235=""),"",ROUND($V235-($F235+$U235)*$G235*$AX$6-IF($C235="売",$F235*$G235*$AX$7*$W235/365,0),0))</f>
      </c>
      <c r="AD235" s="608"/>
      <c r="AE235" s="600" t="str">
        <f>IF($E235="","",WORKDAY($E235,12))</f>
        <v/>
      </c>
      <c r="AF235" s="600"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0"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0" t="str">
        <f>IF(OR($B235="",$M235=""),"",IF(AND(N($AF235)=0,N($AG235)=0),IF(AND(ISNUMBER($H235),$H235&gt;0,IF($C235="売",$H235&gt;=$N235,$H235&lt;=$N235)),"損切確定",IF(AND(ISNUMBER($H235),$H235&gt;0,IF($C235="売",$H235&lt;=$M235,$H235&gt;=$M235)),"利益確定",IF($AE235&lt;=TODAY(),"日数制限","保有中"))),IF(N($AG235)=0,"利益確定",IF(N($AF235)=0,"損切確定",IF($AG235&lt;=$AF235,"損切確定","利益確定")))))</f>
        <v/>
      </c>
      <c r="AI235" s="600" t="str" cm="1">
        <f t="array" ref="AI235">IFERROR(INDEX(始値!$E$6:$BT$305,MATCH(TEXT($B235,"0"),TEXT(銘柄管理!$B$6:$B$305,"0"),0),MATCH($AE235,始値!$E$3:$BT$3,0)),"")</f>
        <v/>
      </c>
      <c r="AJ235" s="608" t="str">
        <f>IF(OR($V235="",$F235="",$G235=""),"",$V235/($F235*$G235))</f>
        <v/>
      </c>
      <c r="AK235" s="600" t="str">
        <f>IF($V235="","",IF($V235&gt;0,"○勝",IF($V235&lt;0,"●負","△引分")))</f>
        <v/>
      </c>
    </row>
    <row r="236" spans="1:37" ht="17.25" customHeight="1">
      <c r="A236" s="621" t="str">
        <f>IF(B236="","",HYPERLINK("https://kabutan.jp/stock/?code="&amp;B236,"株探"))</f>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IF(OR(F236="",G236="",H236=""),"",IF(C236="売",(F236-H236)*G236,(H236-F236)*G236))</f>
        <v/>
      </c>
      <c r="L236" s="708" t="str">
        <f>IF(OR(F236="",H236=""),"",IF(C236="売",(F236-H236)/F236,(H236-F236)/F236))</f>
        <v/>
      </c>
      <c r="M236" s="598" t="str">
        <f>IF($F236="","",IF($C236="売",CEILING($F236*IF($C236="売",1-$AX$3,1+$AX$3),IF($F236*IF($C236="売",1-$AX$3,1+$AX$3)&lt;=3000,1,IF($F236*IF($C236="売",1-$AX$3,1+$AX$3)&lt;=5000,5,IF($F236*IF($C236="売",1-$AX$3,1+$AX$3)&lt;=30000,10,IF($F236*IF($C236="売",1-$AX$3,1+$AX$3)&lt;=50000,50,IF($F236*IF($C236="売",1-$AX$3,1+$AX$3)&lt;=300000,100,500)))))),FLOOR($F236*IF($C236="売",1-$AX$3,1+$AX$3),IF($F236*IF($C236="売",1-$AX$3,1+$AX$3)&lt;=3000,1,IF($F236*IF($C236="売",1-$AX$3,1+$AX$3)&lt;=5000,5,IF($F236*IF($C236="売",1-$AX$3,1+$AX$3)&lt;=30000,10,IF($F236*IF($C236="売",1-$AX$3,1+$AX$3)&lt;=50000,50,IF($F236*IF($C236="売",1-$AX$3,1+$AX$3)&lt;=300000,100,500))))))))</f>
      </c>
      <c r="N236" s="598" t="str">
        <f>IF($F236="","",IF($C236="売",CEILING($F236*IF($C236="売",1+$AX$2,1-$AX$2),IF($F236*IF($C236="売",1+$AX$2,1-$AX$2)&lt;=3000,1,IF($F236*IF($C236="売",1+$AX$2,1-$AX$2)&lt;=5000,5,IF($F236*IF($C236="売",1+$AX$2,1-$AX$2)&lt;=30000,10,IF($F236*IF($C236="売",1+$AX$2,1-$AX$2)&lt;=50000,50,IF($F236*IF($C236="売",1+$AX$2,1-$AX$2)&lt;=300000,100,500)))))),FLOOR($F236*IF($C236="売",1+$AX$2,1-$AX$2),IF($F236*IF($C236="売",1+$AX$2,1-$AX$2)&lt;=3000,1,IF($F236*IF($C236="売",1+$AX$2,1-$AX$2)&lt;=5000,5,IF($F236*IF($C236="売",1+$AX$2,1-$AX$2)&lt;=30000,10,IF($F236*IF($C236="売",1+$AX$2,1-$AX$2)&lt;=50000,50,IF($F236*IF($C236="売",1+$AX$2,1-$AX$2)&lt;=300000,100,500))))))))</f>
      </c>
      <c r="O236" s="478" t="str">
        <f>IF(OR($B236="",$F236="",$H236=""),"",IF($S236="✅売却済","―決済済―",IF($C236="売",IF($H236&lt;=$M236,"🟢利確",IF(AND($R236&lt;&gt;"",$H236&gt;=$R236),"🟠TRAIL決済",IF($H236&gt;=$N236,"🔴損切",IF($W236&gt;=$AX$5,"⏱時間決済",IF($H236&gt;=$F236*(1+$AX$2*0.7),"⚠️損切接近","保持継続"))))),IF($H236&gt;=$M236,"🟢利確",IF(AND($R236&lt;&gt;"",$H236&lt;=$R236),"🟠TRAIL決済",IF($H236&lt;=$N236,"🔴損切",IF($W236&gt;=$AX$5,"⏱時間決済",IF($H236&lt;=$F236*(1-$AX$2*0.7),"⚠️損切接近","保持継続")))))))</f>
      </c>
      <c r="P236" s="445"/>
      <c r="Q236" s="445"/>
      <c r="R236" s="480" t="str">
        <f>IF(OR($F236="",$H236="",$N236=""),"",IF($S236="✅売却済","",IF($C236="売",IF($H236&gt;$F236*(1-$AX$2),$N236,CEILING(MIN($N236,IF($Q236="",$N236,$Q236*1.03)),IF($N236&lt;=3000,1,IF($N236&lt;=5000,5,IF($N236&lt;=30000,10,IF($N236&lt;=50000,50,IF($N236&lt;=300000,100,500))))))),IF($H236&lt;$F236*(1+$AX$2),$N236,FLOOR(MAX($N236,IF($P236="",$N236,$P236*0.97)),IF($N236&lt;=3000,1,IF($N236&lt;=5000,5,IF($N236&lt;=30000,10,IF($N236&lt;=50000,50,IF($N236&lt;=300000,100,500))))))))))</f>
      </c>
      <c r="S236" s="480" t="str">
        <f>IF(B236="","",IF(T236&lt;&gt;"","✅売却済",IF(OR(H236="",L236=""),"📌保有中",IF(L236&gt;=0.06,"🟢利確推奨",IF(L236&gt;=0.05,"🟡利確直近",IF(L236&gt;=0.045,"🔵トレーリング検討",IF(L236&gt;-0.03,"📌保有中",IF(L236&gt;-0.04,"⚠️損切注意","🔴損切り"))))))))</f>
        <v/>
      </c>
      <c r="T236" s="596"/>
      <c r="U236" s="598"/>
      <c r="V236" s="703" t="str">
        <f>IF(OR(F236="",G236="",U236=""),"",IF(C236="売",(F236-U236)*G236,(U236-F236)*G236))</f>
        <v/>
      </c>
      <c r="W236" s="480" t="str">
        <f>IF(OR($E236="",$B236=""),"",IF($T236&lt;&gt;"",$T236-$E236,TODAY()-$E236)+1)</f>
        <v/>
      </c>
      <c r="X236" s="480" t="str">
        <f>IF(OR($AH236="",$AH236="保有中"),"",$AH236)</f>
        <v/>
      </c>
      <c r="Y236" s="488">
        <f>IF($B236="","",IF(COUNTIFS($B$4:$B236,$B236,$C$4:$C236,$C236)&gt;1,"⛔重複"&amp;COUNTIFS($B$4:$B236,$B236,$C$4:$C236,$C236)&amp;"回目",""))</f>
      </c>
      <c r="Z236" s="710"/>
      <c r="AB236">
        <f>IF($F236="","",MAX(100,ROUNDDOWN($AX$4/($F236*$AX$2)/100,0)*100))</f>
      </c>
      <c r="AC236">
        <f>IF(OR($F236="",$G236="",$U236=""),"",ROUND($V236-($F236+$U236)*$G236*$AX$6-IF($C236="売",$F236*$G236*$AX$7*$W236/365,0),0))</f>
      </c>
      <c r="AD236" s="608"/>
      <c r="AE236" s="600" t="str">
        <f>IF($E236="","",WORKDAY($E236,12))</f>
        <v/>
      </c>
      <c r="AF236" s="600"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0"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0" t="str">
        <f>IF(OR($B236="",$M236=""),"",IF(AND(N($AF236)=0,N($AG236)=0),IF(AND(ISNUMBER($H236),$H236&gt;0,IF($C236="売",$H236&gt;=$N236,$H236&lt;=$N236)),"損切確定",IF(AND(ISNUMBER($H236),$H236&gt;0,IF($C236="売",$H236&lt;=$M236,$H236&gt;=$M236)),"利益確定",IF($AE236&lt;=TODAY(),"日数制限","保有中"))),IF(N($AG236)=0,"利益確定",IF(N($AF236)=0,"損切確定",IF($AG236&lt;=$AF236,"損切確定","利益確定")))))</f>
        <v/>
      </c>
      <c r="AI236" s="600" t="str" cm="1">
        <f t="array" ref="AI236">IFERROR(INDEX(始値!$E$6:$BT$305,MATCH(TEXT($B236,"0"),TEXT(銘柄管理!$B$6:$B$305,"0"),0),MATCH($AE236,始値!$E$3:$BT$3,0)),"")</f>
        <v/>
      </c>
      <c r="AJ236" s="608" t="str">
        <f>IF(OR($V236="",$F236="",$G236=""),"",$V236/($F236*$G236))</f>
        <v/>
      </c>
      <c r="AK236" s="600" t="str">
        <f>IF($V236="","",IF($V236&gt;0,"○勝",IF($V236&lt;0,"●負","△引分")))</f>
        <v/>
      </c>
    </row>
    <row r="237" spans="1:37" ht="17.25" customHeight="1">
      <c r="A237" s="621" t="str">
        <f>IF(B237="","",HYPERLINK("https://kabutan.jp/stock/?code="&amp;B237,"株探"))</f>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IF(OR(F237="",G237="",H237=""),"",IF(C237="売",(F237-H237)*G237,(H237-F237)*G237))</f>
        <v/>
      </c>
      <c r="L237" s="708" t="str">
        <f>IF(OR(F237="",H237=""),"",IF(C237="売",(F237-H237)/F237,(H237-F237)/F237))</f>
        <v/>
      </c>
      <c r="M237" s="598" t="str">
        <f>IF($F237="","",IF($C237="売",CEILING($F237*IF($C237="売",1-$AX$3,1+$AX$3),IF($F237*IF($C237="売",1-$AX$3,1+$AX$3)&lt;=3000,1,IF($F237*IF($C237="売",1-$AX$3,1+$AX$3)&lt;=5000,5,IF($F237*IF($C237="売",1-$AX$3,1+$AX$3)&lt;=30000,10,IF($F237*IF($C237="売",1-$AX$3,1+$AX$3)&lt;=50000,50,IF($F237*IF($C237="売",1-$AX$3,1+$AX$3)&lt;=300000,100,500)))))),FLOOR($F237*IF($C237="売",1-$AX$3,1+$AX$3),IF($F237*IF($C237="売",1-$AX$3,1+$AX$3)&lt;=3000,1,IF($F237*IF($C237="売",1-$AX$3,1+$AX$3)&lt;=5000,5,IF($F237*IF($C237="売",1-$AX$3,1+$AX$3)&lt;=30000,10,IF($F237*IF($C237="売",1-$AX$3,1+$AX$3)&lt;=50000,50,IF($F237*IF($C237="売",1-$AX$3,1+$AX$3)&lt;=300000,100,500))))))))</f>
      </c>
      <c r="N237" s="598" t="str">
        <f>IF($F237="","",IF($C237="売",CEILING($F237*IF($C237="売",1+$AX$2,1-$AX$2),IF($F237*IF($C237="売",1+$AX$2,1-$AX$2)&lt;=3000,1,IF($F237*IF($C237="売",1+$AX$2,1-$AX$2)&lt;=5000,5,IF($F237*IF($C237="売",1+$AX$2,1-$AX$2)&lt;=30000,10,IF($F237*IF($C237="売",1+$AX$2,1-$AX$2)&lt;=50000,50,IF($F237*IF($C237="売",1+$AX$2,1-$AX$2)&lt;=300000,100,500)))))),FLOOR($F237*IF($C237="売",1+$AX$2,1-$AX$2),IF($F237*IF($C237="売",1+$AX$2,1-$AX$2)&lt;=3000,1,IF($F237*IF($C237="売",1+$AX$2,1-$AX$2)&lt;=5000,5,IF($F237*IF($C237="売",1+$AX$2,1-$AX$2)&lt;=30000,10,IF($F237*IF($C237="売",1+$AX$2,1-$AX$2)&lt;=50000,50,IF($F237*IF($C237="売",1+$AX$2,1-$AX$2)&lt;=300000,100,500))))))))</f>
      </c>
      <c r="O237" s="478" t="str">
        <f>IF(OR($B237="",$F237="",$H237=""),"",IF($S237="✅売却済","―決済済―",IF($C237="売",IF($H237&lt;=$M237,"🟢利確",IF(AND($R237&lt;&gt;"",$H237&gt;=$R237),"🟠TRAIL決済",IF($H237&gt;=$N237,"🔴損切",IF($W237&gt;=$AX$5,"⏱時間決済",IF($H237&gt;=$F237*(1+$AX$2*0.7),"⚠️損切接近","保持継続"))))),IF($H237&gt;=$M237,"🟢利確",IF(AND($R237&lt;&gt;"",$H237&lt;=$R237),"🟠TRAIL決済",IF($H237&lt;=$N237,"🔴損切",IF($W237&gt;=$AX$5,"⏱時間決済",IF($H237&lt;=$F237*(1-$AX$2*0.7),"⚠️損切接近","保持継続")))))))</f>
      </c>
      <c r="P237" s="445"/>
      <c r="Q237" s="445"/>
      <c r="R237" s="480" t="str">
        <f>IF(OR($F237="",$H237="",$N237=""),"",IF($S237="✅売却済","",IF($C237="売",IF($H237&gt;$F237*(1-$AX$2),$N237,CEILING(MIN($N237,IF($Q237="",$N237,$Q237*1.03)),IF($N237&lt;=3000,1,IF($N237&lt;=5000,5,IF($N237&lt;=30000,10,IF($N237&lt;=50000,50,IF($N237&lt;=300000,100,500))))))),IF($H237&lt;$F237*(1+$AX$2),$N237,FLOOR(MAX($N237,IF($P237="",$N237,$P237*0.97)),IF($N237&lt;=3000,1,IF($N237&lt;=5000,5,IF($N237&lt;=30000,10,IF($N237&lt;=50000,50,IF($N237&lt;=300000,100,500))))))))))</f>
      </c>
      <c r="S237" s="480" t="str">
        <f>IF(B237="","",IF(T237&lt;&gt;"","✅売却済",IF(OR(H237="",L237=""),"📌保有中",IF(L237&gt;=0.06,"🟢利確推奨",IF(L237&gt;=0.05,"🟡利確直近",IF(L237&gt;=0.045,"🔵トレーリング検討",IF(L237&gt;-0.03,"📌保有中",IF(L237&gt;-0.04,"⚠️損切注意","🔴損切り"))))))))</f>
        <v/>
      </c>
      <c r="T237" s="596"/>
      <c r="U237" s="598"/>
      <c r="V237" s="703" t="str">
        <f>IF(OR(F237="",G237="",U237=""),"",IF(C237="売",(F237-U237)*G237,(U237-F237)*G237))</f>
        <v/>
      </c>
      <c r="W237" s="480" t="str">
        <f>IF(OR($E237="",$B237=""),"",IF($T237&lt;&gt;"",$T237-$E237,TODAY()-$E237)+1)</f>
        <v/>
      </c>
      <c r="X237" s="480" t="str">
        <f>IF(OR($AH237="",$AH237="保有中"),"",$AH237)</f>
        <v/>
      </c>
      <c r="Y237" s="488">
        <f>IF($B237="","",IF(COUNTIFS($B$4:$B237,$B237,$C$4:$C237,$C237)&gt;1,"⛔重複"&amp;COUNTIFS($B$4:$B237,$B237,$C$4:$C237,$C237)&amp;"回目",""))</f>
      </c>
      <c r="Z237" s="710"/>
      <c r="AB237">
        <f>IF($F237="","",MAX(100,ROUNDDOWN($AX$4/($F237*$AX$2)/100,0)*100))</f>
      </c>
      <c r="AC237">
        <f>IF(OR($F237="",$G237="",$U237=""),"",ROUND($V237-($F237+$U237)*$G237*$AX$6-IF($C237="売",$F237*$G237*$AX$7*$W237/365,0),0))</f>
      </c>
      <c r="AD237" s="608"/>
      <c r="AE237" s="600" t="str">
        <f>IF($E237="","",WORKDAY($E237,12))</f>
        <v/>
      </c>
      <c r="AF237" s="600"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0"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0" t="str">
        <f>IF(OR($B237="",$M237=""),"",IF(AND(N($AF237)=0,N($AG237)=0),IF(AND(ISNUMBER($H237),$H237&gt;0,IF($C237="売",$H237&gt;=$N237,$H237&lt;=$N237)),"損切確定",IF(AND(ISNUMBER($H237),$H237&gt;0,IF($C237="売",$H237&lt;=$M237,$H237&gt;=$M237)),"利益確定",IF($AE237&lt;=TODAY(),"日数制限","保有中"))),IF(N($AG237)=0,"利益確定",IF(N($AF237)=0,"損切確定",IF($AG237&lt;=$AF237,"損切確定","利益確定")))))</f>
        <v/>
      </c>
      <c r="AI237" s="600" t="str" cm="1">
        <f t="array" ref="AI237">IFERROR(INDEX(始値!$E$6:$BT$305,MATCH(TEXT($B237,"0"),TEXT(銘柄管理!$B$6:$B$305,"0"),0),MATCH($AE237,始値!$E$3:$BT$3,0)),"")</f>
        <v/>
      </c>
      <c r="AJ237" s="608" t="str">
        <f>IF(OR($V237="",$F237="",$G237=""),"",$V237/($F237*$G237))</f>
        <v/>
      </c>
      <c r="AK237" s="600" t="str">
        <f>IF($V237="","",IF($V237&gt;0,"○勝",IF($V237&lt;0,"●負","△引分")))</f>
        <v/>
      </c>
    </row>
    <row r="238" spans="1:37" ht="17.25" customHeight="1">
      <c r="A238" s="621" t="str">
        <f>IF(B238="","",HYPERLINK("https://kabutan.jp/stock/?code="&amp;B238,"株探"))</f>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IF(OR(F238="",G238="",H238=""),"",IF(C238="売",(F238-H238)*G238,(H238-F238)*G238))</f>
        <v/>
      </c>
      <c r="L238" s="708" t="str">
        <f>IF(OR(F238="",H238=""),"",IF(C238="売",(F238-H238)/F238,(H238-F238)/F238))</f>
        <v/>
      </c>
      <c r="M238" s="598" t="str">
        <f>IF($F238="","",IF($C238="売",CEILING($F238*IF($C238="売",1-$AX$3,1+$AX$3),IF($F238*IF($C238="売",1-$AX$3,1+$AX$3)&lt;=3000,1,IF($F238*IF($C238="売",1-$AX$3,1+$AX$3)&lt;=5000,5,IF($F238*IF($C238="売",1-$AX$3,1+$AX$3)&lt;=30000,10,IF($F238*IF($C238="売",1-$AX$3,1+$AX$3)&lt;=50000,50,IF($F238*IF($C238="売",1-$AX$3,1+$AX$3)&lt;=300000,100,500)))))),FLOOR($F238*IF($C238="売",1-$AX$3,1+$AX$3),IF($F238*IF($C238="売",1-$AX$3,1+$AX$3)&lt;=3000,1,IF($F238*IF($C238="売",1-$AX$3,1+$AX$3)&lt;=5000,5,IF($F238*IF($C238="売",1-$AX$3,1+$AX$3)&lt;=30000,10,IF($F238*IF($C238="売",1-$AX$3,1+$AX$3)&lt;=50000,50,IF($F238*IF($C238="売",1-$AX$3,1+$AX$3)&lt;=300000,100,500))))))))</f>
      </c>
      <c r="N238" s="598" t="str">
        <f>IF($F238="","",IF($C238="売",CEILING($F238*IF($C238="売",1+$AX$2,1-$AX$2),IF($F238*IF($C238="売",1+$AX$2,1-$AX$2)&lt;=3000,1,IF($F238*IF($C238="売",1+$AX$2,1-$AX$2)&lt;=5000,5,IF($F238*IF($C238="売",1+$AX$2,1-$AX$2)&lt;=30000,10,IF($F238*IF($C238="売",1+$AX$2,1-$AX$2)&lt;=50000,50,IF($F238*IF($C238="売",1+$AX$2,1-$AX$2)&lt;=300000,100,500)))))),FLOOR($F238*IF($C238="売",1+$AX$2,1-$AX$2),IF($F238*IF($C238="売",1+$AX$2,1-$AX$2)&lt;=3000,1,IF($F238*IF($C238="売",1+$AX$2,1-$AX$2)&lt;=5000,5,IF($F238*IF($C238="売",1+$AX$2,1-$AX$2)&lt;=30000,10,IF($F238*IF($C238="売",1+$AX$2,1-$AX$2)&lt;=50000,50,IF($F238*IF($C238="売",1+$AX$2,1-$AX$2)&lt;=300000,100,500))))))))</f>
      </c>
      <c r="O238" s="478" t="str">
        <f>IF(OR($B238="",$F238="",$H238=""),"",IF($S238="✅売却済","―決済済―",IF($C238="売",IF($H238&lt;=$M238,"🟢利確",IF(AND($R238&lt;&gt;"",$H238&gt;=$R238),"🟠TRAIL決済",IF($H238&gt;=$N238,"🔴損切",IF($W238&gt;=$AX$5,"⏱時間決済",IF($H238&gt;=$F238*(1+$AX$2*0.7),"⚠️損切接近","保持継続"))))),IF($H238&gt;=$M238,"🟢利確",IF(AND($R238&lt;&gt;"",$H238&lt;=$R238),"🟠TRAIL決済",IF($H238&lt;=$N238,"🔴損切",IF($W238&gt;=$AX$5,"⏱時間決済",IF($H238&lt;=$F238*(1-$AX$2*0.7),"⚠️損切接近","保持継続")))))))</f>
      </c>
      <c r="P238" s="445"/>
      <c r="Q238" s="445"/>
      <c r="R238" s="480" t="str">
        <f>IF(OR($F238="",$H238="",$N238=""),"",IF($S238="✅売却済","",IF($C238="売",IF($H238&gt;$F238*(1-$AX$2),$N238,CEILING(MIN($N238,IF($Q238="",$N238,$Q238*1.03)),IF($N238&lt;=3000,1,IF($N238&lt;=5000,5,IF($N238&lt;=30000,10,IF($N238&lt;=50000,50,IF($N238&lt;=300000,100,500))))))),IF($H238&lt;$F238*(1+$AX$2),$N238,FLOOR(MAX($N238,IF($P238="",$N238,$P238*0.97)),IF($N238&lt;=3000,1,IF($N238&lt;=5000,5,IF($N238&lt;=30000,10,IF($N238&lt;=50000,50,IF($N238&lt;=300000,100,500))))))))))</f>
      </c>
      <c r="S238" s="480" t="str">
        <f>IF(B238="","",IF(T238&lt;&gt;"","✅売却済",IF(OR(H238="",L238=""),"📌保有中",IF(L238&gt;=0.06,"🟢利確推奨",IF(L238&gt;=0.05,"🟡利確直近",IF(L238&gt;=0.045,"🔵トレーリング検討",IF(L238&gt;-0.03,"📌保有中",IF(L238&gt;-0.04,"⚠️損切注意","🔴損切り"))))))))</f>
        <v/>
      </c>
      <c r="T238" s="596"/>
      <c r="U238" s="598"/>
      <c r="V238" s="703" t="str">
        <f>IF(OR(F238="",G238="",U238=""),"",IF(C238="売",(F238-U238)*G238,(U238-F238)*G238))</f>
        <v/>
      </c>
      <c r="W238" s="480" t="str">
        <f>IF(OR($E238="",$B238=""),"",IF($T238&lt;&gt;"",$T238-$E238,TODAY()-$E238)+1)</f>
        <v/>
      </c>
      <c r="X238" s="480" t="str">
        <f>IF(OR($AH238="",$AH238="保有中"),"",$AH238)</f>
        <v/>
      </c>
      <c r="Y238" s="488">
        <f>IF($B238="","",IF(COUNTIFS($B$4:$B238,$B238,$C$4:$C238,$C238)&gt;1,"⛔重複"&amp;COUNTIFS($B$4:$B238,$B238,$C$4:$C238,$C238)&amp;"回目",""))</f>
      </c>
      <c r="Z238" s="710"/>
      <c r="AB238">
        <f>IF($F238="","",MAX(100,ROUNDDOWN($AX$4/($F238*$AX$2)/100,0)*100))</f>
      </c>
      <c r="AC238">
        <f>IF(OR($F238="",$G238="",$U238=""),"",ROUND($V238-($F238+$U238)*$G238*$AX$6-IF($C238="売",$F238*$G238*$AX$7*$W238/365,0),0))</f>
      </c>
      <c r="AD238" s="608"/>
      <c r="AE238" s="600" t="str">
        <f>IF($E238="","",WORKDAY($E238,12))</f>
        <v/>
      </c>
      <c r="AF238" s="600"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0"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0" t="str">
        <f>IF(OR($B238="",$M238=""),"",IF(AND(N($AF238)=0,N($AG238)=0),IF(AND(ISNUMBER($H238),$H238&gt;0,IF($C238="売",$H238&gt;=$N238,$H238&lt;=$N238)),"損切確定",IF(AND(ISNUMBER($H238),$H238&gt;0,IF($C238="売",$H238&lt;=$M238,$H238&gt;=$M238)),"利益確定",IF($AE238&lt;=TODAY(),"日数制限","保有中"))),IF(N($AG238)=0,"利益確定",IF(N($AF238)=0,"損切確定",IF($AG238&lt;=$AF238,"損切確定","利益確定")))))</f>
        <v/>
      </c>
      <c r="AI238" s="600" t="str" cm="1">
        <f t="array" ref="AI238">IFERROR(INDEX(始値!$E$6:$BT$305,MATCH(TEXT($B238,"0"),TEXT(銘柄管理!$B$6:$B$305,"0"),0),MATCH($AE238,始値!$E$3:$BT$3,0)),"")</f>
        <v/>
      </c>
      <c r="AJ238" s="608" t="str">
        <f>IF(OR($V238="",$F238="",$G238=""),"",$V238/($F238*$G238))</f>
        <v/>
      </c>
      <c r="AK238" s="600" t="str">
        <f>IF($V238="","",IF($V238&gt;0,"○勝",IF($V238&lt;0,"●負","△引分")))</f>
        <v/>
      </c>
    </row>
    <row r="239" spans="1:37" ht="17.25" customHeight="1">
      <c r="A239" s="621" t="str">
        <f>IF(B239="","",HYPERLINK("https://kabutan.jp/stock/?code="&amp;B239,"株探"))</f>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IF(OR(F239="",G239="",H239=""),"",IF(C239="売",(F239-H239)*G239,(H239-F239)*G239))</f>
        <v/>
      </c>
      <c r="L239" s="708" t="str">
        <f>IF(OR(F239="",H239=""),"",IF(C239="売",(F239-H239)/F239,(H239-F239)/F239))</f>
        <v/>
      </c>
      <c r="M239" s="598" t="str">
        <f>IF($F239="","",IF($C239="売",CEILING($F239*IF($C239="売",1-$AX$3,1+$AX$3),IF($F239*IF($C239="売",1-$AX$3,1+$AX$3)&lt;=3000,1,IF($F239*IF($C239="売",1-$AX$3,1+$AX$3)&lt;=5000,5,IF($F239*IF($C239="売",1-$AX$3,1+$AX$3)&lt;=30000,10,IF($F239*IF($C239="売",1-$AX$3,1+$AX$3)&lt;=50000,50,IF($F239*IF($C239="売",1-$AX$3,1+$AX$3)&lt;=300000,100,500)))))),FLOOR($F239*IF($C239="売",1-$AX$3,1+$AX$3),IF($F239*IF($C239="売",1-$AX$3,1+$AX$3)&lt;=3000,1,IF($F239*IF($C239="売",1-$AX$3,1+$AX$3)&lt;=5000,5,IF($F239*IF($C239="売",1-$AX$3,1+$AX$3)&lt;=30000,10,IF($F239*IF($C239="売",1-$AX$3,1+$AX$3)&lt;=50000,50,IF($F239*IF($C239="売",1-$AX$3,1+$AX$3)&lt;=300000,100,500))))))))</f>
      </c>
      <c r="N239" s="598" t="str">
        <f>IF($F239="","",IF($C239="売",CEILING($F239*IF($C239="売",1+$AX$2,1-$AX$2),IF($F239*IF($C239="売",1+$AX$2,1-$AX$2)&lt;=3000,1,IF($F239*IF($C239="売",1+$AX$2,1-$AX$2)&lt;=5000,5,IF($F239*IF($C239="売",1+$AX$2,1-$AX$2)&lt;=30000,10,IF($F239*IF($C239="売",1+$AX$2,1-$AX$2)&lt;=50000,50,IF($F239*IF($C239="売",1+$AX$2,1-$AX$2)&lt;=300000,100,500)))))),FLOOR($F239*IF($C239="売",1+$AX$2,1-$AX$2),IF($F239*IF($C239="売",1+$AX$2,1-$AX$2)&lt;=3000,1,IF($F239*IF($C239="売",1+$AX$2,1-$AX$2)&lt;=5000,5,IF($F239*IF($C239="売",1+$AX$2,1-$AX$2)&lt;=30000,10,IF($F239*IF($C239="売",1+$AX$2,1-$AX$2)&lt;=50000,50,IF($F239*IF($C239="売",1+$AX$2,1-$AX$2)&lt;=300000,100,500))))))))</f>
      </c>
      <c r="O239" s="478" t="str">
        <f>IF(OR($B239="",$F239="",$H239=""),"",IF($S239="✅売却済","―決済済―",IF($C239="売",IF($H239&lt;=$M239,"🟢利確",IF(AND($R239&lt;&gt;"",$H239&gt;=$R239),"🟠TRAIL決済",IF($H239&gt;=$N239,"🔴損切",IF($W239&gt;=$AX$5,"⏱時間決済",IF($H239&gt;=$F239*(1+$AX$2*0.7),"⚠️損切接近","保持継続"))))),IF($H239&gt;=$M239,"🟢利確",IF(AND($R239&lt;&gt;"",$H239&lt;=$R239),"🟠TRAIL決済",IF($H239&lt;=$N239,"🔴損切",IF($W239&gt;=$AX$5,"⏱時間決済",IF($H239&lt;=$F239*(1-$AX$2*0.7),"⚠️損切接近","保持継続")))))))</f>
      </c>
      <c r="P239" s="445"/>
      <c r="Q239" s="445"/>
      <c r="R239" s="480" t="str">
        <f>IF(OR($F239="",$H239="",$N239=""),"",IF($S239="✅売却済","",IF($C239="売",IF($H239&gt;$F239*(1-$AX$2),$N239,CEILING(MIN($N239,IF($Q239="",$N239,$Q239*1.03)),IF($N239&lt;=3000,1,IF($N239&lt;=5000,5,IF($N239&lt;=30000,10,IF($N239&lt;=50000,50,IF($N239&lt;=300000,100,500))))))),IF($H239&lt;$F239*(1+$AX$2),$N239,FLOOR(MAX($N239,IF($P239="",$N239,$P239*0.97)),IF($N239&lt;=3000,1,IF($N239&lt;=5000,5,IF($N239&lt;=30000,10,IF($N239&lt;=50000,50,IF($N239&lt;=300000,100,500))))))))))</f>
      </c>
      <c r="S239" s="480" t="str">
        <f>IF(B239="","",IF(T239&lt;&gt;"","✅売却済",IF(OR(H239="",L239=""),"📌保有中",IF(L239&gt;=0.06,"🟢利確推奨",IF(L239&gt;=0.05,"🟡利確直近",IF(L239&gt;=0.045,"🔵トレーリング検討",IF(L239&gt;-0.03,"📌保有中",IF(L239&gt;-0.04,"⚠️損切注意","🔴損切り"))))))))</f>
        <v/>
      </c>
      <c r="T239" s="596"/>
      <c r="U239" s="598"/>
      <c r="V239" s="703" t="str">
        <f>IF(OR(F239="",G239="",U239=""),"",IF(C239="売",(F239-U239)*G239,(U239-F239)*G239))</f>
        <v/>
      </c>
      <c r="W239" s="480" t="str">
        <f>IF(OR($E239="",$B239=""),"",IF($T239&lt;&gt;"",$T239-$E239,TODAY()-$E239)+1)</f>
        <v/>
      </c>
      <c r="X239" s="480" t="str">
        <f>IF(OR($AH239="",$AH239="保有中"),"",$AH239)</f>
        <v/>
      </c>
      <c r="Y239" s="488">
        <f>IF($B239="","",IF(COUNTIFS($B$4:$B239,$B239,$C$4:$C239,$C239)&gt;1,"⛔重複"&amp;COUNTIFS($B$4:$B239,$B239,$C$4:$C239,$C239)&amp;"回目",""))</f>
      </c>
      <c r="Z239" s="710"/>
      <c r="AB239">
        <f>IF($F239="","",MAX(100,ROUNDDOWN($AX$4/($F239*$AX$2)/100,0)*100))</f>
      </c>
      <c r="AC239">
        <f>IF(OR($F239="",$G239="",$U239=""),"",ROUND($V239-($F239+$U239)*$G239*$AX$6-IF($C239="売",$F239*$G239*$AX$7*$W239/365,0),0))</f>
      </c>
      <c r="AD239" s="608"/>
      <c r="AE239" s="600" t="str">
        <f>IF($E239="","",WORKDAY($E239,12))</f>
        <v/>
      </c>
      <c r="AF239" s="600"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0"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0" t="str">
        <f>IF(OR($B239="",$M239=""),"",IF(AND(N($AF239)=0,N($AG239)=0),IF(AND(ISNUMBER($H239),$H239&gt;0,IF($C239="売",$H239&gt;=$N239,$H239&lt;=$N239)),"損切確定",IF(AND(ISNUMBER($H239),$H239&gt;0,IF($C239="売",$H239&lt;=$M239,$H239&gt;=$M239)),"利益確定",IF($AE239&lt;=TODAY(),"日数制限","保有中"))),IF(N($AG239)=0,"利益確定",IF(N($AF239)=0,"損切確定",IF($AG239&lt;=$AF239,"損切確定","利益確定")))))</f>
        <v/>
      </c>
      <c r="AI239" s="600" t="str" cm="1">
        <f t="array" ref="AI239">IFERROR(INDEX(始値!$E$6:$BT$305,MATCH(TEXT($B239,"0"),TEXT(銘柄管理!$B$6:$B$305,"0"),0),MATCH($AE239,始値!$E$3:$BT$3,0)),"")</f>
        <v/>
      </c>
      <c r="AJ239" s="608" t="str">
        <f>IF(OR($V239="",$F239="",$G239=""),"",$V239/($F239*$G239))</f>
        <v/>
      </c>
      <c r="AK239" s="600" t="str">
        <f>IF($V239="","",IF($V239&gt;0,"○勝",IF($V239&lt;0,"●負","△引分")))</f>
        <v/>
      </c>
    </row>
    <row r="240" spans="1:37" ht="17.25" customHeight="1">
      <c r="A240" s="621" t="str">
        <f>IF(B240="","",HYPERLINK("https://kabutan.jp/stock/?code="&amp;B240,"株探"))</f>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IF(OR(F240="",G240="",H240=""),"",IF(C240="売",(F240-H240)*G240,(H240-F240)*G240))</f>
        <v/>
      </c>
      <c r="L240" s="708" t="str">
        <f>IF(OR(F240="",H240=""),"",IF(C240="売",(F240-H240)/F240,(H240-F240)/F240))</f>
        <v/>
      </c>
      <c r="M240" s="598" t="str">
        <f>IF($F240="","",IF($C240="売",CEILING($F240*IF($C240="売",1-$AX$3,1+$AX$3),IF($F240*IF($C240="売",1-$AX$3,1+$AX$3)&lt;=3000,1,IF($F240*IF($C240="売",1-$AX$3,1+$AX$3)&lt;=5000,5,IF($F240*IF($C240="売",1-$AX$3,1+$AX$3)&lt;=30000,10,IF($F240*IF($C240="売",1-$AX$3,1+$AX$3)&lt;=50000,50,IF($F240*IF($C240="売",1-$AX$3,1+$AX$3)&lt;=300000,100,500)))))),FLOOR($F240*IF($C240="売",1-$AX$3,1+$AX$3),IF($F240*IF($C240="売",1-$AX$3,1+$AX$3)&lt;=3000,1,IF($F240*IF($C240="売",1-$AX$3,1+$AX$3)&lt;=5000,5,IF($F240*IF($C240="売",1-$AX$3,1+$AX$3)&lt;=30000,10,IF($F240*IF($C240="売",1-$AX$3,1+$AX$3)&lt;=50000,50,IF($F240*IF($C240="売",1-$AX$3,1+$AX$3)&lt;=300000,100,500))))))))</f>
      </c>
      <c r="N240" s="598" t="str">
        <f>IF($F240="","",IF($C240="売",CEILING($F240*IF($C240="売",1+$AX$2,1-$AX$2),IF($F240*IF($C240="売",1+$AX$2,1-$AX$2)&lt;=3000,1,IF($F240*IF($C240="売",1+$AX$2,1-$AX$2)&lt;=5000,5,IF($F240*IF($C240="売",1+$AX$2,1-$AX$2)&lt;=30000,10,IF($F240*IF($C240="売",1+$AX$2,1-$AX$2)&lt;=50000,50,IF($F240*IF($C240="売",1+$AX$2,1-$AX$2)&lt;=300000,100,500)))))),FLOOR($F240*IF($C240="売",1+$AX$2,1-$AX$2),IF($F240*IF($C240="売",1+$AX$2,1-$AX$2)&lt;=3000,1,IF($F240*IF($C240="売",1+$AX$2,1-$AX$2)&lt;=5000,5,IF($F240*IF($C240="売",1+$AX$2,1-$AX$2)&lt;=30000,10,IF($F240*IF($C240="売",1+$AX$2,1-$AX$2)&lt;=50000,50,IF($F240*IF($C240="売",1+$AX$2,1-$AX$2)&lt;=300000,100,500))))))))</f>
      </c>
      <c r="O240" s="478" t="str">
        <f>IF(OR($B240="",$F240="",$H240=""),"",IF($S240="✅売却済","―決済済―",IF($C240="売",IF($H240&lt;=$M240,"🟢利確",IF(AND($R240&lt;&gt;"",$H240&gt;=$R240),"🟠TRAIL決済",IF($H240&gt;=$N240,"🔴損切",IF($W240&gt;=$AX$5,"⏱時間決済",IF($H240&gt;=$F240*(1+$AX$2*0.7),"⚠️損切接近","保持継続"))))),IF($H240&gt;=$M240,"🟢利確",IF(AND($R240&lt;&gt;"",$H240&lt;=$R240),"🟠TRAIL決済",IF($H240&lt;=$N240,"🔴損切",IF($W240&gt;=$AX$5,"⏱時間決済",IF($H240&lt;=$F240*(1-$AX$2*0.7),"⚠️損切接近","保持継続")))))))</f>
      </c>
      <c r="P240" s="445"/>
      <c r="Q240" s="445"/>
      <c r="R240" s="480" t="str">
        <f>IF(OR($F240="",$H240="",$N240=""),"",IF($S240="✅売却済","",IF($C240="売",IF($H240&gt;$F240*(1-$AX$2),$N240,CEILING(MIN($N240,IF($Q240="",$N240,$Q240*1.03)),IF($N240&lt;=3000,1,IF($N240&lt;=5000,5,IF($N240&lt;=30000,10,IF($N240&lt;=50000,50,IF($N240&lt;=300000,100,500))))))),IF($H240&lt;$F240*(1+$AX$2),$N240,FLOOR(MAX($N240,IF($P240="",$N240,$P240*0.97)),IF($N240&lt;=3000,1,IF($N240&lt;=5000,5,IF($N240&lt;=30000,10,IF($N240&lt;=50000,50,IF($N240&lt;=300000,100,500))))))))))</f>
      </c>
      <c r="S240" s="480" t="str">
        <f>IF(B240="","",IF(T240&lt;&gt;"","✅売却済",IF(OR(H240="",L240=""),"📌保有中",IF(L240&gt;=0.06,"🟢利確推奨",IF(L240&gt;=0.05,"🟡利確直近",IF(L240&gt;=0.045,"🔵トレーリング検討",IF(L240&gt;-0.03,"📌保有中",IF(L240&gt;-0.04,"⚠️損切注意","🔴損切り"))))))))</f>
        <v/>
      </c>
      <c r="T240" s="596"/>
      <c r="U240" s="598"/>
      <c r="V240" s="703" t="str">
        <f>IF(OR(F240="",G240="",U240=""),"",IF(C240="売",(F240-U240)*G240,(U240-F240)*G240))</f>
        <v/>
      </c>
      <c r="W240" s="480" t="str">
        <f>IF(OR($E240="",$B240=""),"",IF($T240&lt;&gt;"",$T240-$E240,TODAY()-$E240)+1)</f>
        <v/>
      </c>
      <c r="X240" s="480" t="str">
        <f>IF(OR($AH240="",$AH240="保有中"),"",$AH240)</f>
        <v/>
      </c>
      <c r="Y240" s="488">
        <f>IF($B240="","",IF(COUNTIFS($B$4:$B240,$B240,$C$4:$C240,$C240)&gt;1,"⛔重複"&amp;COUNTIFS($B$4:$B240,$B240,$C$4:$C240,$C240)&amp;"回目",""))</f>
      </c>
      <c r="Z240" s="710"/>
      <c r="AB240">
        <f>IF($F240="","",MAX(100,ROUNDDOWN($AX$4/($F240*$AX$2)/100,0)*100))</f>
      </c>
      <c r="AC240">
        <f>IF(OR($F240="",$G240="",$U240=""),"",ROUND($V240-($F240+$U240)*$G240*$AX$6-IF($C240="売",$F240*$G240*$AX$7*$W240/365,0),0))</f>
      </c>
      <c r="AD240" s="608"/>
      <c r="AE240" s="600" t="str">
        <f>IF($E240="","",WORKDAY($E240,12))</f>
        <v/>
      </c>
      <c r="AF240" s="600"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0"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0" t="str">
        <f>IF(OR($B240="",$M240=""),"",IF(AND(N($AF240)=0,N($AG240)=0),IF(AND(ISNUMBER($H240),$H240&gt;0,IF($C240="売",$H240&gt;=$N240,$H240&lt;=$N240)),"損切確定",IF(AND(ISNUMBER($H240),$H240&gt;0,IF($C240="売",$H240&lt;=$M240,$H240&gt;=$M240)),"利益確定",IF($AE240&lt;=TODAY(),"日数制限","保有中"))),IF(N($AG240)=0,"利益確定",IF(N($AF240)=0,"損切確定",IF($AG240&lt;=$AF240,"損切確定","利益確定")))))</f>
        <v/>
      </c>
      <c r="AI240" s="600" t="str" cm="1">
        <f t="array" ref="AI240">IFERROR(INDEX(始値!$E$6:$BT$305,MATCH(TEXT($B240,"0"),TEXT(銘柄管理!$B$6:$B$305,"0"),0),MATCH($AE240,始値!$E$3:$BT$3,0)),"")</f>
        <v/>
      </c>
      <c r="AJ240" s="608" t="str">
        <f>IF(OR($V240="",$F240="",$G240=""),"",$V240/($F240*$G240))</f>
        <v/>
      </c>
      <c r="AK240" s="600" t="str">
        <f>IF($V240="","",IF($V240&gt;0,"○勝",IF($V240&lt;0,"●負","△引分")))</f>
        <v/>
      </c>
    </row>
    <row r="241" spans="1:37" ht="17.25" customHeight="1">
      <c r="A241" s="621" t="str">
        <f>IF(B241="","",HYPERLINK("https://kabutan.jp/stock/?code="&amp;B241,"株探"))</f>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IF(OR(F241="",G241="",H241=""),"",IF(C241="売",(F241-H241)*G241,(H241-F241)*G241))</f>
        <v/>
      </c>
      <c r="L241" s="708" t="str">
        <f>IF(OR(F241="",H241=""),"",IF(C241="売",(F241-H241)/F241,(H241-F241)/F241))</f>
        <v/>
      </c>
      <c r="M241" s="598" t="str">
        <f>IF($F241="","",IF($C241="売",CEILING($F241*IF($C241="売",1-$AX$3,1+$AX$3),IF($F241*IF($C241="売",1-$AX$3,1+$AX$3)&lt;=3000,1,IF($F241*IF($C241="売",1-$AX$3,1+$AX$3)&lt;=5000,5,IF($F241*IF($C241="売",1-$AX$3,1+$AX$3)&lt;=30000,10,IF($F241*IF($C241="売",1-$AX$3,1+$AX$3)&lt;=50000,50,IF($F241*IF($C241="売",1-$AX$3,1+$AX$3)&lt;=300000,100,500)))))),FLOOR($F241*IF($C241="売",1-$AX$3,1+$AX$3),IF($F241*IF($C241="売",1-$AX$3,1+$AX$3)&lt;=3000,1,IF($F241*IF($C241="売",1-$AX$3,1+$AX$3)&lt;=5000,5,IF($F241*IF($C241="売",1-$AX$3,1+$AX$3)&lt;=30000,10,IF($F241*IF($C241="売",1-$AX$3,1+$AX$3)&lt;=50000,50,IF($F241*IF($C241="売",1-$AX$3,1+$AX$3)&lt;=300000,100,500))))))))</f>
      </c>
      <c r="N241" s="598" t="str">
        <f>IF($F241="","",IF($C241="売",CEILING($F241*IF($C241="売",1+$AX$2,1-$AX$2),IF($F241*IF($C241="売",1+$AX$2,1-$AX$2)&lt;=3000,1,IF($F241*IF($C241="売",1+$AX$2,1-$AX$2)&lt;=5000,5,IF($F241*IF($C241="売",1+$AX$2,1-$AX$2)&lt;=30000,10,IF($F241*IF($C241="売",1+$AX$2,1-$AX$2)&lt;=50000,50,IF($F241*IF($C241="売",1+$AX$2,1-$AX$2)&lt;=300000,100,500)))))),FLOOR($F241*IF($C241="売",1+$AX$2,1-$AX$2),IF($F241*IF($C241="売",1+$AX$2,1-$AX$2)&lt;=3000,1,IF($F241*IF($C241="売",1+$AX$2,1-$AX$2)&lt;=5000,5,IF($F241*IF($C241="売",1+$AX$2,1-$AX$2)&lt;=30000,10,IF($F241*IF($C241="売",1+$AX$2,1-$AX$2)&lt;=50000,50,IF($F241*IF($C241="売",1+$AX$2,1-$AX$2)&lt;=300000,100,500))))))))</f>
      </c>
      <c r="O241" s="478" t="str">
        <f>IF(OR($B241="",$F241="",$H241=""),"",IF($S241="✅売却済","―決済済―",IF($C241="売",IF($H241&lt;=$M241,"🟢利確",IF(AND($R241&lt;&gt;"",$H241&gt;=$R241),"🟠TRAIL決済",IF($H241&gt;=$N241,"🔴損切",IF($W241&gt;=$AX$5,"⏱時間決済",IF($H241&gt;=$F241*(1+$AX$2*0.7),"⚠️損切接近","保持継続"))))),IF($H241&gt;=$M241,"🟢利確",IF(AND($R241&lt;&gt;"",$H241&lt;=$R241),"🟠TRAIL決済",IF($H241&lt;=$N241,"🔴損切",IF($W241&gt;=$AX$5,"⏱時間決済",IF($H241&lt;=$F241*(1-$AX$2*0.7),"⚠️損切接近","保持継続")))))))</f>
      </c>
      <c r="P241" s="445"/>
      <c r="Q241" s="445"/>
      <c r="R241" s="480" t="str">
        <f>IF(OR($F241="",$H241="",$N241=""),"",IF($S241="✅売却済","",IF($C241="売",IF($H241&gt;$F241*(1-$AX$2),$N241,CEILING(MIN($N241,IF($Q241="",$N241,$Q241*1.03)),IF($N241&lt;=3000,1,IF($N241&lt;=5000,5,IF($N241&lt;=30000,10,IF($N241&lt;=50000,50,IF($N241&lt;=300000,100,500))))))),IF($H241&lt;$F241*(1+$AX$2),$N241,FLOOR(MAX($N241,IF($P241="",$N241,$P241*0.97)),IF($N241&lt;=3000,1,IF($N241&lt;=5000,5,IF($N241&lt;=30000,10,IF($N241&lt;=50000,50,IF($N241&lt;=300000,100,500))))))))))</f>
      </c>
      <c r="S241" s="480" t="str">
        <f>IF(B241="","",IF(T241&lt;&gt;"","✅売却済",IF(OR(H241="",L241=""),"📌保有中",IF(L241&gt;=0.06,"🟢利確推奨",IF(L241&gt;=0.05,"🟡利確直近",IF(L241&gt;=0.045,"🔵トレーリング検討",IF(L241&gt;-0.03,"📌保有中",IF(L241&gt;-0.04,"⚠️損切注意","🔴損切り"))))))))</f>
        <v/>
      </c>
      <c r="T241" s="596"/>
      <c r="U241" s="598"/>
      <c r="V241" s="703" t="str">
        <f>IF(OR(F241="",G241="",U241=""),"",IF(C241="売",(F241-U241)*G241,(U241-F241)*G241))</f>
        <v/>
      </c>
      <c r="W241" s="480" t="str">
        <f>IF(OR($E241="",$B241=""),"",IF($T241&lt;&gt;"",$T241-$E241,TODAY()-$E241)+1)</f>
        <v/>
      </c>
      <c r="X241" s="480" t="str">
        <f>IF(OR($AH241="",$AH241="保有中"),"",$AH241)</f>
        <v/>
      </c>
      <c r="Y241" s="488">
        <f>IF($B241="","",IF(COUNTIFS($B$4:$B241,$B241,$C$4:$C241,$C241)&gt;1,"⛔重複"&amp;COUNTIFS($B$4:$B241,$B241,$C$4:$C241,$C241)&amp;"回目",""))</f>
      </c>
      <c r="Z241" s="710"/>
      <c r="AB241">
        <f>IF($F241="","",MAX(100,ROUNDDOWN($AX$4/($F241*$AX$2)/100,0)*100))</f>
      </c>
      <c r="AC241">
        <f>IF(OR($F241="",$G241="",$U241=""),"",ROUND($V241-($F241+$U241)*$G241*$AX$6-IF($C241="売",$F241*$G241*$AX$7*$W241/365,0),0))</f>
      </c>
      <c r="AD241" s="608"/>
      <c r="AE241" s="600" t="str">
        <f>IF($E241="","",WORKDAY($E241,12))</f>
        <v/>
      </c>
      <c r="AF241" s="600"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0"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0" t="str">
        <f>IF(OR($B241="",$M241=""),"",IF(AND(N($AF241)=0,N($AG241)=0),IF(AND(ISNUMBER($H241),$H241&gt;0,IF($C241="売",$H241&gt;=$N241,$H241&lt;=$N241)),"損切確定",IF(AND(ISNUMBER($H241),$H241&gt;0,IF($C241="売",$H241&lt;=$M241,$H241&gt;=$M241)),"利益確定",IF($AE241&lt;=TODAY(),"日数制限","保有中"))),IF(N($AG241)=0,"利益確定",IF(N($AF241)=0,"損切確定",IF($AG241&lt;=$AF241,"損切確定","利益確定")))))</f>
        <v/>
      </c>
      <c r="AI241" s="600" t="str" cm="1">
        <f t="array" ref="AI241">IFERROR(INDEX(始値!$E$6:$BT$305,MATCH(TEXT($B241,"0"),TEXT(銘柄管理!$B$6:$B$305,"0"),0),MATCH($AE241,始値!$E$3:$BT$3,0)),"")</f>
        <v/>
      </c>
      <c r="AJ241" s="608" t="str">
        <f>IF(OR($V241="",$F241="",$G241=""),"",$V241/($F241*$G241))</f>
        <v/>
      </c>
      <c r="AK241" s="600" t="str">
        <f>IF($V241="","",IF($V241&gt;0,"○勝",IF($V241&lt;0,"●負","△引分")))</f>
        <v/>
      </c>
    </row>
    <row r="242" spans="1:37" ht="17.25" customHeight="1">
      <c r="A242" s="621" t="str">
        <f>IF(B242="","",HYPERLINK("https://kabutan.jp/stock/?code="&amp;B242,"株探"))</f>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IF(OR(F242="",G242="",H242=""),"",IF(C242="売",(F242-H242)*G242,(H242-F242)*G242))</f>
        <v/>
      </c>
      <c r="L242" s="708" t="str">
        <f>IF(OR(F242="",H242=""),"",IF(C242="売",(F242-H242)/F242,(H242-F242)/F242))</f>
        <v/>
      </c>
      <c r="M242" s="598" t="str">
        <f>IF($F242="","",IF($C242="売",CEILING($F242*IF($C242="売",1-$AX$3,1+$AX$3),IF($F242*IF($C242="売",1-$AX$3,1+$AX$3)&lt;=3000,1,IF($F242*IF($C242="売",1-$AX$3,1+$AX$3)&lt;=5000,5,IF($F242*IF($C242="売",1-$AX$3,1+$AX$3)&lt;=30000,10,IF($F242*IF($C242="売",1-$AX$3,1+$AX$3)&lt;=50000,50,IF($F242*IF($C242="売",1-$AX$3,1+$AX$3)&lt;=300000,100,500)))))),FLOOR($F242*IF($C242="売",1-$AX$3,1+$AX$3),IF($F242*IF($C242="売",1-$AX$3,1+$AX$3)&lt;=3000,1,IF($F242*IF($C242="売",1-$AX$3,1+$AX$3)&lt;=5000,5,IF($F242*IF($C242="売",1-$AX$3,1+$AX$3)&lt;=30000,10,IF($F242*IF($C242="売",1-$AX$3,1+$AX$3)&lt;=50000,50,IF($F242*IF($C242="売",1-$AX$3,1+$AX$3)&lt;=300000,100,500))))))))</f>
      </c>
      <c r="N242" s="598" t="str">
        <f>IF($F242="","",IF($C242="売",CEILING($F242*IF($C242="売",1+$AX$2,1-$AX$2),IF($F242*IF($C242="売",1+$AX$2,1-$AX$2)&lt;=3000,1,IF($F242*IF($C242="売",1+$AX$2,1-$AX$2)&lt;=5000,5,IF($F242*IF($C242="売",1+$AX$2,1-$AX$2)&lt;=30000,10,IF($F242*IF($C242="売",1+$AX$2,1-$AX$2)&lt;=50000,50,IF($F242*IF($C242="売",1+$AX$2,1-$AX$2)&lt;=300000,100,500)))))),FLOOR($F242*IF($C242="売",1+$AX$2,1-$AX$2),IF($F242*IF($C242="売",1+$AX$2,1-$AX$2)&lt;=3000,1,IF($F242*IF($C242="売",1+$AX$2,1-$AX$2)&lt;=5000,5,IF($F242*IF($C242="売",1+$AX$2,1-$AX$2)&lt;=30000,10,IF($F242*IF($C242="売",1+$AX$2,1-$AX$2)&lt;=50000,50,IF($F242*IF($C242="売",1+$AX$2,1-$AX$2)&lt;=300000,100,500))))))))</f>
      </c>
      <c r="O242" s="478" t="str">
        <f>IF(OR($B242="",$F242="",$H242=""),"",IF($S242="✅売却済","―決済済―",IF($C242="売",IF($H242&lt;=$M242,"🟢利確",IF(AND($R242&lt;&gt;"",$H242&gt;=$R242),"🟠TRAIL決済",IF($H242&gt;=$N242,"🔴損切",IF($W242&gt;=$AX$5,"⏱時間決済",IF($H242&gt;=$F242*(1+$AX$2*0.7),"⚠️損切接近","保持継続"))))),IF($H242&gt;=$M242,"🟢利確",IF(AND($R242&lt;&gt;"",$H242&lt;=$R242),"🟠TRAIL決済",IF($H242&lt;=$N242,"🔴損切",IF($W242&gt;=$AX$5,"⏱時間決済",IF($H242&lt;=$F242*(1-$AX$2*0.7),"⚠️損切接近","保持継続")))))))</f>
      </c>
      <c r="P242" s="445"/>
      <c r="Q242" s="445"/>
      <c r="R242" s="480" t="str">
        <f>IF(OR($F242="",$H242="",$N242=""),"",IF($S242="✅売却済","",IF($C242="売",IF($H242&gt;$F242*(1-$AX$2),$N242,CEILING(MIN($N242,IF($Q242="",$N242,$Q242*1.03)),IF($N242&lt;=3000,1,IF($N242&lt;=5000,5,IF($N242&lt;=30000,10,IF($N242&lt;=50000,50,IF($N242&lt;=300000,100,500))))))),IF($H242&lt;$F242*(1+$AX$2),$N242,FLOOR(MAX($N242,IF($P242="",$N242,$P242*0.97)),IF($N242&lt;=3000,1,IF($N242&lt;=5000,5,IF($N242&lt;=30000,10,IF($N242&lt;=50000,50,IF($N242&lt;=300000,100,500))))))))))</f>
      </c>
      <c r="S242" s="480" t="str">
        <f>IF(B242="","",IF(T242&lt;&gt;"","✅売却済",IF(OR(H242="",L242=""),"📌保有中",IF(L242&gt;=0.06,"🟢利確推奨",IF(L242&gt;=0.05,"🟡利確直近",IF(L242&gt;=0.045,"🔵トレーリング検討",IF(L242&gt;-0.03,"📌保有中",IF(L242&gt;-0.04,"⚠️損切注意","🔴損切り"))))))))</f>
        <v/>
      </c>
      <c r="T242" s="596"/>
      <c r="U242" s="598"/>
      <c r="V242" s="703" t="str">
        <f>IF(OR(F242="",G242="",U242=""),"",IF(C242="売",(F242-U242)*G242,(U242-F242)*G242))</f>
        <v/>
      </c>
      <c r="W242" s="480" t="str">
        <f>IF(OR($E242="",$B242=""),"",IF($T242&lt;&gt;"",$T242-$E242,TODAY()-$E242)+1)</f>
        <v/>
      </c>
      <c r="X242" s="480" t="str">
        <f>IF(OR($AH242="",$AH242="保有中"),"",$AH242)</f>
        <v/>
      </c>
      <c r="Y242" s="488">
        <f>IF($B242="","",IF(COUNTIFS($B$4:$B242,$B242,$C$4:$C242,$C242)&gt;1,"⛔重複"&amp;COUNTIFS($B$4:$B242,$B242,$C$4:$C242,$C242)&amp;"回目",""))</f>
      </c>
      <c r="Z242" s="710"/>
      <c r="AB242">
        <f>IF($F242="","",MAX(100,ROUNDDOWN($AX$4/($F242*$AX$2)/100,0)*100))</f>
      </c>
      <c r="AC242">
        <f>IF(OR($F242="",$G242="",$U242=""),"",ROUND($V242-($F242+$U242)*$G242*$AX$6-IF($C242="売",$F242*$G242*$AX$7*$W242/365,0),0))</f>
      </c>
      <c r="AD242" s="608"/>
      <c r="AE242" s="600" t="str">
        <f>IF($E242="","",WORKDAY($E242,12))</f>
        <v/>
      </c>
      <c r="AF242" s="600"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0"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0" t="str">
        <f>IF(OR($B242="",$M242=""),"",IF(AND(N($AF242)=0,N($AG242)=0),IF(AND(ISNUMBER($H242),$H242&gt;0,IF($C242="売",$H242&gt;=$N242,$H242&lt;=$N242)),"損切確定",IF(AND(ISNUMBER($H242),$H242&gt;0,IF($C242="売",$H242&lt;=$M242,$H242&gt;=$M242)),"利益確定",IF($AE242&lt;=TODAY(),"日数制限","保有中"))),IF(N($AG242)=0,"利益確定",IF(N($AF242)=0,"損切確定",IF($AG242&lt;=$AF242,"損切確定","利益確定")))))</f>
        <v/>
      </c>
      <c r="AI242" s="600" t="str" cm="1">
        <f t="array" ref="AI242">IFERROR(INDEX(始値!$E$6:$BT$305,MATCH(TEXT($B242,"0"),TEXT(銘柄管理!$B$6:$B$305,"0"),0),MATCH($AE242,始値!$E$3:$BT$3,0)),"")</f>
        <v/>
      </c>
      <c r="AJ242" s="608" t="str">
        <f>IF(OR($V242="",$F242="",$G242=""),"",$V242/($F242*$G242))</f>
        <v/>
      </c>
      <c r="AK242" s="600" t="str">
        <f>IF($V242="","",IF($V242&gt;0,"○勝",IF($V242&lt;0,"●負","△引分")))</f>
        <v/>
      </c>
    </row>
    <row r="243" spans="1:37" ht="17.25" customHeight="1">
      <c r="A243" s="621" t="str">
        <f>IF(B243="","",HYPERLINK("https://kabutan.jp/stock/?code="&amp;B243,"株探"))</f>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IF(OR(F243="",G243="",H243=""),"",IF(C243="売",(F243-H243)*G243,(H243-F243)*G243))</f>
        <v/>
      </c>
      <c r="L243" s="708" t="str">
        <f>IF(OR(F243="",H243=""),"",IF(C243="売",(F243-H243)/F243,(H243-F243)/F243))</f>
        <v/>
      </c>
      <c r="M243" s="598" t="str">
        <f>IF($F243="","",IF($C243="売",CEILING($F243*IF($C243="売",1-$AX$3,1+$AX$3),IF($F243*IF($C243="売",1-$AX$3,1+$AX$3)&lt;=3000,1,IF($F243*IF($C243="売",1-$AX$3,1+$AX$3)&lt;=5000,5,IF($F243*IF($C243="売",1-$AX$3,1+$AX$3)&lt;=30000,10,IF($F243*IF($C243="売",1-$AX$3,1+$AX$3)&lt;=50000,50,IF($F243*IF($C243="売",1-$AX$3,1+$AX$3)&lt;=300000,100,500)))))),FLOOR($F243*IF($C243="売",1-$AX$3,1+$AX$3),IF($F243*IF($C243="売",1-$AX$3,1+$AX$3)&lt;=3000,1,IF($F243*IF($C243="売",1-$AX$3,1+$AX$3)&lt;=5000,5,IF($F243*IF($C243="売",1-$AX$3,1+$AX$3)&lt;=30000,10,IF($F243*IF($C243="売",1-$AX$3,1+$AX$3)&lt;=50000,50,IF($F243*IF($C243="売",1-$AX$3,1+$AX$3)&lt;=300000,100,500))))))))</f>
      </c>
      <c r="N243" s="598" t="str">
        <f>IF($F243="","",IF($C243="売",CEILING($F243*IF($C243="売",1+$AX$2,1-$AX$2),IF($F243*IF($C243="売",1+$AX$2,1-$AX$2)&lt;=3000,1,IF($F243*IF($C243="売",1+$AX$2,1-$AX$2)&lt;=5000,5,IF($F243*IF($C243="売",1+$AX$2,1-$AX$2)&lt;=30000,10,IF($F243*IF($C243="売",1+$AX$2,1-$AX$2)&lt;=50000,50,IF($F243*IF($C243="売",1+$AX$2,1-$AX$2)&lt;=300000,100,500)))))),FLOOR($F243*IF($C243="売",1+$AX$2,1-$AX$2),IF($F243*IF($C243="売",1+$AX$2,1-$AX$2)&lt;=3000,1,IF($F243*IF($C243="売",1+$AX$2,1-$AX$2)&lt;=5000,5,IF($F243*IF($C243="売",1+$AX$2,1-$AX$2)&lt;=30000,10,IF($F243*IF($C243="売",1+$AX$2,1-$AX$2)&lt;=50000,50,IF($F243*IF($C243="売",1+$AX$2,1-$AX$2)&lt;=300000,100,500))))))))</f>
      </c>
      <c r="O243" s="478" t="str">
        <f>IF(OR($B243="",$F243="",$H243=""),"",IF($S243="✅売却済","―決済済―",IF($C243="売",IF($H243&lt;=$M243,"🟢利確",IF(AND($R243&lt;&gt;"",$H243&gt;=$R243),"🟠TRAIL決済",IF($H243&gt;=$N243,"🔴損切",IF($W243&gt;=$AX$5,"⏱時間決済",IF($H243&gt;=$F243*(1+$AX$2*0.7),"⚠️損切接近","保持継続"))))),IF($H243&gt;=$M243,"🟢利確",IF(AND($R243&lt;&gt;"",$H243&lt;=$R243),"🟠TRAIL決済",IF($H243&lt;=$N243,"🔴損切",IF($W243&gt;=$AX$5,"⏱時間決済",IF($H243&lt;=$F243*(1-$AX$2*0.7),"⚠️損切接近","保持継続")))))))</f>
      </c>
      <c r="P243" s="445"/>
      <c r="Q243" s="445"/>
      <c r="R243" s="480" t="str">
        <f>IF(OR($F243="",$H243="",$N243=""),"",IF($S243="✅売却済","",IF($C243="売",IF($H243&gt;$F243*(1-$AX$2),$N243,CEILING(MIN($N243,IF($Q243="",$N243,$Q243*1.03)),IF($N243&lt;=3000,1,IF($N243&lt;=5000,5,IF($N243&lt;=30000,10,IF($N243&lt;=50000,50,IF($N243&lt;=300000,100,500))))))),IF($H243&lt;$F243*(1+$AX$2),$N243,FLOOR(MAX($N243,IF($P243="",$N243,$P243*0.97)),IF($N243&lt;=3000,1,IF($N243&lt;=5000,5,IF($N243&lt;=30000,10,IF($N243&lt;=50000,50,IF($N243&lt;=300000,100,500))))))))))</f>
      </c>
      <c r="S243" s="480" t="str">
        <f>IF(B243="","",IF(T243&lt;&gt;"","✅売却済",IF(OR(H243="",L243=""),"📌保有中",IF(L243&gt;=0.06,"🟢利確推奨",IF(L243&gt;=0.05,"🟡利確直近",IF(L243&gt;=0.045,"🔵トレーリング検討",IF(L243&gt;-0.03,"📌保有中",IF(L243&gt;-0.04,"⚠️損切注意","🔴損切り"))))))))</f>
        <v/>
      </c>
      <c r="T243" s="596"/>
      <c r="U243" s="598"/>
      <c r="V243" s="703" t="str">
        <f>IF(OR(F243="",G243="",U243=""),"",IF(C243="売",(F243-U243)*G243,(U243-F243)*G243))</f>
        <v/>
      </c>
      <c r="W243" s="480" t="str">
        <f>IF(OR($E243="",$B243=""),"",IF($T243&lt;&gt;"",$T243-$E243,TODAY()-$E243)+1)</f>
        <v/>
      </c>
      <c r="X243" s="480" t="str">
        <f>IF(OR($AH243="",$AH243="保有中"),"",$AH243)</f>
        <v/>
      </c>
      <c r="Y243" s="488">
        <f>IF($B243="","",IF(COUNTIFS($B$4:$B243,$B243,$C$4:$C243,$C243)&gt;1,"⛔重複"&amp;COUNTIFS($B$4:$B243,$B243,$C$4:$C243,$C243)&amp;"回目",""))</f>
      </c>
      <c r="Z243" s="710"/>
      <c r="AB243">
        <f>IF($F243="","",MAX(100,ROUNDDOWN($AX$4/($F243*$AX$2)/100,0)*100))</f>
      </c>
      <c r="AC243">
        <f>IF(OR($F243="",$G243="",$U243=""),"",ROUND($V243-($F243+$U243)*$G243*$AX$6-IF($C243="売",$F243*$G243*$AX$7*$W243/365,0),0))</f>
      </c>
      <c r="AD243" s="608"/>
      <c r="AE243" s="600" t="str">
        <f>IF($E243="","",WORKDAY($E243,12))</f>
        <v/>
      </c>
      <c r="AF243" s="600"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0"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0" t="str">
        <f>IF(OR($B243="",$M243=""),"",IF(AND(N($AF243)=0,N($AG243)=0),IF(AND(ISNUMBER($H243),$H243&gt;0,IF($C243="売",$H243&gt;=$N243,$H243&lt;=$N243)),"損切確定",IF(AND(ISNUMBER($H243),$H243&gt;0,IF($C243="売",$H243&lt;=$M243,$H243&gt;=$M243)),"利益確定",IF($AE243&lt;=TODAY(),"日数制限","保有中"))),IF(N($AG243)=0,"利益確定",IF(N($AF243)=0,"損切確定",IF($AG243&lt;=$AF243,"損切確定","利益確定")))))</f>
        <v/>
      </c>
      <c r="AI243" s="600" t="str" cm="1">
        <f t="array" ref="AI243">IFERROR(INDEX(始値!$E$6:$BT$305,MATCH(TEXT($B243,"0"),TEXT(銘柄管理!$B$6:$B$305,"0"),0),MATCH($AE243,始値!$E$3:$BT$3,0)),"")</f>
        <v/>
      </c>
      <c r="AJ243" s="608" t="str">
        <f>IF(OR($V243="",$F243="",$G243=""),"",$V243/($F243*$G243))</f>
        <v/>
      </c>
      <c r="AK243" s="600" t="str">
        <f>IF($V243="","",IF($V243&gt;0,"○勝",IF($V243&lt;0,"●負","△引分")))</f>
        <v/>
      </c>
    </row>
    <row r="244" spans="1:37" ht="17.25" customHeight="1">
      <c r="A244" s="621" t="str">
        <f>IF(B244="","",HYPERLINK("https://kabutan.jp/stock/?code="&amp;B244,"株探"))</f>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IF(OR(F244="",G244="",H244=""),"",IF(C244="売",(F244-H244)*G244,(H244-F244)*G244))</f>
        <v/>
      </c>
      <c r="L244" s="708" t="str">
        <f>IF(OR(F244="",H244=""),"",IF(C244="売",(F244-H244)/F244,(H244-F244)/F244))</f>
        <v/>
      </c>
      <c r="M244" s="598" t="str">
        <f>IF($F244="","",IF($C244="売",CEILING($F244*IF($C244="売",1-$AX$3,1+$AX$3),IF($F244*IF($C244="売",1-$AX$3,1+$AX$3)&lt;=3000,1,IF($F244*IF($C244="売",1-$AX$3,1+$AX$3)&lt;=5000,5,IF($F244*IF($C244="売",1-$AX$3,1+$AX$3)&lt;=30000,10,IF($F244*IF($C244="売",1-$AX$3,1+$AX$3)&lt;=50000,50,IF($F244*IF($C244="売",1-$AX$3,1+$AX$3)&lt;=300000,100,500)))))),FLOOR($F244*IF($C244="売",1-$AX$3,1+$AX$3),IF($F244*IF($C244="売",1-$AX$3,1+$AX$3)&lt;=3000,1,IF($F244*IF($C244="売",1-$AX$3,1+$AX$3)&lt;=5000,5,IF($F244*IF($C244="売",1-$AX$3,1+$AX$3)&lt;=30000,10,IF($F244*IF($C244="売",1-$AX$3,1+$AX$3)&lt;=50000,50,IF($F244*IF($C244="売",1-$AX$3,1+$AX$3)&lt;=300000,100,500))))))))</f>
      </c>
      <c r="N244" s="598" t="str">
        <f>IF($F244="","",IF($C244="売",CEILING($F244*IF($C244="売",1+$AX$2,1-$AX$2),IF($F244*IF($C244="売",1+$AX$2,1-$AX$2)&lt;=3000,1,IF($F244*IF($C244="売",1+$AX$2,1-$AX$2)&lt;=5000,5,IF($F244*IF($C244="売",1+$AX$2,1-$AX$2)&lt;=30000,10,IF($F244*IF($C244="売",1+$AX$2,1-$AX$2)&lt;=50000,50,IF($F244*IF($C244="売",1+$AX$2,1-$AX$2)&lt;=300000,100,500)))))),FLOOR($F244*IF($C244="売",1+$AX$2,1-$AX$2),IF($F244*IF($C244="売",1+$AX$2,1-$AX$2)&lt;=3000,1,IF($F244*IF($C244="売",1+$AX$2,1-$AX$2)&lt;=5000,5,IF($F244*IF($C244="売",1+$AX$2,1-$AX$2)&lt;=30000,10,IF($F244*IF($C244="売",1+$AX$2,1-$AX$2)&lt;=50000,50,IF($F244*IF($C244="売",1+$AX$2,1-$AX$2)&lt;=300000,100,500))))))))</f>
      </c>
      <c r="O244" s="478" t="str">
        <f>IF(OR($B244="",$F244="",$H244=""),"",IF($S244="✅売却済","―決済済―",IF($C244="売",IF($H244&lt;=$M244,"🟢利確",IF(AND($R244&lt;&gt;"",$H244&gt;=$R244),"🟠TRAIL決済",IF($H244&gt;=$N244,"🔴損切",IF($W244&gt;=$AX$5,"⏱時間決済",IF($H244&gt;=$F244*(1+$AX$2*0.7),"⚠️損切接近","保持継続"))))),IF($H244&gt;=$M244,"🟢利確",IF(AND($R244&lt;&gt;"",$H244&lt;=$R244),"🟠TRAIL決済",IF($H244&lt;=$N244,"🔴損切",IF($W244&gt;=$AX$5,"⏱時間決済",IF($H244&lt;=$F244*(1-$AX$2*0.7),"⚠️損切接近","保持継続")))))))</f>
      </c>
      <c r="P244" s="445"/>
      <c r="Q244" s="445"/>
      <c r="R244" s="480" t="str">
        <f>IF(OR($F244="",$H244="",$N244=""),"",IF($S244="✅売却済","",IF($C244="売",IF($H244&gt;$F244*(1-$AX$2),$N244,CEILING(MIN($N244,IF($Q244="",$N244,$Q244*1.03)),IF($N244&lt;=3000,1,IF($N244&lt;=5000,5,IF($N244&lt;=30000,10,IF($N244&lt;=50000,50,IF($N244&lt;=300000,100,500))))))),IF($H244&lt;$F244*(1+$AX$2),$N244,FLOOR(MAX($N244,IF($P244="",$N244,$P244*0.97)),IF($N244&lt;=3000,1,IF($N244&lt;=5000,5,IF($N244&lt;=30000,10,IF($N244&lt;=50000,50,IF($N244&lt;=300000,100,500))))))))))</f>
      </c>
      <c r="S244" s="480" t="str">
        <f>IF(B244="","",IF(T244&lt;&gt;"","✅売却済",IF(OR(H244="",L244=""),"📌保有中",IF(L244&gt;=0.06,"🟢利確推奨",IF(L244&gt;=0.05,"🟡利確直近",IF(L244&gt;=0.045,"🔵トレーリング検討",IF(L244&gt;-0.03,"📌保有中",IF(L244&gt;-0.04,"⚠️損切注意","🔴損切り"))))))))</f>
        <v/>
      </c>
      <c r="T244" s="596"/>
      <c r="U244" s="598"/>
      <c r="V244" s="703" t="str">
        <f>IF(OR(F244="",G244="",U244=""),"",IF(C244="売",(F244-U244)*G244,(U244-F244)*G244))</f>
        <v/>
      </c>
      <c r="W244" s="480" t="str">
        <f>IF(OR($E244="",$B244=""),"",IF($T244&lt;&gt;"",$T244-$E244,TODAY()-$E244)+1)</f>
        <v/>
      </c>
      <c r="X244" s="480" t="str">
        <f>IF(OR($AH244="",$AH244="保有中"),"",$AH244)</f>
        <v/>
      </c>
      <c r="Y244" s="488">
        <f>IF($B244="","",IF(COUNTIFS($B$4:$B244,$B244,$C$4:$C244,$C244)&gt;1,"⛔重複"&amp;COUNTIFS($B$4:$B244,$B244,$C$4:$C244,$C244)&amp;"回目",""))</f>
      </c>
      <c r="Z244" s="710"/>
      <c r="AB244">
        <f>IF($F244="","",MAX(100,ROUNDDOWN($AX$4/($F244*$AX$2)/100,0)*100))</f>
      </c>
      <c r="AC244">
        <f>IF(OR($F244="",$G244="",$U244=""),"",ROUND($V244-($F244+$U244)*$G244*$AX$6-IF($C244="売",$F244*$G244*$AX$7*$W244/365,0),0))</f>
      </c>
      <c r="AD244" s="608"/>
      <c r="AE244" s="600" t="str">
        <f>IF($E244="","",WORKDAY($E244,12))</f>
        <v/>
      </c>
      <c r="AF244" s="600"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0"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0" t="str">
        <f>IF(OR($B244="",$M244=""),"",IF(AND(N($AF244)=0,N($AG244)=0),IF(AND(ISNUMBER($H244),$H244&gt;0,IF($C244="売",$H244&gt;=$N244,$H244&lt;=$N244)),"損切確定",IF(AND(ISNUMBER($H244),$H244&gt;0,IF($C244="売",$H244&lt;=$M244,$H244&gt;=$M244)),"利益確定",IF($AE244&lt;=TODAY(),"日数制限","保有中"))),IF(N($AG244)=0,"利益確定",IF(N($AF244)=0,"損切確定",IF($AG244&lt;=$AF244,"損切確定","利益確定")))))</f>
        <v/>
      </c>
      <c r="AI244" s="600" t="str" cm="1">
        <f t="array" ref="AI244">IFERROR(INDEX(始値!$E$6:$BT$305,MATCH(TEXT($B244,"0"),TEXT(銘柄管理!$B$6:$B$305,"0"),0),MATCH($AE244,始値!$E$3:$BT$3,0)),"")</f>
        <v/>
      </c>
      <c r="AJ244" s="608" t="str">
        <f>IF(OR($V244="",$F244="",$G244=""),"",$V244/($F244*$G244))</f>
        <v/>
      </c>
      <c r="AK244" s="600" t="str">
        <f>IF($V244="","",IF($V244&gt;0,"○勝",IF($V244&lt;0,"●負","△引分")))</f>
        <v/>
      </c>
    </row>
    <row r="245" spans="1:37" ht="17.25" customHeight="1">
      <c r="A245" s="621" t="str">
        <f>IF(B245="","",HYPERLINK("https://kabutan.jp/stock/?code="&amp;B245,"株探"))</f>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IF(OR(F245="",G245="",H245=""),"",IF(C245="売",(F245-H245)*G245,(H245-F245)*G245))</f>
        <v/>
      </c>
      <c r="L245" s="708" t="str">
        <f>IF(OR(F245="",H245=""),"",IF(C245="売",(F245-H245)/F245,(H245-F245)/F245))</f>
        <v/>
      </c>
      <c r="M245" s="598" t="str">
        <f>IF($F245="","",IF($C245="売",CEILING($F245*IF($C245="売",1-$AX$3,1+$AX$3),IF($F245*IF($C245="売",1-$AX$3,1+$AX$3)&lt;=3000,1,IF($F245*IF($C245="売",1-$AX$3,1+$AX$3)&lt;=5000,5,IF($F245*IF($C245="売",1-$AX$3,1+$AX$3)&lt;=30000,10,IF($F245*IF($C245="売",1-$AX$3,1+$AX$3)&lt;=50000,50,IF($F245*IF($C245="売",1-$AX$3,1+$AX$3)&lt;=300000,100,500)))))),FLOOR($F245*IF($C245="売",1-$AX$3,1+$AX$3),IF($F245*IF($C245="売",1-$AX$3,1+$AX$3)&lt;=3000,1,IF($F245*IF($C245="売",1-$AX$3,1+$AX$3)&lt;=5000,5,IF($F245*IF($C245="売",1-$AX$3,1+$AX$3)&lt;=30000,10,IF($F245*IF($C245="売",1-$AX$3,1+$AX$3)&lt;=50000,50,IF($F245*IF($C245="売",1-$AX$3,1+$AX$3)&lt;=300000,100,500))))))))</f>
      </c>
      <c r="N245" s="598" t="str">
        <f>IF($F245="","",IF($C245="売",CEILING($F245*IF($C245="売",1+$AX$2,1-$AX$2),IF($F245*IF($C245="売",1+$AX$2,1-$AX$2)&lt;=3000,1,IF($F245*IF($C245="売",1+$AX$2,1-$AX$2)&lt;=5000,5,IF($F245*IF($C245="売",1+$AX$2,1-$AX$2)&lt;=30000,10,IF($F245*IF($C245="売",1+$AX$2,1-$AX$2)&lt;=50000,50,IF($F245*IF($C245="売",1+$AX$2,1-$AX$2)&lt;=300000,100,500)))))),FLOOR($F245*IF($C245="売",1+$AX$2,1-$AX$2),IF($F245*IF($C245="売",1+$AX$2,1-$AX$2)&lt;=3000,1,IF($F245*IF($C245="売",1+$AX$2,1-$AX$2)&lt;=5000,5,IF($F245*IF($C245="売",1+$AX$2,1-$AX$2)&lt;=30000,10,IF($F245*IF($C245="売",1+$AX$2,1-$AX$2)&lt;=50000,50,IF($F245*IF($C245="売",1+$AX$2,1-$AX$2)&lt;=300000,100,500))))))))</f>
      </c>
      <c r="O245" s="478" t="str">
        <f>IF(OR($B245="",$F245="",$H245=""),"",IF($S245="✅売却済","―決済済―",IF($C245="売",IF($H245&lt;=$M245,"🟢利確",IF(AND($R245&lt;&gt;"",$H245&gt;=$R245),"🟠TRAIL決済",IF($H245&gt;=$N245,"🔴損切",IF($W245&gt;=$AX$5,"⏱時間決済",IF($H245&gt;=$F245*(1+$AX$2*0.7),"⚠️損切接近","保持継続"))))),IF($H245&gt;=$M245,"🟢利確",IF(AND($R245&lt;&gt;"",$H245&lt;=$R245),"🟠TRAIL決済",IF($H245&lt;=$N245,"🔴損切",IF($W245&gt;=$AX$5,"⏱時間決済",IF($H245&lt;=$F245*(1-$AX$2*0.7),"⚠️損切接近","保持継続")))))))</f>
      </c>
      <c r="P245" s="445"/>
      <c r="Q245" s="445"/>
      <c r="R245" s="480" t="str">
        <f>IF(OR($F245="",$H245="",$N245=""),"",IF($S245="✅売却済","",IF($C245="売",IF($H245&gt;$F245*(1-$AX$2),$N245,CEILING(MIN($N245,IF($Q245="",$N245,$Q245*1.03)),IF($N245&lt;=3000,1,IF($N245&lt;=5000,5,IF($N245&lt;=30000,10,IF($N245&lt;=50000,50,IF($N245&lt;=300000,100,500))))))),IF($H245&lt;$F245*(1+$AX$2),$N245,FLOOR(MAX($N245,IF($P245="",$N245,$P245*0.97)),IF($N245&lt;=3000,1,IF($N245&lt;=5000,5,IF($N245&lt;=30000,10,IF($N245&lt;=50000,50,IF($N245&lt;=300000,100,500))))))))))</f>
      </c>
      <c r="S245" s="480" t="str">
        <f>IF(B245="","",IF(T245&lt;&gt;"","✅売却済",IF(OR(H245="",L245=""),"📌保有中",IF(L245&gt;=0.06,"🟢利確推奨",IF(L245&gt;=0.05,"🟡利確直近",IF(L245&gt;=0.045,"🔵トレーリング検討",IF(L245&gt;-0.03,"📌保有中",IF(L245&gt;-0.04,"⚠️損切注意","🔴損切り"))))))))</f>
        <v/>
      </c>
      <c r="T245" s="596"/>
      <c r="U245" s="598"/>
      <c r="V245" s="703" t="str">
        <f>IF(OR(F245="",G245="",U245=""),"",IF(C245="売",(F245-U245)*G245,(U245-F245)*G245))</f>
        <v/>
      </c>
      <c r="W245" s="480" t="str">
        <f>IF(OR($E245="",$B245=""),"",IF($T245&lt;&gt;"",$T245-$E245,TODAY()-$E245)+1)</f>
        <v/>
      </c>
      <c r="X245" s="480" t="str">
        <f>IF(OR($AH245="",$AH245="保有中"),"",$AH245)</f>
        <v/>
      </c>
      <c r="Y245" s="488">
        <f>IF($B245="","",IF(COUNTIFS($B$4:$B245,$B245,$C$4:$C245,$C245)&gt;1,"⛔重複"&amp;COUNTIFS($B$4:$B245,$B245,$C$4:$C245,$C245)&amp;"回目",""))</f>
      </c>
      <c r="Z245" s="710"/>
      <c r="AB245">
        <f>IF($F245="","",MAX(100,ROUNDDOWN($AX$4/($F245*$AX$2)/100,0)*100))</f>
      </c>
      <c r="AC245">
        <f>IF(OR($F245="",$G245="",$U245=""),"",ROUND($V245-($F245+$U245)*$G245*$AX$6-IF($C245="売",$F245*$G245*$AX$7*$W245/365,0),0))</f>
      </c>
      <c r="AD245" s="608"/>
      <c r="AE245" s="600" t="str">
        <f>IF($E245="","",WORKDAY($E245,12))</f>
        <v/>
      </c>
      <c r="AF245" s="600"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0"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0" t="str">
        <f>IF(OR($B245="",$M245=""),"",IF(AND(N($AF245)=0,N($AG245)=0),IF(AND(ISNUMBER($H245),$H245&gt;0,IF($C245="売",$H245&gt;=$N245,$H245&lt;=$N245)),"損切確定",IF(AND(ISNUMBER($H245),$H245&gt;0,IF($C245="売",$H245&lt;=$M245,$H245&gt;=$M245)),"利益確定",IF($AE245&lt;=TODAY(),"日数制限","保有中"))),IF(N($AG245)=0,"利益確定",IF(N($AF245)=0,"損切確定",IF($AG245&lt;=$AF245,"損切確定","利益確定")))))</f>
        <v/>
      </c>
      <c r="AI245" s="600" t="str" cm="1">
        <f t="array" ref="AI245">IFERROR(INDEX(始値!$E$6:$BT$305,MATCH(TEXT($B245,"0"),TEXT(銘柄管理!$B$6:$B$305,"0"),0),MATCH($AE245,始値!$E$3:$BT$3,0)),"")</f>
        <v/>
      </c>
      <c r="AJ245" s="608" t="str">
        <f>IF(OR($V245="",$F245="",$G245=""),"",$V245/($F245*$G245))</f>
        <v/>
      </c>
      <c r="AK245" s="600" t="str">
        <f>IF($V245="","",IF($V245&gt;0,"○勝",IF($V245&lt;0,"●負","△引分")))</f>
        <v/>
      </c>
    </row>
    <row r="246" spans="1:37" ht="17.25" customHeight="1">
      <c r="A246" s="621" t="str">
        <f>IF(B246="","",HYPERLINK("https://kabutan.jp/stock/?code="&amp;B246,"株探"))</f>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IF(OR(F246="",G246="",H246=""),"",IF(C246="売",(F246-H246)*G246,(H246-F246)*G246))</f>
        <v/>
      </c>
      <c r="L246" s="708" t="str">
        <f>IF(OR(F246="",H246=""),"",IF(C246="売",(F246-H246)/F246,(H246-F246)/F246))</f>
        <v/>
      </c>
      <c r="M246" s="598" t="str">
        <f>IF($F246="","",IF($C246="売",CEILING($F246*IF($C246="売",1-$AX$3,1+$AX$3),IF($F246*IF($C246="売",1-$AX$3,1+$AX$3)&lt;=3000,1,IF($F246*IF($C246="売",1-$AX$3,1+$AX$3)&lt;=5000,5,IF($F246*IF($C246="売",1-$AX$3,1+$AX$3)&lt;=30000,10,IF($F246*IF($C246="売",1-$AX$3,1+$AX$3)&lt;=50000,50,IF($F246*IF($C246="売",1-$AX$3,1+$AX$3)&lt;=300000,100,500)))))),FLOOR($F246*IF($C246="売",1-$AX$3,1+$AX$3),IF($F246*IF($C246="売",1-$AX$3,1+$AX$3)&lt;=3000,1,IF($F246*IF($C246="売",1-$AX$3,1+$AX$3)&lt;=5000,5,IF($F246*IF($C246="売",1-$AX$3,1+$AX$3)&lt;=30000,10,IF($F246*IF($C246="売",1-$AX$3,1+$AX$3)&lt;=50000,50,IF($F246*IF($C246="売",1-$AX$3,1+$AX$3)&lt;=300000,100,500))))))))</f>
      </c>
      <c r="N246" s="598" t="str">
        <f>IF($F246="","",IF($C246="売",CEILING($F246*IF($C246="売",1+$AX$2,1-$AX$2),IF($F246*IF($C246="売",1+$AX$2,1-$AX$2)&lt;=3000,1,IF($F246*IF($C246="売",1+$AX$2,1-$AX$2)&lt;=5000,5,IF($F246*IF($C246="売",1+$AX$2,1-$AX$2)&lt;=30000,10,IF($F246*IF($C246="売",1+$AX$2,1-$AX$2)&lt;=50000,50,IF($F246*IF($C246="売",1+$AX$2,1-$AX$2)&lt;=300000,100,500)))))),FLOOR($F246*IF($C246="売",1+$AX$2,1-$AX$2),IF($F246*IF($C246="売",1+$AX$2,1-$AX$2)&lt;=3000,1,IF($F246*IF($C246="売",1+$AX$2,1-$AX$2)&lt;=5000,5,IF($F246*IF($C246="売",1+$AX$2,1-$AX$2)&lt;=30000,10,IF($F246*IF($C246="売",1+$AX$2,1-$AX$2)&lt;=50000,50,IF($F246*IF($C246="売",1+$AX$2,1-$AX$2)&lt;=300000,100,500))))))))</f>
      </c>
      <c r="O246" s="478" t="str">
        <f>IF(OR($B246="",$F246="",$H246=""),"",IF($S246="✅売却済","―決済済―",IF($C246="売",IF($H246&lt;=$M246,"🟢利確",IF(AND($R246&lt;&gt;"",$H246&gt;=$R246),"🟠TRAIL決済",IF($H246&gt;=$N246,"🔴損切",IF($W246&gt;=$AX$5,"⏱時間決済",IF($H246&gt;=$F246*(1+$AX$2*0.7),"⚠️損切接近","保持継続"))))),IF($H246&gt;=$M246,"🟢利確",IF(AND($R246&lt;&gt;"",$H246&lt;=$R246),"🟠TRAIL決済",IF($H246&lt;=$N246,"🔴損切",IF($W246&gt;=$AX$5,"⏱時間決済",IF($H246&lt;=$F246*(1-$AX$2*0.7),"⚠️損切接近","保持継続")))))))</f>
      </c>
      <c r="P246" s="445"/>
      <c r="Q246" s="445"/>
      <c r="R246" s="480" t="str">
        <f>IF(OR($F246="",$H246="",$N246=""),"",IF($S246="✅売却済","",IF($C246="売",IF($H246&gt;$F246*(1-$AX$2),$N246,CEILING(MIN($N246,IF($Q246="",$N246,$Q246*1.03)),IF($N246&lt;=3000,1,IF($N246&lt;=5000,5,IF($N246&lt;=30000,10,IF($N246&lt;=50000,50,IF($N246&lt;=300000,100,500))))))),IF($H246&lt;$F246*(1+$AX$2),$N246,FLOOR(MAX($N246,IF($P246="",$N246,$P246*0.97)),IF($N246&lt;=3000,1,IF($N246&lt;=5000,5,IF($N246&lt;=30000,10,IF($N246&lt;=50000,50,IF($N246&lt;=300000,100,500))))))))))</f>
      </c>
      <c r="S246" s="480" t="str">
        <f>IF(B246="","",IF(T246&lt;&gt;"","✅売却済",IF(OR(H246="",L246=""),"📌保有中",IF(L246&gt;=0.06,"🟢利確推奨",IF(L246&gt;=0.05,"🟡利確直近",IF(L246&gt;=0.045,"🔵トレーリング検討",IF(L246&gt;-0.03,"📌保有中",IF(L246&gt;-0.04,"⚠️損切注意","🔴損切り"))))))))</f>
        <v/>
      </c>
      <c r="T246" s="596"/>
      <c r="U246" s="598"/>
      <c r="V246" s="703" t="str">
        <f>IF(OR(F246="",G246="",U246=""),"",IF(C246="売",(F246-U246)*G246,(U246-F246)*G246))</f>
        <v/>
      </c>
      <c r="W246" s="480" t="str">
        <f>IF(OR($E246="",$B246=""),"",IF($T246&lt;&gt;"",$T246-$E246,TODAY()-$E246)+1)</f>
        <v/>
      </c>
      <c r="X246" s="480" t="str">
        <f>IF(OR($AH246="",$AH246="保有中"),"",$AH246)</f>
        <v/>
      </c>
      <c r="Y246" s="488">
        <f>IF($B246="","",IF(COUNTIFS($B$4:$B246,$B246,$C$4:$C246,$C246)&gt;1,"⛔重複"&amp;COUNTIFS($B$4:$B246,$B246,$C$4:$C246,$C246)&amp;"回目",""))</f>
      </c>
      <c r="Z246" s="710"/>
      <c r="AB246">
        <f>IF($F246="","",MAX(100,ROUNDDOWN($AX$4/($F246*$AX$2)/100,0)*100))</f>
      </c>
      <c r="AC246">
        <f>IF(OR($F246="",$G246="",$U246=""),"",ROUND($V246-($F246+$U246)*$G246*$AX$6-IF($C246="売",$F246*$G246*$AX$7*$W246/365,0),0))</f>
      </c>
      <c r="AD246" s="608"/>
      <c r="AE246" s="600" t="str">
        <f>IF($E246="","",WORKDAY($E246,12))</f>
        <v/>
      </c>
      <c r="AF246" s="600"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0"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0" t="str">
        <f>IF(OR($B246="",$M246=""),"",IF(AND(N($AF246)=0,N($AG246)=0),IF(AND(ISNUMBER($H246),$H246&gt;0,IF($C246="売",$H246&gt;=$N246,$H246&lt;=$N246)),"損切確定",IF(AND(ISNUMBER($H246),$H246&gt;0,IF($C246="売",$H246&lt;=$M246,$H246&gt;=$M246)),"利益確定",IF($AE246&lt;=TODAY(),"日数制限","保有中"))),IF(N($AG246)=0,"利益確定",IF(N($AF246)=0,"損切確定",IF($AG246&lt;=$AF246,"損切確定","利益確定")))))</f>
        <v/>
      </c>
      <c r="AI246" s="600" t="str" cm="1">
        <f t="array" ref="AI246">IFERROR(INDEX(始値!$E$6:$BT$305,MATCH(TEXT($B246,"0"),TEXT(銘柄管理!$B$6:$B$305,"0"),0),MATCH($AE246,始値!$E$3:$BT$3,0)),"")</f>
        <v/>
      </c>
      <c r="AJ246" s="608" t="str">
        <f>IF(OR($V246="",$F246="",$G246=""),"",$V246/($F246*$G246))</f>
        <v/>
      </c>
      <c r="AK246" s="600" t="str">
        <f>IF($V246="","",IF($V246&gt;0,"○勝",IF($V246&lt;0,"●負","△引分")))</f>
        <v/>
      </c>
    </row>
    <row r="247" spans="1:37" ht="17.25" customHeight="1">
      <c r="A247" s="621" t="str">
        <f>IF(B247="","",HYPERLINK("https://kabutan.jp/stock/?code="&amp;B247,"株探"))</f>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IF(OR(F247="",G247="",H247=""),"",IF(C247="売",(F247-H247)*G247,(H247-F247)*G247))</f>
        <v/>
      </c>
      <c r="L247" s="708" t="str">
        <f>IF(OR(F247="",H247=""),"",IF(C247="売",(F247-H247)/F247,(H247-F247)/F247))</f>
        <v/>
      </c>
      <c r="M247" s="598" t="str">
        <f>IF($F247="","",IF($C247="売",CEILING($F247*IF($C247="売",1-$AX$3,1+$AX$3),IF($F247*IF($C247="売",1-$AX$3,1+$AX$3)&lt;=3000,1,IF($F247*IF($C247="売",1-$AX$3,1+$AX$3)&lt;=5000,5,IF($F247*IF($C247="売",1-$AX$3,1+$AX$3)&lt;=30000,10,IF($F247*IF($C247="売",1-$AX$3,1+$AX$3)&lt;=50000,50,IF($F247*IF($C247="売",1-$AX$3,1+$AX$3)&lt;=300000,100,500)))))),FLOOR($F247*IF($C247="売",1-$AX$3,1+$AX$3),IF($F247*IF($C247="売",1-$AX$3,1+$AX$3)&lt;=3000,1,IF($F247*IF($C247="売",1-$AX$3,1+$AX$3)&lt;=5000,5,IF($F247*IF($C247="売",1-$AX$3,1+$AX$3)&lt;=30000,10,IF($F247*IF($C247="売",1-$AX$3,1+$AX$3)&lt;=50000,50,IF($F247*IF($C247="売",1-$AX$3,1+$AX$3)&lt;=300000,100,500))))))))</f>
      </c>
      <c r="N247" s="598" t="str">
        <f>IF($F247="","",IF($C247="売",CEILING($F247*IF($C247="売",1+$AX$2,1-$AX$2),IF($F247*IF($C247="売",1+$AX$2,1-$AX$2)&lt;=3000,1,IF($F247*IF($C247="売",1+$AX$2,1-$AX$2)&lt;=5000,5,IF($F247*IF($C247="売",1+$AX$2,1-$AX$2)&lt;=30000,10,IF($F247*IF($C247="売",1+$AX$2,1-$AX$2)&lt;=50000,50,IF($F247*IF($C247="売",1+$AX$2,1-$AX$2)&lt;=300000,100,500)))))),FLOOR($F247*IF($C247="売",1+$AX$2,1-$AX$2),IF($F247*IF($C247="売",1+$AX$2,1-$AX$2)&lt;=3000,1,IF($F247*IF($C247="売",1+$AX$2,1-$AX$2)&lt;=5000,5,IF($F247*IF($C247="売",1+$AX$2,1-$AX$2)&lt;=30000,10,IF($F247*IF($C247="売",1+$AX$2,1-$AX$2)&lt;=50000,50,IF($F247*IF($C247="売",1+$AX$2,1-$AX$2)&lt;=300000,100,500))))))))</f>
      </c>
      <c r="O247" s="478" t="str">
        <f>IF(OR($B247="",$F247="",$H247=""),"",IF($S247="✅売却済","―決済済―",IF($C247="売",IF($H247&lt;=$M247,"🟢利確",IF(AND($R247&lt;&gt;"",$H247&gt;=$R247),"🟠TRAIL決済",IF($H247&gt;=$N247,"🔴損切",IF($W247&gt;=$AX$5,"⏱時間決済",IF($H247&gt;=$F247*(1+$AX$2*0.7),"⚠️損切接近","保持継続"))))),IF($H247&gt;=$M247,"🟢利確",IF(AND($R247&lt;&gt;"",$H247&lt;=$R247),"🟠TRAIL決済",IF($H247&lt;=$N247,"🔴損切",IF($W247&gt;=$AX$5,"⏱時間決済",IF($H247&lt;=$F247*(1-$AX$2*0.7),"⚠️損切接近","保持継続")))))))</f>
      </c>
      <c r="P247" s="445"/>
      <c r="Q247" s="445"/>
      <c r="R247" s="480" t="str">
        <f>IF(OR($F247="",$H247="",$N247=""),"",IF($S247="✅売却済","",IF($C247="売",IF($H247&gt;$F247*(1-$AX$2),$N247,CEILING(MIN($N247,IF($Q247="",$N247,$Q247*1.03)),IF($N247&lt;=3000,1,IF($N247&lt;=5000,5,IF($N247&lt;=30000,10,IF($N247&lt;=50000,50,IF($N247&lt;=300000,100,500))))))),IF($H247&lt;$F247*(1+$AX$2),$N247,FLOOR(MAX($N247,IF($P247="",$N247,$P247*0.97)),IF($N247&lt;=3000,1,IF($N247&lt;=5000,5,IF($N247&lt;=30000,10,IF($N247&lt;=50000,50,IF($N247&lt;=300000,100,500))))))))))</f>
      </c>
      <c r="S247" s="480" t="str">
        <f>IF(B247="","",IF(T247&lt;&gt;"","✅売却済",IF(OR(H247="",L247=""),"📌保有中",IF(L247&gt;=0.06,"🟢利確推奨",IF(L247&gt;=0.05,"🟡利確直近",IF(L247&gt;=0.045,"🔵トレーリング検討",IF(L247&gt;-0.03,"📌保有中",IF(L247&gt;-0.04,"⚠️損切注意","🔴損切り"))))))))</f>
        <v/>
      </c>
      <c r="T247" s="596"/>
      <c r="U247" s="598"/>
      <c r="V247" s="703" t="str">
        <f>IF(OR(F247="",G247="",U247=""),"",IF(C247="売",(F247-U247)*G247,(U247-F247)*G247))</f>
        <v/>
      </c>
      <c r="W247" s="480" t="str">
        <f>IF(OR($E247="",$B247=""),"",IF($T247&lt;&gt;"",$T247-$E247,TODAY()-$E247)+1)</f>
        <v/>
      </c>
      <c r="X247" s="480" t="str">
        <f>IF(OR($AH247="",$AH247="保有中"),"",$AH247)</f>
        <v/>
      </c>
      <c r="Y247" s="488">
        <f>IF($B247="","",IF(COUNTIFS($B$4:$B247,$B247,$C$4:$C247,$C247)&gt;1,"⛔重複"&amp;COUNTIFS($B$4:$B247,$B247,$C$4:$C247,$C247)&amp;"回目",""))</f>
      </c>
      <c r="Z247" s="710"/>
      <c r="AB247">
        <f>IF($F247="","",MAX(100,ROUNDDOWN($AX$4/($F247*$AX$2)/100,0)*100))</f>
      </c>
      <c r="AC247">
        <f>IF(OR($F247="",$G247="",$U247=""),"",ROUND($V247-($F247+$U247)*$G247*$AX$6-IF($C247="売",$F247*$G247*$AX$7*$W247/365,0),0))</f>
      </c>
      <c r="AD247" s="608"/>
      <c r="AE247" s="600" t="str">
        <f>IF($E247="","",WORKDAY($E247,12))</f>
        <v/>
      </c>
      <c r="AF247" s="600"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0"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0" t="str">
        <f>IF(OR($B247="",$M247=""),"",IF(AND(N($AF247)=0,N($AG247)=0),IF(AND(ISNUMBER($H247),$H247&gt;0,IF($C247="売",$H247&gt;=$N247,$H247&lt;=$N247)),"損切確定",IF(AND(ISNUMBER($H247),$H247&gt;0,IF($C247="売",$H247&lt;=$M247,$H247&gt;=$M247)),"利益確定",IF($AE247&lt;=TODAY(),"日数制限","保有中"))),IF(N($AG247)=0,"利益確定",IF(N($AF247)=0,"損切確定",IF($AG247&lt;=$AF247,"損切確定","利益確定")))))</f>
        <v/>
      </c>
      <c r="AI247" s="600" t="str" cm="1">
        <f t="array" ref="AI247">IFERROR(INDEX(始値!$E$6:$BT$305,MATCH(TEXT($B247,"0"),TEXT(銘柄管理!$B$6:$B$305,"0"),0),MATCH($AE247,始値!$E$3:$BT$3,0)),"")</f>
        <v/>
      </c>
      <c r="AJ247" s="608" t="str">
        <f>IF(OR($V247="",$F247="",$G247=""),"",$V247/($F247*$G247))</f>
        <v/>
      </c>
      <c r="AK247" s="600" t="str">
        <f>IF($V247="","",IF($V247&gt;0,"○勝",IF($V247&lt;0,"●負","△引分")))</f>
        <v/>
      </c>
    </row>
    <row r="248" spans="1:37" ht="17.25" customHeight="1">
      <c r="A248" s="621" t="str">
        <f>IF(B248="","",HYPERLINK("https://kabutan.jp/stock/?code="&amp;B248,"株探"))</f>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IF(OR(F248="",G248="",H248=""),"",IF(C248="売",(F248-H248)*G248,(H248-F248)*G248))</f>
        <v/>
      </c>
      <c r="L248" s="708" t="str">
        <f>IF(OR(F248="",H248=""),"",IF(C248="売",(F248-H248)/F248,(H248-F248)/F248))</f>
        <v/>
      </c>
      <c r="M248" s="598" t="str">
        <f>IF($F248="","",IF($C248="売",CEILING($F248*IF($C248="売",1-$AX$3,1+$AX$3),IF($F248*IF($C248="売",1-$AX$3,1+$AX$3)&lt;=3000,1,IF($F248*IF($C248="売",1-$AX$3,1+$AX$3)&lt;=5000,5,IF($F248*IF($C248="売",1-$AX$3,1+$AX$3)&lt;=30000,10,IF($F248*IF($C248="売",1-$AX$3,1+$AX$3)&lt;=50000,50,IF($F248*IF($C248="売",1-$AX$3,1+$AX$3)&lt;=300000,100,500)))))),FLOOR($F248*IF($C248="売",1-$AX$3,1+$AX$3),IF($F248*IF($C248="売",1-$AX$3,1+$AX$3)&lt;=3000,1,IF($F248*IF($C248="売",1-$AX$3,1+$AX$3)&lt;=5000,5,IF($F248*IF($C248="売",1-$AX$3,1+$AX$3)&lt;=30000,10,IF($F248*IF($C248="売",1-$AX$3,1+$AX$3)&lt;=50000,50,IF($F248*IF($C248="売",1-$AX$3,1+$AX$3)&lt;=300000,100,500))))))))</f>
      </c>
      <c r="N248" s="598" t="str">
        <f>IF($F248="","",IF($C248="売",CEILING($F248*IF($C248="売",1+$AX$2,1-$AX$2),IF($F248*IF($C248="売",1+$AX$2,1-$AX$2)&lt;=3000,1,IF($F248*IF($C248="売",1+$AX$2,1-$AX$2)&lt;=5000,5,IF($F248*IF($C248="売",1+$AX$2,1-$AX$2)&lt;=30000,10,IF($F248*IF($C248="売",1+$AX$2,1-$AX$2)&lt;=50000,50,IF($F248*IF($C248="売",1+$AX$2,1-$AX$2)&lt;=300000,100,500)))))),FLOOR($F248*IF($C248="売",1+$AX$2,1-$AX$2),IF($F248*IF($C248="売",1+$AX$2,1-$AX$2)&lt;=3000,1,IF($F248*IF($C248="売",1+$AX$2,1-$AX$2)&lt;=5000,5,IF($F248*IF($C248="売",1+$AX$2,1-$AX$2)&lt;=30000,10,IF($F248*IF($C248="売",1+$AX$2,1-$AX$2)&lt;=50000,50,IF($F248*IF($C248="売",1+$AX$2,1-$AX$2)&lt;=300000,100,500))))))))</f>
      </c>
      <c r="O248" s="478" t="str">
        <f>IF(OR($B248="",$F248="",$H248=""),"",IF($S248="✅売却済","―決済済―",IF($C248="売",IF($H248&lt;=$M248,"🟢利確",IF(AND($R248&lt;&gt;"",$H248&gt;=$R248),"🟠TRAIL決済",IF($H248&gt;=$N248,"🔴損切",IF($W248&gt;=$AX$5,"⏱時間決済",IF($H248&gt;=$F248*(1+$AX$2*0.7),"⚠️損切接近","保持継続"))))),IF($H248&gt;=$M248,"🟢利確",IF(AND($R248&lt;&gt;"",$H248&lt;=$R248),"🟠TRAIL決済",IF($H248&lt;=$N248,"🔴損切",IF($W248&gt;=$AX$5,"⏱時間決済",IF($H248&lt;=$F248*(1-$AX$2*0.7),"⚠️損切接近","保持継続")))))))</f>
      </c>
      <c r="P248" s="445"/>
      <c r="Q248" s="445"/>
      <c r="R248" s="480" t="str">
        <f>IF(OR($F248="",$H248="",$N248=""),"",IF($S248="✅売却済","",IF($C248="売",IF($H248&gt;$F248*(1-$AX$2),$N248,CEILING(MIN($N248,IF($Q248="",$N248,$Q248*1.03)),IF($N248&lt;=3000,1,IF($N248&lt;=5000,5,IF($N248&lt;=30000,10,IF($N248&lt;=50000,50,IF($N248&lt;=300000,100,500))))))),IF($H248&lt;$F248*(1+$AX$2),$N248,FLOOR(MAX($N248,IF($P248="",$N248,$P248*0.97)),IF($N248&lt;=3000,1,IF($N248&lt;=5000,5,IF($N248&lt;=30000,10,IF($N248&lt;=50000,50,IF($N248&lt;=300000,100,500))))))))))</f>
      </c>
      <c r="S248" s="480" t="str">
        <f>IF(B248="","",IF(T248&lt;&gt;"","✅売却済",IF(OR(H248="",L248=""),"📌保有中",IF(L248&gt;=0.06,"🟢利確推奨",IF(L248&gt;=0.05,"🟡利確直近",IF(L248&gt;=0.045,"🔵トレーリング検討",IF(L248&gt;-0.03,"📌保有中",IF(L248&gt;-0.04,"⚠️損切注意","🔴損切り"))))))))</f>
        <v/>
      </c>
      <c r="T248" s="596"/>
      <c r="U248" s="598"/>
      <c r="V248" s="703" t="str">
        <f>IF(OR(F248="",G248="",U248=""),"",IF(C248="売",(F248-U248)*G248,(U248-F248)*G248))</f>
        <v/>
      </c>
      <c r="W248" s="480" t="str">
        <f>IF(OR($E248="",$B248=""),"",IF($T248&lt;&gt;"",$T248-$E248,TODAY()-$E248)+1)</f>
        <v/>
      </c>
      <c r="X248" s="480" t="str">
        <f>IF(OR($AH248="",$AH248="保有中"),"",$AH248)</f>
        <v/>
      </c>
      <c r="Y248" s="488">
        <f>IF($B248="","",IF(COUNTIFS($B$4:$B248,$B248,$C$4:$C248,$C248)&gt;1,"⛔重複"&amp;COUNTIFS($B$4:$B248,$B248,$C$4:$C248,$C248)&amp;"回目",""))</f>
      </c>
      <c r="Z248" s="710"/>
      <c r="AB248">
        <f>IF($F248="","",MAX(100,ROUNDDOWN($AX$4/($F248*$AX$2)/100,0)*100))</f>
      </c>
      <c r="AC248">
        <f>IF(OR($F248="",$G248="",$U248=""),"",ROUND($V248-($F248+$U248)*$G248*$AX$6-IF($C248="売",$F248*$G248*$AX$7*$W248/365,0),0))</f>
      </c>
      <c r="AD248" s="608"/>
      <c r="AE248" s="600" t="str">
        <f>IF($E248="","",WORKDAY($E248,12))</f>
        <v/>
      </c>
      <c r="AF248" s="600"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0"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0" t="str">
        <f>IF(OR($B248="",$M248=""),"",IF(AND(N($AF248)=0,N($AG248)=0),IF(AND(ISNUMBER($H248),$H248&gt;0,IF($C248="売",$H248&gt;=$N248,$H248&lt;=$N248)),"損切確定",IF(AND(ISNUMBER($H248),$H248&gt;0,IF($C248="売",$H248&lt;=$M248,$H248&gt;=$M248)),"利益確定",IF($AE248&lt;=TODAY(),"日数制限","保有中"))),IF(N($AG248)=0,"利益確定",IF(N($AF248)=0,"損切確定",IF($AG248&lt;=$AF248,"損切確定","利益確定")))))</f>
        <v/>
      </c>
      <c r="AI248" s="600" t="str" cm="1">
        <f t="array" ref="AI248">IFERROR(INDEX(始値!$E$6:$BT$305,MATCH(TEXT($B248,"0"),TEXT(銘柄管理!$B$6:$B$305,"0"),0),MATCH($AE248,始値!$E$3:$BT$3,0)),"")</f>
        <v/>
      </c>
      <c r="AJ248" s="608" t="str">
        <f>IF(OR($V248="",$F248="",$G248=""),"",$V248/($F248*$G248))</f>
        <v/>
      </c>
      <c r="AK248" s="600" t="str">
        <f>IF($V248="","",IF($V248&gt;0,"○勝",IF($V248&lt;0,"●負","△引分")))</f>
        <v/>
      </c>
    </row>
    <row r="249" spans="1:37" ht="17.25" customHeight="1">
      <c r="A249" s="621" t="str">
        <f>IF(B249="","",HYPERLINK("https://kabutan.jp/stock/?code="&amp;B249,"株探"))</f>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IF(OR(F249="",G249="",H249=""),"",IF(C249="売",(F249-H249)*G249,(H249-F249)*G249))</f>
        <v/>
      </c>
      <c r="L249" s="708" t="str">
        <f>IF(OR(F249="",H249=""),"",IF(C249="売",(F249-H249)/F249,(H249-F249)/F249))</f>
        <v/>
      </c>
      <c r="M249" s="598" t="str">
        <f>IF($F249="","",IF($C249="売",CEILING($F249*IF($C249="売",1-$AX$3,1+$AX$3),IF($F249*IF($C249="売",1-$AX$3,1+$AX$3)&lt;=3000,1,IF($F249*IF($C249="売",1-$AX$3,1+$AX$3)&lt;=5000,5,IF($F249*IF($C249="売",1-$AX$3,1+$AX$3)&lt;=30000,10,IF($F249*IF($C249="売",1-$AX$3,1+$AX$3)&lt;=50000,50,IF($F249*IF($C249="売",1-$AX$3,1+$AX$3)&lt;=300000,100,500)))))),FLOOR($F249*IF($C249="売",1-$AX$3,1+$AX$3),IF($F249*IF($C249="売",1-$AX$3,1+$AX$3)&lt;=3000,1,IF($F249*IF($C249="売",1-$AX$3,1+$AX$3)&lt;=5000,5,IF($F249*IF($C249="売",1-$AX$3,1+$AX$3)&lt;=30000,10,IF($F249*IF($C249="売",1-$AX$3,1+$AX$3)&lt;=50000,50,IF($F249*IF($C249="売",1-$AX$3,1+$AX$3)&lt;=300000,100,500))))))))</f>
      </c>
      <c r="N249" s="598" t="str">
        <f>IF($F249="","",IF($C249="売",CEILING($F249*IF($C249="売",1+$AX$2,1-$AX$2),IF($F249*IF($C249="売",1+$AX$2,1-$AX$2)&lt;=3000,1,IF($F249*IF($C249="売",1+$AX$2,1-$AX$2)&lt;=5000,5,IF($F249*IF($C249="売",1+$AX$2,1-$AX$2)&lt;=30000,10,IF($F249*IF($C249="売",1+$AX$2,1-$AX$2)&lt;=50000,50,IF($F249*IF($C249="売",1+$AX$2,1-$AX$2)&lt;=300000,100,500)))))),FLOOR($F249*IF($C249="売",1+$AX$2,1-$AX$2),IF($F249*IF($C249="売",1+$AX$2,1-$AX$2)&lt;=3000,1,IF($F249*IF($C249="売",1+$AX$2,1-$AX$2)&lt;=5000,5,IF($F249*IF($C249="売",1+$AX$2,1-$AX$2)&lt;=30000,10,IF($F249*IF($C249="売",1+$AX$2,1-$AX$2)&lt;=50000,50,IF($F249*IF($C249="売",1+$AX$2,1-$AX$2)&lt;=300000,100,500))))))))</f>
      </c>
      <c r="O249" s="478" t="str">
        <f>IF(OR($B249="",$F249="",$H249=""),"",IF($S249="✅売却済","―決済済―",IF($C249="売",IF($H249&lt;=$M249,"🟢利確",IF(AND($R249&lt;&gt;"",$H249&gt;=$R249),"🟠TRAIL決済",IF($H249&gt;=$N249,"🔴損切",IF($W249&gt;=$AX$5,"⏱時間決済",IF($H249&gt;=$F249*(1+$AX$2*0.7),"⚠️損切接近","保持継続"))))),IF($H249&gt;=$M249,"🟢利確",IF(AND($R249&lt;&gt;"",$H249&lt;=$R249),"🟠TRAIL決済",IF($H249&lt;=$N249,"🔴損切",IF($W249&gt;=$AX$5,"⏱時間決済",IF($H249&lt;=$F249*(1-$AX$2*0.7),"⚠️損切接近","保持継続")))))))</f>
      </c>
      <c r="P249" s="445"/>
      <c r="Q249" s="445"/>
      <c r="R249" s="480" t="str">
        <f>IF(OR($F249="",$H249="",$N249=""),"",IF($S249="✅売却済","",IF($C249="売",IF($H249&gt;$F249*(1-$AX$2),$N249,CEILING(MIN($N249,IF($Q249="",$N249,$Q249*1.03)),IF($N249&lt;=3000,1,IF($N249&lt;=5000,5,IF($N249&lt;=30000,10,IF($N249&lt;=50000,50,IF($N249&lt;=300000,100,500))))))),IF($H249&lt;$F249*(1+$AX$2),$N249,FLOOR(MAX($N249,IF($P249="",$N249,$P249*0.97)),IF($N249&lt;=3000,1,IF($N249&lt;=5000,5,IF($N249&lt;=30000,10,IF($N249&lt;=50000,50,IF($N249&lt;=300000,100,500))))))))))</f>
      </c>
      <c r="S249" s="480" t="str">
        <f>IF(B249="","",IF(T249&lt;&gt;"","✅売却済",IF(OR(H249="",L249=""),"📌保有中",IF(L249&gt;=0.06,"🟢利確推奨",IF(L249&gt;=0.05,"🟡利確直近",IF(L249&gt;=0.045,"🔵トレーリング検討",IF(L249&gt;-0.03,"📌保有中",IF(L249&gt;-0.04,"⚠️損切注意","🔴損切り"))))))))</f>
        <v/>
      </c>
      <c r="T249" s="596"/>
      <c r="U249" s="598"/>
      <c r="V249" s="703" t="str">
        <f>IF(OR(F249="",G249="",U249=""),"",IF(C249="売",(F249-U249)*G249,(U249-F249)*G249))</f>
        <v/>
      </c>
      <c r="W249" s="480" t="str">
        <f>IF(OR($E249="",$B249=""),"",IF($T249&lt;&gt;"",$T249-$E249,TODAY()-$E249)+1)</f>
        <v/>
      </c>
      <c r="X249" s="480" t="str">
        <f>IF(OR($AH249="",$AH249="保有中"),"",$AH249)</f>
        <v/>
      </c>
      <c r="Y249" s="488">
        <f>IF($B249="","",IF(COUNTIFS($B$4:$B249,$B249,$C$4:$C249,$C249)&gt;1,"⛔重複"&amp;COUNTIFS($B$4:$B249,$B249,$C$4:$C249,$C249)&amp;"回目",""))</f>
      </c>
      <c r="Z249" s="710"/>
      <c r="AB249">
        <f>IF($F249="","",MAX(100,ROUNDDOWN($AX$4/($F249*$AX$2)/100,0)*100))</f>
      </c>
      <c r="AC249">
        <f>IF(OR($F249="",$G249="",$U249=""),"",ROUND($V249-($F249+$U249)*$G249*$AX$6-IF($C249="売",$F249*$G249*$AX$7*$W249/365,0),0))</f>
      </c>
      <c r="AD249" s="608"/>
      <c r="AE249" s="600" t="str">
        <f>IF($E249="","",WORKDAY($E249,12))</f>
        <v/>
      </c>
      <c r="AF249" s="600"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0"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0" t="str">
        <f>IF(OR($B249="",$M249=""),"",IF(AND(N($AF249)=0,N($AG249)=0),IF(AND(ISNUMBER($H249),$H249&gt;0,IF($C249="売",$H249&gt;=$N249,$H249&lt;=$N249)),"損切確定",IF(AND(ISNUMBER($H249),$H249&gt;0,IF($C249="売",$H249&lt;=$M249,$H249&gt;=$M249)),"利益確定",IF($AE249&lt;=TODAY(),"日数制限","保有中"))),IF(N($AG249)=0,"利益確定",IF(N($AF249)=0,"損切確定",IF($AG249&lt;=$AF249,"損切確定","利益確定")))))</f>
        <v/>
      </c>
      <c r="AI249" s="600" t="str" cm="1">
        <f t="array" ref="AI249">IFERROR(INDEX(始値!$E$6:$BT$305,MATCH(TEXT($B249,"0"),TEXT(銘柄管理!$B$6:$B$305,"0"),0),MATCH($AE249,始値!$E$3:$BT$3,0)),"")</f>
        <v/>
      </c>
      <c r="AJ249" s="608" t="str">
        <f>IF(OR($V249="",$F249="",$G249=""),"",$V249/($F249*$G249))</f>
        <v/>
      </c>
      <c r="AK249" s="600" t="str">
        <f>IF($V249="","",IF($V249&gt;0,"○勝",IF($V249&lt;0,"●負","△引分")))</f>
        <v/>
      </c>
    </row>
    <row r="250" spans="1:37" ht="17.25" customHeight="1">
      <c r="A250" s="621" t="str">
        <f>IF(B250="","",HYPERLINK("https://kabutan.jp/stock/?code="&amp;B250,"株探"))</f>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IF(OR(F250="",G250="",H250=""),"",IF(C250="売",(F250-H250)*G250,(H250-F250)*G250))</f>
        <v/>
      </c>
      <c r="L250" s="708" t="str">
        <f>IF(OR(F250="",H250=""),"",IF(C250="売",(F250-H250)/F250,(H250-F250)/F250))</f>
        <v/>
      </c>
      <c r="M250" s="598" t="str">
        <f>IF($F250="","",IF($C250="売",CEILING($F250*IF($C250="売",1-$AX$3,1+$AX$3),IF($F250*IF($C250="売",1-$AX$3,1+$AX$3)&lt;=3000,1,IF($F250*IF($C250="売",1-$AX$3,1+$AX$3)&lt;=5000,5,IF($F250*IF($C250="売",1-$AX$3,1+$AX$3)&lt;=30000,10,IF($F250*IF($C250="売",1-$AX$3,1+$AX$3)&lt;=50000,50,IF($F250*IF($C250="売",1-$AX$3,1+$AX$3)&lt;=300000,100,500)))))),FLOOR($F250*IF($C250="売",1-$AX$3,1+$AX$3),IF($F250*IF($C250="売",1-$AX$3,1+$AX$3)&lt;=3000,1,IF($F250*IF($C250="売",1-$AX$3,1+$AX$3)&lt;=5000,5,IF($F250*IF($C250="売",1-$AX$3,1+$AX$3)&lt;=30000,10,IF($F250*IF($C250="売",1-$AX$3,1+$AX$3)&lt;=50000,50,IF($F250*IF($C250="売",1-$AX$3,1+$AX$3)&lt;=300000,100,500))))))))</f>
      </c>
      <c r="N250" s="598" t="str">
        <f>IF($F250="","",IF($C250="売",CEILING($F250*IF($C250="売",1+$AX$2,1-$AX$2),IF($F250*IF($C250="売",1+$AX$2,1-$AX$2)&lt;=3000,1,IF($F250*IF($C250="売",1+$AX$2,1-$AX$2)&lt;=5000,5,IF($F250*IF($C250="売",1+$AX$2,1-$AX$2)&lt;=30000,10,IF($F250*IF($C250="売",1+$AX$2,1-$AX$2)&lt;=50000,50,IF($F250*IF($C250="売",1+$AX$2,1-$AX$2)&lt;=300000,100,500)))))),FLOOR($F250*IF($C250="売",1+$AX$2,1-$AX$2),IF($F250*IF($C250="売",1+$AX$2,1-$AX$2)&lt;=3000,1,IF($F250*IF($C250="売",1+$AX$2,1-$AX$2)&lt;=5000,5,IF($F250*IF($C250="売",1+$AX$2,1-$AX$2)&lt;=30000,10,IF($F250*IF($C250="売",1+$AX$2,1-$AX$2)&lt;=50000,50,IF($F250*IF($C250="売",1+$AX$2,1-$AX$2)&lt;=300000,100,500))))))))</f>
      </c>
      <c r="O250" s="478" t="str">
        <f>IF(OR($B250="",$F250="",$H250=""),"",IF($S250="✅売却済","―決済済―",IF($C250="売",IF($H250&lt;=$M250,"🟢利確",IF(AND($R250&lt;&gt;"",$H250&gt;=$R250),"🟠TRAIL決済",IF($H250&gt;=$N250,"🔴損切",IF($W250&gt;=$AX$5,"⏱時間決済",IF($H250&gt;=$F250*(1+$AX$2*0.7),"⚠️損切接近","保持継続"))))),IF($H250&gt;=$M250,"🟢利確",IF(AND($R250&lt;&gt;"",$H250&lt;=$R250),"🟠TRAIL決済",IF($H250&lt;=$N250,"🔴損切",IF($W250&gt;=$AX$5,"⏱時間決済",IF($H250&lt;=$F250*(1-$AX$2*0.7),"⚠️損切接近","保持継続")))))))</f>
      </c>
      <c r="P250" s="445"/>
      <c r="Q250" s="445"/>
      <c r="R250" s="480" t="str">
        <f>IF(OR($F250="",$H250="",$N250=""),"",IF($S250="✅売却済","",IF($C250="売",IF($H250&gt;$F250*(1-$AX$2),$N250,CEILING(MIN($N250,IF($Q250="",$N250,$Q250*1.03)),IF($N250&lt;=3000,1,IF($N250&lt;=5000,5,IF($N250&lt;=30000,10,IF($N250&lt;=50000,50,IF($N250&lt;=300000,100,500))))))),IF($H250&lt;$F250*(1+$AX$2),$N250,FLOOR(MAX($N250,IF($P250="",$N250,$P250*0.97)),IF($N250&lt;=3000,1,IF($N250&lt;=5000,5,IF($N250&lt;=30000,10,IF($N250&lt;=50000,50,IF($N250&lt;=300000,100,500))))))))))</f>
      </c>
      <c r="S250" s="480" t="str">
        <f>IF(B250="","",IF(T250&lt;&gt;"","✅売却済",IF(OR(H250="",L250=""),"📌保有中",IF(L250&gt;=0.06,"🟢利確推奨",IF(L250&gt;=0.05,"🟡利確直近",IF(L250&gt;=0.045,"🔵トレーリング検討",IF(L250&gt;-0.03,"📌保有中",IF(L250&gt;-0.04,"⚠️損切注意","🔴損切り"))))))))</f>
        <v/>
      </c>
      <c r="T250" s="596"/>
      <c r="U250" s="598"/>
      <c r="V250" s="703" t="str">
        <f>IF(OR(F250="",G250="",U250=""),"",IF(C250="売",(F250-U250)*G250,(U250-F250)*G250))</f>
        <v/>
      </c>
      <c r="W250" s="480" t="str">
        <f>IF(OR($E250="",$B250=""),"",IF($T250&lt;&gt;"",$T250-$E250,TODAY()-$E250)+1)</f>
        <v/>
      </c>
      <c r="X250" s="480" t="str">
        <f>IF(OR($AH250="",$AH250="保有中"),"",$AH250)</f>
        <v/>
      </c>
      <c r="Y250" s="488">
        <f>IF($B250="","",IF(COUNTIFS($B$4:$B250,$B250,$C$4:$C250,$C250)&gt;1,"⛔重複"&amp;COUNTIFS($B$4:$B250,$B250,$C$4:$C250,$C250)&amp;"回目",""))</f>
      </c>
      <c r="Z250" s="710"/>
      <c r="AB250">
        <f>IF($F250="","",MAX(100,ROUNDDOWN($AX$4/($F250*$AX$2)/100,0)*100))</f>
      </c>
      <c r="AC250">
        <f>IF(OR($F250="",$G250="",$U250=""),"",ROUND($V250-($F250+$U250)*$G250*$AX$6-IF($C250="売",$F250*$G250*$AX$7*$W250/365,0),0))</f>
      </c>
      <c r="AD250" s="608"/>
      <c r="AE250" s="600" t="str">
        <f>IF($E250="","",WORKDAY($E250,12))</f>
        <v/>
      </c>
      <c r="AF250" s="600"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0"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0" t="str">
        <f>IF(OR($B250="",$M250=""),"",IF(AND(N($AF250)=0,N($AG250)=0),IF(AND(ISNUMBER($H250),$H250&gt;0,IF($C250="売",$H250&gt;=$N250,$H250&lt;=$N250)),"損切確定",IF(AND(ISNUMBER($H250),$H250&gt;0,IF($C250="売",$H250&lt;=$M250,$H250&gt;=$M250)),"利益確定",IF($AE250&lt;=TODAY(),"日数制限","保有中"))),IF(N($AG250)=0,"利益確定",IF(N($AF250)=0,"損切確定",IF($AG250&lt;=$AF250,"損切確定","利益確定")))))</f>
        <v/>
      </c>
      <c r="AI250" s="600" t="str" cm="1">
        <f t="array" ref="AI250">IFERROR(INDEX(始値!$E$6:$BT$305,MATCH(TEXT($B250,"0"),TEXT(銘柄管理!$B$6:$B$305,"0"),0),MATCH($AE250,始値!$E$3:$BT$3,0)),"")</f>
        <v/>
      </c>
      <c r="AJ250" s="608" t="str">
        <f>IF(OR($V250="",$F250="",$G250=""),"",$V250/($F250*$G250))</f>
        <v/>
      </c>
      <c r="AK250" s="600" t="str">
        <f>IF($V250="","",IF($V250&gt;0,"○勝",IF($V250&lt;0,"●負","△引分")))</f>
        <v/>
      </c>
    </row>
    <row r="251" spans="1:37" ht="17.25" customHeight="1">
      <c r="A251" s="621" t="str">
        <f>IF(B251="","",HYPERLINK("https://kabutan.jp/stock/?code="&amp;B251,"株探"))</f>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IF(OR(F251="",G251="",H251=""),"",IF(C251="売",(F251-H251)*G251,(H251-F251)*G251))</f>
        <v/>
      </c>
      <c r="L251" s="708" t="str">
        <f>IF(OR(F251="",H251=""),"",IF(C251="売",(F251-H251)/F251,(H251-F251)/F251))</f>
        <v/>
      </c>
      <c r="M251" s="598" t="str">
        <f>IF($F251="","",IF($C251="売",CEILING($F251*IF($C251="売",1-$AX$3,1+$AX$3),IF($F251*IF($C251="売",1-$AX$3,1+$AX$3)&lt;=3000,1,IF($F251*IF($C251="売",1-$AX$3,1+$AX$3)&lt;=5000,5,IF($F251*IF($C251="売",1-$AX$3,1+$AX$3)&lt;=30000,10,IF($F251*IF($C251="売",1-$AX$3,1+$AX$3)&lt;=50000,50,IF($F251*IF($C251="売",1-$AX$3,1+$AX$3)&lt;=300000,100,500)))))),FLOOR($F251*IF($C251="売",1-$AX$3,1+$AX$3),IF($F251*IF($C251="売",1-$AX$3,1+$AX$3)&lt;=3000,1,IF($F251*IF($C251="売",1-$AX$3,1+$AX$3)&lt;=5000,5,IF($F251*IF($C251="売",1-$AX$3,1+$AX$3)&lt;=30000,10,IF($F251*IF($C251="売",1-$AX$3,1+$AX$3)&lt;=50000,50,IF($F251*IF($C251="売",1-$AX$3,1+$AX$3)&lt;=300000,100,500))))))))</f>
      </c>
      <c r="N251" s="598" t="str">
        <f>IF($F251="","",IF($C251="売",CEILING($F251*IF($C251="売",1+$AX$2,1-$AX$2),IF($F251*IF($C251="売",1+$AX$2,1-$AX$2)&lt;=3000,1,IF($F251*IF($C251="売",1+$AX$2,1-$AX$2)&lt;=5000,5,IF($F251*IF($C251="売",1+$AX$2,1-$AX$2)&lt;=30000,10,IF($F251*IF($C251="売",1+$AX$2,1-$AX$2)&lt;=50000,50,IF($F251*IF($C251="売",1+$AX$2,1-$AX$2)&lt;=300000,100,500)))))),FLOOR($F251*IF($C251="売",1+$AX$2,1-$AX$2),IF($F251*IF($C251="売",1+$AX$2,1-$AX$2)&lt;=3000,1,IF($F251*IF($C251="売",1+$AX$2,1-$AX$2)&lt;=5000,5,IF($F251*IF($C251="売",1+$AX$2,1-$AX$2)&lt;=30000,10,IF($F251*IF($C251="売",1+$AX$2,1-$AX$2)&lt;=50000,50,IF($F251*IF($C251="売",1+$AX$2,1-$AX$2)&lt;=300000,100,500))))))))</f>
      </c>
      <c r="O251" s="478" t="str">
        <f>IF(OR($B251="",$F251="",$H251=""),"",IF($S251="✅売却済","―決済済―",IF($C251="売",IF($H251&lt;=$M251,"🟢利確",IF(AND($R251&lt;&gt;"",$H251&gt;=$R251),"🟠TRAIL決済",IF($H251&gt;=$N251,"🔴損切",IF($W251&gt;=$AX$5,"⏱時間決済",IF($H251&gt;=$F251*(1+$AX$2*0.7),"⚠️損切接近","保持継続"))))),IF($H251&gt;=$M251,"🟢利確",IF(AND($R251&lt;&gt;"",$H251&lt;=$R251),"🟠TRAIL決済",IF($H251&lt;=$N251,"🔴損切",IF($W251&gt;=$AX$5,"⏱時間決済",IF($H251&lt;=$F251*(1-$AX$2*0.7),"⚠️損切接近","保持継続")))))))</f>
      </c>
      <c r="P251" s="445"/>
      <c r="Q251" s="445"/>
      <c r="R251" s="480" t="str">
        <f>IF(OR($F251="",$H251="",$N251=""),"",IF($S251="✅売却済","",IF($C251="売",IF($H251&gt;$F251*(1-$AX$2),$N251,CEILING(MIN($N251,IF($Q251="",$N251,$Q251*1.03)),IF($N251&lt;=3000,1,IF($N251&lt;=5000,5,IF($N251&lt;=30000,10,IF($N251&lt;=50000,50,IF($N251&lt;=300000,100,500))))))),IF($H251&lt;$F251*(1+$AX$2),$N251,FLOOR(MAX($N251,IF($P251="",$N251,$P251*0.97)),IF($N251&lt;=3000,1,IF($N251&lt;=5000,5,IF($N251&lt;=30000,10,IF($N251&lt;=50000,50,IF($N251&lt;=300000,100,500))))))))))</f>
      </c>
      <c r="S251" s="480" t="str">
        <f>IF(B251="","",IF(T251&lt;&gt;"","✅売却済",IF(OR(H251="",L251=""),"📌保有中",IF(L251&gt;=0.06,"🟢利確推奨",IF(L251&gt;=0.05,"🟡利確直近",IF(L251&gt;=0.045,"🔵トレーリング検討",IF(L251&gt;-0.03,"📌保有中",IF(L251&gt;-0.04,"⚠️損切注意","🔴損切り"))))))))</f>
        <v/>
      </c>
      <c r="T251" s="596"/>
      <c r="U251" s="598"/>
      <c r="V251" s="703" t="str">
        <f>IF(OR(F251="",G251="",U251=""),"",IF(C251="売",(F251-U251)*G251,(U251-F251)*G251))</f>
        <v/>
      </c>
      <c r="W251" s="480" t="str">
        <f>IF(OR($E251="",$B251=""),"",IF($T251&lt;&gt;"",$T251-$E251,TODAY()-$E251)+1)</f>
        <v/>
      </c>
      <c r="X251" s="480" t="str">
        <f>IF(OR($AH251="",$AH251="保有中"),"",$AH251)</f>
        <v/>
      </c>
      <c r="Y251" s="488">
        <f>IF($B251="","",IF(COUNTIFS($B$4:$B251,$B251,$C$4:$C251,$C251)&gt;1,"⛔重複"&amp;COUNTIFS($B$4:$B251,$B251,$C$4:$C251,$C251)&amp;"回目",""))</f>
      </c>
      <c r="Z251" s="710"/>
      <c r="AB251">
        <f>IF($F251="","",MAX(100,ROUNDDOWN($AX$4/($F251*$AX$2)/100,0)*100))</f>
      </c>
      <c r="AC251">
        <f>IF(OR($F251="",$G251="",$U251=""),"",ROUND($V251-($F251+$U251)*$G251*$AX$6-IF($C251="売",$F251*$G251*$AX$7*$W251/365,0),0))</f>
      </c>
      <c r="AD251" s="608"/>
      <c r="AE251" s="600" t="str">
        <f>IF($E251="","",WORKDAY($E251,12))</f>
        <v/>
      </c>
      <c r="AF251" s="600"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0"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0" t="str">
        <f>IF(OR($B251="",$M251=""),"",IF(AND(N($AF251)=0,N($AG251)=0),IF(AND(ISNUMBER($H251),$H251&gt;0,IF($C251="売",$H251&gt;=$N251,$H251&lt;=$N251)),"損切確定",IF(AND(ISNUMBER($H251),$H251&gt;0,IF($C251="売",$H251&lt;=$M251,$H251&gt;=$M251)),"利益確定",IF($AE251&lt;=TODAY(),"日数制限","保有中"))),IF(N($AG251)=0,"利益確定",IF(N($AF251)=0,"損切確定",IF($AG251&lt;=$AF251,"損切確定","利益確定")))))</f>
        <v/>
      </c>
      <c r="AI251" s="600" t="str" cm="1">
        <f t="array" ref="AI251">IFERROR(INDEX(始値!$E$6:$BT$305,MATCH(TEXT($B251,"0"),TEXT(銘柄管理!$B$6:$B$305,"0"),0),MATCH($AE251,始値!$E$3:$BT$3,0)),"")</f>
        <v/>
      </c>
      <c r="AJ251" s="608" t="str">
        <f>IF(OR($V251="",$F251="",$G251=""),"",$V251/($F251*$G251))</f>
        <v/>
      </c>
      <c r="AK251" s="600" t="str">
        <f>IF($V251="","",IF($V251&gt;0,"○勝",IF($V251&lt;0,"●負","△引分")))</f>
        <v/>
      </c>
    </row>
    <row r="252" spans="1:37" ht="17.25" customHeight="1">
      <c r="A252" s="621" t="str">
        <f>IF(B252="","",HYPERLINK("https://kabutan.jp/stock/?code="&amp;B252,"株探"))</f>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IF(OR(F252="",G252="",H252=""),"",IF(C252="売",(F252-H252)*G252,(H252-F252)*G252))</f>
        <v/>
      </c>
      <c r="L252" s="708" t="str">
        <f>IF(OR(F252="",H252=""),"",IF(C252="売",(F252-H252)/F252,(H252-F252)/F252))</f>
        <v/>
      </c>
      <c r="M252" s="598" t="str">
        <f>IF($F252="","",IF($C252="売",CEILING($F252*IF($C252="売",1-$AX$3,1+$AX$3),IF($F252*IF($C252="売",1-$AX$3,1+$AX$3)&lt;=3000,1,IF($F252*IF($C252="売",1-$AX$3,1+$AX$3)&lt;=5000,5,IF($F252*IF($C252="売",1-$AX$3,1+$AX$3)&lt;=30000,10,IF($F252*IF($C252="売",1-$AX$3,1+$AX$3)&lt;=50000,50,IF($F252*IF($C252="売",1-$AX$3,1+$AX$3)&lt;=300000,100,500)))))),FLOOR($F252*IF($C252="売",1-$AX$3,1+$AX$3),IF($F252*IF($C252="売",1-$AX$3,1+$AX$3)&lt;=3000,1,IF($F252*IF($C252="売",1-$AX$3,1+$AX$3)&lt;=5000,5,IF($F252*IF($C252="売",1-$AX$3,1+$AX$3)&lt;=30000,10,IF($F252*IF($C252="売",1-$AX$3,1+$AX$3)&lt;=50000,50,IF($F252*IF($C252="売",1-$AX$3,1+$AX$3)&lt;=300000,100,500))))))))</f>
      </c>
      <c r="N252" s="598" t="str">
        <f>IF($F252="","",IF($C252="売",CEILING($F252*IF($C252="売",1+$AX$2,1-$AX$2),IF($F252*IF($C252="売",1+$AX$2,1-$AX$2)&lt;=3000,1,IF($F252*IF($C252="売",1+$AX$2,1-$AX$2)&lt;=5000,5,IF($F252*IF($C252="売",1+$AX$2,1-$AX$2)&lt;=30000,10,IF($F252*IF($C252="売",1+$AX$2,1-$AX$2)&lt;=50000,50,IF($F252*IF($C252="売",1+$AX$2,1-$AX$2)&lt;=300000,100,500)))))),FLOOR($F252*IF($C252="売",1+$AX$2,1-$AX$2),IF($F252*IF($C252="売",1+$AX$2,1-$AX$2)&lt;=3000,1,IF($F252*IF($C252="売",1+$AX$2,1-$AX$2)&lt;=5000,5,IF($F252*IF($C252="売",1+$AX$2,1-$AX$2)&lt;=30000,10,IF($F252*IF($C252="売",1+$AX$2,1-$AX$2)&lt;=50000,50,IF($F252*IF($C252="売",1+$AX$2,1-$AX$2)&lt;=300000,100,500))))))))</f>
      </c>
      <c r="O252" s="478" t="str">
        <f>IF(OR($B252="",$F252="",$H252=""),"",IF($S252="✅売却済","―決済済―",IF($C252="売",IF($H252&lt;=$M252,"🟢利確",IF(AND($R252&lt;&gt;"",$H252&gt;=$R252),"🟠TRAIL決済",IF($H252&gt;=$N252,"🔴損切",IF($W252&gt;=$AX$5,"⏱時間決済",IF($H252&gt;=$F252*(1+$AX$2*0.7),"⚠️損切接近","保持継続"))))),IF($H252&gt;=$M252,"🟢利確",IF(AND($R252&lt;&gt;"",$H252&lt;=$R252),"🟠TRAIL決済",IF($H252&lt;=$N252,"🔴損切",IF($W252&gt;=$AX$5,"⏱時間決済",IF($H252&lt;=$F252*(1-$AX$2*0.7),"⚠️損切接近","保持継続")))))))</f>
      </c>
      <c r="P252" s="445"/>
      <c r="Q252" s="445"/>
      <c r="R252" s="480" t="str">
        <f>IF(OR($F252="",$H252="",$N252=""),"",IF($S252="✅売却済","",IF($C252="売",IF($H252&gt;$F252*(1-$AX$2),$N252,CEILING(MIN($N252,IF($Q252="",$N252,$Q252*1.03)),IF($N252&lt;=3000,1,IF($N252&lt;=5000,5,IF($N252&lt;=30000,10,IF($N252&lt;=50000,50,IF($N252&lt;=300000,100,500))))))),IF($H252&lt;$F252*(1+$AX$2),$N252,FLOOR(MAX($N252,IF($P252="",$N252,$P252*0.97)),IF($N252&lt;=3000,1,IF($N252&lt;=5000,5,IF($N252&lt;=30000,10,IF($N252&lt;=50000,50,IF($N252&lt;=300000,100,500))))))))))</f>
      </c>
      <c r="S252" s="480" t="str">
        <f>IF(B252="","",IF(T252&lt;&gt;"","✅売却済",IF(OR(H252="",L252=""),"📌保有中",IF(L252&gt;=0.06,"🟢利確推奨",IF(L252&gt;=0.05,"🟡利確直近",IF(L252&gt;=0.045,"🔵トレーリング検討",IF(L252&gt;-0.03,"📌保有中",IF(L252&gt;-0.04,"⚠️損切注意","🔴損切り"))))))))</f>
        <v/>
      </c>
      <c r="T252" s="596"/>
      <c r="U252" s="598"/>
      <c r="V252" s="703" t="str">
        <f>IF(OR(F252="",G252="",U252=""),"",IF(C252="売",(F252-U252)*G252,(U252-F252)*G252))</f>
        <v/>
      </c>
      <c r="W252" s="480" t="str">
        <f>IF(OR($E252="",$B252=""),"",IF($T252&lt;&gt;"",$T252-$E252,TODAY()-$E252)+1)</f>
        <v/>
      </c>
      <c r="X252" s="480" t="str">
        <f>IF(OR($AH252="",$AH252="保有中"),"",$AH252)</f>
        <v/>
      </c>
      <c r="Y252" s="488">
        <f>IF($B252="","",IF(COUNTIFS($B$4:$B252,$B252,$C$4:$C252,$C252)&gt;1,"⛔重複"&amp;COUNTIFS($B$4:$B252,$B252,$C$4:$C252,$C252)&amp;"回目",""))</f>
      </c>
      <c r="Z252" s="710"/>
      <c r="AB252">
        <f>IF($F252="","",MAX(100,ROUNDDOWN($AX$4/($F252*$AX$2)/100,0)*100))</f>
      </c>
      <c r="AC252">
        <f>IF(OR($F252="",$G252="",$U252=""),"",ROUND($V252-($F252+$U252)*$G252*$AX$6-IF($C252="売",$F252*$G252*$AX$7*$W252/365,0),0))</f>
      </c>
      <c r="AD252" s="608"/>
      <c r="AE252" s="600" t="str">
        <f>IF($E252="","",WORKDAY($E252,12))</f>
        <v/>
      </c>
      <c r="AF252" s="600"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0"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0" t="str">
        <f>IF(OR($B252="",$M252=""),"",IF(AND(N($AF252)=0,N($AG252)=0),IF(AND(ISNUMBER($H252),$H252&gt;0,IF($C252="売",$H252&gt;=$N252,$H252&lt;=$N252)),"損切確定",IF(AND(ISNUMBER($H252),$H252&gt;0,IF($C252="売",$H252&lt;=$M252,$H252&gt;=$M252)),"利益確定",IF($AE252&lt;=TODAY(),"日数制限","保有中"))),IF(N($AG252)=0,"利益確定",IF(N($AF252)=0,"損切確定",IF($AG252&lt;=$AF252,"損切確定","利益確定")))))</f>
        <v/>
      </c>
      <c r="AI252" s="600" t="str" cm="1">
        <f t="array" ref="AI252">IFERROR(INDEX(始値!$E$6:$BT$305,MATCH(TEXT($B252,"0"),TEXT(銘柄管理!$B$6:$B$305,"0"),0),MATCH($AE252,始値!$E$3:$BT$3,0)),"")</f>
        <v/>
      </c>
      <c r="AJ252" s="608" t="str">
        <f>IF(OR($V252="",$F252="",$G252=""),"",$V252/($F252*$G252))</f>
        <v/>
      </c>
      <c r="AK252" s="600" t="str">
        <f>IF($V252="","",IF($V252&gt;0,"○勝",IF($V252&lt;0,"●負","△引分")))</f>
        <v/>
      </c>
    </row>
    <row r="253" spans="1:37" ht="17.25" customHeight="1">
      <c r="A253" s="621" t="str">
        <f>IF(B253="","",HYPERLINK("https://kabutan.jp/stock/?code="&amp;B253,"株探"))</f>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IF(OR(F253="",G253="",H253=""),"",IF(C253="売",(F253-H253)*G253,(H253-F253)*G253))</f>
        <v/>
      </c>
      <c r="L253" s="708" t="str">
        <f>IF(OR(F253="",H253=""),"",IF(C253="売",(F253-H253)/F253,(H253-F253)/F253))</f>
        <v/>
      </c>
      <c r="M253" s="598" t="str">
        <f>IF($F253="","",IF($C253="売",CEILING($F253*IF($C253="売",1-$AX$3,1+$AX$3),IF($F253*IF($C253="売",1-$AX$3,1+$AX$3)&lt;=3000,1,IF($F253*IF($C253="売",1-$AX$3,1+$AX$3)&lt;=5000,5,IF($F253*IF($C253="売",1-$AX$3,1+$AX$3)&lt;=30000,10,IF($F253*IF($C253="売",1-$AX$3,1+$AX$3)&lt;=50000,50,IF($F253*IF($C253="売",1-$AX$3,1+$AX$3)&lt;=300000,100,500)))))),FLOOR($F253*IF($C253="売",1-$AX$3,1+$AX$3),IF($F253*IF($C253="売",1-$AX$3,1+$AX$3)&lt;=3000,1,IF($F253*IF($C253="売",1-$AX$3,1+$AX$3)&lt;=5000,5,IF($F253*IF($C253="売",1-$AX$3,1+$AX$3)&lt;=30000,10,IF($F253*IF($C253="売",1-$AX$3,1+$AX$3)&lt;=50000,50,IF($F253*IF($C253="売",1-$AX$3,1+$AX$3)&lt;=300000,100,500))))))))</f>
      </c>
      <c r="N253" s="598" t="str">
        <f>IF($F253="","",IF($C253="売",CEILING($F253*IF($C253="売",1+$AX$2,1-$AX$2),IF($F253*IF($C253="売",1+$AX$2,1-$AX$2)&lt;=3000,1,IF($F253*IF($C253="売",1+$AX$2,1-$AX$2)&lt;=5000,5,IF($F253*IF($C253="売",1+$AX$2,1-$AX$2)&lt;=30000,10,IF($F253*IF($C253="売",1+$AX$2,1-$AX$2)&lt;=50000,50,IF($F253*IF($C253="売",1+$AX$2,1-$AX$2)&lt;=300000,100,500)))))),FLOOR($F253*IF($C253="売",1+$AX$2,1-$AX$2),IF($F253*IF($C253="売",1+$AX$2,1-$AX$2)&lt;=3000,1,IF($F253*IF($C253="売",1+$AX$2,1-$AX$2)&lt;=5000,5,IF($F253*IF($C253="売",1+$AX$2,1-$AX$2)&lt;=30000,10,IF($F253*IF($C253="売",1+$AX$2,1-$AX$2)&lt;=50000,50,IF($F253*IF($C253="売",1+$AX$2,1-$AX$2)&lt;=300000,100,500))))))))</f>
      </c>
      <c r="O253" s="478" t="str">
        <f>IF(OR($B253="",$F253="",$H253=""),"",IF($S253="✅売却済","―決済済―",IF($C253="売",IF($H253&lt;=$M253,"🟢利確",IF(AND($R253&lt;&gt;"",$H253&gt;=$R253),"🟠TRAIL決済",IF($H253&gt;=$N253,"🔴損切",IF($W253&gt;=$AX$5,"⏱時間決済",IF($H253&gt;=$F253*(1+$AX$2*0.7),"⚠️損切接近","保持継続"))))),IF($H253&gt;=$M253,"🟢利確",IF(AND($R253&lt;&gt;"",$H253&lt;=$R253),"🟠TRAIL決済",IF($H253&lt;=$N253,"🔴損切",IF($W253&gt;=$AX$5,"⏱時間決済",IF($H253&lt;=$F253*(1-$AX$2*0.7),"⚠️損切接近","保持継続")))))))</f>
      </c>
      <c r="P253" s="445"/>
      <c r="Q253" s="445"/>
      <c r="R253" s="480" t="str">
        <f>IF(OR($F253="",$H253="",$N253=""),"",IF($S253="✅売却済","",IF($C253="売",IF($H253&gt;$F253*(1-$AX$2),$N253,CEILING(MIN($N253,IF($Q253="",$N253,$Q253*1.03)),IF($N253&lt;=3000,1,IF($N253&lt;=5000,5,IF($N253&lt;=30000,10,IF($N253&lt;=50000,50,IF($N253&lt;=300000,100,500))))))),IF($H253&lt;$F253*(1+$AX$2),$N253,FLOOR(MAX($N253,IF($P253="",$N253,$P253*0.97)),IF($N253&lt;=3000,1,IF($N253&lt;=5000,5,IF($N253&lt;=30000,10,IF($N253&lt;=50000,50,IF($N253&lt;=300000,100,500))))))))))</f>
      </c>
      <c r="S253" s="480" t="str">
        <f>IF(B253="","",IF(T253&lt;&gt;"","✅売却済",IF(OR(H253="",L253=""),"📌保有中",IF(L253&gt;=0.06,"🟢利確推奨",IF(L253&gt;=0.05,"🟡利確直近",IF(L253&gt;=0.045,"🔵トレーリング検討",IF(L253&gt;-0.03,"📌保有中",IF(L253&gt;-0.04,"⚠️損切注意","🔴損切り"))))))))</f>
        <v/>
      </c>
      <c r="T253" s="596"/>
      <c r="U253" s="598"/>
      <c r="V253" s="703" t="str">
        <f>IF(OR(F253="",G253="",U253=""),"",IF(C253="売",(F253-U253)*G253,(U253-F253)*G253))</f>
        <v/>
      </c>
      <c r="W253" s="480" t="str">
        <f>IF(OR($E253="",$B253=""),"",IF($T253&lt;&gt;"",$T253-$E253,TODAY()-$E253)+1)</f>
        <v/>
      </c>
      <c r="X253" s="480" t="str">
        <f>IF(OR($AH253="",$AH253="保有中"),"",$AH253)</f>
        <v/>
      </c>
      <c r="Y253" s="488">
        <f>IF($B253="","",IF(COUNTIFS($B$4:$B253,$B253,$C$4:$C253,$C253)&gt;1,"⛔重複"&amp;COUNTIFS($B$4:$B253,$B253,$C$4:$C253,$C253)&amp;"回目",""))</f>
      </c>
      <c r="Z253" s="710"/>
      <c r="AB253">
        <f>IF($F253="","",MAX(100,ROUNDDOWN($AX$4/($F253*$AX$2)/100,0)*100))</f>
      </c>
      <c r="AC253">
        <f>IF(OR($F253="",$G253="",$U253=""),"",ROUND($V253-($F253+$U253)*$G253*$AX$6-IF($C253="売",$F253*$G253*$AX$7*$W253/365,0),0))</f>
      </c>
      <c r="AD253" s="608"/>
      <c r="AE253" s="600" t="str">
        <f>IF($E253="","",WORKDAY($E253,12))</f>
        <v/>
      </c>
      <c r="AF253" s="600"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0"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0" t="str">
        <f>IF(OR($B253="",$M253=""),"",IF(AND(N($AF253)=0,N($AG253)=0),IF(AND(ISNUMBER($H253),$H253&gt;0,IF($C253="売",$H253&gt;=$N253,$H253&lt;=$N253)),"損切確定",IF(AND(ISNUMBER($H253),$H253&gt;0,IF($C253="売",$H253&lt;=$M253,$H253&gt;=$M253)),"利益確定",IF($AE253&lt;=TODAY(),"日数制限","保有中"))),IF(N($AG253)=0,"利益確定",IF(N($AF253)=0,"損切確定",IF($AG253&lt;=$AF253,"損切確定","利益確定")))))</f>
        <v/>
      </c>
      <c r="AI253" s="600" t="str" cm="1">
        <f t="array" ref="AI253">IFERROR(INDEX(始値!$E$6:$BT$305,MATCH(TEXT($B253,"0"),TEXT(銘柄管理!$B$6:$B$305,"0"),0),MATCH($AE253,始値!$E$3:$BT$3,0)),"")</f>
        <v/>
      </c>
      <c r="AJ253" s="608" t="str">
        <f>IF(OR($V253="",$F253="",$G253=""),"",$V253/($F253*$G253))</f>
        <v/>
      </c>
      <c r="AK253" s="600" t="str">
        <f>IF($V253="","",IF($V253&gt;0,"○勝",IF($V253&lt;0,"●負","△引分")))</f>
        <v/>
      </c>
    </row>
    <row r="254" spans="1:37" ht="17.25" customHeight="1">
      <c r="A254" s="621" t="str">
        <f>IF(B254="","",HYPERLINK("https://kabutan.jp/stock/?code="&amp;B254,"株探"))</f>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IF(OR(F254="",G254="",H254=""),"",IF(C254="売",(F254-H254)*G254,(H254-F254)*G254))</f>
        <v/>
      </c>
      <c r="L254" s="708" t="str">
        <f>IF(OR(F254="",H254=""),"",IF(C254="売",(F254-H254)/F254,(H254-F254)/F254))</f>
        <v/>
      </c>
      <c r="M254" s="598" t="str">
        <f>IF($F254="","",IF($C254="売",CEILING($F254*IF($C254="売",1-$AX$3,1+$AX$3),IF($F254*IF($C254="売",1-$AX$3,1+$AX$3)&lt;=3000,1,IF($F254*IF($C254="売",1-$AX$3,1+$AX$3)&lt;=5000,5,IF($F254*IF($C254="売",1-$AX$3,1+$AX$3)&lt;=30000,10,IF($F254*IF($C254="売",1-$AX$3,1+$AX$3)&lt;=50000,50,IF($F254*IF($C254="売",1-$AX$3,1+$AX$3)&lt;=300000,100,500)))))),FLOOR($F254*IF($C254="売",1-$AX$3,1+$AX$3),IF($F254*IF($C254="売",1-$AX$3,1+$AX$3)&lt;=3000,1,IF($F254*IF($C254="売",1-$AX$3,1+$AX$3)&lt;=5000,5,IF($F254*IF($C254="売",1-$AX$3,1+$AX$3)&lt;=30000,10,IF($F254*IF($C254="売",1-$AX$3,1+$AX$3)&lt;=50000,50,IF($F254*IF($C254="売",1-$AX$3,1+$AX$3)&lt;=300000,100,500))))))))</f>
      </c>
      <c r="N254" s="598" t="str">
        <f>IF($F254="","",IF($C254="売",CEILING($F254*IF($C254="売",1+$AX$2,1-$AX$2),IF($F254*IF($C254="売",1+$AX$2,1-$AX$2)&lt;=3000,1,IF($F254*IF($C254="売",1+$AX$2,1-$AX$2)&lt;=5000,5,IF($F254*IF($C254="売",1+$AX$2,1-$AX$2)&lt;=30000,10,IF($F254*IF($C254="売",1+$AX$2,1-$AX$2)&lt;=50000,50,IF($F254*IF($C254="売",1+$AX$2,1-$AX$2)&lt;=300000,100,500)))))),FLOOR($F254*IF($C254="売",1+$AX$2,1-$AX$2),IF($F254*IF($C254="売",1+$AX$2,1-$AX$2)&lt;=3000,1,IF($F254*IF($C254="売",1+$AX$2,1-$AX$2)&lt;=5000,5,IF($F254*IF($C254="売",1+$AX$2,1-$AX$2)&lt;=30000,10,IF($F254*IF($C254="売",1+$AX$2,1-$AX$2)&lt;=50000,50,IF($F254*IF($C254="売",1+$AX$2,1-$AX$2)&lt;=300000,100,500))))))))</f>
      </c>
      <c r="O254" s="478" t="str">
        <f>IF(OR($B254="",$F254="",$H254=""),"",IF($S254="✅売却済","―決済済―",IF($C254="売",IF($H254&lt;=$M254,"🟢利確",IF(AND($R254&lt;&gt;"",$H254&gt;=$R254),"🟠TRAIL決済",IF($H254&gt;=$N254,"🔴損切",IF($W254&gt;=$AX$5,"⏱時間決済",IF($H254&gt;=$F254*(1+$AX$2*0.7),"⚠️損切接近","保持継続"))))),IF($H254&gt;=$M254,"🟢利確",IF(AND($R254&lt;&gt;"",$H254&lt;=$R254),"🟠TRAIL決済",IF($H254&lt;=$N254,"🔴損切",IF($W254&gt;=$AX$5,"⏱時間決済",IF($H254&lt;=$F254*(1-$AX$2*0.7),"⚠️損切接近","保持継続")))))))</f>
      </c>
      <c r="P254" s="445"/>
      <c r="Q254" s="445"/>
      <c r="R254" s="480" t="str">
        <f>IF(OR($F254="",$H254="",$N254=""),"",IF($S254="✅売却済","",IF($C254="売",IF($H254&gt;$F254*(1-$AX$2),$N254,CEILING(MIN($N254,IF($Q254="",$N254,$Q254*1.03)),IF($N254&lt;=3000,1,IF($N254&lt;=5000,5,IF($N254&lt;=30000,10,IF($N254&lt;=50000,50,IF($N254&lt;=300000,100,500))))))),IF($H254&lt;$F254*(1+$AX$2),$N254,FLOOR(MAX($N254,IF($P254="",$N254,$P254*0.97)),IF($N254&lt;=3000,1,IF($N254&lt;=5000,5,IF($N254&lt;=30000,10,IF($N254&lt;=50000,50,IF($N254&lt;=300000,100,500))))))))))</f>
      </c>
      <c r="S254" s="480" t="str">
        <f>IF(B254="","",IF(T254&lt;&gt;"","✅売却済",IF(OR(H254="",L254=""),"📌保有中",IF(L254&gt;=0.06,"🟢利確推奨",IF(L254&gt;=0.05,"🟡利確直近",IF(L254&gt;=0.045,"🔵トレーリング検討",IF(L254&gt;-0.03,"📌保有中",IF(L254&gt;-0.04,"⚠️損切注意","🔴損切り"))))))))</f>
        <v/>
      </c>
      <c r="T254" s="596"/>
      <c r="U254" s="598"/>
      <c r="V254" s="703" t="str">
        <f>IF(OR(F254="",G254="",U254=""),"",IF(C254="売",(F254-U254)*G254,(U254-F254)*G254))</f>
        <v/>
      </c>
      <c r="W254" s="480" t="str">
        <f>IF(OR($E254="",$B254=""),"",IF($T254&lt;&gt;"",$T254-$E254,TODAY()-$E254)+1)</f>
        <v/>
      </c>
      <c r="X254" s="480" t="str">
        <f>IF(OR($AH254="",$AH254="保有中"),"",$AH254)</f>
        <v/>
      </c>
      <c r="Y254" s="488">
        <f>IF($B254="","",IF(COUNTIFS($B$4:$B254,$B254,$C$4:$C254,$C254)&gt;1,"⛔重複"&amp;COUNTIFS($B$4:$B254,$B254,$C$4:$C254,$C254)&amp;"回目",""))</f>
      </c>
      <c r="Z254" s="710"/>
      <c r="AB254">
        <f>IF($F254="","",MAX(100,ROUNDDOWN($AX$4/($F254*$AX$2)/100,0)*100))</f>
      </c>
      <c r="AC254">
        <f>IF(OR($F254="",$G254="",$U254=""),"",ROUND($V254-($F254+$U254)*$G254*$AX$6-IF($C254="売",$F254*$G254*$AX$7*$W254/365,0),0))</f>
      </c>
      <c r="AD254" s="608"/>
      <c r="AE254" s="600" t="str">
        <f>IF($E254="","",WORKDAY($E254,12))</f>
        <v/>
      </c>
      <c r="AF254" s="600"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0"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0" t="str">
        <f>IF(OR($B254="",$M254=""),"",IF(AND(N($AF254)=0,N($AG254)=0),IF(AND(ISNUMBER($H254),$H254&gt;0,IF($C254="売",$H254&gt;=$N254,$H254&lt;=$N254)),"損切確定",IF(AND(ISNUMBER($H254),$H254&gt;0,IF($C254="売",$H254&lt;=$M254,$H254&gt;=$M254)),"利益確定",IF($AE254&lt;=TODAY(),"日数制限","保有中"))),IF(N($AG254)=0,"利益確定",IF(N($AF254)=0,"損切確定",IF($AG254&lt;=$AF254,"損切確定","利益確定")))))</f>
        <v/>
      </c>
      <c r="AI254" s="600" t="str" cm="1">
        <f t="array" ref="AI254">IFERROR(INDEX(始値!$E$6:$BT$305,MATCH(TEXT($B254,"0"),TEXT(銘柄管理!$B$6:$B$305,"0"),0),MATCH($AE254,始値!$E$3:$BT$3,0)),"")</f>
        <v/>
      </c>
      <c r="AJ254" s="608" t="str">
        <f>IF(OR($V254="",$F254="",$G254=""),"",$V254/($F254*$G254))</f>
        <v/>
      </c>
      <c r="AK254" s="600" t="str">
        <f>IF($V254="","",IF($V254&gt;0,"○勝",IF($V254&lt;0,"●負","△引分")))</f>
        <v/>
      </c>
    </row>
    <row r="255" spans="1:37" ht="17.25" customHeight="1">
      <c r="A255" s="621" t="str">
        <f>IF(B255="","",HYPERLINK("https://kabutan.jp/stock/?code="&amp;B255,"株探"))</f>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IF(OR(F255="",G255="",H255=""),"",IF(C255="売",(F255-H255)*G255,(H255-F255)*G255))</f>
        <v/>
      </c>
      <c r="L255" s="708" t="str">
        <f>IF(OR(F255="",H255=""),"",IF(C255="売",(F255-H255)/F255,(H255-F255)/F255))</f>
        <v/>
      </c>
      <c r="M255" s="598" t="str">
        <f>IF($F255="","",IF($C255="売",CEILING($F255*IF($C255="売",1-$AX$3,1+$AX$3),IF($F255*IF($C255="売",1-$AX$3,1+$AX$3)&lt;=3000,1,IF($F255*IF($C255="売",1-$AX$3,1+$AX$3)&lt;=5000,5,IF($F255*IF($C255="売",1-$AX$3,1+$AX$3)&lt;=30000,10,IF($F255*IF($C255="売",1-$AX$3,1+$AX$3)&lt;=50000,50,IF($F255*IF($C255="売",1-$AX$3,1+$AX$3)&lt;=300000,100,500)))))),FLOOR($F255*IF($C255="売",1-$AX$3,1+$AX$3),IF($F255*IF($C255="売",1-$AX$3,1+$AX$3)&lt;=3000,1,IF($F255*IF($C255="売",1-$AX$3,1+$AX$3)&lt;=5000,5,IF($F255*IF($C255="売",1-$AX$3,1+$AX$3)&lt;=30000,10,IF($F255*IF($C255="売",1-$AX$3,1+$AX$3)&lt;=50000,50,IF($F255*IF($C255="売",1-$AX$3,1+$AX$3)&lt;=300000,100,500))))))))</f>
      </c>
      <c r="N255" s="598" t="str">
        <f>IF($F255="","",IF($C255="売",CEILING($F255*IF($C255="売",1+$AX$2,1-$AX$2),IF($F255*IF($C255="売",1+$AX$2,1-$AX$2)&lt;=3000,1,IF($F255*IF($C255="売",1+$AX$2,1-$AX$2)&lt;=5000,5,IF($F255*IF($C255="売",1+$AX$2,1-$AX$2)&lt;=30000,10,IF($F255*IF($C255="売",1+$AX$2,1-$AX$2)&lt;=50000,50,IF($F255*IF($C255="売",1+$AX$2,1-$AX$2)&lt;=300000,100,500)))))),FLOOR($F255*IF($C255="売",1+$AX$2,1-$AX$2),IF($F255*IF($C255="売",1+$AX$2,1-$AX$2)&lt;=3000,1,IF($F255*IF($C255="売",1+$AX$2,1-$AX$2)&lt;=5000,5,IF($F255*IF($C255="売",1+$AX$2,1-$AX$2)&lt;=30000,10,IF($F255*IF($C255="売",1+$AX$2,1-$AX$2)&lt;=50000,50,IF($F255*IF($C255="売",1+$AX$2,1-$AX$2)&lt;=300000,100,500))))))))</f>
      </c>
      <c r="O255" s="478" t="str">
        <f>IF(OR($B255="",$F255="",$H255=""),"",IF($S255="✅売却済","―決済済―",IF($C255="売",IF($H255&lt;=$M255,"🟢利確",IF(AND($R255&lt;&gt;"",$H255&gt;=$R255),"🟠TRAIL決済",IF($H255&gt;=$N255,"🔴損切",IF($W255&gt;=$AX$5,"⏱時間決済",IF($H255&gt;=$F255*(1+$AX$2*0.7),"⚠️損切接近","保持継続"))))),IF($H255&gt;=$M255,"🟢利確",IF(AND($R255&lt;&gt;"",$H255&lt;=$R255),"🟠TRAIL決済",IF($H255&lt;=$N255,"🔴損切",IF($W255&gt;=$AX$5,"⏱時間決済",IF($H255&lt;=$F255*(1-$AX$2*0.7),"⚠️損切接近","保持継続")))))))</f>
      </c>
      <c r="P255" s="445"/>
      <c r="Q255" s="445"/>
      <c r="R255" s="480" t="str">
        <f>IF(OR($F255="",$H255="",$N255=""),"",IF($S255="✅売却済","",IF($C255="売",IF($H255&gt;$F255*(1-$AX$2),$N255,CEILING(MIN($N255,IF($Q255="",$N255,$Q255*1.03)),IF($N255&lt;=3000,1,IF($N255&lt;=5000,5,IF($N255&lt;=30000,10,IF($N255&lt;=50000,50,IF($N255&lt;=300000,100,500))))))),IF($H255&lt;$F255*(1+$AX$2),$N255,FLOOR(MAX($N255,IF($P255="",$N255,$P255*0.97)),IF($N255&lt;=3000,1,IF($N255&lt;=5000,5,IF($N255&lt;=30000,10,IF($N255&lt;=50000,50,IF($N255&lt;=300000,100,500))))))))))</f>
      </c>
      <c r="S255" s="480" t="str">
        <f>IF(B255="","",IF(T255&lt;&gt;"","✅売却済",IF(OR(H255="",L255=""),"📌保有中",IF(L255&gt;=0.06,"🟢利確推奨",IF(L255&gt;=0.05,"🟡利確直近",IF(L255&gt;=0.045,"🔵トレーリング検討",IF(L255&gt;-0.03,"📌保有中",IF(L255&gt;-0.04,"⚠️損切注意","🔴損切り"))))))))</f>
        <v/>
      </c>
      <c r="T255" s="596"/>
      <c r="U255" s="598"/>
      <c r="V255" s="703" t="str">
        <f>IF(OR(F255="",G255="",U255=""),"",IF(C255="売",(F255-U255)*G255,(U255-F255)*G255))</f>
        <v/>
      </c>
      <c r="W255" s="480" t="str">
        <f>IF(OR($E255="",$B255=""),"",IF($T255&lt;&gt;"",$T255-$E255,TODAY()-$E255)+1)</f>
        <v/>
      </c>
      <c r="X255" s="480" t="str">
        <f>IF(OR($AH255="",$AH255="保有中"),"",$AH255)</f>
        <v/>
      </c>
      <c r="Y255" s="488">
        <f>IF($B255="","",IF(COUNTIFS($B$4:$B255,$B255,$C$4:$C255,$C255)&gt;1,"⛔重複"&amp;COUNTIFS($B$4:$B255,$B255,$C$4:$C255,$C255)&amp;"回目",""))</f>
      </c>
      <c r="Z255" s="710"/>
      <c r="AB255">
        <f>IF($F255="","",MAX(100,ROUNDDOWN($AX$4/($F255*$AX$2)/100,0)*100))</f>
      </c>
      <c r="AC255">
        <f>IF(OR($F255="",$G255="",$U255=""),"",ROUND($V255-($F255+$U255)*$G255*$AX$6-IF($C255="売",$F255*$G255*$AX$7*$W255/365,0),0))</f>
      </c>
      <c r="AD255" s="608"/>
      <c r="AE255" s="600" t="str">
        <f>IF($E255="","",WORKDAY($E255,12))</f>
        <v/>
      </c>
      <c r="AF255" s="600"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0"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0" t="str">
        <f>IF(OR($B255="",$M255=""),"",IF(AND(N($AF255)=0,N($AG255)=0),IF(AND(ISNUMBER($H255),$H255&gt;0,IF($C255="売",$H255&gt;=$N255,$H255&lt;=$N255)),"損切確定",IF(AND(ISNUMBER($H255),$H255&gt;0,IF($C255="売",$H255&lt;=$M255,$H255&gt;=$M255)),"利益確定",IF($AE255&lt;=TODAY(),"日数制限","保有中"))),IF(N($AG255)=0,"利益確定",IF(N($AF255)=0,"損切確定",IF($AG255&lt;=$AF255,"損切確定","利益確定")))))</f>
        <v/>
      </c>
      <c r="AI255" s="600" t="str" cm="1">
        <f t="array" ref="AI255">IFERROR(INDEX(始値!$E$6:$BT$305,MATCH(TEXT($B255,"0"),TEXT(銘柄管理!$B$6:$B$305,"0"),0),MATCH($AE255,始値!$E$3:$BT$3,0)),"")</f>
        <v/>
      </c>
      <c r="AJ255" s="608" t="str">
        <f>IF(OR($V255="",$F255="",$G255=""),"",$V255/($F255*$G255))</f>
        <v/>
      </c>
      <c r="AK255" s="600" t="str">
        <f>IF($V255="","",IF($V255&gt;0,"○勝",IF($V255&lt;0,"●負","△引分")))</f>
        <v/>
      </c>
    </row>
    <row r="256" spans="1:37" ht="17.25" customHeight="1">
      <c r="A256" s="621" t="str">
        <f>IF(B256="","",HYPERLINK("https://kabutan.jp/stock/?code="&amp;B256,"株探"))</f>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IF(OR(F256="",G256="",H256=""),"",IF(C256="売",(F256-H256)*G256,(H256-F256)*G256))</f>
        <v/>
      </c>
      <c r="L256" s="708" t="str">
        <f>IF(OR(F256="",H256=""),"",IF(C256="売",(F256-H256)/F256,(H256-F256)/F256))</f>
        <v/>
      </c>
      <c r="M256" s="598" t="str">
        <f>IF($F256="","",IF($C256="売",CEILING($F256*IF($C256="売",1-$AX$3,1+$AX$3),IF($F256*IF($C256="売",1-$AX$3,1+$AX$3)&lt;=3000,1,IF($F256*IF($C256="売",1-$AX$3,1+$AX$3)&lt;=5000,5,IF($F256*IF($C256="売",1-$AX$3,1+$AX$3)&lt;=30000,10,IF($F256*IF($C256="売",1-$AX$3,1+$AX$3)&lt;=50000,50,IF($F256*IF($C256="売",1-$AX$3,1+$AX$3)&lt;=300000,100,500)))))),FLOOR($F256*IF($C256="売",1-$AX$3,1+$AX$3),IF($F256*IF($C256="売",1-$AX$3,1+$AX$3)&lt;=3000,1,IF($F256*IF($C256="売",1-$AX$3,1+$AX$3)&lt;=5000,5,IF($F256*IF($C256="売",1-$AX$3,1+$AX$3)&lt;=30000,10,IF($F256*IF($C256="売",1-$AX$3,1+$AX$3)&lt;=50000,50,IF($F256*IF($C256="売",1-$AX$3,1+$AX$3)&lt;=300000,100,500))))))))</f>
      </c>
      <c r="N256" s="598" t="str">
        <f>IF($F256="","",IF($C256="売",CEILING($F256*IF($C256="売",1+$AX$2,1-$AX$2),IF($F256*IF($C256="売",1+$AX$2,1-$AX$2)&lt;=3000,1,IF($F256*IF($C256="売",1+$AX$2,1-$AX$2)&lt;=5000,5,IF($F256*IF($C256="売",1+$AX$2,1-$AX$2)&lt;=30000,10,IF($F256*IF($C256="売",1+$AX$2,1-$AX$2)&lt;=50000,50,IF($F256*IF($C256="売",1+$AX$2,1-$AX$2)&lt;=300000,100,500)))))),FLOOR($F256*IF($C256="売",1+$AX$2,1-$AX$2),IF($F256*IF($C256="売",1+$AX$2,1-$AX$2)&lt;=3000,1,IF($F256*IF($C256="売",1+$AX$2,1-$AX$2)&lt;=5000,5,IF($F256*IF($C256="売",1+$AX$2,1-$AX$2)&lt;=30000,10,IF($F256*IF($C256="売",1+$AX$2,1-$AX$2)&lt;=50000,50,IF($F256*IF($C256="売",1+$AX$2,1-$AX$2)&lt;=300000,100,500))))))))</f>
      </c>
      <c r="O256" s="478" t="str">
        <f>IF(OR($B256="",$F256="",$H256=""),"",IF($S256="✅売却済","―決済済―",IF($C256="売",IF($H256&lt;=$M256,"🟢利確",IF(AND($R256&lt;&gt;"",$H256&gt;=$R256),"🟠TRAIL決済",IF($H256&gt;=$N256,"🔴損切",IF($W256&gt;=$AX$5,"⏱時間決済",IF($H256&gt;=$F256*(1+$AX$2*0.7),"⚠️損切接近","保持継続"))))),IF($H256&gt;=$M256,"🟢利確",IF(AND($R256&lt;&gt;"",$H256&lt;=$R256),"🟠TRAIL決済",IF($H256&lt;=$N256,"🔴損切",IF($W256&gt;=$AX$5,"⏱時間決済",IF($H256&lt;=$F256*(1-$AX$2*0.7),"⚠️損切接近","保持継続")))))))</f>
      </c>
      <c r="P256" s="445"/>
      <c r="Q256" s="445"/>
      <c r="R256" s="480" t="str">
        <f>IF(OR($F256="",$H256="",$N256=""),"",IF($S256="✅売却済","",IF($C256="売",IF($H256&gt;$F256*(1-$AX$2),$N256,CEILING(MIN($N256,IF($Q256="",$N256,$Q256*1.03)),IF($N256&lt;=3000,1,IF($N256&lt;=5000,5,IF($N256&lt;=30000,10,IF($N256&lt;=50000,50,IF($N256&lt;=300000,100,500))))))),IF($H256&lt;$F256*(1+$AX$2),$N256,FLOOR(MAX($N256,IF($P256="",$N256,$P256*0.97)),IF($N256&lt;=3000,1,IF($N256&lt;=5000,5,IF($N256&lt;=30000,10,IF($N256&lt;=50000,50,IF($N256&lt;=300000,100,500))))))))))</f>
      </c>
      <c r="S256" s="480" t="str">
        <f>IF(B256="","",IF(T256&lt;&gt;"","✅売却済",IF(OR(H256="",L256=""),"📌保有中",IF(L256&gt;=0.06,"🟢利確推奨",IF(L256&gt;=0.05,"🟡利確直近",IF(L256&gt;=0.045,"🔵トレーリング検討",IF(L256&gt;-0.03,"📌保有中",IF(L256&gt;-0.04,"⚠️損切注意","🔴損切り"))))))))</f>
        <v/>
      </c>
      <c r="T256" s="596"/>
      <c r="U256" s="598"/>
      <c r="V256" s="703" t="str">
        <f>IF(OR(F256="",G256="",U256=""),"",IF(C256="売",(F256-U256)*G256,(U256-F256)*G256))</f>
        <v/>
      </c>
      <c r="W256" s="480" t="str">
        <f>IF(OR($E256="",$B256=""),"",IF($T256&lt;&gt;"",$T256-$E256,TODAY()-$E256)+1)</f>
        <v/>
      </c>
      <c r="X256" s="480" t="str">
        <f>IF(OR($AH256="",$AH256="保有中"),"",$AH256)</f>
        <v/>
      </c>
      <c r="Y256" s="488">
        <f>IF($B256="","",IF(COUNTIFS($B$4:$B256,$B256,$C$4:$C256,$C256)&gt;1,"⛔重複"&amp;COUNTIFS($B$4:$B256,$B256,$C$4:$C256,$C256)&amp;"回目",""))</f>
      </c>
      <c r="Z256" s="710"/>
      <c r="AB256">
        <f>IF($F256="","",MAX(100,ROUNDDOWN($AX$4/($F256*$AX$2)/100,0)*100))</f>
      </c>
      <c r="AC256">
        <f>IF(OR($F256="",$G256="",$U256=""),"",ROUND($V256-($F256+$U256)*$G256*$AX$6-IF($C256="売",$F256*$G256*$AX$7*$W256/365,0),0))</f>
      </c>
      <c r="AD256" s="608"/>
      <c r="AE256" s="600" t="str">
        <f>IF($E256="","",WORKDAY($E256,12))</f>
        <v/>
      </c>
      <c r="AF256" s="600"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0"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0" t="str">
        <f>IF(OR($B256="",$M256=""),"",IF(AND(N($AF256)=0,N($AG256)=0),IF(AND(ISNUMBER($H256),$H256&gt;0,IF($C256="売",$H256&gt;=$N256,$H256&lt;=$N256)),"損切確定",IF(AND(ISNUMBER($H256),$H256&gt;0,IF($C256="売",$H256&lt;=$M256,$H256&gt;=$M256)),"利益確定",IF($AE256&lt;=TODAY(),"日数制限","保有中"))),IF(N($AG256)=0,"利益確定",IF(N($AF256)=0,"損切確定",IF($AG256&lt;=$AF256,"損切確定","利益確定")))))</f>
        <v/>
      </c>
      <c r="AI256" s="600" t="str" cm="1">
        <f t="array" ref="AI256">IFERROR(INDEX(始値!$E$6:$BT$305,MATCH(TEXT($B256,"0"),TEXT(銘柄管理!$B$6:$B$305,"0"),0),MATCH($AE256,始値!$E$3:$BT$3,0)),"")</f>
        <v/>
      </c>
      <c r="AJ256" s="608" t="str">
        <f>IF(OR($V256="",$F256="",$G256=""),"",$V256/($F256*$G256))</f>
        <v/>
      </c>
      <c r="AK256" s="600" t="str">
        <f>IF($V256="","",IF($V256&gt;0,"○勝",IF($V256&lt;0,"●負","△引分")))</f>
        <v/>
      </c>
    </row>
    <row r="257" spans="1:37" ht="17.25" customHeight="1">
      <c r="A257" s="621" t="str">
        <f>IF(B257="","",HYPERLINK("https://kabutan.jp/stock/?code="&amp;B257,"株探"))</f>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IF(OR(F257="",G257="",H257=""),"",IF(C257="売",(F257-H257)*G257,(H257-F257)*G257))</f>
        <v/>
      </c>
      <c r="L257" s="708" t="str">
        <f>IF(OR(F257="",H257=""),"",IF(C257="売",(F257-H257)/F257,(H257-F257)/F257))</f>
        <v/>
      </c>
      <c r="M257" s="598" t="str">
        <f>IF($F257="","",IF($C257="売",CEILING($F257*IF($C257="売",1-$AX$3,1+$AX$3),IF($F257*IF($C257="売",1-$AX$3,1+$AX$3)&lt;=3000,1,IF($F257*IF($C257="売",1-$AX$3,1+$AX$3)&lt;=5000,5,IF($F257*IF($C257="売",1-$AX$3,1+$AX$3)&lt;=30000,10,IF($F257*IF($C257="売",1-$AX$3,1+$AX$3)&lt;=50000,50,IF($F257*IF($C257="売",1-$AX$3,1+$AX$3)&lt;=300000,100,500)))))),FLOOR($F257*IF($C257="売",1-$AX$3,1+$AX$3),IF($F257*IF($C257="売",1-$AX$3,1+$AX$3)&lt;=3000,1,IF($F257*IF($C257="売",1-$AX$3,1+$AX$3)&lt;=5000,5,IF($F257*IF($C257="売",1-$AX$3,1+$AX$3)&lt;=30000,10,IF($F257*IF($C257="売",1-$AX$3,1+$AX$3)&lt;=50000,50,IF($F257*IF($C257="売",1-$AX$3,1+$AX$3)&lt;=300000,100,500))))))))</f>
      </c>
      <c r="N257" s="598" t="str">
        <f>IF($F257="","",IF($C257="売",CEILING($F257*IF($C257="売",1+$AX$2,1-$AX$2),IF($F257*IF($C257="売",1+$AX$2,1-$AX$2)&lt;=3000,1,IF($F257*IF($C257="売",1+$AX$2,1-$AX$2)&lt;=5000,5,IF($F257*IF($C257="売",1+$AX$2,1-$AX$2)&lt;=30000,10,IF($F257*IF($C257="売",1+$AX$2,1-$AX$2)&lt;=50000,50,IF($F257*IF($C257="売",1+$AX$2,1-$AX$2)&lt;=300000,100,500)))))),FLOOR($F257*IF($C257="売",1+$AX$2,1-$AX$2),IF($F257*IF($C257="売",1+$AX$2,1-$AX$2)&lt;=3000,1,IF($F257*IF($C257="売",1+$AX$2,1-$AX$2)&lt;=5000,5,IF($F257*IF($C257="売",1+$AX$2,1-$AX$2)&lt;=30000,10,IF($F257*IF($C257="売",1+$AX$2,1-$AX$2)&lt;=50000,50,IF($F257*IF($C257="売",1+$AX$2,1-$AX$2)&lt;=300000,100,500))))))))</f>
      </c>
      <c r="O257" s="478" t="str">
        <f>IF(OR($B257="",$F257="",$H257=""),"",IF($S257="✅売却済","―決済済―",IF($C257="売",IF($H257&lt;=$M257,"🟢利確",IF(AND($R257&lt;&gt;"",$H257&gt;=$R257),"🟠TRAIL決済",IF($H257&gt;=$N257,"🔴損切",IF($W257&gt;=$AX$5,"⏱時間決済",IF($H257&gt;=$F257*(1+$AX$2*0.7),"⚠️損切接近","保持継続"))))),IF($H257&gt;=$M257,"🟢利確",IF(AND($R257&lt;&gt;"",$H257&lt;=$R257),"🟠TRAIL決済",IF($H257&lt;=$N257,"🔴損切",IF($W257&gt;=$AX$5,"⏱時間決済",IF($H257&lt;=$F257*(1-$AX$2*0.7),"⚠️損切接近","保持継続")))))))</f>
      </c>
      <c r="P257" s="445"/>
      <c r="Q257" s="445"/>
      <c r="R257" s="480" t="str">
        <f>IF(OR($F257="",$H257="",$N257=""),"",IF($S257="✅売却済","",IF($C257="売",IF($H257&gt;$F257*(1-$AX$2),$N257,CEILING(MIN($N257,IF($Q257="",$N257,$Q257*1.03)),IF($N257&lt;=3000,1,IF($N257&lt;=5000,5,IF($N257&lt;=30000,10,IF($N257&lt;=50000,50,IF($N257&lt;=300000,100,500))))))),IF($H257&lt;$F257*(1+$AX$2),$N257,FLOOR(MAX($N257,IF($P257="",$N257,$P257*0.97)),IF($N257&lt;=3000,1,IF($N257&lt;=5000,5,IF($N257&lt;=30000,10,IF($N257&lt;=50000,50,IF($N257&lt;=300000,100,500))))))))))</f>
      </c>
      <c r="S257" s="480" t="str">
        <f>IF(B257="","",IF(T257&lt;&gt;"","✅売却済",IF(OR(H257="",L257=""),"📌保有中",IF(L257&gt;=0.06,"🟢利確推奨",IF(L257&gt;=0.05,"🟡利確直近",IF(L257&gt;=0.045,"🔵トレーリング検討",IF(L257&gt;-0.03,"📌保有中",IF(L257&gt;-0.04,"⚠️損切注意","🔴損切り"))))))))</f>
        <v/>
      </c>
      <c r="T257" s="596"/>
      <c r="U257" s="598"/>
      <c r="V257" s="703" t="str">
        <f>IF(OR(F257="",G257="",U257=""),"",IF(C257="売",(F257-U257)*G257,(U257-F257)*G257))</f>
        <v/>
      </c>
      <c r="W257" s="480" t="str">
        <f>IF(OR($E257="",$B257=""),"",IF($T257&lt;&gt;"",$T257-$E257,TODAY()-$E257)+1)</f>
        <v/>
      </c>
      <c r="X257" s="480" t="str">
        <f>IF(OR($AH257="",$AH257="保有中"),"",$AH257)</f>
        <v/>
      </c>
      <c r="Y257" s="488">
        <f>IF($B257="","",IF(COUNTIFS($B$4:$B257,$B257,$C$4:$C257,$C257)&gt;1,"⛔重複"&amp;COUNTIFS($B$4:$B257,$B257,$C$4:$C257,$C257)&amp;"回目",""))</f>
      </c>
      <c r="Z257" s="710"/>
      <c r="AB257">
        <f>IF($F257="","",MAX(100,ROUNDDOWN($AX$4/($F257*$AX$2)/100,0)*100))</f>
      </c>
      <c r="AC257">
        <f>IF(OR($F257="",$G257="",$U257=""),"",ROUND($V257-($F257+$U257)*$G257*$AX$6-IF($C257="売",$F257*$G257*$AX$7*$W257/365,0),0))</f>
      </c>
      <c r="AD257" s="608"/>
      <c r="AE257" s="600" t="str">
        <f>IF($E257="","",WORKDAY($E257,12))</f>
        <v/>
      </c>
      <c r="AF257" s="600"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0"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0" t="str">
        <f>IF(OR($B257="",$M257=""),"",IF(AND(N($AF257)=0,N($AG257)=0),IF(AND(ISNUMBER($H257),$H257&gt;0,IF($C257="売",$H257&gt;=$N257,$H257&lt;=$N257)),"損切確定",IF(AND(ISNUMBER($H257),$H257&gt;0,IF($C257="売",$H257&lt;=$M257,$H257&gt;=$M257)),"利益確定",IF($AE257&lt;=TODAY(),"日数制限","保有中"))),IF(N($AG257)=0,"利益確定",IF(N($AF257)=0,"損切確定",IF($AG257&lt;=$AF257,"損切確定","利益確定")))))</f>
        <v/>
      </c>
      <c r="AI257" s="600" t="str" cm="1">
        <f t="array" ref="AI257">IFERROR(INDEX(始値!$E$6:$BT$305,MATCH(TEXT($B257,"0"),TEXT(銘柄管理!$B$6:$B$305,"0"),0),MATCH($AE257,始値!$E$3:$BT$3,0)),"")</f>
        <v/>
      </c>
      <c r="AJ257" s="608" t="str">
        <f>IF(OR($V257="",$F257="",$G257=""),"",$V257/($F257*$G257))</f>
        <v/>
      </c>
      <c r="AK257" s="600" t="str">
        <f>IF($V257="","",IF($V257&gt;0,"○勝",IF($V257&lt;0,"●負","△引分")))</f>
        <v/>
      </c>
    </row>
    <row r="258" spans="1:37" ht="17.25" customHeight="1">
      <c r="A258" s="621" t="str">
        <f>IF(B258="","",HYPERLINK("https://kabutan.jp/stock/?code="&amp;B258,"株探"))</f>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IF(OR(F258="",G258="",H258=""),"",IF(C258="売",(F258-H258)*G258,(H258-F258)*G258))</f>
        <v/>
      </c>
      <c r="L258" s="708" t="str">
        <f>IF(OR(F258="",H258=""),"",IF(C258="売",(F258-H258)/F258,(H258-F258)/F258))</f>
        <v/>
      </c>
      <c r="M258" s="598" t="str">
        <f>IF($F258="","",IF($C258="売",CEILING($F258*IF($C258="売",1-$AX$3,1+$AX$3),IF($F258*IF($C258="売",1-$AX$3,1+$AX$3)&lt;=3000,1,IF($F258*IF($C258="売",1-$AX$3,1+$AX$3)&lt;=5000,5,IF($F258*IF($C258="売",1-$AX$3,1+$AX$3)&lt;=30000,10,IF($F258*IF($C258="売",1-$AX$3,1+$AX$3)&lt;=50000,50,IF($F258*IF($C258="売",1-$AX$3,1+$AX$3)&lt;=300000,100,500)))))),FLOOR($F258*IF($C258="売",1-$AX$3,1+$AX$3),IF($F258*IF($C258="売",1-$AX$3,1+$AX$3)&lt;=3000,1,IF($F258*IF($C258="売",1-$AX$3,1+$AX$3)&lt;=5000,5,IF($F258*IF($C258="売",1-$AX$3,1+$AX$3)&lt;=30000,10,IF($F258*IF($C258="売",1-$AX$3,1+$AX$3)&lt;=50000,50,IF($F258*IF($C258="売",1-$AX$3,1+$AX$3)&lt;=300000,100,500))))))))</f>
      </c>
      <c r="N258" s="598" t="str">
        <f>IF($F258="","",IF($C258="売",CEILING($F258*IF($C258="売",1+$AX$2,1-$AX$2),IF($F258*IF($C258="売",1+$AX$2,1-$AX$2)&lt;=3000,1,IF($F258*IF($C258="売",1+$AX$2,1-$AX$2)&lt;=5000,5,IF($F258*IF($C258="売",1+$AX$2,1-$AX$2)&lt;=30000,10,IF($F258*IF($C258="売",1+$AX$2,1-$AX$2)&lt;=50000,50,IF($F258*IF($C258="売",1+$AX$2,1-$AX$2)&lt;=300000,100,500)))))),FLOOR($F258*IF($C258="売",1+$AX$2,1-$AX$2),IF($F258*IF($C258="売",1+$AX$2,1-$AX$2)&lt;=3000,1,IF($F258*IF($C258="売",1+$AX$2,1-$AX$2)&lt;=5000,5,IF($F258*IF($C258="売",1+$AX$2,1-$AX$2)&lt;=30000,10,IF($F258*IF($C258="売",1+$AX$2,1-$AX$2)&lt;=50000,50,IF($F258*IF($C258="売",1+$AX$2,1-$AX$2)&lt;=300000,100,500))))))))</f>
      </c>
      <c r="O258" s="478" t="str">
        <f>IF(OR($B258="",$F258="",$H258=""),"",IF($S258="✅売却済","―決済済―",IF($C258="売",IF($H258&lt;=$M258,"🟢利確",IF(AND($R258&lt;&gt;"",$H258&gt;=$R258),"🟠TRAIL決済",IF($H258&gt;=$N258,"🔴損切",IF($W258&gt;=$AX$5,"⏱時間決済",IF($H258&gt;=$F258*(1+$AX$2*0.7),"⚠️損切接近","保持継続"))))),IF($H258&gt;=$M258,"🟢利確",IF(AND($R258&lt;&gt;"",$H258&lt;=$R258),"🟠TRAIL決済",IF($H258&lt;=$N258,"🔴損切",IF($W258&gt;=$AX$5,"⏱時間決済",IF($H258&lt;=$F258*(1-$AX$2*0.7),"⚠️損切接近","保持継続")))))))</f>
      </c>
      <c r="P258" s="445"/>
      <c r="Q258" s="445"/>
      <c r="R258" s="480" t="str">
        <f>IF(OR($F258="",$H258="",$N258=""),"",IF($S258="✅売却済","",IF($C258="売",IF($H258&gt;$F258*(1-$AX$2),$N258,CEILING(MIN($N258,IF($Q258="",$N258,$Q258*1.03)),IF($N258&lt;=3000,1,IF($N258&lt;=5000,5,IF($N258&lt;=30000,10,IF($N258&lt;=50000,50,IF($N258&lt;=300000,100,500))))))),IF($H258&lt;$F258*(1+$AX$2),$N258,FLOOR(MAX($N258,IF($P258="",$N258,$P258*0.97)),IF($N258&lt;=3000,1,IF($N258&lt;=5000,5,IF($N258&lt;=30000,10,IF($N258&lt;=50000,50,IF($N258&lt;=300000,100,500))))))))))</f>
      </c>
      <c r="S258" s="480" t="str">
        <f>IF(B258="","",IF(T258&lt;&gt;"","✅売却済",IF(OR(H258="",L258=""),"📌保有中",IF(L258&gt;=0.06,"🟢利確推奨",IF(L258&gt;=0.05,"🟡利確直近",IF(L258&gt;=0.045,"🔵トレーリング検討",IF(L258&gt;-0.03,"📌保有中",IF(L258&gt;-0.04,"⚠️損切注意","🔴損切り"))))))))</f>
        <v/>
      </c>
      <c r="T258" s="596"/>
      <c r="U258" s="598"/>
      <c r="V258" s="703" t="str">
        <f>IF(OR(F258="",G258="",U258=""),"",IF(C258="売",(F258-U258)*G258,(U258-F258)*G258))</f>
        <v/>
      </c>
      <c r="W258" s="480" t="str">
        <f>IF(OR($E258="",$B258=""),"",IF($T258&lt;&gt;"",$T258-$E258,TODAY()-$E258)+1)</f>
        <v/>
      </c>
      <c r="X258" s="480" t="str">
        <f>IF(OR($AH258="",$AH258="保有中"),"",$AH258)</f>
        <v/>
      </c>
      <c r="Y258" s="488">
        <f>IF($B258="","",IF(COUNTIFS($B$4:$B258,$B258,$C$4:$C258,$C258)&gt;1,"⛔重複"&amp;COUNTIFS($B$4:$B258,$B258,$C$4:$C258,$C258)&amp;"回目",""))</f>
      </c>
      <c r="Z258" s="710"/>
      <c r="AB258">
        <f>IF($F258="","",MAX(100,ROUNDDOWN($AX$4/($F258*$AX$2)/100,0)*100))</f>
      </c>
      <c r="AC258">
        <f>IF(OR($F258="",$G258="",$U258=""),"",ROUND($V258-($F258+$U258)*$G258*$AX$6-IF($C258="売",$F258*$G258*$AX$7*$W258/365,0),0))</f>
      </c>
      <c r="AD258" s="608"/>
      <c r="AE258" s="600" t="str">
        <f>IF($E258="","",WORKDAY($E258,12))</f>
        <v/>
      </c>
      <c r="AF258" s="600"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0"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0" t="str">
        <f>IF(OR($B258="",$M258=""),"",IF(AND(N($AF258)=0,N($AG258)=0),IF(AND(ISNUMBER($H258),$H258&gt;0,IF($C258="売",$H258&gt;=$N258,$H258&lt;=$N258)),"損切確定",IF(AND(ISNUMBER($H258),$H258&gt;0,IF($C258="売",$H258&lt;=$M258,$H258&gt;=$M258)),"利益確定",IF($AE258&lt;=TODAY(),"日数制限","保有中"))),IF(N($AG258)=0,"利益確定",IF(N($AF258)=0,"損切確定",IF($AG258&lt;=$AF258,"損切確定","利益確定")))))</f>
        <v/>
      </c>
      <c r="AI258" s="600" t="str" cm="1">
        <f t="array" ref="AI258">IFERROR(INDEX(始値!$E$6:$BT$305,MATCH(TEXT($B258,"0"),TEXT(銘柄管理!$B$6:$B$305,"0"),0),MATCH($AE258,始値!$E$3:$BT$3,0)),"")</f>
        <v/>
      </c>
      <c r="AJ258" s="608" t="str">
        <f>IF(OR($V258="",$F258="",$G258=""),"",$V258/($F258*$G258))</f>
        <v/>
      </c>
      <c r="AK258" s="600" t="str">
        <f>IF($V258="","",IF($V258&gt;0,"○勝",IF($V258&lt;0,"●負","△引分")))</f>
        <v/>
      </c>
    </row>
    <row r="259" spans="1:37" ht="17.25" customHeight="1">
      <c r="A259" s="621" t="str">
        <f>IF(B259="","",HYPERLINK("https://kabutan.jp/stock/?code="&amp;B259,"株探"))</f>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IF(OR(F259="",G259="",H259=""),"",IF(C259="売",(F259-H259)*G259,(H259-F259)*G259))</f>
        <v/>
      </c>
      <c r="L259" s="708" t="str">
        <f>IF(OR(F259="",H259=""),"",IF(C259="売",(F259-H259)/F259,(H259-F259)/F259))</f>
        <v/>
      </c>
      <c r="M259" s="598" t="str">
        <f>IF($F259="","",IF($C259="売",CEILING($F259*IF($C259="売",1-$AX$3,1+$AX$3),IF($F259*IF($C259="売",1-$AX$3,1+$AX$3)&lt;=3000,1,IF($F259*IF($C259="売",1-$AX$3,1+$AX$3)&lt;=5000,5,IF($F259*IF($C259="売",1-$AX$3,1+$AX$3)&lt;=30000,10,IF($F259*IF($C259="売",1-$AX$3,1+$AX$3)&lt;=50000,50,IF($F259*IF($C259="売",1-$AX$3,1+$AX$3)&lt;=300000,100,500)))))),FLOOR($F259*IF($C259="売",1-$AX$3,1+$AX$3),IF($F259*IF($C259="売",1-$AX$3,1+$AX$3)&lt;=3000,1,IF($F259*IF($C259="売",1-$AX$3,1+$AX$3)&lt;=5000,5,IF($F259*IF($C259="売",1-$AX$3,1+$AX$3)&lt;=30000,10,IF($F259*IF($C259="売",1-$AX$3,1+$AX$3)&lt;=50000,50,IF($F259*IF($C259="売",1-$AX$3,1+$AX$3)&lt;=300000,100,500))))))))</f>
      </c>
      <c r="N259" s="598" t="str">
        <f>IF($F259="","",IF($C259="売",CEILING($F259*IF($C259="売",1+$AX$2,1-$AX$2),IF($F259*IF($C259="売",1+$AX$2,1-$AX$2)&lt;=3000,1,IF($F259*IF($C259="売",1+$AX$2,1-$AX$2)&lt;=5000,5,IF($F259*IF($C259="売",1+$AX$2,1-$AX$2)&lt;=30000,10,IF($F259*IF($C259="売",1+$AX$2,1-$AX$2)&lt;=50000,50,IF($F259*IF($C259="売",1+$AX$2,1-$AX$2)&lt;=300000,100,500)))))),FLOOR($F259*IF($C259="売",1+$AX$2,1-$AX$2),IF($F259*IF($C259="売",1+$AX$2,1-$AX$2)&lt;=3000,1,IF($F259*IF($C259="売",1+$AX$2,1-$AX$2)&lt;=5000,5,IF($F259*IF($C259="売",1+$AX$2,1-$AX$2)&lt;=30000,10,IF($F259*IF($C259="売",1+$AX$2,1-$AX$2)&lt;=50000,50,IF($F259*IF($C259="売",1+$AX$2,1-$AX$2)&lt;=300000,100,500))))))))</f>
      </c>
      <c r="O259" s="478" t="str">
        <f>IF(OR($B259="",$F259="",$H259=""),"",IF($S259="✅売却済","―決済済―",IF($C259="売",IF($H259&lt;=$M259,"🟢利確",IF(AND($R259&lt;&gt;"",$H259&gt;=$R259),"🟠TRAIL決済",IF($H259&gt;=$N259,"🔴損切",IF($W259&gt;=$AX$5,"⏱時間決済",IF($H259&gt;=$F259*(1+$AX$2*0.7),"⚠️損切接近","保持継続"))))),IF($H259&gt;=$M259,"🟢利確",IF(AND($R259&lt;&gt;"",$H259&lt;=$R259),"🟠TRAIL決済",IF($H259&lt;=$N259,"🔴損切",IF($W259&gt;=$AX$5,"⏱時間決済",IF($H259&lt;=$F259*(1-$AX$2*0.7),"⚠️損切接近","保持継続")))))))</f>
      </c>
      <c r="P259" s="445"/>
      <c r="Q259" s="445"/>
      <c r="R259" s="480" t="str">
        <f>IF(OR($F259="",$H259="",$N259=""),"",IF($S259="✅売却済","",IF($C259="売",IF($H259&gt;$F259*(1-$AX$2),$N259,CEILING(MIN($N259,IF($Q259="",$N259,$Q259*1.03)),IF($N259&lt;=3000,1,IF($N259&lt;=5000,5,IF($N259&lt;=30000,10,IF($N259&lt;=50000,50,IF($N259&lt;=300000,100,500))))))),IF($H259&lt;$F259*(1+$AX$2),$N259,FLOOR(MAX($N259,IF($P259="",$N259,$P259*0.97)),IF($N259&lt;=3000,1,IF($N259&lt;=5000,5,IF($N259&lt;=30000,10,IF($N259&lt;=50000,50,IF($N259&lt;=300000,100,500))))))))))</f>
      </c>
      <c r="S259" s="480" t="str">
        <f>IF(B259="","",IF(T259&lt;&gt;"","✅売却済",IF(OR(H259="",L259=""),"📌保有中",IF(L259&gt;=0.06,"🟢利確推奨",IF(L259&gt;=0.05,"🟡利確直近",IF(L259&gt;=0.045,"🔵トレーリング検討",IF(L259&gt;-0.03,"📌保有中",IF(L259&gt;-0.04,"⚠️損切注意","🔴損切り"))))))))</f>
        <v/>
      </c>
      <c r="T259" s="596"/>
      <c r="U259" s="598"/>
      <c r="V259" s="703" t="str">
        <f>IF(OR(F259="",G259="",U259=""),"",IF(C259="売",(F259-U259)*G259,(U259-F259)*G259))</f>
        <v/>
      </c>
      <c r="W259" s="480" t="str">
        <f>IF(OR($E259="",$B259=""),"",IF($T259&lt;&gt;"",$T259-$E259,TODAY()-$E259)+1)</f>
        <v/>
      </c>
      <c r="X259" s="480" t="str">
        <f>IF(OR($AH259="",$AH259="保有中"),"",$AH259)</f>
        <v/>
      </c>
      <c r="Y259" s="488">
        <f>IF($B259="","",IF(COUNTIFS($B$4:$B259,$B259,$C$4:$C259,$C259)&gt;1,"⛔重複"&amp;COUNTIFS($B$4:$B259,$B259,$C$4:$C259,$C259)&amp;"回目",""))</f>
      </c>
      <c r="Z259" s="710"/>
      <c r="AB259">
        <f>IF($F259="","",MAX(100,ROUNDDOWN($AX$4/($F259*$AX$2)/100,0)*100))</f>
      </c>
      <c r="AC259">
        <f>IF(OR($F259="",$G259="",$U259=""),"",ROUND($V259-($F259+$U259)*$G259*$AX$6-IF($C259="売",$F259*$G259*$AX$7*$W259/365,0),0))</f>
      </c>
      <c r="AD259" s="608"/>
      <c r="AE259" s="600" t="str">
        <f>IF($E259="","",WORKDAY($E259,12))</f>
        <v/>
      </c>
      <c r="AF259" s="600"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0"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0" t="str">
        <f>IF(OR($B259="",$M259=""),"",IF(AND(N($AF259)=0,N($AG259)=0),IF(AND(ISNUMBER($H259),$H259&gt;0,IF($C259="売",$H259&gt;=$N259,$H259&lt;=$N259)),"損切確定",IF(AND(ISNUMBER($H259),$H259&gt;0,IF($C259="売",$H259&lt;=$M259,$H259&gt;=$M259)),"利益確定",IF($AE259&lt;=TODAY(),"日数制限","保有中"))),IF(N($AG259)=0,"利益確定",IF(N($AF259)=0,"損切確定",IF($AG259&lt;=$AF259,"損切確定","利益確定")))))</f>
        <v/>
      </c>
      <c r="AI259" s="600" t="str" cm="1">
        <f t="array" ref="AI259">IFERROR(INDEX(始値!$E$6:$BT$305,MATCH(TEXT($B259,"0"),TEXT(銘柄管理!$B$6:$B$305,"0"),0),MATCH($AE259,始値!$E$3:$BT$3,0)),"")</f>
        <v/>
      </c>
      <c r="AJ259" s="608" t="str">
        <f>IF(OR($V259="",$F259="",$G259=""),"",$V259/($F259*$G259))</f>
        <v/>
      </c>
      <c r="AK259" s="600" t="str">
        <f>IF($V259="","",IF($V259&gt;0,"○勝",IF($V259&lt;0,"●負","△引分")))</f>
        <v/>
      </c>
    </row>
    <row r="260" spans="1:37" ht="17.25" customHeight="1">
      <c r="A260" s="621" t="str">
        <f>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IF(OR(F260="",G260="",H260=""),"",IF(C260="売",(F260-H260)*G260,(H260-F260)*G260))</f>
        <v/>
      </c>
      <c r="L260" s="708" t="str">
        <f>IF(OR(F260="",H260=""),"",IF(C260="売",(F260-H260)/F260,(H260-F260)/F260))</f>
        <v/>
      </c>
      <c r="M260" s="598" t="str">
        <f>IF($F260="","",IF($C260="売",CEILING($F260*IF($C260="売",1-$AX$3,1+$AX$3),IF($F260*IF($C260="売",1-$AX$3,1+$AX$3)&lt;=3000,1,IF($F260*IF($C260="売",1-$AX$3,1+$AX$3)&lt;=5000,5,IF($F260*IF($C260="売",1-$AX$3,1+$AX$3)&lt;=30000,10,IF($F260*IF($C260="売",1-$AX$3,1+$AX$3)&lt;=50000,50,IF($F260*IF($C260="売",1-$AX$3,1+$AX$3)&lt;=300000,100,500)))))),FLOOR($F260*IF($C260="売",1-$AX$3,1+$AX$3),IF($F260*IF($C260="売",1-$AX$3,1+$AX$3)&lt;=3000,1,IF($F260*IF($C260="売",1-$AX$3,1+$AX$3)&lt;=5000,5,IF($F260*IF($C260="売",1-$AX$3,1+$AX$3)&lt;=30000,10,IF($F260*IF($C260="売",1-$AX$3,1+$AX$3)&lt;=50000,50,IF($F260*IF($C260="売",1-$AX$3,1+$AX$3)&lt;=300000,100,500))))))))</f>
      </c>
      <c r="N260" s="598" t="str">
        <f>IF($F260="","",IF($C260="売",CEILING($F260*IF($C260="売",1+$AX$2,1-$AX$2),IF($F260*IF($C260="売",1+$AX$2,1-$AX$2)&lt;=3000,1,IF($F260*IF($C260="売",1+$AX$2,1-$AX$2)&lt;=5000,5,IF($F260*IF($C260="売",1+$AX$2,1-$AX$2)&lt;=30000,10,IF($F260*IF($C260="売",1+$AX$2,1-$AX$2)&lt;=50000,50,IF($F260*IF($C260="売",1+$AX$2,1-$AX$2)&lt;=300000,100,500)))))),FLOOR($F260*IF($C260="売",1+$AX$2,1-$AX$2),IF($F260*IF($C260="売",1+$AX$2,1-$AX$2)&lt;=3000,1,IF($F260*IF($C260="売",1+$AX$2,1-$AX$2)&lt;=5000,5,IF($F260*IF($C260="売",1+$AX$2,1-$AX$2)&lt;=30000,10,IF($F260*IF($C260="売",1+$AX$2,1-$AX$2)&lt;=50000,50,IF($F260*IF($C260="売",1+$AX$2,1-$AX$2)&lt;=300000,100,500))))))))</f>
      </c>
      <c r="O260" s="478" t="str">
        <f>IF(OR($B260="",$F260="",$H260=""),"",IF($S260="✅売却済","―決済済―",IF($C260="売",IF($H260&lt;=$M260,"🟢利確",IF(AND($R260&lt;&gt;"",$H260&gt;=$R260),"🟠TRAIL決済",IF($H260&gt;=$N260,"🔴損切",IF($W260&gt;=$AX$5,"⏱時間決済",IF($H260&gt;=$F260*(1+$AX$2*0.7),"⚠️損切接近","保持継続"))))),IF($H260&gt;=$M260,"🟢利確",IF(AND($R260&lt;&gt;"",$H260&lt;=$R260),"🟠TRAIL決済",IF($H260&lt;=$N260,"🔴損切",IF($W260&gt;=$AX$5,"⏱時間決済",IF($H260&lt;=$F260*(1-$AX$2*0.7),"⚠️損切接近","保持継続")))))))</f>
      </c>
      <c r="P260" s="445"/>
      <c r="Q260" s="445"/>
      <c r="R260" s="480" t="str">
        <f>IF(OR($F260="",$H260="",$N260=""),"",IF($S260="✅売却済","",IF($C260="売",IF($H260&gt;$F260*(1-$AX$2),$N260,CEILING(MIN($N260,IF($Q260="",$N260,$Q260*1.03)),IF($N260&lt;=3000,1,IF($N260&lt;=5000,5,IF($N260&lt;=30000,10,IF($N260&lt;=50000,50,IF($N260&lt;=300000,100,500))))))),IF($H260&lt;$F260*(1+$AX$2),$N260,FLOOR(MAX($N260,IF($P260="",$N260,$P260*0.97)),IF($N260&lt;=3000,1,IF($N260&lt;=5000,5,IF($N260&lt;=30000,10,IF($N260&lt;=50000,50,IF($N260&lt;=300000,100,500))))))))))</f>
      </c>
      <c r="S260" s="480" t="str">
        <f>IF(B260="","",IF(T260&lt;&gt;"","✅売却済",IF(OR(H260="",L260=""),"📌保有中",IF(L260&gt;=0.06,"🟢利確推奨",IF(L260&gt;=0.05,"🟡利確直近",IF(L260&gt;=0.045,"🔵トレーリング検討",IF(L260&gt;-0.03,"📌保有中",IF(L260&gt;-0.04,"⚠️損切注意","🔴損切り"))))))))</f>
        <v/>
      </c>
      <c r="T260" s="596"/>
      <c r="U260" s="598"/>
      <c r="V260" s="703" t="str">
        <f>IF(OR(F260="",G260="",U260=""),"",IF(C260="売",(F260-U260)*G260,(U260-F260)*G260))</f>
        <v/>
      </c>
      <c r="W260" s="480" t="str">
        <f>IF(OR($E260="",$B260=""),"",IF($T260&lt;&gt;"",$T260-$E260,TODAY()-$E260)+1)</f>
        <v/>
      </c>
      <c r="X260" s="480" t="str">
        <f>IF(OR($AH260="",$AH260="保有中"),"",$AH260)</f>
        <v/>
      </c>
      <c r="Y260" s="488">
        <f>IF($B260="","",IF(COUNTIFS($B$4:$B260,$B260,$C$4:$C260,$C260)&gt;1,"⛔重複"&amp;COUNTIFS($B$4:$B260,$B260,$C$4:$C260,$C260)&amp;"回目",""))</f>
      </c>
      <c r="Z260" s="710"/>
      <c r="AB260">
        <f>IF($F260="","",MAX(100,ROUNDDOWN($AX$4/($F260*$AX$2)/100,0)*100))</f>
      </c>
      <c r="AC260">
        <f>IF(OR($F260="",$G260="",$U260=""),"",ROUND($V260-($F260+$U260)*$G260*$AX$6-IF($C260="売",$F260*$G260*$AX$7*$W260/365,0),0))</f>
      </c>
      <c r="AD260" s="608"/>
      <c r="AE260" s="600" t="str">
        <f>IF($E260="","",WORKDAY($E260,12))</f>
        <v/>
      </c>
      <c r="AF260" s="600"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0"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0" t="str">
        <f>IF(OR($B260="",$M260=""),"",IF(AND(N($AF260)=0,N($AG260)=0),IF(AND(ISNUMBER($H260),$H260&gt;0,IF($C260="売",$H260&gt;=$N260,$H260&lt;=$N260)),"損切確定",IF(AND(ISNUMBER($H260),$H260&gt;0,IF($C260="売",$H260&lt;=$M260,$H260&gt;=$M260)),"利益確定",IF($AE260&lt;=TODAY(),"日数制限","保有中"))),IF(N($AG260)=0,"利益確定",IF(N($AF260)=0,"損切確定",IF($AG260&lt;=$AF260,"損切確定","利益確定")))))</f>
        <v/>
      </c>
      <c r="AI260" s="600" t="str" cm="1">
        <f t="array" ref="AI260">IFERROR(INDEX(始値!$E$6:$BT$305,MATCH(TEXT($B260,"0"),TEXT(銘柄管理!$B$6:$B$305,"0"),0),MATCH($AE260,始値!$E$3:$BT$3,0)),"")</f>
        <v/>
      </c>
      <c r="AJ260" s="608" t="str">
        <f>IF(OR($V260="",$F260="",$G260=""),"",$V260/($F260*$G260))</f>
        <v/>
      </c>
      <c r="AK260" s="600" t="str">
        <f>IF($V260="","",IF($V260&gt;0,"○勝",IF($V260&lt;0,"●負","△引分")))</f>
        <v/>
      </c>
    </row>
    <row r="261" spans="1:37" ht="17.25" customHeight="1">
      <c r="A261" s="621" t="str">
        <f>IF(B261="","",HYPERLINK("https://kabutan.jp/stock/?code="&amp;B261,"株探"))</f>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IF(OR(F261="",G261="",H261=""),"",IF(C261="売",(F261-H261)*G261,(H261-F261)*G261))</f>
        <v/>
      </c>
      <c r="L261" s="708" t="str">
        <f>IF(OR(F261="",H261=""),"",IF(C261="売",(F261-H261)/F261,(H261-F261)/F261))</f>
        <v/>
      </c>
      <c r="M261" s="598" t="str">
        <f>IF($F261="","",IF($C261="売",CEILING($F261*IF($C261="売",1-$AX$3,1+$AX$3),IF($F261*IF($C261="売",1-$AX$3,1+$AX$3)&lt;=3000,1,IF($F261*IF($C261="売",1-$AX$3,1+$AX$3)&lt;=5000,5,IF($F261*IF($C261="売",1-$AX$3,1+$AX$3)&lt;=30000,10,IF($F261*IF($C261="売",1-$AX$3,1+$AX$3)&lt;=50000,50,IF($F261*IF($C261="売",1-$AX$3,1+$AX$3)&lt;=300000,100,500)))))),FLOOR($F261*IF($C261="売",1-$AX$3,1+$AX$3),IF($F261*IF($C261="売",1-$AX$3,1+$AX$3)&lt;=3000,1,IF($F261*IF($C261="売",1-$AX$3,1+$AX$3)&lt;=5000,5,IF($F261*IF($C261="売",1-$AX$3,1+$AX$3)&lt;=30000,10,IF($F261*IF($C261="売",1-$AX$3,1+$AX$3)&lt;=50000,50,IF($F261*IF($C261="売",1-$AX$3,1+$AX$3)&lt;=300000,100,500))))))))</f>
      </c>
      <c r="N261" s="598" t="str">
        <f>IF($F261="","",IF($C261="売",CEILING($F261*IF($C261="売",1+$AX$2,1-$AX$2),IF($F261*IF($C261="売",1+$AX$2,1-$AX$2)&lt;=3000,1,IF($F261*IF($C261="売",1+$AX$2,1-$AX$2)&lt;=5000,5,IF($F261*IF($C261="売",1+$AX$2,1-$AX$2)&lt;=30000,10,IF($F261*IF($C261="売",1+$AX$2,1-$AX$2)&lt;=50000,50,IF($F261*IF($C261="売",1+$AX$2,1-$AX$2)&lt;=300000,100,500)))))),FLOOR($F261*IF($C261="売",1+$AX$2,1-$AX$2),IF($F261*IF($C261="売",1+$AX$2,1-$AX$2)&lt;=3000,1,IF($F261*IF($C261="売",1+$AX$2,1-$AX$2)&lt;=5000,5,IF($F261*IF($C261="売",1+$AX$2,1-$AX$2)&lt;=30000,10,IF($F261*IF($C261="売",1+$AX$2,1-$AX$2)&lt;=50000,50,IF($F261*IF($C261="売",1+$AX$2,1-$AX$2)&lt;=300000,100,500))))))))</f>
      </c>
      <c r="O261" s="478" t="str">
        <f>IF(OR($B261="",$F261="",$H261=""),"",IF($S261="✅売却済","―決済済―",IF($C261="売",IF($H261&lt;=$M261,"🟢利確",IF(AND($R261&lt;&gt;"",$H261&gt;=$R261),"🟠TRAIL決済",IF($H261&gt;=$N261,"🔴損切",IF($W261&gt;=$AX$5,"⏱時間決済",IF($H261&gt;=$F261*(1+$AX$2*0.7),"⚠️損切接近","保持継続"))))),IF($H261&gt;=$M261,"🟢利確",IF(AND($R261&lt;&gt;"",$H261&lt;=$R261),"🟠TRAIL決済",IF($H261&lt;=$N261,"🔴損切",IF($W261&gt;=$AX$5,"⏱時間決済",IF($H261&lt;=$F261*(1-$AX$2*0.7),"⚠️損切接近","保持継続")))))))</f>
      </c>
      <c r="P261" s="445"/>
      <c r="Q261" s="445"/>
      <c r="R261" s="480" t="str">
        <f>IF(OR($F261="",$H261="",$N261=""),"",IF($S261="✅売却済","",IF($C261="売",IF($H261&gt;$F261*(1-$AX$2),$N261,CEILING(MIN($N261,IF($Q261="",$N261,$Q261*1.03)),IF($N261&lt;=3000,1,IF($N261&lt;=5000,5,IF($N261&lt;=30000,10,IF($N261&lt;=50000,50,IF($N261&lt;=300000,100,500))))))),IF($H261&lt;$F261*(1+$AX$2),$N261,FLOOR(MAX($N261,IF($P261="",$N261,$P261*0.97)),IF($N261&lt;=3000,1,IF($N261&lt;=5000,5,IF($N261&lt;=30000,10,IF($N261&lt;=50000,50,IF($N261&lt;=300000,100,500))))))))))</f>
      </c>
      <c r="S261" s="480" t="str">
        <f>IF(B261="","",IF(T261&lt;&gt;"","✅売却済",IF(OR(H261="",L261=""),"📌保有中",IF(L261&gt;=0.06,"🟢利確推奨",IF(L261&gt;=0.05,"🟡利確直近",IF(L261&gt;=0.045,"🔵トレーリング検討",IF(L261&gt;-0.03,"📌保有中",IF(L261&gt;-0.04,"⚠️損切注意","🔴損切り"))))))))</f>
        <v/>
      </c>
      <c r="T261" s="596"/>
      <c r="U261" s="598"/>
      <c r="V261" s="703" t="str">
        <f>IF(OR(F261="",G261="",U261=""),"",IF(C261="売",(F261-U261)*G261,(U261-F261)*G261))</f>
        <v/>
      </c>
      <c r="W261" s="480" t="str">
        <f>IF(OR($E261="",$B261=""),"",IF($T261&lt;&gt;"",$T261-$E261,TODAY()-$E261)+1)</f>
        <v/>
      </c>
      <c r="X261" s="480" t="str">
        <f>IF(OR($AH261="",$AH261="保有中"),"",$AH261)</f>
        <v/>
      </c>
      <c r="Y261" s="488">
        <f>IF($B261="","",IF(COUNTIFS($B$4:$B261,$B261,$C$4:$C261,$C261)&gt;1,"⛔重複"&amp;COUNTIFS($B$4:$B261,$B261,$C$4:$C261,$C261)&amp;"回目",""))</f>
      </c>
      <c r="Z261" s="710"/>
      <c r="AB261">
        <f>IF($F261="","",MAX(100,ROUNDDOWN($AX$4/($F261*$AX$2)/100,0)*100))</f>
      </c>
      <c r="AC261">
        <f>IF(OR($F261="",$G261="",$U261=""),"",ROUND($V261-($F261+$U261)*$G261*$AX$6-IF($C261="売",$F261*$G261*$AX$7*$W261/365,0),0))</f>
      </c>
      <c r="AD261" s="608"/>
      <c r="AE261" s="600" t="str">
        <f>IF($E261="","",WORKDAY($E261,12))</f>
        <v/>
      </c>
      <c r="AF261" s="600"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0"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0" t="str">
        <f>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IFERROR(INDEX(始値!$E$6:$BT$305,MATCH(TEXT($B261,"0"),TEXT(銘柄管理!$B$6:$B$305,"0"),0),MATCH($AE261,始値!$E$3:$BT$3,0)),"")</f>
        <v/>
      </c>
      <c r="AJ261" s="608" t="str">
        <f>IF(OR($V261="",$F261="",$G261=""),"",$V261/($F261*$G261))</f>
        <v/>
      </c>
      <c r="AK261" s="600" t="str">
        <f>IF($V261="","",IF($V261&gt;0,"○勝",IF($V261&lt;0,"●負","△引分")))</f>
        <v/>
      </c>
    </row>
    <row r="262" spans="1:37" ht="17.25" customHeight="1">
      <c r="A262" s="621" t="str">
        <f>IF(B262="","",HYPERLINK("https://kabutan.jp/stock/?code="&amp;B262,"株探"))</f>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IF(OR(F262="",G262="",H262=""),"",IF(C262="売",(F262-H262)*G262,(H262-F262)*G262))</f>
        <v/>
      </c>
      <c r="L262" s="708" t="str">
        <f>IF(OR(F262="",H262=""),"",IF(C262="売",(F262-H262)/F262,(H262-F262)/F262))</f>
        <v/>
      </c>
      <c r="M262" s="598" t="str">
        <f>IF($F262="","",IF($C262="売",CEILING($F262*IF($C262="売",1-$AX$3,1+$AX$3),IF($F262*IF($C262="売",1-$AX$3,1+$AX$3)&lt;=3000,1,IF($F262*IF($C262="売",1-$AX$3,1+$AX$3)&lt;=5000,5,IF($F262*IF($C262="売",1-$AX$3,1+$AX$3)&lt;=30000,10,IF($F262*IF($C262="売",1-$AX$3,1+$AX$3)&lt;=50000,50,IF($F262*IF($C262="売",1-$AX$3,1+$AX$3)&lt;=300000,100,500)))))),FLOOR($F262*IF($C262="売",1-$AX$3,1+$AX$3),IF($F262*IF($C262="売",1-$AX$3,1+$AX$3)&lt;=3000,1,IF($F262*IF($C262="売",1-$AX$3,1+$AX$3)&lt;=5000,5,IF($F262*IF($C262="売",1-$AX$3,1+$AX$3)&lt;=30000,10,IF($F262*IF($C262="売",1-$AX$3,1+$AX$3)&lt;=50000,50,IF($F262*IF($C262="売",1-$AX$3,1+$AX$3)&lt;=300000,100,500))))))))</f>
      </c>
      <c r="N262" s="598" t="str">
        <f>IF($F262="","",IF($C262="売",CEILING($F262*IF($C262="売",1+$AX$2,1-$AX$2),IF($F262*IF($C262="売",1+$AX$2,1-$AX$2)&lt;=3000,1,IF($F262*IF($C262="売",1+$AX$2,1-$AX$2)&lt;=5000,5,IF($F262*IF($C262="売",1+$AX$2,1-$AX$2)&lt;=30000,10,IF($F262*IF($C262="売",1+$AX$2,1-$AX$2)&lt;=50000,50,IF($F262*IF($C262="売",1+$AX$2,1-$AX$2)&lt;=300000,100,500)))))),FLOOR($F262*IF($C262="売",1+$AX$2,1-$AX$2),IF($F262*IF($C262="売",1+$AX$2,1-$AX$2)&lt;=3000,1,IF($F262*IF($C262="売",1+$AX$2,1-$AX$2)&lt;=5000,5,IF($F262*IF($C262="売",1+$AX$2,1-$AX$2)&lt;=30000,10,IF($F262*IF($C262="売",1+$AX$2,1-$AX$2)&lt;=50000,50,IF($F262*IF($C262="売",1+$AX$2,1-$AX$2)&lt;=300000,100,500))))))))</f>
      </c>
      <c r="O262" s="478" t="str">
        <f>IF(OR($B262="",$F262="",$H262=""),"",IF($S262="✅売却済","―決済済―",IF($C262="売",IF($H262&lt;=$M262,"🟢利確",IF(AND($R262&lt;&gt;"",$H262&gt;=$R262),"🟠TRAIL決済",IF($H262&gt;=$N262,"🔴損切",IF($W262&gt;=$AX$5,"⏱時間決済",IF($H262&gt;=$F262*(1+$AX$2*0.7),"⚠️損切接近","保持継続"))))),IF($H262&gt;=$M262,"🟢利確",IF(AND($R262&lt;&gt;"",$H262&lt;=$R262),"🟠TRAIL決済",IF($H262&lt;=$N262,"🔴損切",IF($W262&gt;=$AX$5,"⏱時間決済",IF($H262&lt;=$F262*(1-$AX$2*0.7),"⚠️損切接近","保持継続")))))))</f>
      </c>
      <c r="P262" s="445"/>
      <c r="Q262" s="445"/>
      <c r="R262" s="480" t="str">
        <f>IF(OR($F262="",$H262="",$N262=""),"",IF($S262="✅売却済","",IF($C262="売",IF($H262&gt;$F262*(1-$AX$2),$N262,CEILING(MIN($N262,IF($Q262="",$N262,$Q262*1.03)),IF($N262&lt;=3000,1,IF($N262&lt;=5000,5,IF($N262&lt;=30000,10,IF($N262&lt;=50000,50,IF($N262&lt;=300000,100,500))))))),IF($H262&lt;$F262*(1+$AX$2),$N262,FLOOR(MAX($N262,IF($P262="",$N262,$P262*0.97)),IF($N262&lt;=3000,1,IF($N262&lt;=5000,5,IF($N262&lt;=30000,10,IF($N262&lt;=50000,50,IF($N262&lt;=300000,100,500))))))))))</f>
      </c>
      <c r="S262" s="480" t="str">
        <f>IF(B262="","",IF(T262&lt;&gt;"","✅売却済",IF(OR(H262="",L262=""),"📌保有中",IF(L262&gt;=0.06,"🟢利確推奨",IF(L262&gt;=0.05,"🟡利確直近",IF(L262&gt;=0.045,"🔵トレーリング検討",IF(L262&gt;-0.03,"📌保有中",IF(L262&gt;-0.04,"⚠️損切注意","🔴損切り"))))))))</f>
        <v/>
      </c>
      <c r="T262" s="596"/>
      <c r="U262" s="598"/>
      <c r="V262" s="703" t="str">
        <f>IF(OR(F262="",G262="",U262=""),"",IF(C262="売",(F262-U262)*G262,(U262-F262)*G262))</f>
        <v/>
      </c>
      <c r="W262" s="480" t="str">
        <f>IF(OR($E262="",$B262=""),"",IF($T262&lt;&gt;"",$T262-$E262,TODAY()-$E262)+1)</f>
        <v/>
      </c>
      <c r="X262" s="480" t="str">
        <f>IF(OR($AH262="",$AH262="保有中"),"",$AH262)</f>
        <v/>
      </c>
      <c r="Y262" s="488">
        <f>IF($B262="","",IF(COUNTIFS($B$4:$B262,$B262,$C$4:$C262,$C262)&gt;1,"⛔重複"&amp;COUNTIFS($B$4:$B262,$B262,$C$4:$C262,$C262)&amp;"回目",""))</f>
      </c>
      <c r="Z262" s="710"/>
      <c r="AB262">
        <f>IF($F262="","",MAX(100,ROUNDDOWN($AX$4/($F262*$AX$2)/100,0)*100))</f>
      </c>
      <c r="AC262">
        <f>IF(OR($F262="",$G262="",$U262=""),"",ROUND($V262-($F262+$U262)*$G262*$AX$6-IF($C262="売",$F262*$G262*$AX$7*$W262/365,0),0))</f>
      </c>
      <c r="AD262" s="608"/>
      <c r="AE262" s="600" t="str">
        <f>IF($E262="","",WORKDAY($E262,12))</f>
        <v/>
      </c>
      <c r="AF262" s="600"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0"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0" t="str">
        <f>IF(OR($B262="",$M262=""),"",IF(AND(N($AF262)=0,N($AG262)=0),IF(AND(ISNUMBER($H262),$H262&gt;0,IF($C262="売",$H262&gt;=$N262,$H262&lt;=$N262)),"損切確定",IF(AND(ISNUMBER($H262),$H262&gt;0,IF($C262="売",$H262&lt;=$M262,$H262&gt;=$M262)),"利益確定",IF($AE262&lt;=TODAY(),"日数制限","保有中"))),IF(N($AG262)=0,"利益確定",IF(N($AF262)=0,"損切確定",IF($AG262&lt;=$AF262,"損切確定","利益確定")))))</f>
        <v/>
      </c>
      <c r="AI262" s="600" t="str" cm="1">
        <f t="array" ref="AI262">IFERROR(INDEX(始値!$E$6:$BT$305,MATCH(TEXT($B262,"0"),TEXT(銘柄管理!$B$6:$B$305,"0"),0),MATCH($AE262,始値!$E$3:$BT$3,0)),"")</f>
        <v/>
      </c>
      <c r="AJ262" s="608" t="str">
        <f>IF(OR($V262="",$F262="",$G262=""),"",$V262/($F262*$G262))</f>
        <v/>
      </c>
      <c r="AK262" s="600" t="str">
        <f>IF($V262="","",IF($V262&gt;0,"○勝",IF($V262&lt;0,"●負","△引分")))</f>
        <v/>
      </c>
    </row>
    <row r="263" spans="1:37" ht="17.25" customHeight="1">
      <c r="A263" s="621" t="str">
        <f>IF(B263="","",HYPERLINK("https://kabutan.jp/stock/?code="&amp;B263,"株探"))</f>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IF(OR(F263="",G263="",H263=""),"",IF(C263="売",(F263-H263)*G263,(H263-F263)*G263))</f>
        <v/>
      </c>
      <c r="L263" s="708" t="str">
        <f>IF(OR(F263="",H263=""),"",IF(C263="売",(F263-H263)/F263,(H263-F263)/F263))</f>
        <v/>
      </c>
      <c r="M263" s="598" t="str">
        <f>IF($F263="","",IF($C263="売",CEILING($F263*IF($C263="売",1-$AX$3,1+$AX$3),IF($F263*IF($C263="売",1-$AX$3,1+$AX$3)&lt;=3000,1,IF($F263*IF($C263="売",1-$AX$3,1+$AX$3)&lt;=5000,5,IF($F263*IF($C263="売",1-$AX$3,1+$AX$3)&lt;=30000,10,IF($F263*IF($C263="売",1-$AX$3,1+$AX$3)&lt;=50000,50,IF($F263*IF($C263="売",1-$AX$3,1+$AX$3)&lt;=300000,100,500)))))),FLOOR($F263*IF($C263="売",1-$AX$3,1+$AX$3),IF($F263*IF($C263="売",1-$AX$3,1+$AX$3)&lt;=3000,1,IF($F263*IF($C263="売",1-$AX$3,1+$AX$3)&lt;=5000,5,IF($F263*IF($C263="売",1-$AX$3,1+$AX$3)&lt;=30000,10,IF($F263*IF($C263="売",1-$AX$3,1+$AX$3)&lt;=50000,50,IF($F263*IF($C263="売",1-$AX$3,1+$AX$3)&lt;=300000,100,500))))))))</f>
      </c>
      <c r="N263" s="598" t="str">
        <f>IF($F263="","",IF($C263="売",CEILING($F263*IF($C263="売",1+$AX$2,1-$AX$2),IF($F263*IF($C263="売",1+$AX$2,1-$AX$2)&lt;=3000,1,IF($F263*IF($C263="売",1+$AX$2,1-$AX$2)&lt;=5000,5,IF($F263*IF($C263="売",1+$AX$2,1-$AX$2)&lt;=30000,10,IF($F263*IF($C263="売",1+$AX$2,1-$AX$2)&lt;=50000,50,IF($F263*IF($C263="売",1+$AX$2,1-$AX$2)&lt;=300000,100,500)))))),FLOOR($F263*IF($C263="売",1+$AX$2,1-$AX$2),IF($F263*IF($C263="売",1+$AX$2,1-$AX$2)&lt;=3000,1,IF($F263*IF($C263="売",1+$AX$2,1-$AX$2)&lt;=5000,5,IF($F263*IF($C263="売",1+$AX$2,1-$AX$2)&lt;=30000,10,IF($F263*IF($C263="売",1+$AX$2,1-$AX$2)&lt;=50000,50,IF($F263*IF($C263="売",1+$AX$2,1-$AX$2)&lt;=300000,100,500))))))))</f>
      </c>
      <c r="O263" s="478" t="str">
        <f>IF(OR($B263="",$F263="",$H263=""),"",IF($S263="✅売却済","―決済済―",IF($C263="売",IF($H263&lt;=$M263,"🟢利確",IF(AND($R263&lt;&gt;"",$H263&gt;=$R263),"🟠TRAIL決済",IF($H263&gt;=$N263,"🔴損切",IF($W263&gt;=$AX$5,"⏱時間決済",IF($H263&gt;=$F263*(1+$AX$2*0.7),"⚠️損切接近","保持継続"))))),IF($H263&gt;=$M263,"🟢利確",IF(AND($R263&lt;&gt;"",$H263&lt;=$R263),"🟠TRAIL決済",IF($H263&lt;=$N263,"🔴損切",IF($W263&gt;=$AX$5,"⏱時間決済",IF($H263&lt;=$F263*(1-$AX$2*0.7),"⚠️損切接近","保持継続")))))))</f>
      </c>
      <c r="P263" s="445"/>
      <c r="Q263" s="445"/>
      <c r="R263" s="480" t="str">
        <f>IF(OR($F263="",$H263="",$N263=""),"",IF($S263="✅売却済","",IF($C263="売",IF($H263&gt;$F263*(1-$AX$2),$N263,CEILING(MIN($N263,IF($Q263="",$N263,$Q263*1.03)),IF($N263&lt;=3000,1,IF($N263&lt;=5000,5,IF($N263&lt;=30000,10,IF($N263&lt;=50000,50,IF($N263&lt;=300000,100,500))))))),IF($H263&lt;$F263*(1+$AX$2),$N263,FLOOR(MAX($N263,IF($P263="",$N263,$P263*0.97)),IF($N263&lt;=3000,1,IF($N263&lt;=5000,5,IF($N263&lt;=30000,10,IF($N263&lt;=50000,50,IF($N263&lt;=300000,100,500))))))))))</f>
      </c>
      <c r="S263" s="480" t="str">
        <f>IF(B263="","",IF(T263&lt;&gt;"","✅売却済",IF(OR(H263="",L263=""),"📌保有中",IF(L263&gt;=0.06,"🟢利確推奨",IF(L263&gt;=0.05,"🟡利確直近",IF(L263&gt;=0.045,"🔵トレーリング検討",IF(L263&gt;-0.03,"📌保有中",IF(L263&gt;-0.04,"⚠️損切注意","🔴損切り"))))))))</f>
        <v/>
      </c>
      <c r="T263" s="596"/>
      <c r="U263" s="598"/>
      <c r="V263" s="703" t="str">
        <f>IF(OR(F263="",G263="",U263=""),"",IF(C263="売",(F263-U263)*G263,(U263-F263)*G263))</f>
        <v/>
      </c>
      <c r="W263" s="480" t="str">
        <f>IF(OR($E263="",$B263=""),"",IF($T263&lt;&gt;"",$T263-$E263,TODAY()-$E263)+1)</f>
        <v/>
      </c>
      <c r="X263" s="480" t="str">
        <f>IF(OR($AH263="",$AH263="保有中"),"",$AH263)</f>
        <v/>
      </c>
      <c r="Y263" s="488">
        <f>IF($B263="","",IF(COUNTIFS($B$4:$B263,$B263,$C$4:$C263,$C263)&gt;1,"⛔重複"&amp;COUNTIFS($B$4:$B263,$B263,$C$4:$C263,$C263)&amp;"回目",""))</f>
      </c>
      <c r="Z263" s="710"/>
      <c r="AB263">
        <f>IF($F263="","",MAX(100,ROUNDDOWN($AX$4/($F263*$AX$2)/100,0)*100))</f>
      </c>
      <c r="AC263">
        <f>IF(OR($F263="",$G263="",$U263=""),"",ROUND($V263-($F263+$U263)*$G263*$AX$6-IF($C263="売",$F263*$G263*$AX$7*$W263/365,0),0))</f>
      </c>
      <c r="AD263" s="608"/>
      <c r="AE263" s="600" t="str">
        <f>IF($E263="","",WORKDAY($E263,12))</f>
        <v/>
      </c>
      <c r="AF263" s="600"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0"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0" t="str">
        <f>IF(OR($B263="",$M263=""),"",IF(AND(N($AF263)=0,N($AG263)=0),IF(AND(ISNUMBER($H263),$H263&gt;0,IF($C263="売",$H263&gt;=$N263,$H263&lt;=$N263)),"損切確定",IF(AND(ISNUMBER($H263),$H263&gt;0,IF($C263="売",$H263&lt;=$M263,$H263&gt;=$M263)),"利益確定",IF($AE263&lt;=TODAY(),"日数制限","保有中"))),IF(N($AG263)=0,"利益確定",IF(N($AF263)=0,"損切確定",IF($AG263&lt;=$AF263,"損切確定","利益確定")))))</f>
        <v/>
      </c>
      <c r="AI263" s="600" t="str" cm="1">
        <f t="array" ref="AI263">IFERROR(INDEX(始値!$E$6:$BT$305,MATCH(TEXT($B263,"0"),TEXT(銘柄管理!$B$6:$B$305,"0"),0),MATCH($AE263,始値!$E$3:$BT$3,0)),"")</f>
        <v/>
      </c>
      <c r="AJ263" s="608" t="str">
        <f>IF(OR($V263="",$F263="",$G263=""),"",$V263/($F263*$G263))</f>
        <v/>
      </c>
      <c r="AK263" s="600" t="str">
        <f>IF($V263="","",IF($V263&gt;0,"○勝",IF($V263&lt;0,"●負","△引分")))</f>
        <v/>
      </c>
    </row>
    <row r="264" spans="1:37" ht="17.25" customHeight="1">
      <c r="A264" s="621" t="str">
        <f>IF(B264="","",HYPERLINK("https://kabutan.jp/stock/?code="&amp;B264,"株探"))</f>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IF(OR(F264="",G264="",H264=""),"",IF(C264="売",(F264-H264)*G264,(H264-F264)*G264))</f>
        <v/>
      </c>
      <c r="L264" s="708" t="str">
        <f>IF(OR(F264="",H264=""),"",IF(C264="売",(F264-H264)/F264,(H264-F264)/F264))</f>
        <v/>
      </c>
      <c r="M264" s="598" t="str">
        <f>IF($F264="","",IF($C264="売",CEILING($F264*IF($C264="売",1-$AX$3,1+$AX$3),IF($F264*IF($C264="売",1-$AX$3,1+$AX$3)&lt;=3000,1,IF($F264*IF($C264="売",1-$AX$3,1+$AX$3)&lt;=5000,5,IF($F264*IF($C264="売",1-$AX$3,1+$AX$3)&lt;=30000,10,IF($F264*IF($C264="売",1-$AX$3,1+$AX$3)&lt;=50000,50,IF($F264*IF($C264="売",1-$AX$3,1+$AX$3)&lt;=300000,100,500)))))),FLOOR($F264*IF($C264="売",1-$AX$3,1+$AX$3),IF($F264*IF($C264="売",1-$AX$3,1+$AX$3)&lt;=3000,1,IF($F264*IF($C264="売",1-$AX$3,1+$AX$3)&lt;=5000,5,IF($F264*IF($C264="売",1-$AX$3,1+$AX$3)&lt;=30000,10,IF($F264*IF($C264="売",1-$AX$3,1+$AX$3)&lt;=50000,50,IF($F264*IF($C264="売",1-$AX$3,1+$AX$3)&lt;=300000,100,500))))))))</f>
      </c>
      <c r="N264" s="598" t="str">
        <f>IF($F264="","",IF($C264="売",CEILING($F264*IF($C264="売",1+$AX$2,1-$AX$2),IF($F264*IF($C264="売",1+$AX$2,1-$AX$2)&lt;=3000,1,IF($F264*IF($C264="売",1+$AX$2,1-$AX$2)&lt;=5000,5,IF($F264*IF($C264="売",1+$AX$2,1-$AX$2)&lt;=30000,10,IF($F264*IF($C264="売",1+$AX$2,1-$AX$2)&lt;=50000,50,IF($F264*IF($C264="売",1+$AX$2,1-$AX$2)&lt;=300000,100,500)))))),FLOOR($F264*IF($C264="売",1+$AX$2,1-$AX$2),IF($F264*IF($C264="売",1+$AX$2,1-$AX$2)&lt;=3000,1,IF($F264*IF($C264="売",1+$AX$2,1-$AX$2)&lt;=5000,5,IF($F264*IF($C264="売",1+$AX$2,1-$AX$2)&lt;=30000,10,IF($F264*IF($C264="売",1+$AX$2,1-$AX$2)&lt;=50000,50,IF($F264*IF($C264="売",1+$AX$2,1-$AX$2)&lt;=300000,100,500))))))))</f>
      </c>
      <c r="O264" s="478" t="str">
        <f>IF(OR($B264="",$F264="",$H264=""),"",IF($S264="✅売却済","―決済済―",IF($C264="売",IF($H264&lt;=$M264,"🟢利確",IF(AND($R264&lt;&gt;"",$H264&gt;=$R264),"🟠TRAIL決済",IF($H264&gt;=$N264,"🔴損切",IF($W264&gt;=$AX$5,"⏱時間決済",IF($H264&gt;=$F264*(1+$AX$2*0.7),"⚠️損切接近","保持継続"))))),IF($H264&gt;=$M264,"🟢利確",IF(AND($R264&lt;&gt;"",$H264&lt;=$R264),"🟠TRAIL決済",IF($H264&lt;=$N264,"🔴損切",IF($W264&gt;=$AX$5,"⏱時間決済",IF($H264&lt;=$F264*(1-$AX$2*0.7),"⚠️損切接近","保持継続")))))))</f>
      </c>
      <c r="P264" s="445"/>
      <c r="Q264" s="445"/>
      <c r="R264" s="480" t="str">
        <f>IF(OR($F264="",$H264="",$N264=""),"",IF($S264="✅売却済","",IF($C264="売",IF($H264&gt;$F264*(1-$AX$2),$N264,CEILING(MIN($N264,IF($Q264="",$N264,$Q264*1.03)),IF($N264&lt;=3000,1,IF($N264&lt;=5000,5,IF($N264&lt;=30000,10,IF($N264&lt;=50000,50,IF($N264&lt;=300000,100,500))))))),IF($H264&lt;$F264*(1+$AX$2),$N264,FLOOR(MAX($N264,IF($P264="",$N264,$P264*0.97)),IF($N264&lt;=3000,1,IF($N264&lt;=5000,5,IF($N264&lt;=30000,10,IF($N264&lt;=50000,50,IF($N264&lt;=300000,100,500))))))))))</f>
      </c>
      <c r="S264" s="480" t="str">
        <f>IF(B264="","",IF(T264&lt;&gt;"","✅売却済",IF(OR(H264="",L264=""),"📌保有中",IF(L264&gt;=0.06,"🟢利確推奨",IF(L264&gt;=0.05,"🟡利確直近",IF(L264&gt;=0.045,"🔵トレーリング検討",IF(L264&gt;-0.03,"📌保有中",IF(L264&gt;-0.04,"⚠️損切注意","🔴損切り"))))))))</f>
        <v/>
      </c>
      <c r="T264" s="596"/>
      <c r="U264" s="598"/>
      <c r="V264" s="703" t="str">
        <f>IF(OR(F264="",G264="",U264=""),"",IF(C264="売",(F264-U264)*G264,(U264-F264)*G264))</f>
        <v/>
      </c>
      <c r="W264" s="480" t="str">
        <f>IF(OR($E264="",$B264=""),"",IF($T264&lt;&gt;"",$T264-$E264,TODAY()-$E264)+1)</f>
        <v/>
      </c>
      <c r="X264" s="480" t="str">
        <f>IF(OR($AH264="",$AH264="保有中"),"",$AH264)</f>
        <v/>
      </c>
      <c r="Y264" s="488">
        <f>IF($B264="","",IF(COUNTIFS($B$4:$B264,$B264,$C$4:$C264,$C264)&gt;1,"⛔重複"&amp;COUNTIFS($B$4:$B264,$B264,$C$4:$C264,$C264)&amp;"回目",""))</f>
      </c>
      <c r="Z264" s="710"/>
      <c r="AB264">
        <f>IF($F264="","",MAX(100,ROUNDDOWN($AX$4/($F264*$AX$2)/100,0)*100))</f>
      </c>
      <c r="AC264">
        <f>IF(OR($F264="",$G264="",$U264=""),"",ROUND($V264-($F264+$U264)*$G264*$AX$6-IF($C264="売",$F264*$G264*$AX$7*$W264/365,0),0))</f>
      </c>
      <c r="AD264" s="608"/>
      <c r="AE264" s="600" t="str">
        <f>IF($E264="","",WORKDAY($E264,12))</f>
        <v/>
      </c>
      <c r="AF264" s="600"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0"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0" t="str">
        <f>IF(OR($B264="",$M264=""),"",IF(AND(N($AF264)=0,N($AG264)=0),IF(AND(ISNUMBER($H264),$H264&gt;0,IF($C264="売",$H264&gt;=$N264,$H264&lt;=$N264)),"損切確定",IF(AND(ISNUMBER($H264),$H264&gt;0,IF($C264="売",$H264&lt;=$M264,$H264&gt;=$M264)),"利益確定",IF($AE264&lt;=TODAY(),"日数制限","保有中"))),IF(N($AG264)=0,"利益確定",IF(N($AF264)=0,"損切確定",IF($AG264&lt;=$AF264,"損切確定","利益確定")))))</f>
        <v/>
      </c>
      <c r="AI264" s="600" t="str" cm="1">
        <f t="array" ref="AI264">IFERROR(INDEX(始値!$E$6:$BT$305,MATCH(TEXT($B264,"0"),TEXT(銘柄管理!$B$6:$B$305,"0"),0),MATCH($AE264,始値!$E$3:$BT$3,0)),"")</f>
        <v/>
      </c>
      <c r="AJ264" s="608" t="str">
        <f>IF(OR($V264="",$F264="",$G264=""),"",$V264/($F264*$G264))</f>
        <v/>
      </c>
      <c r="AK264" s="600" t="str">
        <f>IF($V264="","",IF($V264&gt;0,"○勝",IF($V264&lt;0,"●負","△引分")))</f>
        <v/>
      </c>
    </row>
    <row r="265" spans="1:37" ht="17.25" customHeight="1">
      <c r="A265" s="621" t="str">
        <f>IF(B265="","",HYPERLINK("https://kabutan.jp/stock/?code="&amp;B265,"株探"))</f>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IF(OR(F265="",G265="",H265=""),"",IF(C265="売",(F265-H265)*G265,(H265-F265)*G265))</f>
        <v/>
      </c>
      <c r="L265" s="708" t="str">
        <f>IF(OR(F265="",H265=""),"",IF(C265="売",(F265-H265)/F265,(H265-F265)/F265))</f>
        <v/>
      </c>
      <c r="M265" s="598" t="str">
        <f>IF($F265="","",IF($C265="売",CEILING($F265*IF($C265="売",1-$AX$3,1+$AX$3),IF($F265*IF($C265="売",1-$AX$3,1+$AX$3)&lt;=3000,1,IF($F265*IF($C265="売",1-$AX$3,1+$AX$3)&lt;=5000,5,IF($F265*IF($C265="売",1-$AX$3,1+$AX$3)&lt;=30000,10,IF($F265*IF($C265="売",1-$AX$3,1+$AX$3)&lt;=50000,50,IF($F265*IF($C265="売",1-$AX$3,1+$AX$3)&lt;=300000,100,500)))))),FLOOR($F265*IF($C265="売",1-$AX$3,1+$AX$3),IF($F265*IF($C265="売",1-$AX$3,1+$AX$3)&lt;=3000,1,IF($F265*IF($C265="売",1-$AX$3,1+$AX$3)&lt;=5000,5,IF($F265*IF($C265="売",1-$AX$3,1+$AX$3)&lt;=30000,10,IF($F265*IF($C265="売",1-$AX$3,1+$AX$3)&lt;=50000,50,IF($F265*IF($C265="売",1-$AX$3,1+$AX$3)&lt;=300000,100,500))))))))</f>
      </c>
      <c r="N265" s="598" t="str">
        <f>IF($F265="","",IF($C265="売",CEILING($F265*IF($C265="売",1+$AX$2,1-$AX$2),IF($F265*IF($C265="売",1+$AX$2,1-$AX$2)&lt;=3000,1,IF($F265*IF($C265="売",1+$AX$2,1-$AX$2)&lt;=5000,5,IF($F265*IF($C265="売",1+$AX$2,1-$AX$2)&lt;=30000,10,IF($F265*IF($C265="売",1+$AX$2,1-$AX$2)&lt;=50000,50,IF($F265*IF($C265="売",1+$AX$2,1-$AX$2)&lt;=300000,100,500)))))),FLOOR($F265*IF($C265="売",1+$AX$2,1-$AX$2),IF($F265*IF($C265="売",1+$AX$2,1-$AX$2)&lt;=3000,1,IF($F265*IF($C265="売",1+$AX$2,1-$AX$2)&lt;=5000,5,IF($F265*IF($C265="売",1+$AX$2,1-$AX$2)&lt;=30000,10,IF($F265*IF($C265="売",1+$AX$2,1-$AX$2)&lt;=50000,50,IF($F265*IF($C265="売",1+$AX$2,1-$AX$2)&lt;=300000,100,500))))))))</f>
      </c>
      <c r="O265" s="478" t="str">
        <f>IF(OR($B265="",$F265="",$H265=""),"",IF($S265="✅売却済","―決済済―",IF($C265="売",IF($H265&lt;=$M265,"🟢利確",IF(AND($R265&lt;&gt;"",$H265&gt;=$R265),"🟠TRAIL決済",IF($H265&gt;=$N265,"🔴損切",IF($W265&gt;=$AX$5,"⏱時間決済",IF($H265&gt;=$F265*(1+$AX$2*0.7),"⚠️損切接近","保持継続"))))),IF($H265&gt;=$M265,"🟢利確",IF(AND($R265&lt;&gt;"",$H265&lt;=$R265),"🟠TRAIL決済",IF($H265&lt;=$N265,"🔴損切",IF($W265&gt;=$AX$5,"⏱時間決済",IF($H265&lt;=$F265*(1-$AX$2*0.7),"⚠️損切接近","保持継続")))))))</f>
      </c>
      <c r="P265" s="445"/>
      <c r="Q265" s="445"/>
      <c r="R265" s="480" t="str">
        <f>IF(OR($F265="",$H265="",$N265=""),"",IF($S265="✅売却済","",IF($C265="売",IF($H265&gt;$F265*(1-$AX$2),$N265,CEILING(MIN($N265,IF($Q265="",$N265,$Q265*1.03)),IF($N265&lt;=3000,1,IF($N265&lt;=5000,5,IF($N265&lt;=30000,10,IF($N265&lt;=50000,50,IF($N265&lt;=300000,100,500))))))),IF($H265&lt;$F265*(1+$AX$2),$N265,FLOOR(MAX($N265,IF($P265="",$N265,$P265*0.97)),IF($N265&lt;=3000,1,IF($N265&lt;=5000,5,IF($N265&lt;=30000,10,IF($N265&lt;=50000,50,IF($N265&lt;=300000,100,500))))))))))</f>
      </c>
      <c r="S265" s="480" t="str">
        <f>IF(B265="","",IF(T265&lt;&gt;"","✅売却済",IF(OR(H265="",L265=""),"📌保有中",IF(L265&gt;=0.06,"🟢利確推奨",IF(L265&gt;=0.05,"🟡利確直近",IF(L265&gt;=0.045,"🔵トレーリング検討",IF(L265&gt;-0.03,"📌保有中",IF(L265&gt;-0.04,"⚠️損切注意","🔴損切り"))))))))</f>
        <v/>
      </c>
      <c r="T265" s="596"/>
      <c r="U265" s="598"/>
      <c r="V265" s="703" t="str">
        <f>IF(OR(F265="",G265="",U265=""),"",IF(C265="売",(F265-U265)*G265,(U265-F265)*G265))</f>
        <v/>
      </c>
      <c r="W265" s="480" t="str">
        <f>IF(OR($E265="",$B265=""),"",IF($T265&lt;&gt;"",$T265-$E265,TODAY()-$E265)+1)</f>
        <v/>
      </c>
      <c r="X265" s="480" t="str">
        <f>IF(OR($AH265="",$AH265="保有中"),"",$AH265)</f>
        <v/>
      </c>
      <c r="Y265" s="488">
        <f>IF($B265="","",IF(COUNTIFS($B$4:$B265,$B265,$C$4:$C265,$C265)&gt;1,"⛔重複"&amp;COUNTIFS($B$4:$B265,$B265,$C$4:$C265,$C265)&amp;"回目",""))</f>
      </c>
      <c r="Z265" s="710"/>
      <c r="AB265">
        <f>IF($F265="","",MAX(100,ROUNDDOWN($AX$4/($F265*$AX$2)/100,0)*100))</f>
      </c>
      <c r="AC265">
        <f>IF(OR($F265="",$G265="",$U265=""),"",ROUND($V265-($F265+$U265)*$G265*$AX$6-IF($C265="売",$F265*$G265*$AX$7*$W265/365,0),0))</f>
      </c>
      <c r="AD265" s="608"/>
      <c r="AE265" s="600" t="str">
        <f>IF($E265="","",WORKDAY($E265,12))</f>
        <v/>
      </c>
      <c r="AF265" s="600"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0"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0" t="str">
        <f>IF(OR($B265="",$M265=""),"",IF(AND(N($AF265)=0,N($AG265)=0),IF(AND(ISNUMBER($H265),$H265&gt;0,IF($C265="売",$H265&gt;=$N265,$H265&lt;=$N265)),"損切確定",IF(AND(ISNUMBER($H265),$H265&gt;0,IF($C265="売",$H265&lt;=$M265,$H265&gt;=$M265)),"利益確定",IF($AE265&lt;=TODAY(),"日数制限","保有中"))),IF(N($AG265)=0,"利益確定",IF(N($AF265)=0,"損切確定",IF($AG265&lt;=$AF265,"損切確定","利益確定")))))</f>
        <v/>
      </c>
      <c r="AI265" s="600" t="str" cm="1">
        <f t="array" ref="AI265">IFERROR(INDEX(始値!$E$6:$BT$305,MATCH(TEXT($B265,"0"),TEXT(銘柄管理!$B$6:$B$305,"0"),0),MATCH($AE265,始値!$E$3:$BT$3,0)),"")</f>
        <v/>
      </c>
      <c r="AJ265" s="608" t="str">
        <f>IF(OR($V265="",$F265="",$G265=""),"",$V265/($F265*$G265))</f>
        <v/>
      </c>
      <c r="AK265" s="600" t="str">
        <f>IF($V265="","",IF($V265&gt;0,"○勝",IF($V265&lt;0,"●負","△引分")))</f>
        <v/>
      </c>
    </row>
    <row r="266" spans="1:37" ht="17.25" customHeight="1">
      <c r="A266" s="621" t="str">
        <f>IF(B266="","",HYPERLINK("https://kabutan.jp/stock/?code="&amp;B266,"株探"))</f>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IF(OR(F266="",G266="",H266=""),"",IF(C266="売",(F266-H266)*G266,(H266-F266)*G266))</f>
        <v/>
      </c>
      <c r="L266" s="708" t="str">
        <f>IF(OR(F266="",H266=""),"",IF(C266="売",(F266-H266)/F266,(H266-F266)/F266))</f>
        <v/>
      </c>
      <c r="M266" s="598" t="str">
        <f>IF($F266="","",IF($C266="売",CEILING($F266*IF($C266="売",1-$AX$3,1+$AX$3),IF($F266*IF($C266="売",1-$AX$3,1+$AX$3)&lt;=3000,1,IF($F266*IF($C266="売",1-$AX$3,1+$AX$3)&lt;=5000,5,IF($F266*IF($C266="売",1-$AX$3,1+$AX$3)&lt;=30000,10,IF($F266*IF($C266="売",1-$AX$3,1+$AX$3)&lt;=50000,50,IF($F266*IF($C266="売",1-$AX$3,1+$AX$3)&lt;=300000,100,500)))))),FLOOR($F266*IF($C266="売",1-$AX$3,1+$AX$3),IF($F266*IF($C266="売",1-$AX$3,1+$AX$3)&lt;=3000,1,IF($F266*IF($C266="売",1-$AX$3,1+$AX$3)&lt;=5000,5,IF($F266*IF($C266="売",1-$AX$3,1+$AX$3)&lt;=30000,10,IF($F266*IF($C266="売",1-$AX$3,1+$AX$3)&lt;=50000,50,IF($F266*IF($C266="売",1-$AX$3,1+$AX$3)&lt;=300000,100,500))))))))</f>
      </c>
      <c r="N266" s="598" t="str">
        <f>IF($F266="","",IF($C266="売",CEILING($F266*IF($C266="売",1+$AX$2,1-$AX$2),IF($F266*IF($C266="売",1+$AX$2,1-$AX$2)&lt;=3000,1,IF($F266*IF($C266="売",1+$AX$2,1-$AX$2)&lt;=5000,5,IF($F266*IF($C266="売",1+$AX$2,1-$AX$2)&lt;=30000,10,IF($F266*IF($C266="売",1+$AX$2,1-$AX$2)&lt;=50000,50,IF($F266*IF($C266="売",1+$AX$2,1-$AX$2)&lt;=300000,100,500)))))),FLOOR($F266*IF($C266="売",1+$AX$2,1-$AX$2),IF($F266*IF($C266="売",1+$AX$2,1-$AX$2)&lt;=3000,1,IF($F266*IF($C266="売",1+$AX$2,1-$AX$2)&lt;=5000,5,IF($F266*IF($C266="売",1+$AX$2,1-$AX$2)&lt;=30000,10,IF($F266*IF($C266="売",1+$AX$2,1-$AX$2)&lt;=50000,50,IF($F266*IF($C266="売",1+$AX$2,1-$AX$2)&lt;=300000,100,500))))))))</f>
      </c>
      <c r="O266" s="478" t="str">
        <f>IF(OR($B266="",$F266="",$H266=""),"",IF($S266="✅売却済","―決済済―",IF($C266="売",IF($H266&lt;=$M266,"🟢利確",IF(AND($R266&lt;&gt;"",$H266&gt;=$R266),"🟠TRAIL決済",IF($H266&gt;=$N266,"🔴損切",IF($W266&gt;=$AX$5,"⏱時間決済",IF($H266&gt;=$F266*(1+$AX$2*0.7),"⚠️損切接近","保持継続"))))),IF($H266&gt;=$M266,"🟢利確",IF(AND($R266&lt;&gt;"",$H266&lt;=$R266),"🟠TRAIL決済",IF($H266&lt;=$N266,"🔴損切",IF($W266&gt;=$AX$5,"⏱時間決済",IF($H266&lt;=$F266*(1-$AX$2*0.7),"⚠️損切接近","保持継続")))))))</f>
      </c>
      <c r="P266" s="445"/>
      <c r="Q266" s="445"/>
      <c r="R266" s="480" t="str">
        <f>IF(OR($F266="",$H266="",$N266=""),"",IF($S266="✅売却済","",IF($C266="売",IF($H266&gt;$F266*(1-$AX$2),$N266,CEILING(MIN($N266,IF($Q266="",$N266,$Q266*1.03)),IF($N266&lt;=3000,1,IF($N266&lt;=5000,5,IF($N266&lt;=30000,10,IF($N266&lt;=50000,50,IF($N266&lt;=300000,100,500))))))),IF($H266&lt;$F266*(1+$AX$2),$N266,FLOOR(MAX($N266,IF($P266="",$N266,$P266*0.97)),IF($N266&lt;=3000,1,IF($N266&lt;=5000,5,IF($N266&lt;=30000,10,IF($N266&lt;=50000,50,IF($N266&lt;=300000,100,500))))))))))</f>
      </c>
      <c r="S266" s="480" t="str">
        <f>IF(B266="","",IF(T266&lt;&gt;"","✅売却済",IF(OR(H266="",L266=""),"📌保有中",IF(L266&gt;=0.06,"🟢利確推奨",IF(L266&gt;=0.05,"🟡利確直近",IF(L266&gt;=0.045,"🔵トレーリング検討",IF(L266&gt;-0.03,"📌保有中",IF(L266&gt;-0.04,"⚠️損切注意","🔴損切り"))))))))</f>
        <v/>
      </c>
      <c r="T266" s="596"/>
      <c r="U266" s="598"/>
      <c r="V266" s="703" t="str">
        <f>IF(OR(F266="",G266="",U266=""),"",IF(C266="売",(F266-U266)*G266,(U266-F266)*G266))</f>
        <v/>
      </c>
      <c r="W266" s="480" t="str">
        <f>IF(OR($E266="",$B266=""),"",IF($T266&lt;&gt;"",$T266-$E266,TODAY()-$E266)+1)</f>
        <v/>
      </c>
      <c r="X266" s="480" t="str">
        <f>IF(OR($AH266="",$AH266="保有中"),"",$AH266)</f>
        <v/>
      </c>
      <c r="Y266" s="488">
        <f>IF($B266="","",IF(COUNTIFS($B$4:$B266,$B266,$C$4:$C266,$C266)&gt;1,"⛔重複"&amp;COUNTIFS($B$4:$B266,$B266,$C$4:$C266,$C266)&amp;"回目",""))</f>
      </c>
      <c r="Z266" s="710"/>
      <c r="AB266">
        <f>IF($F266="","",MAX(100,ROUNDDOWN($AX$4/($F266*$AX$2)/100,0)*100))</f>
      </c>
      <c r="AC266">
        <f>IF(OR($F266="",$G266="",$U266=""),"",ROUND($V266-($F266+$U266)*$G266*$AX$6-IF($C266="売",$F266*$G266*$AX$7*$W266/365,0),0))</f>
      </c>
      <c r="AD266" s="608"/>
      <c r="AE266" s="600" t="str">
        <f>IF($E266="","",WORKDAY($E266,12))</f>
        <v/>
      </c>
      <c r="AF266" s="600"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0"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0" t="str">
        <f>IF(OR($B266="",$M266=""),"",IF(AND(N($AF266)=0,N($AG266)=0),IF(AND(ISNUMBER($H266),$H266&gt;0,IF($C266="売",$H266&gt;=$N266,$H266&lt;=$N266)),"損切確定",IF(AND(ISNUMBER($H266),$H266&gt;0,IF($C266="売",$H266&lt;=$M266,$H266&gt;=$M266)),"利益確定",IF($AE266&lt;=TODAY(),"日数制限","保有中"))),IF(N($AG266)=0,"利益確定",IF(N($AF266)=0,"損切確定",IF($AG266&lt;=$AF266,"損切確定","利益確定")))))</f>
        <v/>
      </c>
      <c r="AI266" s="600" t="str" cm="1">
        <f t="array" ref="AI266">IFERROR(INDEX(始値!$E$6:$BT$305,MATCH(TEXT($B266,"0"),TEXT(銘柄管理!$B$6:$B$305,"0"),0),MATCH($AE266,始値!$E$3:$BT$3,0)),"")</f>
        <v/>
      </c>
      <c r="AJ266" s="608" t="str">
        <f>IF(OR($V266="",$F266="",$G266=""),"",$V266/($F266*$G266))</f>
        <v/>
      </c>
      <c r="AK266" s="600" t="str">
        <f>IF($V266="","",IF($V266&gt;0,"○勝",IF($V266&lt;0,"●負","△引分")))</f>
        <v/>
      </c>
    </row>
    <row r="267" spans="1:37" ht="17.25" customHeight="1">
      <c r="A267" s="621" t="str">
        <f>IF(B267="","",HYPERLINK("https://kabutan.jp/stock/?code="&amp;B267,"株探"))</f>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IF(OR(F267="",G267="",H267=""),"",IF(C267="売",(F267-H267)*G267,(H267-F267)*G267))</f>
        <v/>
      </c>
      <c r="L267" s="708" t="str">
        <f>IF(OR(F267="",H267=""),"",IF(C267="売",(F267-H267)/F267,(H267-F267)/F267))</f>
        <v/>
      </c>
      <c r="M267" s="598" t="str">
        <f>IF($F267="","",IF($C267="売",CEILING($F267*IF($C267="売",1-$AX$3,1+$AX$3),IF($F267*IF($C267="売",1-$AX$3,1+$AX$3)&lt;=3000,1,IF($F267*IF($C267="売",1-$AX$3,1+$AX$3)&lt;=5000,5,IF($F267*IF($C267="売",1-$AX$3,1+$AX$3)&lt;=30000,10,IF($F267*IF($C267="売",1-$AX$3,1+$AX$3)&lt;=50000,50,IF($F267*IF($C267="売",1-$AX$3,1+$AX$3)&lt;=300000,100,500)))))),FLOOR($F267*IF($C267="売",1-$AX$3,1+$AX$3),IF($F267*IF($C267="売",1-$AX$3,1+$AX$3)&lt;=3000,1,IF($F267*IF($C267="売",1-$AX$3,1+$AX$3)&lt;=5000,5,IF($F267*IF($C267="売",1-$AX$3,1+$AX$3)&lt;=30000,10,IF($F267*IF($C267="売",1-$AX$3,1+$AX$3)&lt;=50000,50,IF($F267*IF($C267="売",1-$AX$3,1+$AX$3)&lt;=300000,100,500))))))))</f>
      </c>
      <c r="N267" s="598" t="str">
        <f>IF($F267="","",IF($C267="売",CEILING($F267*IF($C267="売",1+$AX$2,1-$AX$2),IF($F267*IF($C267="売",1+$AX$2,1-$AX$2)&lt;=3000,1,IF($F267*IF($C267="売",1+$AX$2,1-$AX$2)&lt;=5000,5,IF($F267*IF($C267="売",1+$AX$2,1-$AX$2)&lt;=30000,10,IF($F267*IF($C267="売",1+$AX$2,1-$AX$2)&lt;=50000,50,IF($F267*IF($C267="売",1+$AX$2,1-$AX$2)&lt;=300000,100,500)))))),FLOOR($F267*IF($C267="売",1+$AX$2,1-$AX$2),IF($F267*IF($C267="売",1+$AX$2,1-$AX$2)&lt;=3000,1,IF($F267*IF($C267="売",1+$AX$2,1-$AX$2)&lt;=5000,5,IF($F267*IF($C267="売",1+$AX$2,1-$AX$2)&lt;=30000,10,IF($F267*IF($C267="売",1+$AX$2,1-$AX$2)&lt;=50000,50,IF($F267*IF($C267="売",1+$AX$2,1-$AX$2)&lt;=300000,100,500))))))))</f>
      </c>
      <c r="O267" s="478" t="str">
        <f>IF(OR($B267="",$F267="",$H267=""),"",IF($S267="✅売却済","―決済済―",IF($C267="売",IF($H267&lt;=$M267,"🟢利確",IF(AND($R267&lt;&gt;"",$H267&gt;=$R267),"🟠TRAIL決済",IF($H267&gt;=$N267,"🔴損切",IF($W267&gt;=$AX$5,"⏱時間決済",IF($H267&gt;=$F267*(1+$AX$2*0.7),"⚠️損切接近","保持継続"))))),IF($H267&gt;=$M267,"🟢利確",IF(AND($R267&lt;&gt;"",$H267&lt;=$R267),"🟠TRAIL決済",IF($H267&lt;=$N267,"🔴損切",IF($W267&gt;=$AX$5,"⏱時間決済",IF($H267&lt;=$F267*(1-$AX$2*0.7),"⚠️損切接近","保持継続")))))))</f>
      </c>
      <c r="P267" s="445"/>
      <c r="Q267" s="445"/>
      <c r="R267" s="480" t="str">
        <f>IF(OR($F267="",$H267="",$N267=""),"",IF($S267="✅売却済","",IF($C267="売",IF($H267&gt;$F267*(1-$AX$2),$N267,CEILING(MIN($N267,IF($Q267="",$N267,$Q267*1.03)),IF($N267&lt;=3000,1,IF($N267&lt;=5000,5,IF($N267&lt;=30000,10,IF($N267&lt;=50000,50,IF($N267&lt;=300000,100,500))))))),IF($H267&lt;$F267*(1+$AX$2),$N267,FLOOR(MAX($N267,IF($P267="",$N267,$P267*0.97)),IF($N267&lt;=3000,1,IF($N267&lt;=5000,5,IF($N267&lt;=30000,10,IF($N267&lt;=50000,50,IF($N267&lt;=300000,100,500))))))))))</f>
      </c>
      <c r="S267" s="480" t="str">
        <f>IF(B267="","",IF(T267&lt;&gt;"","✅売却済",IF(OR(H267="",L267=""),"📌保有中",IF(L267&gt;=0.06,"🟢利確推奨",IF(L267&gt;=0.05,"🟡利確直近",IF(L267&gt;=0.045,"🔵トレーリング検討",IF(L267&gt;-0.03,"📌保有中",IF(L267&gt;-0.04,"⚠️損切注意","🔴損切り"))))))))</f>
        <v/>
      </c>
      <c r="T267" s="596"/>
      <c r="U267" s="598"/>
      <c r="V267" s="703" t="str">
        <f>IF(OR(F267="",G267="",U267=""),"",IF(C267="売",(F267-U267)*G267,(U267-F267)*G267))</f>
        <v/>
      </c>
      <c r="W267" s="480" t="str">
        <f>IF(OR($E267="",$B267=""),"",IF($T267&lt;&gt;"",$T267-$E267,TODAY()-$E267)+1)</f>
        <v/>
      </c>
      <c r="X267" s="480" t="str">
        <f>IF(OR($AH267="",$AH267="保有中"),"",$AH267)</f>
        <v/>
      </c>
      <c r="Y267" s="488">
        <f>IF($B267="","",IF(COUNTIFS($B$4:$B267,$B267,$C$4:$C267,$C267)&gt;1,"⛔重複"&amp;COUNTIFS($B$4:$B267,$B267,$C$4:$C267,$C267)&amp;"回目",""))</f>
      </c>
      <c r="Z267" s="710"/>
      <c r="AB267">
        <f>IF($F267="","",MAX(100,ROUNDDOWN($AX$4/($F267*$AX$2)/100,0)*100))</f>
      </c>
      <c r="AC267">
        <f>IF(OR($F267="",$G267="",$U267=""),"",ROUND($V267-($F267+$U267)*$G267*$AX$6-IF($C267="売",$F267*$G267*$AX$7*$W267/365,0),0))</f>
      </c>
      <c r="AD267" s="608"/>
      <c r="AE267" s="600" t="str">
        <f>IF($E267="","",WORKDAY($E267,12))</f>
        <v/>
      </c>
      <c r="AF267" s="600"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0"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0" t="str">
        <f>IF(OR($B267="",$M267=""),"",IF(AND(N($AF267)=0,N($AG267)=0),IF(AND(ISNUMBER($H267),$H267&gt;0,IF($C267="売",$H267&gt;=$N267,$H267&lt;=$N267)),"損切確定",IF(AND(ISNUMBER($H267),$H267&gt;0,IF($C267="売",$H267&lt;=$M267,$H267&gt;=$M267)),"利益確定",IF($AE267&lt;=TODAY(),"日数制限","保有中"))),IF(N($AG267)=0,"利益確定",IF(N($AF267)=0,"損切確定",IF($AG267&lt;=$AF267,"損切確定","利益確定")))))</f>
        <v/>
      </c>
      <c r="AI267" s="600" t="str" cm="1">
        <f t="array" ref="AI267">IFERROR(INDEX(始値!$E$6:$BT$305,MATCH(TEXT($B267,"0"),TEXT(銘柄管理!$B$6:$B$305,"0"),0),MATCH($AE267,始値!$E$3:$BT$3,0)),"")</f>
        <v/>
      </c>
      <c r="AJ267" s="608" t="str">
        <f>IF(OR($V267="",$F267="",$G267=""),"",$V267/($F267*$G267))</f>
        <v/>
      </c>
      <c r="AK267" s="600" t="str">
        <f>IF($V267="","",IF($V267&gt;0,"○勝",IF($V267&lt;0,"●負","△引分")))</f>
        <v/>
      </c>
    </row>
    <row r="268" spans="1:37" ht="17.25" customHeight="1">
      <c r="A268" s="621" t="str">
        <f>IF(B268="","",HYPERLINK("https://kabutan.jp/stock/?code="&amp;B268,"株探"))</f>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IF(OR(F268="",G268="",H268=""),"",IF(C268="売",(F268-H268)*G268,(H268-F268)*G268))</f>
        <v/>
      </c>
      <c r="L268" s="708" t="str">
        <f>IF(OR(F268="",H268=""),"",IF(C268="売",(F268-H268)/F268,(H268-F268)/F268))</f>
        <v/>
      </c>
      <c r="M268" s="598" t="str">
        <f>IF($F268="","",IF($C268="売",CEILING($F268*IF($C268="売",1-$AX$3,1+$AX$3),IF($F268*IF($C268="売",1-$AX$3,1+$AX$3)&lt;=3000,1,IF($F268*IF($C268="売",1-$AX$3,1+$AX$3)&lt;=5000,5,IF($F268*IF($C268="売",1-$AX$3,1+$AX$3)&lt;=30000,10,IF($F268*IF($C268="売",1-$AX$3,1+$AX$3)&lt;=50000,50,IF($F268*IF($C268="売",1-$AX$3,1+$AX$3)&lt;=300000,100,500)))))),FLOOR($F268*IF($C268="売",1-$AX$3,1+$AX$3),IF($F268*IF($C268="売",1-$AX$3,1+$AX$3)&lt;=3000,1,IF($F268*IF($C268="売",1-$AX$3,1+$AX$3)&lt;=5000,5,IF($F268*IF($C268="売",1-$AX$3,1+$AX$3)&lt;=30000,10,IF($F268*IF($C268="売",1-$AX$3,1+$AX$3)&lt;=50000,50,IF($F268*IF($C268="売",1-$AX$3,1+$AX$3)&lt;=300000,100,500))))))))</f>
      </c>
      <c r="N268" s="598" t="str">
        <f>IF($F268="","",IF($C268="売",CEILING($F268*IF($C268="売",1+$AX$2,1-$AX$2),IF($F268*IF($C268="売",1+$AX$2,1-$AX$2)&lt;=3000,1,IF($F268*IF($C268="売",1+$AX$2,1-$AX$2)&lt;=5000,5,IF($F268*IF($C268="売",1+$AX$2,1-$AX$2)&lt;=30000,10,IF($F268*IF($C268="売",1+$AX$2,1-$AX$2)&lt;=50000,50,IF($F268*IF($C268="売",1+$AX$2,1-$AX$2)&lt;=300000,100,500)))))),FLOOR($F268*IF($C268="売",1+$AX$2,1-$AX$2),IF($F268*IF($C268="売",1+$AX$2,1-$AX$2)&lt;=3000,1,IF($F268*IF($C268="売",1+$AX$2,1-$AX$2)&lt;=5000,5,IF($F268*IF($C268="売",1+$AX$2,1-$AX$2)&lt;=30000,10,IF($F268*IF($C268="売",1+$AX$2,1-$AX$2)&lt;=50000,50,IF($F268*IF($C268="売",1+$AX$2,1-$AX$2)&lt;=300000,100,500))))))))</f>
      </c>
      <c r="O268" s="478" t="str">
        <f>IF(OR($B268="",$F268="",$H268=""),"",IF($S268="✅売却済","―決済済―",IF($C268="売",IF($H268&lt;=$M268,"🟢利確",IF(AND($R268&lt;&gt;"",$H268&gt;=$R268),"🟠TRAIL決済",IF($H268&gt;=$N268,"🔴損切",IF($W268&gt;=$AX$5,"⏱時間決済",IF($H268&gt;=$F268*(1+$AX$2*0.7),"⚠️損切接近","保持継続"))))),IF($H268&gt;=$M268,"🟢利確",IF(AND($R268&lt;&gt;"",$H268&lt;=$R268),"🟠TRAIL決済",IF($H268&lt;=$N268,"🔴損切",IF($W268&gt;=$AX$5,"⏱時間決済",IF($H268&lt;=$F268*(1-$AX$2*0.7),"⚠️損切接近","保持継続")))))))</f>
      </c>
      <c r="P268" s="445"/>
      <c r="Q268" s="445"/>
      <c r="R268" s="480" t="str">
        <f>IF(OR($F268="",$H268="",$N268=""),"",IF($S268="✅売却済","",IF($C268="売",IF($H268&gt;$F268*(1-$AX$2),$N268,CEILING(MIN($N268,IF($Q268="",$N268,$Q268*1.03)),IF($N268&lt;=3000,1,IF($N268&lt;=5000,5,IF($N268&lt;=30000,10,IF($N268&lt;=50000,50,IF($N268&lt;=300000,100,500))))))),IF($H268&lt;$F268*(1+$AX$2),$N268,FLOOR(MAX($N268,IF($P268="",$N268,$P268*0.97)),IF($N268&lt;=3000,1,IF($N268&lt;=5000,5,IF($N268&lt;=30000,10,IF($N268&lt;=50000,50,IF($N268&lt;=300000,100,500))))))))))</f>
      </c>
      <c r="S268" s="480" t="str">
        <f>IF(B268="","",IF(T268&lt;&gt;"","✅売却済",IF(OR(H268="",L268=""),"📌保有中",IF(L268&gt;=0.06,"🟢利確推奨",IF(L268&gt;=0.05,"🟡利確直近",IF(L268&gt;=0.045,"🔵トレーリング検討",IF(L268&gt;-0.03,"📌保有中",IF(L268&gt;-0.04,"⚠️損切注意","🔴損切り"))))))))</f>
        <v/>
      </c>
      <c r="T268" s="596"/>
      <c r="U268" s="598"/>
      <c r="V268" s="703" t="str">
        <f>IF(OR(F268="",G268="",U268=""),"",IF(C268="売",(F268-U268)*G268,(U268-F268)*G268))</f>
        <v/>
      </c>
      <c r="W268" s="480" t="str">
        <f>IF(OR($E268="",$B268=""),"",IF($T268&lt;&gt;"",$T268-$E268,TODAY()-$E268)+1)</f>
        <v/>
      </c>
      <c r="X268" s="480" t="str">
        <f>IF(OR($AH268="",$AH268="保有中"),"",$AH268)</f>
        <v/>
      </c>
      <c r="Y268" s="488">
        <f>IF($B268="","",IF(COUNTIFS($B$4:$B268,$B268,$C$4:$C268,$C268)&gt;1,"⛔重複"&amp;COUNTIFS($B$4:$B268,$B268,$C$4:$C268,$C268)&amp;"回目",""))</f>
      </c>
      <c r="Z268" s="710"/>
      <c r="AB268">
        <f>IF($F268="","",MAX(100,ROUNDDOWN($AX$4/($F268*$AX$2)/100,0)*100))</f>
      </c>
      <c r="AC268">
        <f>IF(OR($F268="",$G268="",$U268=""),"",ROUND($V268-($F268+$U268)*$G268*$AX$6-IF($C268="売",$F268*$G268*$AX$7*$W268/365,0),0))</f>
      </c>
      <c r="AD268" s="608"/>
      <c r="AE268" s="600" t="str">
        <f>IF($E268="","",WORKDAY($E268,12))</f>
        <v/>
      </c>
      <c r="AF268" s="600"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0"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0" t="str">
        <f>IF(OR($B268="",$M268=""),"",IF(AND(N($AF268)=0,N($AG268)=0),IF(AND(ISNUMBER($H268),$H268&gt;0,IF($C268="売",$H268&gt;=$N268,$H268&lt;=$N268)),"損切確定",IF(AND(ISNUMBER($H268),$H268&gt;0,IF($C268="売",$H268&lt;=$M268,$H268&gt;=$M268)),"利益確定",IF($AE268&lt;=TODAY(),"日数制限","保有中"))),IF(N($AG268)=0,"利益確定",IF(N($AF268)=0,"損切確定",IF($AG268&lt;=$AF268,"損切確定","利益確定")))))</f>
        <v/>
      </c>
      <c r="AI268" s="600" t="str" cm="1">
        <f t="array" ref="AI268">IFERROR(INDEX(始値!$E$6:$BT$305,MATCH(TEXT($B268,"0"),TEXT(銘柄管理!$B$6:$B$305,"0"),0),MATCH($AE268,始値!$E$3:$BT$3,0)),"")</f>
        <v/>
      </c>
      <c r="AJ268" s="608" t="str">
        <f>IF(OR($V268="",$F268="",$G268=""),"",$V268/($F268*$G268))</f>
        <v/>
      </c>
      <c r="AK268" s="600" t="str">
        <f>IF($V268="","",IF($V268&gt;0,"○勝",IF($V268&lt;0,"●負","△引分")))</f>
        <v/>
      </c>
    </row>
    <row r="269" spans="1:37" ht="17.25" customHeight="1">
      <c r="A269" s="621" t="str">
        <f>IF(B269="","",HYPERLINK("https://kabutan.jp/stock/?code="&amp;B269,"株探"))</f>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IF(OR(F269="",G269="",H269=""),"",IF(C269="売",(F269-H269)*G269,(H269-F269)*G269))</f>
        <v/>
      </c>
      <c r="L269" s="708" t="str">
        <f>IF(OR(F269="",H269=""),"",IF(C269="売",(F269-H269)/F269,(H269-F269)/F269))</f>
        <v/>
      </c>
      <c r="M269" s="598" t="str">
        <f>IF($F269="","",IF($C269="売",CEILING($F269*IF($C269="売",1-$AX$3,1+$AX$3),IF($F269*IF($C269="売",1-$AX$3,1+$AX$3)&lt;=3000,1,IF($F269*IF($C269="売",1-$AX$3,1+$AX$3)&lt;=5000,5,IF($F269*IF($C269="売",1-$AX$3,1+$AX$3)&lt;=30000,10,IF($F269*IF($C269="売",1-$AX$3,1+$AX$3)&lt;=50000,50,IF($F269*IF($C269="売",1-$AX$3,1+$AX$3)&lt;=300000,100,500)))))),FLOOR($F269*IF($C269="売",1-$AX$3,1+$AX$3),IF($F269*IF($C269="売",1-$AX$3,1+$AX$3)&lt;=3000,1,IF($F269*IF($C269="売",1-$AX$3,1+$AX$3)&lt;=5000,5,IF($F269*IF($C269="売",1-$AX$3,1+$AX$3)&lt;=30000,10,IF($F269*IF($C269="売",1-$AX$3,1+$AX$3)&lt;=50000,50,IF($F269*IF($C269="売",1-$AX$3,1+$AX$3)&lt;=300000,100,500))))))))</f>
      </c>
      <c r="N269" s="598" t="str">
        <f>IF($F269="","",IF($C269="売",CEILING($F269*IF($C269="売",1+$AX$2,1-$AX$2),IF($F269*IF($C269="売",1+$AX$2,1-$AX$2)&lt;=3000,1,IF($F269*IF($C269="売",1+$AX$2,1-$AX$2)&lt;=5000,5,IF($F269*IF($C269="売",1+$AX$2,1-$AX$2)&lt;=30000,10,IF($F269*IF($C269="売",1+$AX$2,1-$AX$2)&lt;=50000,50,IF($F269*IF($C269="売",1+$AX$2,1-$AX$2)&lt;=300000,100,500)))))),FLOOR($F269*IF($C269="売",1+$AX$2,1-$AX$2),IF($F269*IF($C269="売",1+$AX$2,1-$AX$2)&lt;=3000,1,IF($F269*IF($C269="売",1+$AX$2,1-$AX$2)&lt;=5000,5,IF($F269*IF($C269="売",1+$AX$2,1-$AX$2)&lt;=30000,10,IF($F269*IF($C269="売",1+$AX$2,1-$AX$2)&lt;=50000,50,IF($F269*IF($C269="売",1+$AX$2,1-$AX$2)&lt;=300000,100,500))))))))</f>
      </c>
      <c r="O269" s="478" t="str">
        <f>IF(OR($B269="",$F269="",$H269=""),"",IF($S269="✅売却済","―決済済―",IF($C269="売",IF($H269&lt;=$M269,"🟢利確",IF(AND($R269&lt;&gt;"",$H269&gt;=$R269),"🟠TRAIL決済",IF($H269&gt;=$N269,"🔴損切",IF($W269&gt;=$AX$5,"⏱時間決済",IF($H269&gt;=$F269*(1+$AX$2*0.7),"⚠️損切接近","保持継続"))))),IF($H269&gt;=$M269,"🟢利確",IF(AND($R269&lt;&gt;"",$H269&lt;=$R269),"🟠TRAIL決済",IF($H269&lt;=$N269,"🔴損切",IF($W269&gt;=$AX$5,"⏱時間決済",IF($H269&lt;=$F269*(1-$AX$2*0.7),"⚠️損切接近","保持継続")))))))</f>
      </c>
      <c r="P269" s="445"/>
      <c r="Q269" s="445"/>
      <c r="R269" s="480" t="str">
        <f>IF(OR($F269="",$H269="",$N269=""),"",IF($S269="✅売却済","",IF($C269="売",IF($H269&gt;$F269*(1-$AX$2),$N269,CEILING(MIN($N269,IF($Q269="",$N269,$Q269*1.03)),IF($N269&lt;=3000,1,IF($N269&lt;=5000,5,IF($N269&lt;=30000,10,IF($N269&lt;=50000,50,IF($N269&lt;=300000,100,500))))))),IF($H269&lt;$F269*(1+$AX$2),$N269,FLOOR(MAX($N269,IF($P269="",$N269,$P269*0.97)),IF($N269&lt;=3000,1,IF($N269&lt;=5000,5,IF($N269&lt;=30000,10,IF($N269&lt;=50000,50,IF($N269&lt;=300000,100,500))))))))))</f>
      </c>
      <c r="S269" s="480" t="str">
        <f>IF(B269="","",IF(T269&lt;&gt;"","✅売却済",IF(OR(H269="",L269=""),"📌保有中",IF(L269&gt;=0.06,"🟢利確推奨",IF(L269&gt;=0.05,"🟡利確直近",IF(L269&gt;=0.045,"🔵トレーリング検討",IF(L269&gt;-0.03,"📌保有中",IF(L269&gt;-0.04,"⚠️損切注意","🔴損切り"))))))))</f>
        <v/>
      </c>
      <c r="T269" s="596"/>
      <c r="U269" s="598"/>
      <c r="V269" s="703" t="str">
        <f>IF(OR(F269="",G269="",U269=""),"",IF(C269="売",(F269-U269)*G269,(U269-F269)*G269))</f>
        <v/>
      </c>
      <c r="W269" s="480" t="str">
        <f>IF(OR($E269="",$B269=""),"",IF($T269&lt;&gt;"",$T269-$E269,TODAY()-$E269)+1)</f>
        <v/>
      </c>
      <c r="X269" s="480" t="str">
        <f>IF(OR($AH269="",$AH269="保有中"),"",$AH269)</f>
        <v/>
      </c>
      <c r="Y269" s="488">
        <f>IF($B269="","",IF(COUNTIFS($B$4:$B269,$B269,$C$4:$C269,$C269)&gt;1,"⛔重複"&amp;COUNTIFS($B$4:$B269,$B269,$C$4:$C269,$C269)&amp;"回目",""))</f>
      </c>
      <c r="Z269" s="710"/>
      <c r="AB269">
        <f>IF($F269="","",MAX(100,ROUNDDOWN($AX$4/($F269*$AX$2)/100,0)*100))</f>
      </c>
      <c r="AC269">
        <f>IF(OR($F269="",$G269="",$U269=""),"",ROUND($V269-($F269+$U269)*$G269*$AX$6-IF($C269="売",$F269*$G269*$AX$7*$W269/365,0),0))</f>
      </c>
      <c r="AD269" s="608"/>
      <c r="AE269" s="600" t="str">
        <f>IF($E269="","",WORKDAY($E269,12))</f>
        <v/>
      </c>
      <c r="AF269" s="600"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0"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0" t="str">
        <f>IF(OR($B269="",$M269=""),"",IF(AND(N($AF269)=0,N($AG269)=0),IF(AND(ISNUMBER($H269),$H269&gt;0,IF($C269="売",$H269&gt;=$N269,$H269&lt;=$N269)),"損切確定",IF(AND(ISNUMBER($H269),$H269&gt;0,IF($C269="売",$H269&lt;=$M269,$H269&gt;=$M269)),"利益確定",IF($AE269&lt;=TODAY(),"日数制限","保有中"))),IF(N($AG269)=0,"利益確定",IF(N($AF269)=0,"損切確定",IF($AG269&lt;=$AF269,"損切確定","利益確定")))))</f>
        <v/>
      </c>
      <c r="AI269" s="600" t="str" cm="1">
        <f t="array" ref="AI269">IFERROR(INDEX(始値!$E$6:$BT$305,MATCH(TEXT($B269,"0"),TEXT(銘柄管理!$B$6:$B$305,"0"),0),MATCH($AE269,始値!$E$3:$BT$3,0)),"")</f>
        <v/>
      </c>
      <c r="AJ269" s="608" t="str">
        <f>IF(OR($V269="",$F269="",$G269=""),"",$V269/($F269*$G269))</f>
        <v/>
      </c>
      <c r="AK269" s="600" t="str">
        <f>IF($V269="","",IF($V269&gt;0,"○勝",IF($V269&lt;0,"●負","△引分")))</f>
        <v/>
      </c>
    </row>
    <row r="270" spans="1:37" ht="17.25" customHeight="1">
      <c r="A270" s="621" t="str">
        <f>IF(B270="","",HYPERLINK("https://kabutan.jp/stock/?code="&amp;B270,"株探"))</f>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IF(OR(F270="",G270="",H270=""),"",IF(C270="売",(F270-H270)*G270,(H270-F270)*G270))</f>
        <v/>
      </c>
      <c r="L270" s="708" t="str">
        <f>IF(OR(F270="",H270=""),"",IF(C270="売",(F270-H270)/F270,(H270-F270)/F270))</f>
        <v/>
      </c>
      <c r="M270" s="598" t="str">
        <f>IF($F270="","",IF($C270="売",CEILING($F270*IF($C270="売",1-$AX$3,1+$AX$3),IF($F270*IF($C270="売",1-$AX$3,1+$AX$3)&lt;=3000,1,IF($F270*IF($C270="売",1-$AX$3,1+$AX$3)&lt;=5000,5,IF($F270*IF($C270="売",1-$AX$3,1+$AX$3)&lt;=30000,10,IF($F270*IF($C270="売",1-$AX$3,1+$AX$3)&lt;=50000,50,IF($F270*IF($C270="売",1-$AX$3,1+$AX$3)&lt;=300000,100,500)))))),FLOOR($F270*IF($C270="売",1-$AX$3,1+$AX$3),IF($F270*IF($C270="売",1-$AX$3,1+$AX$3)&lt;=3000,1,IF($F270*IF($C270="売",1-$AX$3,1+$AX$3)&lt;=5000,5,IF($F270*IF($C270="売",1-$AX$3,1+$AX$3)&lt;=30000,10,IF($F270*IF($C270="売",1-$AX$3,1+$AX$3)&lt;=50000,50,IF($F270*IF($C270="売",1-$AX$3,1+$AX$3)&lt;=300000,100,500))))))))</f>
      </c>
      <c r="N270" s="598" t="str">
        <f>IF($F270="","",IF($C270="売",CEILING($F270*IF($C270="売",1+$AX$2,1-$AX$2),IF($F270*IF($C270="売",1+$AX$2,1-$AX$2)&lt;=3000,1,IF($F270*IF($C270="売",1+$AX$2,1-$AX$2)&lt;=5000,5,IF($F270*IF($C270="売",1+$AX$2,1-$AX$2)&lt;=30000,10,IF($F270*IF($C270="売",1+$AX$2,1-$AX$2)&lt;=50000,50,IF($F270*IF($C270="売",1+$AX$2,1-$AX$2)&lt;=300000,100,500)))))),FLOOR($F270*IF($C270="売",1+$AX$2,1-$AX$2),IF($F270*IF($C270="売",1+$AX$2,1-$AX$2)&lt;=3000,1,IF($F270*IF($C270="売",1+$AX$2,1-$AX$2)&lt;=5000,5,IF($F270*IF($C270="売",1+$AX$2,1-$AX$2)&lt;=30000,10,IF($F270*IF($C270="売",1+$AX$2,1-$AX$2)&lt;=50000,50,IF($F270*IF($C270="売",1+$AX$2,1-$AX$2)&lt;=300000,100,500))))))))</f>
      </c>
      <c r="O270" s="478" t="str">
        <f>IF(OR($B270="",$F270="",$H270=""),"",IF($S270="✅売却済","―決済済―",IF($C270="売",IF($H270&lt;=$M270,"🟢利確",IF(AND($R270&lt;&gt;"",$H270&gt;=$R270),"🟠TRAIL決済",IF($H270&gt;=$N270,"🔴損切",IF($W270&gt;=$AX$5,"⏱時間決済",IF($H270&gt;=$F270*(1+$AX$2*0.7),"⚠️損切接近","保持継続"))))),IF($H270&gt;=$M270,"🟢利確",IF(AND($R270&lt;&gt;"",$H270&lt;=$R270),"🟠TRAIL決済",IF($H270&lt;=$N270,"🔴損切",IF($W270&gt;=$AX$5,"⏱時間決済",IF($H270&lt;=$F270*(1-$AX$2*0.7),"⚠️損切接近","保持継続")))))))</f>
      </c>
      <c r="P270" s="445"/>
      <c r="Q270" s="445"/>
      <c r="R270" s="480" t="str">
        <f>IF(OR($F270="",$H270="",$N270=""),"",IF($S270="✅売却済","",IF($C270="売",IF($H270&gt;$F270*(1-$AX$2),$N270,CEILING(MIN($N270,IF($Q270="",$N270,$Q270*1.03)),IF($N270&lt;=3000,1,IF($N270&lt;=5000,5,IF($N270&lt;=30000,10,IF($N270&lt;=50000,50,IF($N270&lt;=300000,100,500))))))),IF($H270&lt;$F270*(1+$AX$2),$N270,FLOOR(MAX($N270,IF($P270="",$N270,$P270*0.97)),IF($N270&lt;=3000,1,IF($N270&lt;=5000,5,IF($N270&lt;=30000,10,IF($N270&lt;=50000,50,IF($N270&lt;=300000,100,500))))))))))</f>
      </c>
      <c r="S270" s="480" t="str">
        <f>IF(B270="","",IF(T270&lt;&gt;"","✅売却済",IF(OR(H270="",L270=""),"📌保有中",IF(L270&gt;=0.06,"🟢利確推奨",IF(L270&gt;=0.05,"🟡利確直近",IF(L270&gt;=0.045,"🔵トレーリング検討",IF(L270&gt;-0.03,"📌保有中",IF(L270&gt;-0.04,"⚠️損切注意","🔴損切り"))))))))</f>
        <v/>
      </c>
      <c r="T270" s="596"/>
      <c r="U270" s="598"/>
      <c r="V270" s="703" t="str">
        <f>IF(OR(F270="",G270="",U270=""),"",IF(C270="売",(F270-U270)*G270,(U270-F270)*G270))</f>
        <v/>
      </c>
      <c r="W270" s="480" t="str">
        <f>IF(OR($E270="",$B270=""),"",IF($T270&lt;&gt;"",$T270-$E270,TODAY()-$E270)+1)</f>
        <v/>
      </c>
      <c r="X270" s="480" t="str">
        <f>IF(OR($AH270="",$AH270="保有中"),"",$AH270)</f>
        <v/>
      </c>
      <c r="Y270" s="488">
        <f>IF($B270="","",IF(COUNTIFS($B$4:$B270,$B270,$C$4:$C270,$C270)&gt;1,"⛔重複"&amp;COUNTIFS($B$4:$B270,$B270,$C$4:$C270,$C270)&amp;"回目",""))</f>
      </c>
      <c r="Z270" s="710"/>
      <c r="AB270">
        <f>IF($F270="","",MAX(100,ROUNDDOWN($AX$4/($F270*$AX$2)/100,0)*100))</f>
      </c>
      <c r="AC270">
        <f>IF(OR($F270="",$G270="",$U270=""),"",ROUND($V270-($F270+$U270)*$G270*$AX$6-IF($C270="売",$F270*$G270*$AX$7*$W270/365,0),0))</f>
      </c>
      <c r="AD270" s="608"/>
      <c r="AE270" s="600" t="str">
        <f>IF($E270="","",WORKDAY($E270,12))</f>
        <v/>
      </c>
      <c r="AF270" s="600"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0"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0" t="str">
        <f>IF(OR($B270="",$M270=""),"",IF(AND(N($AF270)=0,N($AG270)=0),IF(AND(ISNUMBER($H270),$H270&gt;0,IF($C270="売",$H270&gt;=$N270,$H270&lt;=$N270)),"損切確定",IF(AND(ISNUMBER($H270),$H270&gt;0,IF($C270="売",$H270&lt;=$M270,$H270&gt;=$M270)),"利益確定",IF($AE270&lt;=TODAY(),"日数制限","保有中"))),IF(N($AG270)=0,"利益確定",IF(N($AF270)=0,"損切確定",IF($AG270&lt;=$AF270,"損切確定","利益確定")))))</f>
        <v/>
      </c>
      <c r="AI270" s="600" t="str" cm="1">
        <f t="array" ref="AI270">IFERROR(INDEX(始値!$E$6:$BT$305,MATCH(TEXT($B270,"0"),TEXT(銘柄管理!$B$6:$B$305,"0"),0),MATCH($AE270,始値!$E$3:$BT$3,0)),"")</f>
        <v/>
      </c>
      <c r="AJ270" s="608" t="str">
        <f>IF(OR($V270="",$F270="",$G270=""),"",$V270/($F270*$G270))</f>
        <v/>
      </c>
      <c r="AK270" s="600" t="str">
        <f>IF($V270="","",IF($V270&gt;0,"○勝",IF($V270&lt;0,"●負","△引分")))</f>
        <v/>
      </c>
    </row>
    <row r="271" spans="1:37" ht="17.25" customHeight="1">
      <c r="A271" s="621" t="str">
        <f>IF(B271="","",HYPERLINK("https://kabutan.jp/stock/?code="&amp;B271,"株探"))</f>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IF(OR(F271="",G271="",H271=""),"",IF(C271="売",(F271-H271)*G271,(H271-F271)*G271))</f>
        <v/>
      </c>
      <c r="L271" s="708" t="str">
        <f>IF(OR(F271="",H271=""),"",IF(C271="売",(F271-H271)/F271,(H271-F271)/F271))</f>
        <v/>
      </c>
      <c r="M271" s="598" t="str">
        <f>IF($F271="","",IF($C271="売",CEILING($F271*IF($C271="売",1-$AX$3,1+$AX$3),IF($F271*IF($C271="売",1-$AX$3,1+$AX$3)&lt;=3000,1,IF($F271*IF($C271="売",1-$AX$3,1+$AX$3)&lt;=5000,5,IF($F271*IF($C271="売",1-$AX$3,1+$AX$3)&lt;=30000,10,IF($F271*IF($C271="売",1-$AX$3,1+$AX$3)&lt;=50000,50,IF($F271*IF($C271="売",1-$AX$3,1+$AX$3)&lt;=300000,100,500)))))),FLOOR($F271*IF($C271="売",1-$AX$3,1+$AX$3),IF($F271*IF($C271="売",1-$AX$3,1+$AX$3)&lt;=3000,1,IF($F271*IF($C271="売",1-$AX$3,1+$AX$3)&lt;=5000,5,IF($F271*IF($C271="売",1-$AX$3,1+$AX$3)&lt;=30000,10,IF($F271*IF($C271="売",1-$AX$3,1+$AX$3)&lt;=50000,50,IF($F271*IF($C271="売",1-$AX$3,1+$AX$3)&lt;=300000,100,500))))))))</f>
      </c>
      <c r="N271" s="598" t="str">
        <f>IF($F271="","",IF($C271="売",CEILING($F271*IF($C271="売",1+$AX$2,1-$AX$2),IF($F271*IF($C271="売",1+$AX$2,1-$AX$2)&lt;=3000,1,IF($F271*IF($C271="売",1+$AX$2,1-$AX$2)&lt;=5000,5,IF($F271*IF($C271="売",1+$AX$2,1-$AX$2)&lt;=30000,10,IF($F271*IF($C271="売",1+$AX$2,1-$AX$2)&lt;=50000,50,IF($F271*IF($C271="売",1+$AX$2,1-$AX$2)&lt;=300000,100,500)))))),FLOOR($F271*IF($C271="売",1+$AX$2,1-$AX$2),IF($F271*IF($C271="売",1+$AX$2,1-$AX$2)&lt;=3000,1,IF($F271*IF($C271="売",1+$AX$2,1-$AX$2)&lt;=5000,5,IF($F271*IF($C271="売",1+$AX$2,1-$AX$2)&lt;=30000,10,IF($F271*IF($C271="売",1+$AX$2,1-$AX$2)&lt;=50000,50,IF($F271*IF($C271="売",1+$AX$2,1-$AX$2)&lt;=300000,100,500))))))))</f>
      </c>
      <c r="O271" s="478" t="str">
        <f>IF(OR($B271="",$F271="",$H271=""),"",IF($S271="✅売却済","―決済済―",IF($C271="売",IF($H271&lt;=$M271,"🟢利確",IF(AND($R271&lt;&gt;"",$H271&gt;=$R271),"🟠TRAIL決済",IF($H271&gt;=$N271,"🔴損切",IF($W271&gt;=$AX$5,"⏱時間決済",IF($H271&gt;=$F271*(1+$AX$2*0.7),"⚠️損切接近","保持継続"))))),IF($H271&gt;=$M271,"🟢利確",IF(AND($R271&lt;&gt;"",$H271&lt;=$R271),"🟠TRAIL決済",IF($H271&lt;=$N271,"🔴損切",IF($W271&gt;=$AX$5,"⏱時間決済",IF($H271&lt;=$F271*(1-$AX$2*0.7),"⚠️損切接近","保持継続")))))))</f>
      </c>
      <c r="P271" s="445"/>
      <c r="Q271" s="445"/>
      <c r="R271" s="480" t="str">
        <f>IF(OR($F271="",$H271="",$N271=""),"",IF($S271="✅売却済","",IF($C271="売",IF($H271&gt;$F271*(1-$AX$2),$N271,CEILING(MIN($N271,IF($Q271="",$N271,$Q271*1.03)),IF($N271&lt;=3000,1,IF($N271&lt;=5000,5,IF($N271&lt;=30000,10,IF($N271&lt;=50000,50,IF($N271&lt;=300000,100,500))))))),IF($H271&lt;$F271*(1+$AX$2),$N271,FLOOR(MAX($N271,IF($P271="",$N271,$P271*0.97)),IF($N271&lt;=3000,1,IF($N271&lt;=5000,5,IF($N271&lt;=30000,10,IF($N271&lt;=50000,50,IF($N271&lt;=300000,100,500))))))))))</f>
      </c>
      <c r="S271" s="480" t="str">
        <f>IF(B271="","",IF(T271&lt;&gt;"","✅売却済",IF(OR(H271="",L271=""),"📌保有中",IF(L271&gt;=0.06,"🟢利確推奨",IF(L271&gt;=0.05,"🟡利確直近",IF(L271&gt;=0.045,"🔵トレーリング検討",IF(L271&gt;-0.03,"📌保有中",IF(L271&gt;-0.04,"⚠️損切注意","🔴損切り"))))))))</f>
        <v/>
      </c>
      <c r="T271" s="596"/>
      <c r="U271" s="598"/>
      <c r="V271" s="703" t="str">
        <f>IF(OR(F271="",G271="",U271=""),"",IF(C271="売",(F271-U271)*G271,(U271-F271)*G271))</f>
        <v/>
      </c>
      <c r="W271" s="480" t="str">
        <f>IF(OR($E271="",$B271=""),"",IF($T271&lt;&gt;"",$T271-$E271,TODAY()-$E271)+1)</f>
        <v/>
      </c>
      <c r="X271" s="480" t="str">
        <f>IF(OR($AH271="",$AH271="保有中"),"",$AH271)</f>
        <v/>
      </c>
      <c r="Y271" s="488">
        <f>IF($B271="","",IF(COUNTIFS($B$4:$B271,$B271,$C$4:$C271,$C271)&gt;1,"⛔重複"&amp;COUNTIFS($B$4:$B271,$B271,$C$4:$C271,$C271)&amp;"回目",""))</f>
      </c>
      <c r="Z271" s="710"/>
      <c r="AB271">
        <f>IF($F271="","",MAX(100,ROUNDDOWN($AX$4/($F271*$AX$2)/100,0)*100))</f>
      </c>
      <c r="AC271">
        <f>IF(OR($F271="",$G271="",$U271=""),"",ROUND($V271-($F271+$U271)*$G271*$AX$6-IF($C271="売",$F271*$G271*$AX$7*$W271/365,0),0))</f>
      </c>
      <c r="AD271" s="608"/>
      <c r="AE271" s="600" t="str">
        <f>IF($E271="","",WORKDAY($E271,12))</f>
        <v/>
      </c>
      <c r="AF271" s="600"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0"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0" t="str">
        <f>IF(OR($B271="",$M271=""),"",IF(AND(N($AF271)=0,N($AG271)=0),IF(AND(ISNUMBER($H271),$H271&gt;0,IF($C271="売",$H271&gt;=$N271,$H271&lt;=$N271)),"損切確定",IF(AND(ISNUMBER($H271),$H271&gt;0,IF($C271="売",$H271&lt;=$M271,$H271&gt;=$M271)),"利益確定",IF($AE271&lt;=TODAY(),"日数制限","保有中"))),IF(N($AG271)=0,"利益確定",IF(N($AF271)=0,"損切確定",IF($AG271&lt;=$AF271,"損切確定","利益確定")))))</f>
        <v/>
      </c>
      <c r="AI271" s="600" t="str" cm="1">
        <f t="array" ref="AI271">IFERROR(INDEX(始値!$E$6:$BT$305,MATCH(TEXT($B271,"0"),TEXT(銘柄管理!$B$6:$B$305,"0"),0),MATCH($AE271,始値!$E$3:$BT$3,0)),"")</f>
        <v/>
      </c>
      <c r="AJ271" s="608" t="str">
        <f>IF(OR($V271="",$F271="",$G271=""),"",$V271/($F271*$G271))</f>
        <v/>
      </c>
      <c r="AK271" s="600" t="str">
        <f>IF($V271="","",IF($V271&gt;0,"○勝",IF($V271&lt;0,"●負","△引分")))</f>
        <v/>
      </c>
    </row>
    <row r="272" spans="1:37" ht="17.25" customHeight="1">
      <c r="A272" s="621" t="str">
        <f>IF(B272="","",HYPERLINK("https://kabutan.jp/stock/?code="&amp;B272,"株探"))</f>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IF(OR(F272="",G272="",H272=""),"",IF(C272="売",(F272-H272)*G272,(H272-F272)*G272))</f>
        <v/>
      </c>
      <c r="L272" s="708" t="str">
        <f>IF(OR(F272="",H272=""),"",IF(C272="売",(F272-H272)/F272,(H272-F272)/F272))</f>
        <v/>
      </c>
      <c r="M272" s="598" t="str">
        <f>IF($F272="","",IF($C272="売",CEILING($F272*IF($C272="売",1-$AX$3,1+$AX$3),IF($F272*IF($C272="売",1-$AX$3,1+$AX$3)&lt;=3000,1,IF($F272*IF($C272="売",1-$AX$3,1+$AX$3)&lt;=5000,5,IF($F272*IF($C272="売",1-$AX$3,1+$AX$3)&lt;=30000,10,IF($F272*IF($C272="売",1-$AX$3,1+$AX$3)&lt;=50000,50,IF($F272*IF($C272="売",1-$AX$3,1+$AX$3)&lt;=300000,100,500)))))),FLOOR($F272*IF($C272="売",1-$AX$3,1+$AX$3),IF($F272*IF($C272="売",1-$AX$3,1+$AX$3)&lt;=3000,1,IF($F272*IF($C272="売",1-$AX$3,1+$AX$3)&lt;=5000,5,IF($F272*IF($C272="売",1-$AX$3,1+$AX$3)&lt;=30000,10,IF($F272*IF($C272="売",1-$AX$3,1+$AX$3)&lt;=50000,50,IF($F272*IF($C272="売",1-$AX$3,1+$AX$3)&lt;=300000,100,500))))))))</f>
      </c>
      <c r="N272" s="598" t="str">
        <f>IF($F272="","",IF($C272="売",CEILING($F272*IF($C272="売",1+$AX$2,1-$AX$2),IF($F272*IF($C272="売",1+$AX$2,1-$AX$2)&lt;=3000,1,IF($F272*IF($C272="売",1+$AX$2,1-$AX$2)&lt;=5000,5,IF($F272*IF($C272="売",1+$AX$2,1-$AX$2)&lt;=30000,10,IF($F272*IF($C272="売",1+$AX$2,1-$AX$2)&lt;=50000,50,IF($F272*IF($C272="売",1+$AX$2,1-$AX$2)&lt;=300000,100,500)))))),FLOOR($F272*IF($C272="売",1+$AX$2,1-$AX$2),IF($F272*IF($C272="売",1+$AX$2,1-$AX$2)&lt;=3000,1,IF($F272*IF($C272="売",1+$AX$2,1-$AX$2)&lt;=5000,5,IF($F272*IF($C272="売",1+$AX$2,1-$AX$2)&lt;=30000,10,IF($F272*IF($C272="売",1+$AX$2,1-$AX$2)&lt;=50000,50,IF($F272*IF($C272="売",1+$AX$2,1-$AX$2)&lt;=300000,100,500))))))))</f>
      </c>
      <c r="O272" s="478" t="str">
        <f>IF(OR($B272="",$F272="",$H272=""),"",IF($S272="✅売却済","―決済済―",IF($C272="売",IF($H272&lt;=$M272,"🟢利確",IF(AND($R272&lt;&gt;"",$H272&gt;=$R272),"🟠TRAIL決済",IF($H272&gt;=$N272,"🔴損切",IF($W272&gt;=$AX$5,"⏱時間決済",IF($H272&gt;=$F272*(1+$AX$2*0.7),"⚠️損切接近","保持継続"))))),IF($H272&gt;=$M272,"🟢利確",IF(AND($R272&lt;&gt;"",$H272&lt;=$R272),"🟠TRAIL決済",IF($H272&lt;=$N272,"🔴損切",IF($W272&gt;=$AX$5,"⏱時間決済",IF($H272&lt;=$F272*(1-$AX$2*0.7),"⚠️損切接近","保持継続")))))))</f>
      </c>
      <c r="P272" s="445"/>
      <c r="Q272" s="445"/>
      <c r="R272" s="480" t="str">
        <f>IF(OR($F272="",$H272="",$N272=""),"",IF($S272="✅売却済","",IF($C272="売",IF($H272&gt;$F272*(1-$AX$2),$N272,CEILING(MIN($N272,IF($Q272="",$N272,$Q272*1.03)),IF($N272&lt;=3000,1,IF($N272&lt;=5000,5,IF($N272&lt;=30000,10,IF($N272&lt;=50000,50,IF($N272&lt;=300000,100,500))))))),IF($H272&lt;$F272*(1+$AX$2),$N272,FLOOR(MAX($N272,IF($P272="",$N272,$P272*0.97)),IF($N272&lt;=3000,1,IF($N272&lt;=5000,5,IF($N272&lt;=30000,10,IF($N272&lt;=50000,50,IF($N272&lt;=300000,100,500))))))))))</f>
      </c>
      <c r="S272" s="480" t="str">
        <f>IF(B272="","",IF(T272&lt;&gt;"","✅売却済",IF(OR(H272="",L272=""),"📌保有中",IF(L272&gt;=0.06,"🟢利確推奨",IF(L272&gt;=0.05,"🟡利確直近",IF(L272&gt;=0.045,"🔵トレーリング検討",IF(L272&gt;-0.03,"📌保有中",IF(L272&gt;-0.04,"⚠️損切注意","🔴損切り"))))))))</f>
        <v/>
      </c>
      <c r="T272" s="596"/>
      <c r="U272" s="598"/>
      <c r="V272" s="703" t="str">
        <f>IF(OR(F272="",G272="",U272=""),"",IF(C272="売",(F272-U272)*G272,(U272-F272)*G272))</f>
        <v/>
      </c>
      <c r="W272" s="480" t="str">
        <f>IF(OR($E272="",$B272=""),"",IF($T272&lt;&gt;"",$T272-$E272,TODAY()-$E272)+1)</f>
        <v/>
      </c>
      <c r="X272" s="480" t="str">
        <f>IF(OR($AH272="",$AH272="保有中"),"",$AH272)</f>
        <v/>
      </c>
      <c r="Y272" s="488">
        <f>IF($B272="","",IF(COUNTIFS($B$4:$B272,$B272,$C$4:$C272,$C272)&gt;1,"⛔重複"&amp;COUNTIFS($B$4:$B272,$B272,$C$4:$C272,$C272)&amp;"回目",""))</f>
      </c>
      <c r="Z272" s="710"/>
      <c r="AB272">
        <f>IF($F272="","",MAX(100,ROUNDDOWN($AX$4/($F272*$AX$2)/100,0)*100))</f>
      </c>
      <c r="AC272">
        <f>IF(OR($F272="",$G272="",$U272=""),"",ROUND($V272-($F272+$U272)*$G272*$AX$6-IF($C272="売",$F272*$G272*$AX$7*$W272/365,0),0))</f>
      </c>
      <c r="AD272" s="608"/>
      <c r="AE272" s="600" t="str">
        <f>IF($E272="","",WORKDAY($E272,12))</f>
        <v/>
      </c>
      <c r="AF272" s="600"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0"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0" t="str">
        <f>IF(OR($B272="",$M272=""),"",IF(AND(N($AF272)=0,N($AG272)=0),IF(AND(ISNUMBER($H272),$H272&gt;0,IF($C272="売",$H272&gt;=$N272,$H272&lt;=$N272)),"損切確定",IF(AND(ISNUMBER($H272),$H272&gt;0,IF($C272="売",$H272&lt;=$M272,$H272&gt;=$M272)),"利益確定",IF($AE272&lt;=TODAY(),"日数制限","保有中"))),IF(N($AG272)=0,"利益確定",IF(N($AF272)=0,"損切確定",IF($AG272&lt;=$AF272,"損切確定","利益確定")))))</f>
        <v/>
      </c>
      <c r="AI272" s="600" t="str" cm="1">
        <f t="array" ref="AI272">IFERROR(INDEX(始値!$E$6:$BT$305,MATCH(TEXT($B272,"0"),TEXT(銘柄管理!$B$6:$B$305,"0"),0),MATCH($AE272,始値!$E$3:$BT$3,0)),"")</f>
        <v/>
      </c>
      <c r="AJ272" s="608" t="str">
        <f>IF(OR($V272="",$F272="",$G272=""),"",$V272/($F272*$G272))</f>
        <v/>
      </c>
      <c r="AK272" s="600" t="str">
        <f>IF($V272="","",IF($V272&gt;0,"○勝",IF($V272&lt;0,"●負","△引分")))</f>
        <v/>
      </c>
    </row>
    <row r="273" spans="1:37" ht="17.25" customHeight="1">
      <c r="A273" s="621" t="str">
        <f>IF(B273="","",HYPERLINK("https://kabutan.jp/stock/?code="&amp;B273,"株探"))</f>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IF(OR(F273="",G273="",H273=""),"",IF(C273="売",(F273-H273)*G273,(H273-F273)*G273))</f>
        <v/>
      </c>
      <c r="L273" s="708" t="str">
        <f>IF(OR(F273="",H273=""),"",IF(C273="売",(F273-H273)/F273,(H273-F273)/F273))</f>
        <v/>
      </c>
      <c r="M273" s="598" t="str">
        <f>IF($F273="","",IF($C273="売",CEILING($F273*IF($C273="売",1-$AX$3,1+$AX$3),IF($F273*IF($C273="売",1-$AX$3,1+$AX$3)&lt;=3000,1,IF($F273*IF($C273="売",1-$AX$3,1+$AX$3)&lt;=5000,5,IF($F273*IF($C273="売",1-$AX$3,1+$AX$3)&lt;=30000,10,IF($F273*IF($C273="売",1-$AX$3,1+$AX$3)&lt;=50000,50,IF($F273*IF($C273="売",1-$AX$3,1+$AX$3)&lt;=300000,100,500)))))),FLOOR($F273*IF($C273="売",1-$AX$3,1+$AX$3),IF($F273*IF($C273="売",1-$AX$3,1+$AX$3)&lt;=3000,1,IF($F273*IF($C273="売",1-$AX$3,1+$AX$3)&lt;=5000,5,IF($F273*IF($C273="売",1-$AX$3,1+$AX$3)&lt;=30000,10,IF($F273*IF($C273="売",1-$AX$3,1+$AX$3)&lt;=50000,50,IF($F273*IF($C273="売",1-$AX$3,1+$AX$3)&lt;=300000,100,500))))))))</f>
      </c>
      <c r="N273" s="598" t="str">
        <f>IF($F273="","",IF($C273="売",CEILING($F273*IF($C273="売",1+$AX$2,1-$AX$2),IF($F273*IF($C273="売",1+$AX$2,1-$AX$2)&lt;=3000,1,IF($F273*IF($C273="売",1+$AX$2,1-$AX$2)&lt;=5000,5,IF($F273*IF($C273="売",1+$AX$2,1-$AX$2)&lt;=30000,10,IF($F273*IF($C273="売",1+$AX$2,1-$AX$2)&lt;=50000,50,IF($F273*IF($C273="売",1+$AX$2,1-$AX$2)&lt;=300000,100,500)))))),FLOOR($F273*IF($C273="売",1+$AX$2,1-$AX$2),IF($F273*IF($C273="売",1+$AX$2,1-$AX$2)&lt;=3000,1,IF($F273*IF($C273="売",1+$AX$2,1-$AX$2)&lt;=5000,5,IF($F273*IF($C273="売",1+$AX$2,1-$AX$2)&lt;=30000,10,IF($F273*IF($C273="売",1+$AX$2,1-$AX$2)&lt;=50000,50,IF($F273*IF($C273="売",1+$AX$2,1-$AX$2)&lt;=300000,100,500))))))))</f>
      </c>
      <c r="O273" s="478" t="str">
        <f>IF(OR($B273="",$F273="",$H273=""),"",IF($S273="✅売却済","―決済済―",IF($C273="売",IF($H273&lt;=$M273,"🟢利確",IF(AND($R273&lt;&gt;"",$H273&gt;=$R273),"🟠TRAIL決済",IF($H273&gt;=$N273,"🔴損切",IF($W273&gt;=$AX$5,"⏱時間決済",IF($H273&gt;=$F273*(1+$AX$2*0.7),"⚠️損切接近","保持継続"))))),IF($H273&gt;=$M273,"🟢利確",IF(AND($R273&lt;&gt;"",$H273&lt;=$R273),"🟠TRAIL決済",IF($H273&lt;=$N273,"🔴損切",IF($W273&gt;=$AX$5,"⏱時間決済",IF($H273&lt;=$F273*(1-$AX$2*0.7),"⚠️損切接近","保持継続")))))))</f>
      </c>
      <c r="P273" s="445"/>
      <c r="Q273" s="445"/>
      <c r="R273" s="480" t="str">
        <f>IF(OR($F273="",$H273="",$N273=""),"",IF($S273="✅売却済","",IF($C273="売",IF($H273&gt;$F273*(1-$AX$2),$N273,CEILING(MIN($N273,IF($Q273="",$N273,$Q273*1.03)),IF($N273&lt;=3000,1,IF($N273&lt;=5000,5,IF($N273&lt;=30000,10,IF($N273&lt;=50000,50,IF($N273&lt;=300000,100,500))))))),IF($H273&lt;$F273*(1+$AX$2),$N273,FLOOR(MAX($N273,IF($P273="",$N273,$P273*0.97)),IF($N273&lt;=3000,1,IF($N273&lt;=5000,5,IF($N273&lt;=30000,10,IF($N273&lt;=50000,50,IF($N273&lt;=300000,100,500))))))))))</f>
      </c>
      <c r="S273" s="480" t="str">
        <f>IF(B273="","",IF(T273&lt;&gt;"","✅売却済",IF(OR(H273="",L273=""),"📌保有中",IF(L273&gt;=0.06,"🟢利確推奨",IF(L273&gt;=0.05,"🟡利確直近",IF(L273&gt;=0.045,"🔵トレーリング検討",IF(L273&gt;-0.03,"📌保有中",IF(L273&gt;-0.04,"⚠️損切注意","🔴損切り"))))))))</f>
        <v/>
      </c>
      <c r="T273" s="596"/>
      <c r="U273" s="598"/>
      <c r="V273" s="703" t="str">
        <f>IF(OR(F273="",G273="",U273=""),"",IF(C273="売",(F273-U273)*G273,(U273-F273)*G273))</f>
        <v/>
      </c>
      <c r="W273" s="480" t="str">
        <f>IF(OR($E273="",$B273=""),"",IF($T273&lt;&gt;"",$T273-$E273,TODAY()-$E273)+1)</f>
        <v/>
      </c>
      <c r="X273" s="480" t="str">
        <f>IF(OR($AH273="",$AH273="保有中"),"",$AH273)</f>
        <v/>
      </c>
      <c r="Y273" s="488">
        <f>IF($B273="","",IF(COUNTIFS($B$4:$B273,$B273,$C$4:$C273,$C273)&gt;1,"⛔重複"&amp;COUNTIFS($B$4:$B273,$B273,$C$4:$C273,$C273)&amp;"回目",""))</f>
      </c>
      <c r="Z273" s="710"/>
      <c r="AB273">
        <f>IF($F273="","",MAX(100,ROUNDDOWN($AX$4/($F273*$AX$2)/100,0)*100))</f>
      </c>
      <c r="AC273">
        <f>IF(OR($F273="",$G273="",$U273=""),"",ROUND($V273-($F273+$U273)*$G273*$AX$6-IF($C273="売",$F273*$G273*$AX$7*$W273/365,0),0))</f>
      </c>
      <c r="AD273" s="608"/>
      <c r="AE273" s="600" t="str">
        <f>IF($E273="","",WORKDAY($E273,12))</f>
        <v/>
      </c>
      <c r="AF273" s="600"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0"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0" t="str">
        <f>IF(OR($B273="",$M273=""),"",IF(AND(N($AF273)=0,N($AG273)=0),IF(AND(ISNUMBER($H273),$H273&gt;0,IF($C273="売",$H273&gt;=$N273,$H273&lt;=$N273)),"損切確定",IF(AND(ISNUMBER($H273),$H273&gt;0,IF($C273="売",$H273&lt;=$M273,$H273&gt;=$M273)),"利益確定",IF($AE273&lt;=TODAY(),"日数制限","保有中"))),IF(N($AG273)=0,"利益確定",IF(N($AF273)=0,"損切確定",IF($AG273&lt;=$AF273,"損切確定","利益確定")))))</f>
        <v/>
      </c>
      <c r="AI273" s="600" t="str" cm="1">
        <f t="array" ref="AI273">IFERROR(INDEX(始値!$E$6:$BT$305,MATCH(TEXT($B273,"0"),TEXT(銘柄管理!$B$6:$B$305,"0"),0),MATCH($AE273,始値!$E$3:$BT$3,0)),"")</f>
        <v/>
      </c>
      <c r="AJ273" s="608" t="str">
        <f>IF(OR($V273="",$F273="",$G273=""),"",$V273/($F273*$G273))</f>
        <v/>
      </c>
      <c r="AK273" s="600" t="str">
        <f>IF($V273="","",IF($V273&gt;0,"○勝",IF($V273&lt;0,"●負","△引分")))</f>
        <v/>
      </c>
    </row>
    <row r="274" spans="1:37" ht="17.25" customHeight="1">
      <c r="A274" s="621" t="str">
        <f>IF(B274="","",HYPERLINK("https://kabutan.jp/stock/?code="&amp;B274,"株探"))</f>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IF(OR(F274="",G274="",H274=""),"",IF(C274="売",(F274-H274)*G274,(H274-F274)*G274))</f>
        <v/>
      </c>
      <c r="L274" s="708" t="str">
        <f>IF(OR(F274="",H274=""),"",IF(C274="売",(F274-H274)/F274,(H274-F274)/F274))</f>
        <v/>
      </c>
      <c r="M274" s="598" t="str">
        <f>IF($F274="","",IF($C274="売",CEILING($F274*IF($C274="売",1-$AX$3,1+$AX$3),IF($F274*IF($C274="売",1-$AX$3,1+$AX$3)&lt;=3000,1,IF($F274*IF($C274="売",1-$AX$3,1+$AX$3)&lt;=5000,5,IF($F274*IF($C274="売",1-$AX$3,1+$AX$3)&lt;=30000,10,IF($F274*IF($C274="売",1-$AX$3,1+$AX$3)&lt;=50000,50,IF($F274*IF($C274="売",1-$AX$3,1+$AX$3)&lt;=300000,100,500)))))),FLOOR($F274*IF($C274="売",1-$AX$3,1+$AX$3),IF($F274*IF($C274="売",1-$AX$3,1+$AX$3)&lt;=3000,1,IF($F274*IF($C274="売",1-$AX$3,1+$AX$3)&lt;=5000,5,IF($F274*IF($C274="売",1-$AX$3,1+$AX$3)&lt;=30000,10,IF($F274*IF($C274="売",1-$AX$3,1+$AX$3)&lt;=50000,50,IF($F274*IF($C274="売",1-$AX$3,1+$AX$3)&lt;=300000,100,500))))))))</f>
      </c>
      <c r="N274" s="598" t="str">
        <f>IF($F274="","",IF($C274="売",CEILING($F274*IF($C274="売",1+$AX$2,1-$AX$2),IF($F274*IF($C274="売",1+$AX$2,1-$AX$2)&lt;=3000,1,IF($F274*IF($C274="売",1+$AX$2,1-$AX$2)&lt;=5000,5,IF($F274*IF($C274="売",1+$AX$2,1-$AX$2)&lt;=30000,10,IF($F274*IF($C274="売",1+$AX$2,1-$AX$2)&lt;=50000,50,IF($F274*IF($C274="売",1+$AX$2,1-$AX$2)&lt;=300000,100,500)))))),FLOOR($F274*IF($C274="売",1+$AX$2,1-$AX$2),IF($F274*IF($C274="売",1+$AX$2,1-$AX$2)&lt;=3000,1,IF($F274*IF($C274="売",1+$AX$2,1-$AX$2)&lt;=5000,5,IF($F274*IF($C274="売",1+$AX$2,1-$AX$2)&lt;=30000,10,IF($F274*IF($C274="売",1+$AX$2,1-$AX$2)&lt;=50000,50,IF($F274*IF($C274="売",1+$AX$2,1-$AX$2)&lt;=300000,100,500))))))))</f>
      </c>
      <c r="O274" s="478" t="str">
        <f>IF(OR($B274="",$F274="",$H274=""),"",IF($S274="✅売却済","―決済済―",IF($C274="売",IF($H274&lt;=$M274,"🟢利確",IF(AND($R274&lt;&gt;"",$H274&gt;=$R274),"🟠TRAIL決済",IF($H274&gt;=$N274,"🔴損切",IF($W274&gt;=$AX$5,"⏱時間決済",IF($H274&gt;=$F274*(1+$AX$2*0.7),"⚠️損切接近","保持継続"))))),IF($H274&gt;=$M274,"🟢利確",IF(AND($R274&lt;&gt;"",$H274&lt;=$R274),"🟠TRAIL決済",IF($H274&lt;=$N274,"🔴損切",IF($W274&gt;=$AX$5,"⏱時間決済",IF($H274&lt;=$F274*(1-$AX$2*0.7),"⚠️損切接近","保持継続")))))))</f>
      </c>
      <c r="P274" s="445"/>
      <c r="Q274" s="445"/>
      <c r="R274" s="480" t="str">
        <f>IF(OR($F274="",$H274="",$N274=""),"",IF($S274="✅売却済","",IF($C274="売",IF($H274&gt;$F274*(1-$AX$2),$N274,CEILING(MIN($N274,IF($Q274="",$N274,$Q274*1.03)),IF($N274&lt;=3000,1,IF($N274&lt;=5000,5,IF($N274&lt;=30000,10,IF($N274&lt;=50000,50,IF($N274&lt;=300000,100,500))))))),IF($H274&lt;$F274*(1+$AX$2),$N274,FLOOR(MAX($N274,IF($P274="",$N274,$P274*0.97)),IF($N274&lt;=3000,1,IF($N274&lt;=5000,5,IF($N274&lt;=30000,10,IF($N274&lt;=50000,50,IF($N274&lt;=300000,100,500))))))))))</f>
      </c>
      <c r="S274" s="480" t="str">
        <f>IF(B274="","",IF(T274&lt;&gt;"","✅売却済",IF(OR(H274="",L274=""),"📌保有中",IF(L274&gt;=0.06,"🟢利確推奨",IF(L274&gt;=0.05,"🟡利確直近",IF(L274&gt;=0.045,"🔵トレーリング検討",IF(L274&gt;-0.03,"📌保有中",IF(L274&gt;-0.04,"⚠️損切注意","🔴損切り"))))))))</f>
        <v/>
      </c>
      <c r="T274" s="596"/>
      <c r="U274" s="598"/>
      <c r="V274" s="703" t="str">
        <f>IF(OR(F274="",G274="",U274=""),"",IF(C274="売",(F274-U274)*G274,(U274-F274)*G274))</f>
        <v/>
      </c>
      <c r="W274" s="480" t="str">
        <f>IF(OR($E274="",$B274=""),"",IF($T274&lt;&gt;"",$T274-$E274,TODAY()-$E274)+1)</f>
        <v/>
      </c>
      <c r="X274" s="480" t="str">
        <f>IF(OR($AH274="",$AH274="保有中"),"",$AH274)</f>
        <v/>
      </c>
      <c r="Y274" s="488">
        <f>IF($B274="","",IF(COUNTIFS($B$4:$B274,$B274,$C$4:$C274,$C274)&gt;1,"⛔重複"&amp;COUNTIFS($B$4:$B274,$B274,$C$4:$C274,$C274)&amp;"回目",""))</f>
      </c>
      <c r="Z274" s="710"/>
      <c r="AB274">
        <f>IF($F274="","",MAX(100,ROUNDDOWN($AX$4/($F274*$AX$2)/100,0)*100))</f>
      </c>
      <c r="AC274">
        <f>IF(OR($F274="",$G274="",$U274=""),"",ROUND($V274-($F274+$U274)*$G274*$AX$6-IF($C274="売",$F274*$G274*$AX$7*$W274/365,0),0))</f>
      </c>
      <c r="AD274" s="608"/>
      <c r="AE274" s="600" t="str">
        <f>IF($E274="","",WORKDAY($E274,12))</f>
        <v/>
      </c>
      <c r="AF274" s="600"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0"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0" t="str">
        <f>IF(OR($B274="",$M274=""),"",IF(AND(N($AF274)=0,N($AG274)=0),IF(AND(ISNUMBER($H274),$H274&gt;0,IF($C274="売",$H274&gt;=$N274,$H274&lt;=$N274)),"損切確定",IF(AND(ISNUMBER($H274),$H274&gt;0,IF($C274="売",$H274&lt;=$M274,$H274&gt;=$M274)),"利益確定",IF($AE274&lt;=TODAY(),"日数制限","保有中"))),IF(N($AG274)=0,"利益確定",IF(N($AF274)=0,"損切確定",IF($AG274&lt;=$AF274,"損切確定","利益確定")))))</f>
        <v/>
      </c>
      <c r="AI274" s="600" t="str" cm="1">
        <f t="array" ref="AI274">IFERROR(INDEX(始値!$E$6:$BT$305,MATCH(TEXT($B274,"0"),TEXT(銘柄管理!$B$6:$B$305,"0"),0),MATCH($AE274,始値!$E$3:$BT$3,0)),"")</f>
        <v/>
      </c>
      <c r="AJ274" s="608" t="str">
        <f>IF(OR($V274="",$F274="",$G274=""),"",$V274/($F274*$G274))</f>
        <v/>
      </c>
      <c r="AK274" s="600" t="str">
        <f>IF($V274="","",IF($V274&gt;0,"○勝",IF($V274&lt;0,"●負","△引分")))</f>
        <v/>
      </c>
    </row>
    <row r="275" spans="1:37" ht="17.25" customHeight="1">
      <c r="A275" s="621" t="str">
        <f>IF(B275="","",HYPERLINK("https://kabutan.jp/stock/?code="&amp;B275,"株探"))</f>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IF(OR(F275="",G275="",H275=""),"",IF(C275="売",(F275-H275)*G275,(H275-F275)*G275))</f>
        <v/>
      </c>
      <c r="L275" s="708" t="str">
        <f>IF(OR(F275="",H275=""),"",IF(C275="売",(F275-H275)/F275,(H275-F275)/F275))</f>
        <v/>
      </c>
      <c r="M275" s="598" t="str">
        <f>IF($F275="","",IF($C275="売",CEILING($F275*IF($C275="売",1-$AX$3,1+$AX$3),IF($F275*IF($C275="売",1-$AX$3,1+$AX$3)&lt;=3000,1,IF($F275*IF($C275="売",1-$AX$3,1+$AX$3)&lt;=5000,5,IF($F275*IF($C275="売",1-$AX$3,1+$AX$3)&lt;=30000,10,IF($F275*IF($C275="売",1-$AX$3,1+$AX$3)&lt;=50000,50,IF($F275*IF($C275="売",1-$AX$3,1+$AX$3)&lt;=300000,100,500)))))),FLOOR($F275*IF($C275="売",1-$AX$3,1+$AX$3),IF($F275*IF($C275="売",1-$AX$3,1+$AX$3)&lt;=3000,1,IF($F275*IF($C275="売",1-$AX$3,1+$AX$3)&lt;=5000,5,IF($F275*IF($C275="売",1-$AX$3,1+$AX$3)&lt;=30000,10,IF($F275*IF($C275="売",1-$AX$3,1+$AX$3)&lt;=50000,50,IF($F275*IF($C275="売",1-$AX$3,1+$AX$3)&lt;=300000,100,500))))))))</f>
      </c>
      <c r="N275" s="598" t="str">
        <f>IF($F275="","",IF($C275="売",CEILING($F275*IF($C275="売",1+$AX$2,1-$AX$2),IF($F275*IF($C275="売",1+$AX$2,1-$AX$2)&lt;=3000,1,IF($F275*IF($C275="売",1+$AX$2,1-$AX$2)&lt;=5000,5,IF($F275*IF($C275="売",1+$AX$2,1-$AX$2)&lt;=30000,10,IF($F275*IF($C275="売",1+$AX$2,1-$AX$2)&lt;=50000,50,IF($F275*IF($C275="売",1+$AX$2,1-$AX$2)&lt;=300000,100,500)))))),FLOOR($F275*IF($C275="売",1+$AX$2,1-$AX$2),IF($F275*IF($C275="売",1+$AX$2,1-$AX$2)&lt;=3000,1,IF($F275*IF($C275="売",1+$AX$2,1-$AX$2)&lt;=5000,5,IF($F275*IF($C275="売",1+$AX$2,1-$AX$2)&lt;=30000,10,IF($F275*IF($C275="売",1+$AX$2,1-$AX$2)&lt;=50000,50,IF($F275*IF($C275="売",1+$AX$2,1-$AX$2)&lt;=300000,100,500))))))))</f>
      </c>
      <c r="O275" s="478" t="str">
        <f>IF(OR($B275="",$F275="",$H275=""),"",IF($S275="✅売却済","―決済済―",IF($C275="売",IF($H275&lt;=$M275,"🟢利確",IF(AND($R275&lt;&gt;"",$H275&gt;=$R275),"🟠TRAIL決済",IF($H275&gt;=$N275,"🔴損切",IF($W275&gt;=$AX$5,"⏱時間決済",IF($H275&gt;=$F275*(1+$AX$2*0.7),"⚠️損切接近","保持継続"))))),IF($H275&gt;=$M275,"🟢利確",IF(AND($R275&lt;&gt;"",$H275&lt;=$R275),"🟠TRAIL決済",IF($H275&lt;=$N275,"🔴損切",IF($W275&gt;=$AX$5,"⏱時間決済",IF($H275&lt;=$F275*(1-$AX$2*0.7),"⚠️損切接近","保持継続")))))))</f>
      </c>
      <c r="P275" s="445"/>
      <c r="Q275" s="445"/>
      <c r="R275" s="480" t="str">
        <f>IF(OR($F275="",$H275="",$N275=""),"",IF($S275="✅売却済","",IF($C275="売",IF($H275&gt;$F275*(1-$AX$2),$N275,CEILING(MIN($N275,IF($Q275="",$N275,$Q275*1.03)),IF($N275&lt;=3000,1,IF($N275&lt;=5000,5,IF($N275&lt;=30000,10,IF($N275&lt;=50000,50,IF($N275&lt;=300000,100,500))))))),IF($H275&lt;$F275*(1+$AX$2),$N275,FLOOR(MAX($N275,IF($P275="",$N275,$P275*0.97)),IF($N275&lt;=3000,1,IF($N275&lt;=5000,5,IF($N275&lt;=30000,10,IF($N275&lt;=50000,50,IF($N275&lt;=300000,100,500))))))))))</f>
      </c>
      <c r="S275" s="480" t="str">
        <f>IF(B275="","",IF(T275&lt;&gt;"","✅売却済",IF(OR(H275="",L275=""),"📌保有中",IF(L275&gt;=0.06,"🟢利確推奨",IF(L275&gt;=0.05,"🟡利確直近",IF(L275&gt;=0.045,"🔵トレーリング検討",IF(L275&gt;-0.03,"📌保有中",IF(L275&gt;-0.04,"⚠️損切注意","🔴損切り"))))))))</f>
        <v/>
      </c>
      <c r="T275" s="596"/>
      <c r="U275" s="598"/>
      <c r="V275" s="703" t="str">
        <f>IF(OR(F275="",G275="",U275=""),"",IF(C275="売",(F275-U275)*G275,(U275-F275)*G275))</f>
        <v/>
      </c>
      <c r="W275" s="480" t="str">
        <f>IF(OR($E275="",$B275=""),"",IF($T275&lt;&gt;"",$T275-$E275,TODAY()-$E275)+1)</f>
        <v/>
      </c>
      <c r="X275" s="480" t="str">
        <f>IF(OR($AH275="",$AH275="保有中"),"",$AH275)</f>
        <v/>
      </c>
      <c r="Y275" s="488">
        <f>IF($B275="","",IF(COUNTIFS($B$4:$B275,$B275,$C$4:$C275,$C275)&gt;1,"⛔重複"&amp;COUNTIFS($B$4:$B275,$B275,$C$4:$C275,$C275)&amp;"回目",""))</f>
      </c>
      <c r="Z275" s="710"/>
      <c r="AB275">
        <f>IF($F275="","",MAX(100,ROUNDDOWN($AX$4/($F275*$AX$2)/100,0)*100))</f>
      </c>
      <c r="AC275">
        <f>IF(OR($F275="",$G275="",$U275=""),"",ROUND($V275-($F275+$U275)*$G275*$AX$6-IF($C275="売",$F275*$G275*$AX$7*$W275/365,0),0))</f>
      </c>
      <c r="AD275" s="608"/>
      <c r="AE275" s="600" t="str">
        <f>IF($E275="","",WORKDAY($E275,12))</f>
        <v/>
      </c>
      <c r="AF275" s="600"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0"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0" t="str">
        <f>IF(OR($B275="",$M275=""),"",IF(AND(N($AF275)=0,N($AG275)=0),IF(AND(ISNUMBER($H275),$H275&gt;0,IF($C275="売",$H275&gt;=$N275,$H275&lt;=$N275)),"損切確定",IF(AND(ISNUMBER($H275),$H275&gt;0,IF($C275="売",$H275&lt;=$M275,$H275&gt;=$M275)),"利益確定",IF($AE275&lt;=TODAY(),"日数制限","保有中"))),IF(N($AG275)=0,"利益確定",IF(N($AF275)=0,"損切確定",IF($AG275&lt;=$AF275,"損切確定","利益確定")))))</f>
        <v/>
      </c>
      <c r="AI275" s="600" t="str" cm="1">
        <f t="array" ref="AI275">IFERROR(INDEX(始値!$E$6:$BT$305,MATCH(TEXT($B275,"0"),TEXT(銘柄管理!$B$6:$B$305,"0"),0),MATCH($AE275,始値!$E$3:$BT$3,0)),"")</f>
        <v/>
      </c>
      <c r="AJ275" s="608" t="str">
        <f>IF(OR($V275="",$F275="",$G275=""),"",$V275/($F275*$G275))</f>
        <v/>
      </c>
      <c r="AK275" s="600" t="str">
        <f>IF($V275="","",IF($V275&gt;0,"○勝",IF($V275&lt;0,"●負","△引分")))</f>
        <v/>
      </c>
    </row>
    <row r="276" spans="1:37" ht="17.25" customHeight="1">
      <c r="A276" s="621" t="str">
        <f>IF(B276="","",HYPERLINK("https://kabutan.jp/stock/?code="&amp;B276,"株探"))</f>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IF(OR(F276="",G276="",H276=""),"",IF(C276="売",(F276-H276)*G276,(H276-F276)*G276))</f>
        <v/>
      </c>
      <c r="L276" s="708" t="str">
        <f>IF(OR(F276="",H276=""),"",IF(C276="売",(F276-H276)/F276,(H276-F276)/F276))</f>
        <v/>
      </c>
      <c r="M276" s="598" t="str">
        <f>IF($F276="","",IF($C276="売",CEILING($F276*IF($C276="売",1-$AX$3,1+$AX$3),IF($F276*IF($C276="売",1-$AX$3,1+$AX$3)&lt;=3000,1,IF($F276*IF($C276="売",1-$AX$3,1+$AX$3)&lt;=5000,5,IF($F276*IF($C276="売",1-$AX$3,1+$AX$3)&lt;=30000,10,IF($F276*IF($C276="売",1-$AX$3,1+$AX$3)&lt;=50000,50,IF($F276*IF($C276="売",1-$AX$3,1+$AX$3)&lt;=300000,100,500)))))),FLOOR($F276*IF($C276="売",1-$AX$3,1+$AX$3),IF($F276*IF($C276="売",1-$AX$3,1+$AX$3)&lt;=3000,1,IF($F276*IF($C276="売",1-$AX$3,1+$AX$3)&lt;=5000,5,IF($F276*IF($C276="売",1-$AX$3,1+$AX$3)&lt;=30000,10,IF($F276*IF($C276="売",1-$AX$3,1+$AX$3)&lt;=50000,50,IF($F276*IF($C276="売",1-$AX$3,1+$AX$3)&lt;=300000,100,500))))))))</f>
      </c>
      <c r="N276" s="598" t="str">
        <f>IF($F276="","",IF($C276="売",CEILING($F276*IF($C276="売",1+$AX$2,1-$AX$2),IF($F276*IF($C276="売",1+$AX$2,1-$AX$2)&lt;=3000,1,IF($F276*IF($C276="売",1+$AX$2,1-$AX$2)&lt;=5000,5,IF($F276*IF($C276="売",1+$AX$2,1-$AX$2)&lt;=30000,10,IF($F276*IF($C276="売",1+$AX$2,1-$AX$2)&lt;=50000,50,IF($F276*IF($C276="売",1+$AX$2,1-$AX$2)&lt;=300000,100,500)))))),FLOOR($F276*IF($C276="売",1+$AX$2,1-$AX$2),IF($F276*IF($C276="売",1+$AX$2,1-$AX$2)&lt;=3000,1,IF($F276*IF($C276="売",1+$AX$2,1-$AX$2)&lt;=5000,5,IF($F276*IF($C276="売",1+$AX$2,1-$AX$2)&lt;=30000,10,IF($F276*IF($C276="売",1+$AX$2,1-$AX$2)&lt;=50000,50,IF($F276*IF($C276="売",1+$AX$2,1-$AX$2)&lt;=300000,100,500))))))))</f>
      </c>
      <c r="O276" s="478" t="str">
        <f>IF(OR($B276="",$F276="",$H276=""),"",IF($S276="✅売却済","―決済済―",IF($C276="売",IF($H276&lt;=$M276,"🟢利確",IF(AND($R276&lt;&gt;"",$H276&gt;=$R276),"🟠TRAIL決済",IF($H276&gt;=$N276,"🔴損切",IF($W276&gt;=$AX$5,"⏱時間決済",IF($H276&gt;=$F276*(1+$AX$2*0.7),"⚠️損切接近","保持継続"))))),IF($H276&gt;=$M276,"🟢利確",IF(AND($R276&lt;&gt;"",$H276&lt;=$R276),"🟠TRAIL決済",IF($H276&lt;=$N276,"🔴損切",IF($W276&gt;=$AX$5,"⏱時間決済",IF($H276&lt;=$F276*(1-$AX$2*0.7),"⚠️損切接近","保持継続")))))))</f>
      </c>
      <c r="P276" s="445"/>
      <c r="Q276" s="445"/>
      <c r="R276" s="480" t="str">
        <f>IF(OR($F276="",$H276="",$N276=""),"",IF($S276="✅売却済","",IF($C276="売",IF($H276&gt;$F276*(1-$AX$2),$N276,CEILING(MIN($N276,IF($Q276="",$N276,$Q276*1.03)),IF($N276&lt;=3000,1,IF($N276&lt;=5000,5,IF($N276&lt;=30000,10,IF($N276&lt;=50000,50,IF($N276&lt;=300000,100,500))))))),IF($H276&lt;$F276*(1+$AX$2),$N276,FLOOR(MAX($N276,IF($P276="",$N276,$P276*0.97)),IF($N276&lt;=3000,1,IF($N276&lt;=5000,5,IF($N276&lt;=30000,10,IF($N276&lt;=50000,50,IF($N276&lt;=300000,100,500))))))))))</f>
      </c>
      <c r="S276" s="480" t="str">
        <f>IF(B276="","",IF(T276&lt;&gt;"","✅売却済",IF(OR(H276="",L276=""),"📌保有中",IF(L276&gt;=0.06,"🟢利確推奨",IF(L276&gt;=0.05,"🟡利確直近",IF(L276&gt;=0.045,"🔵トレーリング検討",IF(L276&gt;-0.03,"📌保有中",IF(L276&gt;-0.04,"⚠️損切注意","🔴損切り"))))))))</f>
        <v/>
      </c>
      <c r="T276" s="596"/>
      <c r="U276" s="598"/>
      <c r="V276" s="703" t="str">
        <f>IF(OR(F276="",G276="",U276=""),"",IF(C276="売",(F276-U276)*G276,(U276-F276)*G276))</f>
        <v/>
      </c>
      <c r="W276" s="480" t="str">
        <f>IF(OR($E276="",$B276=""),"",IF($T276&lt;&gt;"",$T276-$E276,TODAY()-$E276)+1)</f>
        <v/>
      </c>
      <c r="X276" s="480" t="str">
        <f>IF(OR($AH276="",$AH276="保有中"),"",$AH276)</f>
        <v/>
      </c>
      <c r="Y276" s="488">
        <f>IF($B276="","",IF(COUNTIFS($B$4:$B276,$B276,$C$4:$C276,$C276)&gt;1,"⛔重複"&amp;COUNTIFS($B$4:$B276,$B276,$C$4:$C276,$C276)&amp;"回目",""))</f>
      </c>
      <c r="Z276" s="710"/>
      <c r="AB276">
        <f>IF($F276="","",MAX(100,ROUNDDOWN($AX$4/($F276*$AX$2)/100,0)*100))</f>
      </c>
      <c r="AC276">
        <f>IF(OR($F276="",$G276="",$U276=""),"",ROUND($V276-($F276+$U276)*$G276*$AX$6-IF($C276="売",$F276*$G276*$AX$7*$W276/365,0),0))</f>
      </c>
      <c r="AD276" s="608"/>
      <c r="AE276" s="600" t="str">
        <f>IF($E276="","",WORKDAY($E276,12))</f>
        <v/>
      </c>
      <c r="AF276" s="600"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0"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0" t="str">
        <f>IF(OR($B276="",$M276=""),"",IF(AND(N($AF276)=0,N($AG276)=0),IF(AND(ISNUMBER($H276),$H276&gt;0,IF($C276="売",$H276&gt;=$N276,$H276&lt;=$N276)),"損切確定",IF(AND(ISNUMBER($H276),$H276&gt;0,IF($C276="売",$H276&lt;=$M276,$H276&gt;=$M276)),"利益確定",IF($AE276&lt;=TODAY(),"日数制限","保有中"))),IF(N($AG276)=0,"利益確定",IF(N($AF276)=0,"損切確定",IF($AG276&lt;=$AF276,"損切確定","利益確定")))))</f>
        <v/>
      </c>
      <c r="AI276" s="600" t="str" cm="1">
        <f t="array" ref="AI276">IFERROR(INDEX(始値!$E$6:$BT$305,MATCH(TEXT($B276,"0"),TEXT(銘柄管理!$B$6:$B$305,"0"),0),MATCH($AE276,始値!$E$3:$BT$3,0)),"")</f>
        <v/>
      </c>
      <c r="AJ276" s="608" t="str">
        <f>IF(OR($V276="",$F276="",$G276=""),"",$V276/($F276*$G276))</f>
        <v/>
      </c>
      <c r="AK276" s="600" t="str">
        <f>IF($V276="","",IF($V276&gt;0,"○勝",IF($V276&lt;0,"●負","△引分")))</f>
        <v/>
      </c>
    </row>
    <row r="277" spans="1:37" ht="17.25" customHeight="1">
      <c r="A277" s="621" t="str">
        <f>IF(B277="","",HYPERLINK("https://kabutan.jp/stock/?code="&amp;B277,"株探"))</f>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IF(OR(F277="",G277="",H277=""),"",IF(C277="売",(F277-H277)*G277,(H277-F277)*G277))</f>
        <v/>
      </c>
      <c r="L277" s="708" t="str">
        <f>IF(OR(F277="",H277=""),"",IF(C277="売",(F277-H277)/F277,(H277-F277)/F277))</f>
        <v/>
      </c>
      <c r="M277" s="598" t="str">
        <f>IF($F277="","",IF($C277="売",CEILING($F277*IF($C277="売",1-$AX$3,1+$AX$3),IF($F277*IF($C277="売",1-$AX$3,1+$AX$3)&lt;=3000,1,IF($F277*IF($C277="売",1-$AX$3,1+$AX$3)&lt;=5000,5,IF($F277*IF($C277="売",1-$AX$3,1+$AX$3)&lt;=30000,10,IF($F277*IF($C277="売",1-$AX$3,1+$AX$3)&lt;=50000,50,IF($F277*IF($C277="売",1-$AX$3,1+$AX$3)&lt;=300000,100,500)))))),FLOOR($F277*IF($C277="売",1-$AX$3,1+$AX$3),IF($F277*IF($C277="売",1-$AX$3,1+$AX$3)&lt;=3000,1,IF($F277*IF($C277="売",1-$AX$3,1+$AX$3)&lt;=5000,5,IF($F277*IF($C277="売",1-$AX$3,1+$AX$3)&lt;=30000,10,IF($F277*IF($C277="売",1-$AX$3,1+$AX$3)&lt;=50000,50,IF($F277*IF($C277="売",1-$AX$3,1+$AX$3)&lt;=300000,100,500))))))))</f>
      </c>
      <c r="N277" s="598" t="str">
        <f>IF($F277="","",IF($C277="売",CEILING($F277*IF($C277="売",1+$AX$2,1-$AX$2),IF($F277*IF($C277="売",1+$AX$2,1-$AX$2)&lt;=3000,1,IF($F277*IF($C277="売",1+$AX$2,1-$AX$2)&lt;=5000,5,IF($F277*IF($C277="売",1+$AX$2,1-$AX$2)&lt;=30000,10,IF($F277*IF($C277="売",1+$AX$2,1-$AX$2)&lt;=50000,50,IF($F277*IF($C277="売",1+$AX$2,1-$AX$2)&lt;=300000,100,500)))))),FLOOR($F277*IF($C277="売",1+$AX$2,1-$AX$2),IF($F277*IF($C277="売",1+$AX$2,1-$AX$2)&lt;=3000,1,IF($F277*IF($C277="売",1+$AX$2,1-$AX$2)&lt;=5000,5,IF($F277*IF($C277="売",1+$AX$2,1-$AX$2)&lt;=30000,10,IF($F277*IF($C277="売",1+$AX$2,1-$AX$2)&lt;=50000,50,IF($F277*IF($C277="売",1+$AX$2,1-$AX$2)&lt;=300000,100,500))))))))</f>
      </c>
      <c r="O277" s="478" t="str">
        <f>IF(OR($B277="",$F277="",$H277=""),"",IF($S277="✅売却済","―決済済―",IF($C277="売",IF($H277&lt;=$M277,"🟢利確",IF(AND($R277&lt;&gt;"",$H277&gt;=$R277),"🟠TRAIL決済",IF($H277&gt;=$N277,"🔴損切",IF($W277&gt;=$AX$5,"⏱時間決済",IF($H277&gt;=$F277*(1+$AX$2*0.7),"⚠️損切接近","保持継続"))))),IF($H277&gt;=$M277,"🟢利確",IF(AND($R277&lt;&gt;"",$H277&lt;=$R277),"🟠TRAIL決済",IF($H277&lt;=$N277,"🔴損切",IF($W277&gt;=$AX$5,"⏱時間決済",IF($H277&lt;=$F277*(1-$AX$2*0.7),"⚠️損切接近","保持継続")))))))</f>
      </c>
      <c r="P277" s="445"/>
      <c r="Q277" s="445"/>
      <c r="R277" s="480" t="str">
        <f>IF(OR($F277="",$H277="",$N277=""),"",IF($S277="✅売却済","",IF($C277="売",IF($H277&gt;$F277*(1-$AX$2),$N277,CEILING(MIN($N277,IF($Q277="",$N277,$Q277*1.03)),IF($N277&lt;=3000,1,IF($N277&lt;=5000,5,IF($N277&lt;=30000,10,IF($N277&lt;=50000,50,IF($N277&lt;=300000,100,500))))))),IF($H277&lt;$F277*(1+$AX$2),$N277,FLOOR(MAX($N277,IF($P277="",$N277,$P277*0.97)),IF($N277&lt;=3000,1,IF($N277&lt;=5000,5,IF($N277&lt;=30000,10,IF($N277&lt;=50000,50,IF($N277&lt;=300000,100,500))))))))))</f>
      </c>
      <c r="S277" s="480" t="str">
        <f>IF(B277="","",IF(T277&lt;&gt;"","✅売却済",IF(OR(H277="",L277=""),"📌保有中",IF(L277&gt;=0.06,"🟢利確推奨",IF(L277&gt;=0.05,"🟡利確直近",IF(L277&gt;=0.045,"🔵トレーリング検討",IF(L277&gt;-0.03,"📌保有中",IF(L277&gt;-0.04,"⚠️損切注意","🔴損切り"))))))))</f>
        <v/>
      </c>
      <c r="T277" s="596"/>
      <c r="U277" s="598"/>
      <c r="V277" s="703" t="str">
        <f>IF(OR(F277="",G277="",U277=""),"",IF(C277="売",(F277-U277)*G277,(U277-F277)*G277))</f>
        <v/>
      </c>
      <c r="W277" s="480" t="str">
        <f>IF(OR($E277="",$B277=""),"",IF($T277&lt;&gt;"",$T277-$E277,TODAY()-$E277)+1)</f>
        <v/>
      </c>
      <c r="X277" s="480" t="str">
        <f>IF(OR($AH277="",$AH277="保有中"),"",$AH277)</f>
        <v/>
      </c>
      <c r="Y277" s="488">
        <f>IF($B277="","",IF(COUNTIFS($B$4:$B277,$B277,$C$4:$C277,$C277)&gt;1,"⛔重複"&amp;COUNTIFS($B$4:$B277,$B277,$C$4:$C277,$C277)&amp;"回目",""))</f>
      </c>
      <c r="Z277" s="710"/>
      <c r="AB277">
        <f>IF($F277="","",MAX(100,ROUNDDOWN($AX$4/($F277*$AX$2)/100,0)*100))</f>
      </c>
      <c r="AC277">
        <f>IF(OR($F277="",$G277="",$U277=""),"",ROUND($V277-($F277+$U277)*$G277*$AX$6-IF($C277="売",$F277*$G277*$AX$7*$W277/365,0),0))</f>
      </c>
      <c r="AD277" s="608"/>
      <c r="AE277" s="600" t="str">
        <f>IF($E277="","",WORKDAY($E277,12))</f>
        <v/>
      </c>
      <c r="AF277" s="600"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0"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0" t="str">
        <f>IF(OR($B277="",$M277=""),"",IF(AND(N($AF277)=0,N($AG277)=0),IF(AND(ISNUMBER($H277),$H277&gt;0,IF($C277="売",$H277&gt;=$N277,$H277&lt;=$N277)),"損切確定",IF(AND(ISNUMBER($H277),$H277&gt;0,IF($C277="売",$H277&lt;=$M277,$H277&gt;=$M277)),"利益確定",IF($AE277&lt;=TODAY(),"日数制限","保有中"))),IF(N($AG277)=0,"利益確定",IF(N($AF277)=0,"損切確定",IF($AG277&lt;=$AF277,"損切確定","利益確定")))))</f>
        <v/>
      </c>
      <c r="AI277" s="600" t="str" cm="1">
        <f t="array" ref="AI277">IFERROR(INDEX(始値!$E$6:$BT$305,MATCH(TEXT($B277,"0"),TEXT(銘柄管理!$B$6:$B$305,"0"),0),MATCH($AE277,始値!$E$3:$BT$3,0)),"")</f>
        <v/>
      </c>
      <c r="AJ277" s="608" t="str">
        <f>IF(OR($V277="",$F277="",$G277=""),"",$V277/($F277*$G277))</f>
        <v/>
      </c>
      <c r="AK277" s="600" t="str">
        <f>IF($V277="","",IF($V277&gt;0,"○勝",IF($V277&lt;0,"●負","△引分")))</f>
        <v/>
      </c>
    </row>
    <row r="278" spans="1:37" ht="17.25" customHeight="1">
      <c r="A278" s="621" t="str">
        <f>IF(B278="","",HYPERLINK("https://kabutan.jp/stock/?code="&amp;B278,"株探"))</f>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IF(OR(F278="",G278="",H278=""),"",IF(C278="売",(F278-H278)*G278,(H278-F278)*G278))</f>
        <v/>
      </c>
      <c r="L278" s="708" t="str">
        <f>IF(OR(F278="",H278=""),"",IF(C278="売",(F278-H278)/F278,(H278-F278)/F278))</f>
        <v/>
      </c>
      <c r="M278" s="598" t="str">
        <f>IF($F278="","",IF($C278="売",CEILING($F278*IF($C278="売",1-$AX$3,1+$AX$3),IF($F278*IF($C278="売",1-$AX$3,1+$AX$3)&lt;=3000,1,IF($F278*IF($C278="売",1-$AX$3,1+$AX$3)&lt;=5000,5,IF($F278*IF($C278="売",1-$AX$3,1+$AX$3)&lt;=30000,10,IF($F278*IF($C278="売",1-$AX$3,1+$AX$3)&lt;=50000,50,IF($F278*IF($C278="売",1-$AX$3,1+$AX$3)&lt;=300000,100,500)))))),FLOOR($F278*IF($C278="売",1-$AX$3,1+$AX$3),IF($F278*IF($C278="売",1-$AX$3,1+$AX$3)&lt;=3000,1,IF($F278*IF($C278="売",1-$AX$3,1+$AX$3)&lt;=5000,5,IF($F278*IF($C278="売",1-$AX$3,1+$AX$3)&lt;=30000,10,IF($F278*IF($C278="売",1-$AX$3,1+$AX$3)&lt;=50000,50,IF($F278*IF($C278="売",1-$AX$3,1+$AX$3)&lt;=300000,100,500))))))))</f>
      </c>
      <c r="N278" s="598" t="str">
        <f>IF($F278="","",IF($C278="売",CEILING($F278*IF($C278="売",1+$AX$2,1-$AX$2),IF($F278*IF($C278="売",1+$AX$2,1-$AX$2)&lt;=3000,1,IF($F278*IF($C278="売",1+$AX$2,1-$AX$2)&lt;=5000,5,IF($F278*IF($C278="売",1+$AX$2,1-$AX$2)&lt;=30000,10,IF($F278*IF($C278="売",1+$AX$2,1-$AX$2)&lt;=50000,50,IF($F278*IF($C278="売",1+$AX$2,1-$AX$2)&lt;=300000,100,500)))))),FLOOR($F278*IF($C278="売",1+$AX$2,1-$AX$2),IF($F278*IF($C278="売",1+$AX$2,1-$AX$2)&lt;=3000,1,IF($F278*IF($C278="売",1+$AX$2,1-$AX$2)&lt;=5000,5,IF($F278*IF($C278="売",1+$AX$2,1-$AX$2)&lt;=30000,10,IF($F278*IF($C278="売",1+$AX$2,1-$AX$2)&lt;=50000,50,IF($F278*IF($C278="売",1+$AX$2,1-$AX$2)&lt;=300000,100,500))))))))</f>
      </c>
      <c r="O278" s="478" t="str">
        <f>IF(OR($B278="",$F278="",$H278=""),"",IF($S278="✅売却済","―決済済―",IF($C278="売",IF($H278&lt;=$M278,"🟢利確",IF(AND($R278&lt;&gt;"",$H278&gt;=$R278),"🟠TRAIL決済",IF($H278&gt;=$N278,"🔴損切",IF($W278&gt;=$AX$5,"⏱時間決済",IF($H278&gt;=$F278*(1+$AX$2*0.7),"⚠️損切接近","保持継続"))))),IF($H278&gt;=$M278,"🟢利確",IF(AND($R278&lt;&gt;"",$H278&lt;=$R278),"🟠TRAIL決済",IF($H278&lt;=$N278,"🔴損切",IF($W278&gt;=$AX$5,"⏱時間決済",IF($H278&lt;=$F278*(1-$AX$2*0.7),"⚠️損切接近","保持継続")))))))</f>
      </c>
      <c r="P278" s="445"/>
      <c r="Q278" s="445"/>
      <c r="R278" s="480" t="str">
        <f>IF(OR($F278="",$H278="",$N278=""),"",IF($S278="✅売却済","",IF($C278="売",IF($H278&gt;$F278*(1-$AX$2),$N278,CEILING(MIN($N278,IF($Q278="",$N278,$Q278*1.03)),IF($N278&lt;=3000,1,IF($N278&lt;=5000,5,IF($N278&lt;=30000,10,IF($N278&lt;=50000,50,IF($N278&lt;=300000,100,500))))))),IF($H278&lt;$F278*(1+$AX$2),$N278,FLOOR(MAX($N278,IF($P278="",$N278,$P278*0.97)),IF($N278&lt;=3000,1,IF($N278&lt;=5000,5,IF($N278&lt;=30000,10,IF($N278&lt;=50000,50,IF($N278&lt;=300000,100,500))))))))))</f>
      </c>
      <c r="S278" s="480" t="str">
        <f>IF(B278="","",IF(T278&lt;&gt;"","✅売却済",IF(OR(H278="",L278=""),"📌保有中",IF(L278&gt;=0.06,"🟢利確推奨",IF(L278&gt;=0.05,"🟡利確直近",IF(L278&gt;=0.045,"🔵トレーリング検討",IF(L278&gt;-0.03,"📌保有中",IF(L278&gt;-0.04,"⚠️損切注意","🔴損切り"))))))))</f>
        <v/>
      </c>
      <c r="T278" s="596"/>
      <c r="U278" s="598"/>
      <c r="V278" s="703" t="str">
        <f>IF(OR(F278="",G278="",U278=""),"",IF(C278="売",(F278-U278)*G278,(U278-F278)*G278))</f>
        <v/>
      </c>
      <c r="W278" s="480" t="str">
        <f>IF(OR($E278="",$B278=""),"",IF($T278&lt;&gt;"",$T278-$E278,TODAY()-$E278)+1)</f>
        <v/>
      </c>
      <c r="X278" s="480" t="str">
        <f>IF(OR($AH278="",$AH278="保有中"),"",$AH278)</f>
        <v/>
      </c>
      <c r="Y278" s="488">
        <f>IF($B278="","",IF(COUNTIFS($B$4:$B278,$B278,$C$4:$C278,$C278)&gt;1,"⛔重複"&amp;COUNTIFS($B$4:$B278,$B278,$C$4:$C278,$C278)&amp;"回目",""))</f>
      </c>
      <c r="Z278" s="710"/>
      <c r="AB278">
        <f>IF($F278="","",MAX(100,ROUNDDOWN($AX$4/($F278*$AX$2)/100,0)*100))</f>
      </c>
      <c r="AC278">
        <f>IF(OR($F278="",$G278="",$U278=""),"",ROUND($V278-($F278+$U278)*$G278*$AX$6-IF($C278="売",$F278*$G278*$AX$7*$W278/365,0),0))</f>
      </c>
      <c r="AD278" s="608"/>
      <c r="AE278" s="600" t="str">
        <f>IF($E278="","",WORKDAY($E278,12))</f>
        <v/>
      </c>
      <c r="AF278" s="600"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0"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0" t="str">
        <f>IF(OR($B278="",$M278=""),"",IF(AND(N($AF278)=0,N($AG278)=0),IF(AND(ISNUMBER($H278),$H278&gt;0,IF($C278="売",$H278&gt;=$N278,$H278&lt;=$N278)),"損切確定",IF(AND(ISNUMBER($H278),$H278&gt;0,IF($C278="売",$H278&lt;=$M278,$H278&gt;=$M278)),"利益確定",IF($AE278&lt;=TODAY(),"日数制限","保有中"))),IF(N($AG278)=0,"利益確定",IF(N($AF278)=0,"損切確定",IF($AG278&lt;=$AF278,"損切確定","利益確定")))))</f>
        <v/>
      </c>
      <c r="AI278" s="600" t="str" cm="1">
        <f t="array" ref="AI278">IFERROR(INDEX(始値!$E$6:$BT$305,MATCH(TEXT($B278,"0"),TEXT(銘柄管理!$B$6:$B$305,"0"),0),MATCH($AE278,始値!$E$3:$BT$3,0)),"")</f>
        <v/>
      </c>
      <c r="AJ278" s="608" t="str">
        <f>IF(OR($V278="",$F278="",$G278=""),"",$V278/($F278*$G278))</f>
        <v/>
      </c>
      <c r="AK278" s="600" t="str">
        <f>IF($V278="","",IF($V278&gt;0,"○勝",IF($V278&lt;0,"●負","△引分")))</f>
        <v/>
      </c>
    </row>
    <row r="279" spans="1:37" ht="17.25" customHeight="1">
      <c r="A279" s="621" t="str">
        <f>IF(B279="","",HYPERLINK("https://kabutan.jp/stock/?code="&amp;B279,"株探"))</f>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IF(OR(F279="",G279="",H279=""),"",IF(C279="売",(F279-H279)*G279,(H279-F279)*G279))</f>
        <v/>
      </c>
      <c r="L279" s="708" t="str">
        <f>IF(OR(F279="",H279=""),"",IF(C279="売",(F279-H279)/F279,(H279-F279)/F279))</f>
        <v/>
      </c>
      <c r="M279" s="598" t="str">
        <f>IF($F279="","",IF($C279="売",CEILING($F279*IF($C279="売",1-$AX$3,1+$AX$3),IF($F279*IF($C279="売",1-$AX$3,1+$AX$3)&lt;=3000,1,IF($F279*IF($C279="売",1-$AX$3,1+$AX$3)&lt;=5000,5,IF($F279*IF($C279="売",1-$AX$3,1+$AX$3)&lt;=30000,10,IF($F279*IF($C279="売",1-$AX$3,1+$AX$3)&lt;=50000,50,IF($F279*IF($C279="売",1-$AX$3,1+$AX$3)&lt;=300000,100,500)))))),FLOOR($F279*IF($C279="売",1-$AX$3,1+$AX$3),IF($F279*IF($C279="売",1-$AX$3,1+$AX$3)&lt;=3000,1,IF($F279*IF($C279="売",1-$AX$3,1+$AX$3)&lt;=5000,5,IF($F279*IF($C279="売",1-$AX$3,1+$AX$3)&lt;=30000,10,IF($F279*IF($C279="売",1-$AX$3,1+$AX$3)&lt;=50000,50,IF($F279*IF($C279="売",1-$AX$3,1+$AX$3)&lt;=300000,100,500))))))))</f>
      </c>
      <c r="N279" s="598" t="str">
        <f>IF($F279="","",IF($C279="売",CEILING($F279*IF($C279="売",1+$AX$2,1-$AX$2),IF($F279*IF($C279="売",1+$AX$2,1-$AX$2)&lt;=3000,1,IF($F279*IF($C279="売",1+$AX$2,1-$AX$2)&lt;=5000,5,IF($F279*IF($C279="売",1+$AX$2,1-$AX$2)&lt;=30000,10,IF($F279*IF($C279="売",1+$AX$2,1-$AX$2)&lt;=50000,50,IF($F279*IF($C279="売",1+$AX$2,1-$AX$2)&lt;=300000,100,500)))))),FLOOR($F279*IF($C279="売",1+$AX$2,1-$AX$2),IF($F279*IF($C279="売",1+$AX$2,1-$AX$2)&lt;=3000,1,IF($F279*IF($C279="売",1+$AX$2,1-$AX$2)&lt;=5000,5,IF($F279*IF($C279="売",1+$AX$2,1-$AX$2)&lt;=30000,10,IF($F279*IF($C279="売",1+$AX$2,1-$AX$2)&lt;=50000,50,IF($F279*IF($C279="売",1+$AX$2,1-$AX$2)&lt;=300000,100,500))))))))</f>
      </c>
      <c r="O279" s="478" t="str">
        <f>IF(OR($B279="",$F279="",$H279=""),"",IF($S279="✅売却済","―決済済―",IF($C279="売",IF($H279&lt;=$M279,"🟢利確",IF(AND($R279&lt;&gt;"",$H279&gt;=$R279),"🟠TRAIL決済",IF($H279&gt;=$N279,"🔴損切",IF($W279&gt;=$AX$5,"⏱時間決済",IF($H279&gt;=$F279*(1+$AX$2*0.7),"⚠️損切接近","保持継続"))))),IF($H279&gt;=$M279,"🟢利確",IF(AND($R279&lt;&gt;"",$H279&lt;=$R279),"🟠TRAIL決済",IF($H279&lt;=$N279,"🔴損切",IF($W279&gt;=$AX$5,"⏱時間決済",IF($H279&lt;=$F279*(1-$AX$2*0.7),"⚠️損切接近","保持継続")))))))</f>
      </c>
      <c r="P279" s="445"/>
      <c r="Q279" s="445"/>
      <c r="R279" s="480" t="str">
        <f>IF(OR($F279="",$H279="",$N279=""),"",IF($S279="✅売却済","",IF($C279="売",IF($H279&gt;$F279*(1-$AX$2),$N279,CEILING(MIN($N279,IF($Q279="",$N279,$Q279*1.03)),IF($N279&lt;=3000,1,IF($N279&lt;=5000,5,IF($N279&lt;=30000,10,IF($N279&lt;=50000,50,IF($N279&lt;=300000,100,500))))))),IF($H279&lt;$F279*(1+$AX$2),$N279,FLOOR(MAX($N279,IF($P279="",$N279,$P279*0.97)),IF($N279&lt;=3000,1,IF($N279&lt;=5000,5,IF($N279&lt;=30000,10,IF($N279&lt;=50000,50,IF($N279&lt;=300000,100,500))))))))))</f>
      </c>
      <c r="S279" s="480" t="str">
        <f>IF(B279="","",IF(T279&lt;&gt;"","✅売却済",IF(OR(H279="",L279=""),"📌保有中",IF(L279&gt;=0.06,"🟢利確推奨",IF(L279&gt;=0.05,"🟡利確直近",IF(L279&gt;=0.045,"🔵トレーリング検討",IF(L279&gt;-0.03,"📌保有中",IF(L279&gt;-0.04,"⚠️損切注意","🔴損切り"))))))))</f>
        <v/>
      </c>
      <c r="T279" s="596"/>
      <c r="U279" s="598"/>
      <c r="V279" s="703" t="str">
        <f>IF(OR(F279="",G279="",U279=""),"",IF(C279="売",(F279-U279)*G279,(U279-F279)*G279))</f>
        <v/>
      </c>
      <c r="W279" s="480" t="str">
        <f>IF(OR($E279="",$B279=""),"",IF($T279&lt;&gt;"",$T279-$E279,TODAY()-$E279)+1)</f>
        <v/>
      </c>
      <c r="X279" s="480" t="str">
        <f>IF(OR($AH279="",$AH279="保有中"),"",$AH279)</f>
        <v/>
      </c>
      <c r="Y279" s="488">
        <f>IF($B279="","",IF(COUNTIFS($B$4:$B279,$B279,$C$4:$C279,$C279)&gt;1,"⛔重複"&amp;COUNTIFS($B$4:$B279,$B279,$C$4:$C279,$C279)&amp;"回目",""))</f>
      </c>
      <c r="Z279" s="710"/>
      <c r="AB279">
        <f>IF($F279="","",MAX(100,ROUNDDOWN($AX$4/($F279*$AX$2)/100,0)*100))</f>
      </c>
      <c r="AC279">
        <f>IF(OR($F279="",$G279="",$U279=""),"",ROUND($V279-($F279+$U279)*$G279*$AX$6-IF($C279="売",$F279*$G279*$AX$7*$W279/365,0),0))</f>
      </c>
      <c r="AD279" s="608"/>
      <c r="AE279" s="600" t="str">
        <f>IF($E279="","",WORKDAY($E279,12))</f>
        <v/>
      </c>
      <c r="AF279" s="600"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0"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0" t="str">
        <f>IF(OR($B279="",$M279=""),"",IF(AND(N($AF279)=0,N($AG279)=0),IF(AND(ISNUMBER($H279),$H279&gt;0,IF($C279="売",$H279&gt;=$N279,$H279&lt;=$N279)),"損切確定",IF(AND(ISNUMBER($H279),$H279&gt;0,IF($C279="売",$H279&lt;=$M279,$H279&gt;=$M279)),"利益確定",IF($AE279&lt;=TODAY(),"日数制限","保有中"))),IF(N($AG279)=0,"利益確定",IF(N($AF279)=0,"損切確定",IF($AG279&lt;=$AF279,"損切確定","利益確定")))))</f>
        <v/>
      </c>
      <c r="AI279" s="600" t="str" cm="1">
        <f t="array" ref="AI279">IFERROR(INDEX(始値!$E$6:$BT$305,MATCH(TEXT($B279,"0"),TEXT(銘柄管理!$B$6:$B$305,"0"),0),MATCH($AE279,始値!$E$3:$BT$3,0)),"")</f>
        <v/>
      </c>
      <c r="AJ279" s="608" t="str">
        <f>IF(OR($V279="",$F279="",$G279=""),"",$V279/($F279*$G279))</f>
        <v/>
      </c>
      <c r="AK279" s="600" t="str">
        <f>IF($V279="","",IF($V279&gt;0,"○勝",IF($V279&lt;0,"●負","△引分")))</f>
        <v/>
      </c>
    </row>
    <row r="280" spans="1:37" ht="17.25" customHeight="1">
      <c r="A280" s="621" t="str">
        <f>IF(B280="","",HYPERLINK("https://kabutan.jp/stock/?code="&amp;B280,"株探"))</f>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IF(OR(F280="",G280="",H280=""),"",IF(C280="売",(F280-H280)*G280,(H280-F280)*G280))</f>
        <v/>
      </c>
      <c r="L280" s="708" t="str">
        <f>IF(OR(F280="",H280=""),"",IF(C280="売",(F280-H280)/F280,(H280-F280)/F280))</f>
        <v/>
      </c>
      <c r="M280" s="598" t="str">
        <f>IF($F280="","",IF($C280="売",CEILING($F280*IF($C280="売",1-$AX$3,1+$AX$3),IF($F280*IF($C280="売",1-$AX$3,1+$AX$3)&lt;=3000,1,IF($F280*IF($C280="売",1-$AX$3,1+$AX$3)&lt;=5000,5,IF($F280*IF($C280="売",1-$AX$3,1+$AX$3)&lt;=30000,10,IF($F280*IF($C280="売",1-$AX$3,1+$AX$3)&lt;=50000,50,IF($F280*IF($C280="売",1-$AX$3,1+$AX$3)&lt;=300000,100,500)))))),FLOOR($F280*IF($C280="売",1-$AX$3,1+$AX$3),IF($F280*IF($C280="売",1-$AX$3,1+$AX$3)&lt;=3000,1,IF($F280*IF($C280="売",1-$AX$3,1+$AX$3)&lt;=5000,5,IF($F280*IF($C280="売",1-$AX$3,1+$AX$3)&lt;=30000,10,IF($F280*IF($C280="売",1-$AX$3,1+$AX$3)&lt;=50000,50,IF($F280*IF($C280="売",1-$AX$3,1+$AX$3)&lt;=300000,100,500))))))))</f>
      </c>
      <c r="N280" s="598" t="str">
        <f>IF($F280="","",IF($C280="売",CEILING($F280*IF($C280="売",1+$AX$2,1-$AX$2),IF($F280*IF($C280="売",1+$AX$2,1-$AX$2)&lt;=3000,1,IF($F280*IF($C280="売",1+$AX$2,1-$AX$2)&lt;=5000,5,IF($F280*IF($C280="売",1+$AX$2,1-$AX$2)&lt;=30000,10,IF($F280*IF($C280="売",1+$AX$2,1-$AX$2)&lt;=50000,50,IF($F280*IF($C280="売",1+$AX$2,1-$AX$2)&lt;=300000,100,500)))))),FLOOR($F280*IF($C280="売",1+$AX$2,1-$AX$2),IF($F280*IF($C280="売",1+$AX$2,1-$AX$2)&lt;=3000,1,IF($F280*IF($C280="売",1+$AX$2,1-$AX$2)&lt;=5000,5,IF($F280*IF($C280="売",1+$AX$2,1-$AX$2)&lt;=30000,10,IF($F280*IF($C280="売",1+$AX$2,1-$AX$2)&lt;=50000,50,IF($F280*IF($C280="売",1+$AX$2,1-$AX$2)&lt;=300000,100,500))))))))</f>
      </c>
      <c r="O280" s="478" t="str">
        <f>IF(OR($B280="",$F280="",$H280=""),"",IF($S280="✅売却済","―決済済―",IF($C280="売",IF($H280&lt;=$M280,"🟢利確",IF(AND($R280&lt;&gt;"",$H280&gt;=$R280),"🟠TRAIL決済",IF($H280&gt;=$N280,"🔴損切",IF($W280&gt;=$AX$5,"⏱時間決済",IF($H280&gt;=$F280*(1+$AX$2*0.7),"⚠️損切接近","保持継続"))))),IF($H280&gt;=$M280,"🟢利確",IF(AND($R280&lt;&gt;"",$H280&lt;=$R280),"🟠TRAIL決済",IF($H280&lt;=$N280,"🔴損切",IF($W280&gt;=$AX$5,"⏱時間決済",IF($H280&lt;=$F280*(1-$AX$2*0.7),"⚠️損切接近","保持継続")))))))</f>
      </c>
      <c r="P280" s="445"/>
      <c r="Q280" s="445"/>
      <c r="R280" s="480" t="str">
        <f>IF(OR($F280="",$H280="",$N280=""),"",IF($S280="✅売却済","",IF($C280="売",IF($H280&gt;$F280*(1-$AX$2),$N280,CEILING(MIN($N280,IF($Q280="",$N280,$Q280*1.03)),IF($N280&lt;=3000,1,IF($N280&lt;=5000,5,IF($N280&lt;=30000,10,IF($N280&lt;=50000,50,IF($N280&lt;=300000,100,500))))))),IF($H280&lt;$F280*(1+$AX$2),$N280,FLOOR(MAX($N280,IF($P280="",$N280,$P280*0.97)),IF($N280&lt;=3000,1,IF($N280&lt;=5000,5,IF($N280&lt;=30000,10,IF($N280&lt;=50000,50,IF($N280&lt;=300000,100,500))))))))))</f>
      </c>
      <c r="S280" s="480" t="str">
        <f>IF(B280="","",IF(T280&lt;&gt;"","✅売却済",IF(OR(H280="",L280=""),"📌保有中",IF(L280&gt;=0.06,"🟢利確推奨",IF(L280&gt;=0.05,"🟡利確直近",IF(L280&gt;=0.045,"🔵トレーリング検討",IF(L280&gt;-0.03,"📌保有中",IF(L280&gt;-0.04,"⚠️損切注意","🔴損切り"))))))))</f>
        <v/>
      </c>
      <c r="T280" s="596"/>
      <c r="U280" s="598"/>
      <c r="V280" s="703" t="str">
        <f>IF(OR(F280="",G280="",U280=""),"",IF(C280="売",(F280-U280)*G280,(U280-F280)*G280))</f>
        <v/>
      </c>
      <c r="W280" s="480" t="str">
        <f>IF(OR($E280="",$B280=""),"",IF($T280&lt;&gt;"",$T280-$E280,TODAY()-$E280)+1)</f>
        <v/>
      </c>
      <c r="X280" s="480" t="str">
        <f>IF(OR($AH280="",$AH280="保有中"),"",$AH280)</f>
        <v/>
      </c>
      <c r="Y280" s="488">
        <f>IF($B280="","",IF(COUNTIFS($B$4:$B280,$B280,$C$4:$C280,$C280)&gt;1,"⛔重複"&amp;COUNTIFS($B$4:$B280,$B280,$C$4:$C280,$C280)&amp;"回目",""))</f>
      </c>
      <c r="Z280" s="710"/>
      <c r="AB280">
        <f>IF($F280="","",MAX(100,ROUNDDOWN($AX$4/($F280*$AX$2)/100,0)*100))</f>
      </c>
      <c r="AC280">
        <f>IF(OR($F280="",$G280="",$U280=""),"",ROUND($V280-($F280+$U280)*$G280*$AX$6-IF($C280="売",$F280*$G280*$AX$7*$W280/365,0),0))</f>
      </c>
      <c r="AD280" s="608"/>
      <c r="AE280" s="600" t="str">
        <f>IF($E280="","",WORKDAY($E280,12))</f>
        <v/>
      </c>
      <c r="AF280" s="600"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0"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0" t="str">
        <f>IF(OR($B280="",$M280=""),"",IF(AND(N($AF280)=0,N($AG280)=0),IF(AND(ISNUMBER($H280),$H280&gt;0,IF($C280="売",$H280&gt;=$N280,$H280&lt;=$N280)),"損切確定",IF(AND(ISNUMBER($H280),$H280&gt;0,IF($C280="売",$H280&lt;=$M280,$H280&gt;=$M280)),"利益確定",IF($AE280&lt;=TODAY(),"日数制限","保有中"))),IF(N($AG280)=0,"利益確定",IF(N($AF280)=0,"損切確定",IF($AG280&lt;=$AF280,"損切確定","利益確定")))))</f>
        <v/>
      </c>
      <c r="AI280" s="600" t="str" cm="1">
        <f t="array" ref="AI280">IFERROR(INDEX(始値!$E$6:$BT$305,MATCH(TEXT($B280,"0"),TEXT(銘柄管理!$B$6:$B$305,"0"),0),MATCH($AE280,始値!$E$3:$BT$3,0)),"")</f>
        <v/>
      </c>
      <c r="AJ280" s="608" t="str">
        <f>IF(OR($V280="",$F280="",$G280=""),"",$V280/($F280*$G280))</f>
        <v/>
      </c>
      <c r="AK280" s="600" t="str">
        <f>IF($V280="","",IF($V280&gt;0,"○勝",IF($V280&lt;0,"●負","△引分")))</f>
        <v/>
      </c>
    </row>
    <row r="281" spans="1:37" ht="17.25" customHeight="1">
      <c r="A281" s="621" t="str">
        <f>IF(B281="","",HYPERLINK("https://kabutan.jp/stock/?code="&amp;B281,"株探"))</f>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IF(OR(F281="",G281="",H281=""),"",IF(C281="売",(F281-H281)*G281,(H281-F281)*G281))</f>
        <v/>
      </c>
      <c r="L281" s="708" t="str">
        <f>IF(OR(F281="",H281=""),"",IF(C281="売",(F281-H281)/F281,(H281-F281)/F281))</f>
        <v/>
      </c>
      <c r="M281" s="598" t="str">
        <f>IF($F281="","",IF($C281="売",CEILING($F281*IF($C281="売",1-$AX$3,1+$AX$3),IF($F281*IF($C281="売",1-$AX$3,1+$AX$3)&lt;=3000,1,IF($F281*IF($C281="売",1-$AX$3,1+$AX$3)&lt;=5000,5,IF($F281*IF($C281="売",1-$AX$3,1+$AX$3)&lt;=30000,10,IF($F281*IF($C281="売",1-$AX$3,1+$AX$3)&lt;=50000,50,IF($F281*IF($C281="売",1-$AX$3,1+$AX$3)&lt;=300000,100,500)))))),FLOOR($F281*IF($C281="売",1-$AX$3,1+$AX$3),IF($F281*IF($C281="売",1-$AX$3,1+$AX$3)&lt;=3000,1,IF($F281*IF($C281="売",1-$AX$3,1+$AX$3)&lt;=5000,5,IF($F281*IF($C281="売",1-$AX$3,1+$AX$3)&lt;=30000,10,IF($F281*IF($C281="売",1-$AX$3,1+$AX$3)&lt;=50000,50,IF($F281*IF($C281="売",1-$AX$3,1+$AX$3)&lt;=300000,100,500))))))))</f>
      </c>
      <c r="N281" s="598" t="str">
        <f>IF($F281="","",IF($C281="売",CEILING($F281*IF($C281="売",1+$AX$2,1-$AX$2),IF($F281*IF($C281="売",1+$AX$2,1-$AX$2)&lt;=3000,1,IF($F281*IF($C281="売",1+$AX$2,1-$AX$2)&lt;=5000,5,IF($F281*IF($C281="売",1+$AX$2,1-$AX$2)&lt;=30000,10,IF($F281*IF($C281="売",1+$AX$2,1-$AX$2)&lt;=50000,50,IF($F281*IF($C281="売",1+$AX$2,1-$AX$2)&lt;=300000,100,500)))))),FLOOR($F281*IF($C281="売",1+$AX$2,1-$AX$2),IF($F281*IF($C281="売",1+$AX$2,1-$AX$2)&lt;=3000,1,IF($F281*IF($C281="売",1+$AX$2,1-$AX$2)&lt;=5000,5,IF($F281*IF($C281="売",1+$AX$2,1-$AX$2)&lt;=30000,10,IF($F281*IF($C281="売",1+$AX$2,1-$AX$2)&lt;=50000,50,IF($F281*IF($C281="売",1+$AX$2,1-$AX$2)&lt;=300000,100,500))))))))</f>
      </c>
      <c r="O281" s="478" t="str">
        <f>IF(OR($B281="",$F281="",$H281=""),"",IF($S281="✅売却済","―決済済―",IF($C281="売",IF($H281&lt;=$M281,"🟢利確",IF(AND($R281&lt;&gt;"",$H281&gt;=$R281),"🟠TRAIL決済",IF($H281&gt;=$N281,"🔴損切",IF($W281&gt;=$AX$5,"⏱時間決済",IF($H281&gt;=$F281*(1+$AX$2*0.7),"⚠️損切接近","保持継続"))))),IF($H281&gt;=$M281,"🟢利確",IF(AND($R281&lt;&gt;"",$H281&lt;=$R281),"🟠TRAIL決済",IF($H281&lt;=$N281,"🔴損切",IF($W281&gt;=$AX$5,"⏱時間決済",IF($H281&lt;=$F281*(1-$AX$2*0.7),"⚠️損切接近","保持継続")))))))</f>
      </c>
      <c r="P281" s="445"/>
      <c r="Q281" s="445"/>
      <c r="R281" s="480" t="str">
        <f>IF(OR($F281="",$H281="",$N281=""),"",IF($S281="✅売却済","",IF($C281="売",IF($H281&gt;$F281*(1-$AX$2),$N281,CEILING(MIN($N281,IF($Q281="",$N281,$Q281*1.03)),IF($N281&lt;=3000,1,IF($N281&lt;=5000,5,IF($N281&lt;=30000,10,IF($N281&lt;=50000,50,IF($N281&lt;=300000,100,500))))))),IF($H281&lt;$F281*(1+$AX$2),$N281,FLOOR(MAX($N281,IF($P281="",$N281,$P281*0.97)),IF($N281&lt;=3000,1,IF($N281&lt;=5000,5,IF($N281&lt;=30000,10,IF($N281&lt;=50000,50,IF($N281&lt;=300000,100,500))))))))))</f>
      </c>
      <c r="S281" s="480" t="str">
        <f>IF(B281="","",IF(T281&lt;&gt;"","✅売却済",IF(OR(H281="",L281=""),"📌保有中",IF(L281&gt;=0.06,"🟢利確推奨",IF(L281&gt;=0.05,"🟡利確直近",IF(L281&gt;=0.045,"🔵トレーリング検討",IF(L281&gt;-0.03,"📌保有中",IF(L281&gt;-0.04,"⚠️損切注意","🔴損切り"))))))))</f>
        <v/>
      </c>
      <c r="T281" s="596"/>
      <c r="U281" s="598"/>
      <c r="V281" s="703" t="str">
        <f>IF(OR(F281="",G281="",U281=""),"",IF(C281="売",(F281-U281)*G281,(U281-F281)*G281))</f>
        <v/>
      </c>
      <c r="W281" s="480" t="str">
        <f>IF(OR($E281="",$B281=""),"",IF($T281&lt;&gt;"",$T281-$E281,TODAY()-$E281)+1)</f>
        <v/>
      </c>
      <c r="X281" s="480" t="str">
        <f>IF(OR($AH281="",$AH281="保有中"),"",$AH281)</f>
        <v/>
      </c>
      <c r="Y281" s="488">
        <f>IF($B281="","",IF(COUNTIFS($B$4:$B281,$B281,$C$4:$C281,$C281)&gt;1,"⛔重複"&amp;COUNTIFS($B$4:$B281,$B281,$C$4:$C281,$C281)&amp;"回目",""))</f>
      </c>
      <c r="Z281" s="710"/>
      <c r="AB281">
        <f>IF($F281="","",MAX(100,ROUNDDOWN($AX$4/($F281*$AX$2)/100,0)*100))</f>
      </c>
      <c r="AC281">
        <f>IF(OR($F281="",$G281="",$U281=""),"",ROUND($V281-($F281+$U281)*$G281*$AX$6-IF($C281="売",$F281*$G281*$AX$7*$W281/365,0),0))</f>
      </c>
      <c r="AD281" s="608"/>
      <c r="AE281" s="600" t="str">
        <f>IF($E281="","",WORKDAY($E281,12))</f>
        <v/>
      </c>
      <c r="AF281" s="600"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0"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0" t="str">
        <f>IF(OR($B281="",$M281=""),"",IF(AND(N($AF281)=0,N($AG281)=0),IF(AND(ISNUMBER($H281),$H281&gt;0,IF($C281="売",$H281&gt;=$N281,$H281&lt;=$N281)),"損切確定",IF(AND(ISNUMBER($H281),$H281&gt;0,IF($C281="売",$H281&lt;=$M281,$H281&gt;=$M281)),"利益確定",IF($AE281&lt;=TODAY(),"日数制限","保有中"))),IF(N($AG281)=0,"利益確定",IF(N($AF281)=0,"損切確定",IF($AG281&lt;=$AF281,"損切確定","利益確定")))))</f>
        <v/>
      </c>
      <c r="AI281" s="600" t="str" cm="1">
        <f t="array" ref="AI281">IFERROR(INDEX(始値!$E$6:$BT$305,MATCH(TEXT($B281,"0"),TEXT(銘柄管理!$B$6:$B$305,"0"),0),MATCH($AE281,始値!$E$3:$BT$3,0)),"")</f>
        <v/>
      </c>
      <c r="AJ281" s="608" t="str">
        <f>IF(OR($V281="",$F281="",$G281=""),"",$V281/($F281*$G281))</f>
        <v/>
      </c>
      <c r="AK281" s="600" t="str">
        <f>IF($V281="","",IF($V281&gt;0,"○勝",IF($V281&lt;0,"●負","△引分")))</f>
        <v/>
      </c>
    </row>
    <row r="282" spans="1:37" ht="17.25" customHeight="1">
      <c r="A282" s="621" t="str">
        <f>IF(B282="","",HYPERLINK("https://kabutan.jp/stock/?code="&amp;B282,"株探"))</f>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IF(OR(F282="",G282="",H282=""),"",IF(C282="売",(F282-H282)*G282,(H282-F282)*G282))</f>
        <v/>
      </c>
      <c r="L282" s="708" t="str">
        <f>IF(OR(F282="",H282=""),"",IF(C282="売",(F282-H282)/F282,(H282-F282)/F282))</f>
        <v/>
      </c>
      <c r="M282" s="598" t="str">
        <f>IF($F282="","",IF($C282="売",CEILING($F282*IF($C282="売",1-$AX$3,1+$AX$3),IF($F282*IF($C282="売",1-$AX$3,1+$AX$3)&lt;=3000,1,IF($F282*IF($C282="売",1-$AX$3,1+$AX$3)&lt;=5000,5,IF($F282*IF($C282="売",1-$AX$3,1+$AX$3)&lt;=30000,10,IF($F282*IF($C282="売",1-$AX$3,1+$AX$3)&lt;=50000,50,IF($F282*IF($C282="売",1-$AX$3,1+$AX$3)&lt;=300000,100,500)))))),FLOOR($F282*IF($C282="売",1-$AX$3,1+$AX$3),IF($F282*IF($C282="売",1-$AX$3,1+$AX$3)&lt;=3000,1,IF($F282*IF($C282="売",1-$AX$3,1+$AX$3)&lt;=5000,5,IF($F282*IF($C282="売",1-$AX$3,1+$AX$3)&lt;=30000,10,IF($F282*IF($C282="売",1-$AX$3,1+$AX$3)&lt;=50000,50,IF($F282*IF($C282="売",1-$AX$3,1+$AX$3)&lt;=300000,100,500))))))))</f>
      </c>
      <c r="N282" s="598" t="str">
        <f>IF($F282="","",IF($C282="売",CEILING($F282*IF($C282="売",1+$AX$2,1-$AX$2),IF($F282*IF($C282="売",1+$AX$2,1-$AX$2)&lt;=3000,1,IF($F282*IF($C282="売",1+$AX$2,1-$AX$2)&lt;=5000,5,IF($F282*IF($C282="売",1+$AX$2,1-$AX$2)&lt;=30000,10,IF($F282*IF($C282="売",1+$AX$2,1-$AX$2)&lt;=50000,50,IF($F282*IF($C282="売",1+$AX$2,1-$AX$2)&lt;=300000,100,500)))))),FLOOR($F282*IF($C282="売",1+$AX$2,1-$AX$2),IF($F282*IF($C282="売",1+$AX$2,1-$AX$2)&lt;=3000,1,IF($F282*IF($C282="売",1+$AX$2,1-$AX$2)&lt;=5000,5,IF($F282*IF($C282="売",1+$AX$2,1-$AX$2)&lt;=30000,10,IF($F282*IF($C282="売",1+$AX$2,1-$AX$2)&lt;=50000,50,IF($F282*IF($C282="売",1+$AX$2,1-$AX$2)&lt;=300000,100,500))))))))</f>
      </c>
      <c r="O282" s="478" t="str">
        <f>IF(OR($B282="",$F282="",$H282=""),"",IF($S282="✅売却済","―決済済―",IF($C282="売",IF($H282&lt;=$M282,"🟢利確",IF(AND($R282&lt;&gt;"",$H282&gt;=$R282),"🟠TRAIL決済",IF($H282&gt;=$N282,"🔴損切",IF($W282&gt;=$AX$5,"⏱時間決済",IF($H282&gt;=$F282*(1+$AX$2*0.7),"⚠️損切接近","保持継続"))))),IF($H282&gt;=$M282,"🟢利確",IF(AND($R282&lt;&gt;"",$H282&lt;=$R282),"🟠TRAIL決済",IF($H282&lt;=$N282,"🔴損切",IF($W282&gt;=$AX$5,"⏱時間決済",IF($H282&lt;=$F282*(1-$AX$2*0.7),"⚠️損切接近","保持継続")))))))</f>
      </c>
      <c r="P282" s="445"/>
      <c r="Q282" s="445"/>
      <c r="R282" s="480" t="str">
        <f>IF(OR($F282="",$H282="",$N282=""),"",IF($S282="✅売却済","",IF($C282="売",IF($H282&gt;$F282*(1-$AX$2),$N282,CEILING(MIN($N282,IF($Q282="",$N282,$Q282*1.03)),IF($N282&lt;=3000,1,IF($N282&lt;=5000,5,IF($N282&lt;=30000,10,IF($N282&lt;=50000,50,IF($N282&lt;=300000,100,500))))))),IF($H282&lt;$F282*(1+$AX$2),$N282,FLOOR(MAX($N282,IF($P282="",$N282,$P282*0.97)),IF($N282&lt;=3000,1,IF($N282&lt;=5000,5,IF($N282&lt;=30000,10,IF($N282&lt;=50000,50,IF($N282&lt;=300000,100,500))))))))))</f>
      </c>
      <c r="S282" s="480" t="str">
        <f>IF(B282="","",IF(T282&lt;&gt;"","✅売却済",IF(OR(H282="",L282=""),"📌保有中",IF(L282&gt;=0.06,"🟢利確推奨",IF(L282&gt;=0.05,"🟡利確直近",IF(L282&gt;=0.045,"🔵トレーリング検討",IF(L282&gt;-0.03,"📌保有中",IF(L282&gt;-0.04,"⚠️損切注意","🔴損切り"))))))))</f>
        <v/>
      </c>
      <c r="T282" s="596"/>
      <c r="U282" s="598"/>
      <c r="V282" s="703" t="str">
        <f>IF(OR(F282="",G282="",U282=""),"",IF(C282="売",(F282-U282)*G282,(U282-F282)*G282))</f>
        <v/>
      </c>
      <c r="W282" s="480" t="str">
        <f>IF(OR($E282="",$B282=""),"",IF($T282&lt;&gt;"",$T282-$E282,TODAY()-$E282)+1)</f>
        <v/>
      </c>
      <c r="X282" s="480" t="str">
        <f>IF(OR($AH282="",$AH282="保有中"),"",$AH282)</f>
        <v/>
      </c>
      <c r="Y282" s="488">
        <f>IF($B282="","",IF(COUNTIFS($B$4:$B282,$B282,$C$4:$C282,$C282)&gt;1,"⛔重複"&amp;COUNTIFS($B$4:$B282,$B282,$C$4:$C282,$C282)&amp;"回目",""))</f>
      </c>
      <c r="Z282" s="710"/>
      <c r="AB282">
        <f>IF($F282="","",MAX(100,ROUNDDOWN($AX$4/($F282*$AX$2)/100,0)*100))</f>
      </c>
      <c r="AC282">
        <f>IF(OR($F282="",$G282="",$U282=""),"",ROUND($V282-($F282+$U282)*$G282*$AX$6-IF($C282="売",$F282*$G282*$AX$7*$W282/365,0),0))</f>
      </c>
      <c r="AD282" s="608"/>
      <c r="AE282" s="600" t="str">
        <f>IF($E282="","",WORKDAY($E282,12))</f>
        <v/>
      </c>
      <c r="AF282" s="600"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0"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0" t="str">
        <f>IF(OR($B282="",$M282=""),"",IF(AND(N($AF282)=0,N($AG282)=0),IF(AND(ISNUMBER($H282),$H282&gt;0,IF($C282="売",$H282&gt;=$N282,$H282&lt;=$N282)),"損切確定",IF(AND(ISNUMBER($H282),$H282&gt;0,IF($C282="売",$H282&lt;=$M282,$H282&gt;=$M282)),"利益確定",IF($AE282&lt;=TODAY(),"日数制限","保有中"))),IF(N($AG282)=0,"利益確定",IF(N($AF282)=0,"損切確定",IF($AG282&lt;=$AF282,"損切確定","利益確定")))))</f>
        <v/>
      </c>
      <c r="AI282" s="600" t="str" cm="1">
        <f t="array" ref="AI282">IFERROR(INDEX(始値!$E$6:$BT$305,MATCH(TEXT($B282,"0"),TEXT(銘柄管理!$B$6:$B$305,"0"),0),MATCH($AE282,始値!$E$3:$BT$3,0)),"")</f>
        <v/>
      </c>
      <c r="AJ282" s="608" t="str">
        <f>IF(OR($V282="",$F282="",$G282=""),"",$V282/($F282*$G282))</f>
        <v/>
      </c>
      <c r="AK282" s="600" t="str">
        <f>IF($V282="","",IF($V282&gt;0,"○勝",IF($V282&lt;0,"●負","△引分")))</f>
        <v/>
      </c>
    </row>
    <row r="283" spans="1:37" ht="17.25" customHeight="1">
      <c r="A283" s="621" t="str">
        <f>IF(B283="","",HYPERLINK("https://kabutan.jp/stock/?code="&amp;B283,"株探"))</f>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IF(OR(F283="",G283="",H283=""),"",IF(C283="売",(F283-H283)*G283,(H283-F283)*G283))</f>
        <v/>
      </c>
      <c r="L283" s="708" t="str">
        <f>IF(OR(F283="",H283=""),"",IF(C283="売",(F283-H283)/F283,(H283-F283)/F283))</f>
        <v/>
      </c>
      <c r="M283" s="598" t="str">
        <f>IF($F283="","",IF($C283="売",CEILING($F283*IF($C283="売",1-$AX$3,1+$AX$3),IF($F283*IF($C283="売",1-$AX$3,1+$AX$3)&lt;=3000,1,IF($F283*IF($C283="売",1-$AX$3,1+$AX$3)&lt;=5000,5,IF($F283*IF($C283="売",1-$AX$3,1+$AX$3)&lt;=30000,10,IF($F283*IF($C283="売",1-$AX$3,1+$AX$3)&lt;=50000,50,IF($F283*IF($C283="売",1-$AX$3,1+$AX$3)&lt;=300000,100,500)))))),FLOOR($F283*IF($C283="売",1-$AX$3,1+$AX$3),IF($F283*IF($C283="売",1-$AX$3,1+$AX$3)&lt;=3000,1,IF($F283*IF($C283="売",1-$AX$3,1+$AX$3)&lt;=5000,5,IF($F283*IF($C283="売",1-$AX$3,1+$AX$3)&lt;=30000,10,IF($F283*IF($C283="売",1-$AX$3,1+$AX$3)&lt;=50000,50,IF($F283*IF($C283="売",1-$AX$3,1+$AX$3)&lt;=300000,100,500))))))))</f>
      </c>
      <c r="N283" s="598" t="str">
        <f>IF($F283="","",IF($C283="売",CEILING($F283*IF($C283="売",1+$AX$2,1-$AX$2),IF($F283*IF($C283="売",1+$AX$2,1-$AX$2)&lt;=3000,1,IF($F283*IF($C283="売",1+$AX$2,1-$AX$2)&lt;=5000,5,IF($F283*IF($C283="売",1+$AX$2,1-$AX$2)&lt;=30000,10,IF($F283*IF($C283="売",1+$AX$2,1-$AX$2)&lt;=50000,50,IF($F283*IF($C283="売",1+$AX$2,1-$AX$2)&lt;=300000,100,500)))))),FLOOR($F283*IF($C283="売",1+$AX$2,1-$AX$2),IF($F283*IF($C283="売",1+$AX$2,1-$AX$2)&lt;=3000,1,IF($F283*IF($C283="売",1+$AX$2,1-$AX$2)&lt;=5000,5,IF($F283*IF($C283="売",1+$AX$2,1-$AX$2)&lt;=30000,10,IF($F283*IF($C283="売",1+$AX$2,1-$AX$2)&lt;=50000,50,IF($F283*IF($C283="売",1+$AX$2,1-$AX$2)&lt;=300000,100,500))))))))</f>
      </c>
      <c r="O283" s="478" t="str">
        <f>IF(OR($B283="",$F283="",$H283=""),"",IF($S283="✅売却済","―決済済―",IF($C283="売",IF($H283&lt;=$M283,"🟢利確",IF(AND($R283&lt;&gt;"",$H283&gt;=$R283),"🟠TRAIL決済",IF($H283&gt;=$N283,"🔴損切",IF($W283&gt;=$AX$5,"⏱時間決済",IF($H283&gt;=$F283*(1+$AX$2*0.7),"⚠️損切接近","保持継続"))))),IF($H283&gt;=$M283,"🟢利確",IF(AND($R283&lt;&gt;"",$H283&lt;=$R283),"🟠TRAIL決済",IF($H283&lt;=$N283,"🔴損切",IF($W283&gt;=$AX$5,"⏱時間決済",IF($H283&lt;=$F283*(1-$AX$2*0.7),"⚠️損切接近","保持継続")))))))</f>
      </c>
      <c r="P283" s="445"/>
      <c r="Q283" s="445"/>
      <c r="R283" s="480" t="str">
        <f>IF(OR($F283="",$H283="",$N283=""),"",IF($S283="✅売却済","",IF($C283="売",IF($H283&gt;$F283*(1-$AX$2),$N283,CEILING(MIN($N283,IF($Q283="",$N283,$Q283*1.03)),IF($N283&lt;=3000,1,IF($N283&lt;=5000,5,IF($N283&lt;=30000,10,IF($N283&lt;=50000,50,IF($N283&lt;=300000,100,500))))))),IF($H283&lt;$F283*(1+$AX$2),$N283,FLOOR(MAX($N283,IF($P283="",$N283,$P283*0.97)),IF($N283&lt;=3000,1,IF($N283&lt;=5000,5,IF($N283&lt;=30000,10,IF($N283&lt;=50000,50,IF($N283&lt;=300000,100,500))))))))))</f>
      </c>
      <c r="S283" s="480" t="str">
        <f>IF(B283="","",IF(T283&lt;&gt;"","✅売却済",IF(OR(H283="",L283=""),"📌保有中",IF(L283&gt;=0.06,"🟢利確推奨",IF(L283&gt;=0.05,"🟡利確直近",IF(L283&gt;=0.045,"🔵トレーリング検討",IF(L283&gt;-0.03,"📌保有中",IF(L283&gt;-0.04,"⚠️損切注意","🔴損切り"))))))))</f>
        <v/>
      </c>
      <c r="T283" s="596"/>
      <c r="U283" s="598"/>
      <c r="V283" s="703" t="str">
        <f>IF(OR(F283="",G283="",U283=""),"",IF(C283="売",(F283-U283)*G283,(U283-F283)*G283))</f>
        <v/>
      </c>
      <c r="W283" s="480" t="str">
        <f>IF(OR($E283="",$B283=""),"",IF($T283&lt;&gt;"",$T283-$E283,TODAY()-$E283)+1)</f>
        <v/>
      </c>
      <c r="X283" s="480" t="str">
        <f>IF(OR($AH283="",$AH283="保有中"),"",$AH283)</f>
        <v/>
      </c>
      <c r="Y283" s="488">
        <f>IF($B283="","",IF(COUNTIFS($B$4:$B283,$B283,$C$4:$C283,$C283)&gt;1,"⛔重複"&amp;COUNTIFS($B$4:$B283,$B283,$C$4:$C283,$C283)&amp;"回目",""))</f>
      </c>
      <c r="Z283" s="710"/>
      <c r="AB283">
        <f>IF($F283="","",MAX(100,ROUNDDOWN($AX$4/($F283*$AX$2)/100,0)*100))</f>
      </c>
      <c r="AC283">
        <f>IF(OR($F283="",$G283="",$U283=""),"",ROUND($V283-($F283+$U283)*$G283*$AX$6-IF($C283="売",$F283*$G283*$AX$7*$W283/365,0),0))</f>
      </c>
      <c r="AD283" s="608"/>
      <c r="AE283" s="600" t="str">
        <f>IF($E283="","",WORKDAY($E283,12))</f>
        <v/>
      </c>
      <c r="AF283" s="600"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0"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0" t="str">
        <f>IF(OR($B283="",$M283=""),"",IF(AND(N($AF283)=0,N($AG283)=0),IF(AND(ISNUMBER($H283),$H283&gt;0,IF($C283="売",$H283&gt;=$N283,$H283&lt;=$N283)),"損切確定",IF(AND(ISNUMBER($H283),$H283&gt;0,IF($C283="売",$H283&lt;=$M283,$H283&gt;=$M283)),"利益確定",IF($AE283&lt;=TODAY(),"日数制限","保有中"))),IF(N($AG283)=0,"利益確定",IF(N($AF283)=0,"損切確定",IF($AG283&lt;=$AF283,"損切確定","利益確定")))))</f>
        <v/>
      </c>
      <c r="AI283" s="600" t="str" cm="1">
        <f t="array" ref="AI283">IFERROR(INDEX(始値!$E$6:$BT$305,MATCH(TEXT($B283,"0"),TEXT(銘柄管理!$B$6:$B$305,"0"),0),MATCH($AE283,始値!$E$3:$BT$3,0)),"")</f>
        <v/>
      </c>
      <c r="AJ283" s="608" t="str">
        <f>IF(OR($V283="",$F283="",$G283=""),"",$V283/($F283*$G283))</f>
        <v/>
      </c>
      <c r="AK283" s="600" t="str">
        <f>IF($V283="","",IF($V283&gt;0,"○勝",IF($V283&lt;0,"●負","△引分")))</f>
        <v/>
      </c>
    </row>
    <row r="284" spans="1:37" ht="17.25" customHeight="1">
      <c r="A284" s="621" t="str">
        <f>IF(B284="","",HYPERLINK("https://kabutan.jp/stock/?code="&amp;B284,"株探"))</f>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IF(OR(F284="",G284="",H284=""),"",IF(C284="売",(F284-H284)*G284,(H284-F284)*G284))</f>
        <v/>
      </c>
      <c r="L284" s="708" t="str">
        <f>IF(OR(F284="",H284=""),"",IF(C284="売",(F284-H284)/F284,(H284-F284)/F284))</f>
        <v/>
      </c>
      <c r="M284" s="598" t="str">
        <f>IF($F284="","",IF($C284="売",CEILING($F284*IF($C284="売",1-$AX$3,1+$AX$3),IF($F284*IF($C284="売",1-$AX$3,1+$AX$3)&lt;=3000,1,IF($F284*IF($C284="売",1-$AX$3,1+$AX$3)&lt;=5000,5,IF($F284*IF($C284="売",1-$AX$3,1+$AX$3)&lt;=30000,10,IF($F284*IF($C284="売",1-$AX$3,1+$AX$3)&lt;=50000,50,IF($F284*IF($C284="売",1-$AX$3,1+$AX$3)&lt;=300000,100,500)))))),FLOOR($F284*IF($C284="売",1-$AX$3,1+$AX$3),IF($F284*IF($C284="売",1-$AX$3,1+$AX$3)&lt;=3000,1,IF($F284*IF($C284="売",1-$AX$3,1+$AX$3)&lt;=5000,5,IF($F284*IF($C284="売",1-$AX$3,1+$AX$3)&lt;=30000,10,IF($F284*IF($C284="売",1-$AX$3,1+$AX$3)&lt;=50000,50,IF($F284*IF($C284="売",1-$AX$3,1+$AX$3)&lt;=300000,100,500))))))))</f>
      </c>
      <c r="N284" s="598" t="str">
        <f>IF($F284="","",IF($C284="売",CEILING($F284*IF($C284="売",1+$AX$2,1-$AX$2),IF($F284*IF($C284="売",1+$AX$2,1-$AX$2)&lt;=3000,1,IF($F284*IF($C284="売",1+$AX$2,1-$AX$2)&lt;=5000,5,IF($F284*IF($C284="売",1+$AX$2,1-$AX$2)&lt;=30000,10,IF($F284*IF($C284="売",1+$AX$2,1-$AX$2)&lt;=50000,50,IF($F284*IF($C284="売",1+$AX$2,1-$AX$2)&lt;=300000,100,500)))))),FLOOR($F284*IF($C284="売",1+$AX$2,1-$AX$2),IF($F284*IF($C284="売",1+$AX$2,1-$AX$2)&lt;=3000,1,IF($F284*IF($C284="売",1+$AX$2,1-$AX$2)&lt;=5000,5,IF($F284*IF($C284="売",1+$AX$2,1-$AX$2)&lt;=30000,10,IF($F284*IF($C284="売",1+$AX$2,1-$AX$2)&lt;=50000,50,IF($F284*IF($C284="売",1+$AX$2,1-$AX$2)&lt;=300000,100,500))))))))</f>
      </c>
      <c r="O284" s="478" t="str">
        <f>IF(OR($B284="",$F284="",$H284=""),"",IF($S284="✅売却済","―決済済―",IF($C284="売",IF($H284&lt;=$M284,"🟢利確",IF(AND($R284&lt;&gt;"",$H284&gt;=$R284),"🟠TRAIL決済",IF($H284&gt;=$N284,"🔴損切",IF($W284&gt;=$AX$5,"⏱時間決済",IF($H284&gt;=$F284*(1+$AX$2*0.7),"⚠️損切接近","保持継続"))))),IF($H284&gt;=$M284,"🟢利確",IF(AND($R284&lt;&gt;"",$H284&lt;=$R284),"🟠TRAIL決済",IF($H284&lt;=$N284,"🔴損切",IF($W284&gt;=$AX$5,"⏱時間決済",IF($H284&lt;=$F284*(1-$AX$2*0.7),"⚠️損切接近","保持継続")))))))</f>
      </c>
      <c r="P284" s="445"/>
      <c r="Q284" s="445"/>
      <c r="R284" s="480" t="str">
        <f>IF(OR($F284="",$H284="",$N284=""),"",IF($S284="✅売却済","",IF($C284="売",IF($H284&gt;$F284*(1-$AX$2),$N284,CEILING(MIN($N284,IF($Q284="",$N284,$Q284*1.03)),IF($N284&lt;=3000,1,IF($N284&lt;=5000,5,IF($N284&lt;=30000,10,IF($N284&lt;=50000,50,IF($N284&lt;=300000,100,500))))))),IF($H284&lt;$F284*(1+$AX$2),$N284,FLOOR(MAX($N284,IF($P284="",$N284,$P284*0.97)),IF($N284&lt;=3000,1,IF($N284&lt;=5000,5,IF($N284&lt;=30000,10,IF($N284&lt;=50000,50,IF($N284&lt;=300000,100,500))))))))))</f>
      </c>
      <c r="S284" s="480" t="str">
        <f>IF(B284="","",IF(T284&lt;&gt;"","✅売却済",IF(OR(H284="",L284=""),"📌保有中",IF(L284&gt;=0.06,"🟢利確推奨",IF(L284&gt;=0.05,"🟡利確直近",IF(L284&gt;=0.045,"🔵トレーリング検討",IF(L284&gt;-0.03,"📌保有中",IF(L284&gt;-0.04,"⚠️損切注意","🔴損切り"))))))))</f>
        <v/>
      </c>
      <c r="T284" s="596"/>
      <c r="U284" s="598"/>
      <c r="V284" s="703" t="str">
        <f>IF(OR(F284="",G284="",U284=""),"",IF(C284="売",(F284-U284)*G284,(U284-F284)*G284))</f>
        <v/>
      </c>
      <c r="W284" s="480" t="str">
        <f>IF(OR($E284="",$B284=""),"",IF($T284&lt;&gt;"",$T284-$E284,TODAY()-$E284)+1)</f>
        <v/>
      </c>
      <c r="X284" s="480" t="str">
        <f>IF(OR($AH284="",$AH284="保有中"),"",$AH284)</f>
        <v/>
      </c>
      <c r="Y284" s="488">
        <f>IF($B284="","",IF(COUNTIFS($B$4:$B284,$B284,$C$4:$C284,$C284)&gt;1,"⛔重複"&amp;COUNTIFS($B$4:$B284,$B284,$C$4:$C284,$C284)&amp;"回目",""))</f>
      </c>
      <c r="Z284" s="710"/>
      <c r="AB284">
        <f>IF($F284="","",MAX(100,ROUNDDOWN($AX$4/($F284*$AX$2)/100,0)*100))</f>
      </c>
      <c r="AC284">
        <f>IF(OR($F284="",$G284="",$U284=""),"",ROUND($V284-($F284+$U284)*$G284*$AX$6-IF($C284="売",$F284*$G284*$AX$7*$W284/365,0),0))</f>
      </c>
      <c r="AD284" s="608"/>
      <c r="AE284" s="600" t="str">
        <f>IF($E284="","",WORKDAY($E284,12))</f>
        <v/>
      </c>
      <c r="AF284" s="600"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0"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0" t="str">
        <f>IF(OR($B284="",$M284=""),"",IF(AND(N($AF284)=0,N($AG284)=0),IF(AND(ISNUMBER($H284),$H284&gt;0,IF($C284="売",$H284&gt;=$N284,$H284&lt;=$N284)),"損切確定",IF(AND(ISNUMBER($H284),$H284&gt;0,IF($C284="売",$H284&lt;=$M284,$H284&gt;=$M284)),"利益確定",IF($AE284&lt;=TODAY(),"日数制限","保有中"))),IF(N($AG284)=0,"利益確定",IF(N($AF284)=0,"損切確定",IF($AG284&lt;=$AF284,"損切確定","利益確定")))))</f>
        <v/>
      </c>
      <c r="AI284" s="600" t="str" cm="1">
        <f t="array" ref="AI284">IFERROR(INDEX(始値!$E$6:$BT$305,MATCH(TEXT($B284,"0"),TEXT(銘柄管理!$B$6:$B$305,"0"),0),MATCH($AE284,始値!$E$3:$BT$3,0)),"")</f>
        <v/>
      </c>
      <c r="AJ284" s="608" t="str">
        <f>IF(OR($V284="",$F284="",$G284=""),"",$V284/($F284*$G284))</f>
        <v/>
      </c>
      <c r="AK284" s="600" t="str">
        <f>IF($V284="","",IF($V284&gt;0,"○勝",IF($V284&lt;0,"●負","△引分")))</f>
        <v/>
      </c>
    </row>
    <row r="285" spans="1:37" ht="17.25" customHeight="1">
      <c r="A285" s="621" t="str">
        <f>IF(B285="","",HYPERLINK("https://kabutan.jp/stock/?code="&amp;B285,"株探"))</f>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IF(OR(F285="",G285="",H285=""),"",IF(C285="売",(F285-H285)*G285,(H285-F285)*G285))</f>
        <v/>
      </c>
      <c r="L285" s="708" t="str">
        <f>IF(OR(F285="",H285=""),"",IF(C285="売",(F285-H285)/F285,(H285-F285)/F285))</f>
        <v/>
      </c>
      <c r="M285" s="598" t="str">
        <f>IF($F285="","",IF($C285="売",CEILING($F285*IF($C285="売",1-$AX$3,1+$AX$3),IF($F285*IF($C285="売",1-$AX$3,1+$AX$3)&lt;=3000,1,IF($F285*IF($C285="売",1-$AX$3,1+$AX$3)&lt;=5000,5,IF($F285*IF($C285="売",1-$AX$3,1+$AX$3)&lt;=30000,10,IF($F285*IF($C285="売",1-$AX$3,1+$AX$3)&lt;=50000,50,IF($F285*IF($C285="売",1-$AX$3,1+$AX$3)&lt;=300000,100,500)))))),FLOOR($F285*IF($C285="売",1-$AX$3,1+$AX$3),IF($F285*IF($C285="売",1-$AX$3,1+$AX$3)&lt;=3000,1,IF($F285*IF($C285="売",1-$AX$3,1+$AX$3)&lt;=5000,5,IF($F285*IF($C285="売",1-$AX$3,1+$AX$3)&lt;=30000,10,IF($F285*IF($C285="売",1-$AX$3,1+$AX$3)&lt;=50000,50,IF($F285*IF($C285="売",1-$AX$3,1+$AX$3)&lt;=300000,100,500))))))))</f>
      </c>
      <c r="N285" s="598" t="str">
        <f>IF($F285="","",IF($C285="売",CEILING($F285*IF($C285="売",1+$AX$2,1-$AX$2),IF($F285*IF($C285="売",1+$AX$2,1-$AX$2)&lt;=3000,1,IF($F285*IF($C285="売",1+$AX$2,1-$AX$2)&lt;=5000,5,IF($F285*IF($C285="売",1+$AX$2,1-$AX$2)&lt;=30000,10,IF($F285*IF($C285="売",1+$AX$2,1-$AX$2)&lt;=50000,50,IF($F285*IF($C285="売",1+$AX$2,1-$AX$2)&lt;=300000,100,500)))))),FLOOR($F285*IF($C285="売",1+$AX$2,1-$AX$2),IF($F285*IF($C285="売",1+$AX$2,1-$AX$2)&lt;=3000,1,IF($F285*IF($C285="売",1+$AX$2,1-$AX$2)&lt;=5000,5,IF($F285*IF($C285="売",1+$AX$2,1-$AX$2)&lt;=30000,10,IF($F285*IF($C285="売",1+$AX$2,1-$AX$2)&lt;=50000,50,IF($F285*IF($C285="売",1+$AX$2,1-$AX$2)&lt;=300000,100,500))))))))</f>
      </c>
      <c r="O285" s="478" t="str">
        <f>IF(OR($B285="",$F285="",$H285=""),"",IF($S285="✅売却済","―決済済―",IF($C285="売",IF($H285&lt;=$M285,"🟢利確",IF(AND($R285&lt;&gt;"",$H285&gt;=$R285),"🟠TRAIL決済",IF($H285&gt;=$N285,"🔴損切",IF($W285&gt;=$AX$5,"⏱時間決済",IF($H285&gt;=$F285*(1+$AX$2*0.7),"⚠️損切接近","保持継続"))))),IF($H285&gt;=$M285,"🟢利確",IF(AND($R285&lt;&gt;"",$H285&lt;=$R285),"🟠TRAIL決済",IF($H285&lt;=$N285,"🔴損切",IF($W285&gt;=$AX$5,"⏱時間決済",IF($H285&lt;=$F285*(1-$AX$2*0.7),"⚠️損切接近","保持継続")))))))</f>
      </c>
      <c r="P285" s="445"/>
      <c r="Q285" s="445"/>
      <c r="R285" s="480" t="str">
        <f>IF(OR($F285="",$H285="",$N285=""),"",IF($S285="✅売却済","",IF($C285="売",IF($H285&gt;$F285*(1-$AX$2),$N285,CEILING(MIN($N285,IF($Q285="",$N285,$Q285*1.03)),IF($N285&lt;=3000,1,IF($N285&lt;=5000,5,IF($N285&lt;=30000,10,IF($N285&lt;=50000,50,IF($N285&lt;=300000,100,500))))))),IF($H285&lt;$F285*(1+$AX$2),$N285,FLOOR(MAX($N285,IF($P285="",$N285,$P285*0.97)),IF($N285&lt;=3000,1,IF($N285&lt;=5000,5,IF($N285&lt;=30000,10,IF($N285&lt;=50000,50,IF($N285&lt;=300000,100,500))))))))))</f>
      </c>
      <c r="S285" s="480" t="str">
        <f>IF(B285="","",IF(T285&lt;&gt;"","✅売却済",IF(OR(H285="",L285=""),"📌保有中",IF(L285&gt;=0.06,"🟢利確推奨",IF(L285&gt;=0.05,"🟡利確直近",IF(L285&gt;=0.045,"🔵トレーリング検討",IF(L285&gt;-0.03,"📌保有中",IF(L285&gt;-0.04,"⚠️損切注意","🔴損切り"))))))))</f>
        <v/>
      </c>
      <c r="T285" s="596"/>
      <c r="U285" s="598"/>
      <c r="V285" s="703" t="str">
        <f>IF(OR(F285="",G285="",U285=""),"",IF(C285="売",(F285-U285)*G285,(U285-F285)*G285))</f>
        <v/>
      </c>
      <c r="W285" s="480" t="str">
        <f>IF(OR($E285="",$B285=""),"",IF($T285&lt;&gt;"",$T285-$E285,TODAY()-$E285)+1)</f>
        <v/>
      </c>
      <c r="X285" s="480" t="str">
        <f>IF(OR($AH285="",$AH285="保有中"),"",$AH285)</f>
        <v/>
      </c>
      <c r="Y285" s="488">
        <f>IF($B285="","",IF(COUNTIFS($B$4:$B285,$B285,$C$4:$C285,$C285)&gt;1,"⛔重複"&amp;COUNTIFS($B$4:$B285,$B285,$C$4:$C285,$C285)&amp;"回目",""))</f>
      </c>
      <c r="Z285" s="710"/>
      <c r="AB285">
        <f>IF($F285="","",MAX(100,ROUNDDOWN($AX$4/($F285*$AX$2)/100,0)*100))</f>
      </c>
      <c r="AC285">
        <f>IF(OR($F285="",$G285="",$U285=""),"",ROUND($V285-($F285+$U285)*$G285*$AX$6-IF($C285="売",$F285*$G285*$AX$7*$W285/365,0),0))</f>
      </c>
      <c r="AD285" s="608"/>
      <c r="AE285" s="600" t="str">
        <f>IF($E285="","",WORKDAY($E285,12))</f>
        <v/>
      </c>
      <c r="AF285" s="600"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0"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0" t="str">
        <f>IF(OR($B285="",$M285=""),"",IF(AND(N($AF285)=0,N($AG285)=0),IF(AND(ISNUMBER($H285),$H285&gt;0,IF($C285="売",$H285&gt;=$N285,$H285&lt;=$N285)),"損切確定",IF(AND(ISNUMBER($H285),$H285&gt;0,IF($C285="売",$H285&lt;=$M285,$H285&gt;=$M285)),"利益確定",IF($AE285&lt;=TODAY(),"日数制限","保有中"))),IF(N($AG285)=0,"利益確定",IF(N($AF285)=0,"損切確定",IF($AG285&lt;=$AF285,"損切確定","利益確定")))))</f>
        <v/>
      </c>
      <c r="AI285" s="600" t="str" cm="1">
        <f t="array" ref="AI285">IFERROR(INDEX(始値!$E$6:$BT$305,MATCH(TEXT($B285,"0"),TEXT(銘柄管理!$B$6:$B$305,"0"),0),MATCH($AE285,始値!$E$3:$BT$3,0)),"")</f>
        <v/>
      </c>
      <c r="AJ285" s="608" t="str">
        <f>IF(OR($V285="",$F285="",$G285=""),"",$V285/($F285*$G285))</f>
        <v/>
      </c>
      <c r="AK285" s="600" t="str">
        <f>IF($V285="","",IF($V285&gt;0,"○勝",IF($V285&lt;0,"●負","△引分")))</f>
        <v/>
      </c>
    </row>
    <row r="286" spans="1:37" ht="17.25" customHeight="1">
      <c r="A286" s="621" t="str">
        <f>IF(B286="","",HYPERLINK("https://kabutan.jp/stock/?code="&amp;B286,"株探"))</f>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IF(OR(F286="",G286="",H286=""),"",IF(C286="売",(F286-H286)*G286,(H286-F286)*G286))</f>
        <v/>
      </c>
      <c r="L286" s="708" t="str">
        <f>IF(OR(F286="",H286=""),"",IF(C286="売",(F286-H286)/F286,(H286-F286)/F286))</f>
        <v/>
      </c>
      <c r="M286" s="598" t="str">
        <f>IF($F286="","",IF($C286="売",CEILING($F286*IF($C286="売",1-$AX$3,1+$AX$3),IF($F286*IF($C286="売",1-$AX$3,1+$AX$3)&lt;=3000,1,IF($F286*IF($C286="売",1-$AX$3,1+$AX$3)&lt;=5000,5,IF($F286*IF($C286="売",1-$AX$3,1+$AX$3)&lt;=30000,10,IF($F286*IF($C286="売",1-$AX$3,1+$AX$3)&lt;=50000,50,IF($F286*IF($C286="売",1-$AX$3,1+$AX$3)&lt;=300000,100,500)))))),FLOOR($F286*IF($C286="売",1-$AX$3,1+$AX$3),IF($F286*IF($C286="売",1-$AX$3,1+$AX$3)&lt;=3000,1,IF($F286*IF($C286="売",1-$AX$3,1+$AX$3)&lt;=5000,5,IF($F286*IF($C286="売",1-$AX$3,1+$AX$3)&lt;=30000,10,IF($F286*IF($C286="売",1-$AX$3,1+$AX$3)&lt;=50000,50,IF($F286*IF($C286="売",1-$AX$3,1+$AX$3)&lt;=300000,100,500))))))))</f>
      </c>
      <c r="N286" s="598" t="str">
        <f>IF($F286="","",IF($C286="売",CEILING($F286*IF($C286="売",1+$AX$2,1-$AX$2),IF($F286*IF($C286="売",1+$AX$2,1-$AX$2)&lt;=3000,1,IF($F286*IF($C286="売",1+$AX$2,1-$AX$2)&lt;=5000,5,IF($F286*IF($C286="売",1+$AX$2,1-$AX$2)&lt;=30000,10,IF($F286*IF($C286="売",1+$AX$2,1-$AX$2)&lt;=50000,50,IF($F286*IF($C286="売",1+$AX$2,1-$AX$2)&lt;=300000,100,500)))))),FLOOR($F286*IF($C286="売",1+$AX$2,1-$AX$2),IF($F286*IF($C286="売",1+$AX$2,1-$AX$2)&lt;=3000,1,IF($F286*IF($C286="売",1+$AX$2,1-$AX$2)&lt;=5000,5,IF($F286*IF($C286="売",1+$AX$2,1-$AX$2)&lt;=30000,10,IF($F286*IF($C286="売",1+$AX$2,1-$AX$2)&lt;=50000,50,IF($F286*IF($C286="売",1+$AX$2,1-$AX$2)&lt;=300000,100,500))))))))</f>
      </c>
      <c r="O286" s="478" t="str">
        <f>IF(OR($B286="",$F286="",$H286=""),"",IF($S286="✅売却済","―決済済―",IF($C286="売",IF($H286&lt;=$M286,"🟢利確",IF(AND($R286&lt;&gt;"",$H286&gt;=$R286),"🟠TRAIL決済",IF($H286&gt;=$N286,"🔴損切",IF($W286&gt;=$AX$5,"⏱時間決済",IF($H286&gt;=$F286*(1+$AX$2*0.7),"⚠️損切接近","保持継続"))))),IF($H286&gt;=$M286,"🟢利確",IF(AND($R286&lt;&gt;"",$H286&lt;=$R286),"🟠TRAIL決済",IF($H286&lt;=$N286,"🔴損切",IF($W286&gt;=$AX$5,"⏱時間決済",IF($H286&lt;=$F286*(1-$AX$2*0.7),"⚠️損切接近","保持継続")))))))</f>
      </c>
      <c r="P286" s="445"/>
      <c r="Q286" s="445"/>
      <c r="R286" s="480" t="str">
        <f>IF(OR($F286="",$H286="",$N286=""),"",IF($S286="✅売却済","",IF($C286="売",IF($H286&gt;$F286*(1-$AX$2),$N286,CEILING(MIN($N286,IF($Q286="",$N286,$Q286*1.03)),IF($N286&lt;=3000,1,IF($N286&lt;=5000,5,IF($N286&lt;=30000,10,IF($N286&lt;=50000,50,IF($N286&lt;=300000,100,500))))))),IF($H286&lt;$F286*(1+$AX$2),$N286,FLOOR(MAX($N286,IF($P286="",$N286,$P286*0.97)),IF($N286&lt;=3000,1,IF($N286&lt;=5000,5,IF($N286&lt;=30000,10,IF($N286&lt;=50000,50,IF($N286&lt;=300000,100,500))))))))))</f>
      </c>
      <c r="S286" s="480" t="str">
        <f>IF(B286="","",IF(T286&lt;&gt;"","✅売却済",IF(OR(H286="",L286=""),"📌保有中",IF(L286&gt;=0.06,"🟢利確推奨",IF(L286&gt;=0.05,"🟡利確直近",IF(L286&gt;=0.045,"🔵トレーリング検討",IF(L286&gt;-0.03,"📌保有中",IF(L286&gt;-0.04,"⚠️損切注意","🔴損切り"))))))))</f>
        <v/>
      </c>
      <c r="T286" s="596"/>
      <c r="U286" s="598"/>
      <c r="V286" s="703" t="str">
        <f>IF(OR(F286="",G286="",U286=""),"",IF(C286="売",(F286-U286)*G286,(U286-F286)*G286))</f>
        <v/>
      </c>
      <c r="W286" s="480" t="str">
        <f>IF(OR($E286="",$B286=""),"",IF($T286&lt;&gt;"",$T286-$E286,TODAY()-$E286)+1)</f>
        <v/>
      </c>
      <c r="X286" s="480" t="str">
        <f>IF(OR($AH286="",$AH286="保有中"),"",$AH286)</f>
        <v/>
      </c>
      <c r="Y286" s="488">
        <f>IF($B286="","",IF(COUNTIFS($B$4:$B286,$B286,$C$4:$C286,$C286)&gt;1,"⛔重複"&amp;COUNTIFS($B$4:$B286,$B286,$C$4:$C286,$C286)&amp;"回目",""))</f>
      </c>
      <c r="Z286" s="710"/>
      <c r="AB286">
        <f>IF($F286="","",MAX(100,ROUNDDOWN($AX$4/($F286*$AX$2)/100,0)*100))</f>
      </c>
      <c r="AC286">
        <f>IF(OR($F286="",$G286="",$U286=""),"",ROUND($V286-($F286+$U286)*$G286*$AX$6-IF($C286="売",$F286*$G286*$AX$7*$W286/365,0),0))</f>
      </c>
      <c r="AD286" s="608"/>
      <c r="AE286" s="600" t="str">
        <f>IF($E286="","",WORKDAY($E286,12))</f>
        <v/>
      </c>
      <c r="AF286" s="600"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0"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0" t="str">
        <f>IF(OR($B286="",$M286=""),"",IF(AND(N($AF286)=0,N($AG286)=0),IF(AND(ISNUMBER($H286),$H286&gt;0,IF($C286="売",$H286&gt;=$N286,$H286&lt;=$N286)),"損切確定",IF(AND(ISNUMBER($H286),$H286&gt;0,IF($C286="売",$H286&lt;=$M286,$H286&gt;=$M286)),"利益確定",IF($AE286&lt;=TODAY(),"日数制限","保有中"))),IF(N($AG286)=0,"利益確定",IF(N($AF286)=0,"損切確定",IF($AG286&lt;=$AF286,"損切確定","利益確定")))))</f>
        <v/>
      </c>
      <c r="AI286" s="600" t="str" cm="1">
        <f t="array" ref="AI286">IFERROR(INDEX(始値!$E$6:$BT$305,MATCH(TEXT($B286,"0"),TEXT(銘柄管理!$B$6:$B$305,"0"),0),MATCH($AE286,始値!$E$3:$BT$3,0)),"")</f>
        <v/>
      </c>
      <c r="AJ286" s="608" t="str">
        <f>IF(OR($V286="",$F286="",$G286=""),"",$V286/($F286*$G286))</f>
        <v/>
      </c>
      <c r="AK286" s="600" t="str">
        <f>IF($V286="","",IF($V286&gt;0,"○勝",IF($V286&lt;0,"●負","△引分")))</f>
        <v/>
      </c>
    </row>
    <row r="287" spans="1:37" ht="17.25" customHeight="1">
      <c r="A287" s="621" t="str">
        <f>IF(B287="","",HYPERLINK("https://kabutan.jp/stock/?code="&amp;B287,"株探"))</f>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IF(OR(F287="",G287="",H287=""),"",IF(C287="売",(F287-H287)*G287,(H287-F287)*G287))</f>
        <v/>
      </c>
      <c r="L287" s="708" t="str">
        <f>IF(OR(F287="",H287=""),"",IF(C287="売",(F287-H287)/F287,(H287-F287)/F287))</f>
        <v/>
      </c>
      <c r="M287" s="598" t="str">
        <f>IF($F287="","",IF($C287="売",CEILING($F287*IF($C287="売",1-$AX$3,1+$AX$3),IF($F287*IF($C287="売",1-$AX$3,1+$AX$3)&lt;=3000,1,IF($F287*IF($C287="売",1-$AX$3,1+$AX$3)&lt;=5000,5,IF($F287*IF($C287="売",1-$AX$3,1+$AX$3)&lt;=30000,10,IF($F287*IF($C287="売",1-$AX$3,1+$AX$3)&lt;=50000,50,IF($F287*IF($C287="売",1-$AX$3,1+$AX$3)&lt;=300000,100,500)))))),FLOOR($F287*IF($C287="売",1-$AX$3,1+$AX$3),IF($F287*IF($C287="売",1-$AX$3,1+$AX$3)&lt;=3000,1,IF($F287*IF($C287="売",1-$AX$3,1+$AX$3)&lt;=5000,5,IF($F287*IF($C287="売",1-$AX$3,1+$AX$3)&lt;=30000,10,IF($F287*IF($C287="売",1-$AX$3,1+$AX$3)&lt;=50000,50,IF($F287*IF($C287="売",1-$AX$3,1+$AX$3)&lt;=300000,100,500))))))))</f>
      </c>
      <c r="N287" s="598" t="str">
        <f>IF($F287="","",IF($C287="売",CEILING($F287*IF($C287="売",1+$AX$2,1-$AX$2),IF($F287*IF($C287="売",1+$AX$2,1-$AX$2)&lt;=3000,1,IF($F287*IF($C287="売",1+$AX$2,1-$AX$2)&lt;=5000,5,IF($F287*IF($C287="売",1+$AX$2,1-$AX$2)&lt;=30000,10,IF($F287*IF($C287="売",1+$AX$2,1-$AX$2)&lt;=50000,50,IF($F287*IF($C287="売",1+$AX$2,1-$AX$2)&lt;=300000,100,500)))))),FLOOR($F287*IF($C287="売",1+$AX$2,1-$AX$2),IF($F287*IF($C287="売",1+$AX$2,1-$AX$2)&lt;=3000,1,IF($F287*IF($C287="売",1+$AX$2,1-$AX$2)&lt;=5000,5,IF($F287*IF($C287="売",1+$AX$2,1-$AX$2)&lt;=30000,10,IF($F287*IF($C287="売",1+$AX$2,1-$AX$2)&lt;=50000,50,IF($F287*IF($C287="売",1+$AX$2,1-$AX$2)&lt;=300000,100,500))))))))</f>
      </c>
      <c r="O287" s="478" t="str">
        <f>IF(OR($B287="",$F287="",$H287=""),"",IF($S287="✅売却済","―決済済―",IF($C287="売",IF($H287&lt;=$M287,"🟢利確",IF(AND($R287&lt;&gt;"",$H287&gt;=$R287),"🟠TRAIL決済",IF($H287&gt;=$N287,"🔴損切",IF($W287&gt;=$AX$5,"⏱時間決済",IF($H287&gt;=$F287*(1+$AX$2*0.7),"⚠️損切接近","保持継続"))))),IF($H287&gt;=$M287,"🟢利確",IF(AND($R287&lt;&gt;"",$H287&lt;=$R287),"🟠TRAIL決済",IF($H287&lt;=$N287,"🔴損切",IF($W287&gt;=$AX$5,"⏱時間決済",IF($H287&lt;=$F287*(1-$AX$2*0.7),"⚠️損切接近","保持継続")))))))</f>
      </c>
      <c r="P287" s="445"/>
      <c r="Q287" s="445"/>
      <c r="R287" s="480" t="str">
        <f>IF(OR($F287="",$H287="",$N287=""),"",IF($S287="✅売却済","",IF($C287="売",IF($H287&gt;$F287*(1-$AX$2),$N287,CEILING(MIN($N287,IF($Q287="",$N287,$Q287*1.03)),IF($N287&lt;=3000,1,IF($N287&lt;=5000,5,IF($N287&lt;=30000,10,IF($N287&lt;=50000,50,IF($N287&lt;=300000,100,500))))))),IF($H287&lt;$F287*(1+$AX$2),$N287,FLOOR(MAX($N287,IF($P287="",$N287,$P287*0.97)),IF($N287&lt;=3000,1,IF($N287&lt;=5000,5,IF($N287&lt;=30000,10,IF($N287&lt;=50000,50,IF($N287&lt;=300000,100,500))))))))))</f>
      </c>
      <c r="S287" s="480" t="str">
        <f>IF(B287="","",IF(T287&lt;&gt;"","✅売却済",IF(OR(H287="",L287=""),"📌保有中",IF(L287&gt;=0.06,"🟢利確推奨",IF(L287&gt;=0.05,"🟡利確直近",IF(L287&gt;=0.045,"🔵トレーリング検討",IF(L287&gt;-0.03,"📌保有中",IF(L287&gt;-0.04,"⚠️損切注意","🔴損切り"))))))))</f>
        <v/>
      </c>
      <c r="T287" s="596"/>
      <c r="U287" s="598"/>
      <c r="V287" s="703" t="str">
        <f>IF(OR(F287="",G287="",U287=""),"",IF(C287="売",(F287-U287)*G287,(U287-F287)*G287))</f>
        <v/>
      </c>
      <c r="W287" s="480" t="str">
        <f>IF(OR($E287="",$B287=""),"",IF($T287&lt;&gt;"",$T287-$E287,TODAY()-$E287)+1)</f>
        <v/>
      </c>
      <c r="X287" s="480" t="str">
        <f>IF(OR($AH287="",$AH287="保有中"),"",$AH287)</f>
        <v/>
      </c>
      <c r="Y287" s="488">
        <f>IF($B287="","",IF(COUNTIFS($B$4:$B287,$B287,$C$4:$C287,$C287)&gt;1,"⛔重複"&amp;COUNTIFS($B$4:$B287,$B287,$C$4:$C287,$C287)&amp;"回目",""))</f>
      </c>
      <c r="Z287" s="710"/>
      <c r="AB287">
        <f>IF($F287="","",MAX(100,ROUNDDOWN($AX$4/($F287*$AX$2)/100,0)*100))</f>
      </c>
      <c r="AC287">
        <f>IF(OR($F287="",$G287="",$U287=""),"",ROUND($V287-($F287+$U287)*$G287*$AX$6-IF($C287="売",$F287*$G287*$AX$7*$W287/365,0),0))</f>
      </c>
      <c r="AD287" s="608"/>
      <c r="AE287" s="600" t="str">
        <f>IF($E287="","",WORKDAY($E287,12))</f>
        <v/>
      </c>
      <c r="AF287" s="600"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0"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0" t="str">
        <f>IF(OR($B287="",$M287=""),"",IF(AND(N($AF287)=0,N($AG287)=0),IF(AND(ISNUMBER($H287),$H287&gt;0,IF($C287="売",$H287&gt;=$N287,$H287&lt;=$N287)),"損切確定",IF(AND(ISNUMBER($H287),$H287&gt;0,IF($C287="売",$H287&lt;=$M287,$H287&gt;=$M287)),"利益確定",IF($AE287&lt;=TODAY(),"日数制限","保有中"))),IF(N($AG287)=0,"利益確定",IF(N($AF287)=0,"損切確定",IF($AG287&lt;=$AF287,"損切確定","利益確定")))))</f>
        <v/>
      </c>
      <c r="AI287" s="600" t="str" cm="1">
        <f t="array" ref="AI287">IFERROR(INDEX(始値!$E$6:$BT$305,MATCH(TEXT($B287,"0"),TEXT(銘柄管理!$B$6:$B$305,"0"),0),MATCH($AE287,始値!$E$3:$BT$3,0)),"")</f>
        <v/>
      </c>
      <c r="AJ287" s="608" t="str">
        <f>IF(OR($V287="",$F287="",$G287=""),"",$V287/($F287*$G287))</f>
        <v/>
      </c>
      <c r="AK287" s="600" t="str">
        <f>IF($V287="","",IF($V287&gt;0,"○勝",IF($V287&lt;0,"●負","△引分")))</f>
        <v/>
      </c>
    </row>
    <row r="288" spans="1:37" ht="17.25" customHeight="1">
      <c r="A288" s="621" t="str">
        <f>IF(B288="","",HYPERLINK("https://kabutan.jp/stock/?code="&amp;B288,"株探"))</f>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IF(OR(F288="",G288="",H288=""),"",IF(C288="売",(F288-H288)*G288,(H288-F288)*G288))</f>
        <v/>
      </c>
      <c r="L288" s="708" t="str">
        <f>IF(OR(F288="",H288=""),"",IF(C288="売",(F288-H288)/F288,(H288-F288)/F288))</f>
        <v/>
      </c>
      <c r="M288" s="598" t="str">
        <f>IF($F288="","",IF($C288="売",CEILING($F288*IF($C288="売",1-$AX$3,1+$AX$3),IF($F288*IF($C288="売",1-$AX$3,1+$AX$3)&lt;=3000,1,IF($F288*IF($C288="売",1-$AX$3,1+$AX$3)&lt;=5000,5,IF($F288*IF($C288="売",1-$AX$3,1+$AX$3)&lt;=30000,10,IF($F288*IF($C288="売",1-$AX$3,1+$AX$3)&lt;=50000,50,IF($F288*IF($C288="売",1-$AX$3,1+$AX$3)&lt;=300000,100,500)))))),FLOOR($F288*IF($C288="売",1-$AX$3,1+$AX$3),IF($F288*IF($C288="売",1-$AX$3,1+$AX$3)&lt;=3000,1,IF($F288*IF($C288="売",1-$AX$3,1+$AX$3)&lt;=5000,5,IF($F288*IF($C288="売",1-$AX$3,1+$AX$3)&lt;=30000,10,IF($F288*IF($C288="売",1-$AX$3,1+$AX$3)&lt;=50000,50,IF($F288*IF($C288="売",1-$AX$3,1+$AX$3)&lt;=300000,100,500))))))))</f>
      </c>
      <c r="N288" s="598" t="str">
        <f>IF($F288="","",IF($C288="売",CEILING($F288*IF($C288="売",1+$AX$2,1-$AX$2),IF($F288*IF($C288="売",1+$AX$2,1-$AX$2)&lt;=3000,1,IF($F288*IF($C288="売",1+$AX$2,1-$AX$2)&lt;=5000,5,IF($F288*IF($C288="売",1+$AX$2,1-$AX$2)&lt;=30000,10,IF($F288*IF($C288="売",1+$AX$2,1-$AX$2)&lt;=50000,50,IF($F288*IF($C288="売",1+$AX$2,1-$AX$2)&lt;=300000,100,500)))))),FLOOR($F288*IF($C288="売",1+$AX$2,1-$AX$2),IF($F288*IF($C288="売",1+$AX$2,1-$AX$2)&lt;=3000,1,IF($F288*IF($C288="売",1+$AX$2,1-$AX$2)&lt;=5000,5,IF($F288*IF($C288="売",1+$AX$2,1-$AX$2)&lt;=30000,10,IF($F288*IF($C288="売",1+$AX$2,1-$AX$2)&lt;=50000,50,IF($F288*IF($C288="売",1+$AX$2,1-$AX$2)&lt;=300000,100,500))))))))</f>
      </c>
      <c r="O288" s="478" t="str">
        <f>IF(OR($B288="",$F288="",$H288=""),"",IF($S288="✅売却済","―決済済―",IF($C288="売",IF($H288&lt;=$M288,"🟢利確",IF(AND($R288&lt;&gt;"",$H288&gt;=$R288),"🟠TRAIL決済",IF($H288&gt;=$N288,"🔴損切",IF($W288&gt;=$AX$5,"⏱時間決済",IF($H288&gt;=$F288*(1+$AX$2*0.7),"⚠️損切接近","保持継続"))))),IF($H288&gt;=$M288,"🟢利確",IF(AND($R288&lt;&gt;"",$H288&lt;=$R288),"🟠TRAIL決済",IF($H288&lt;=$N288,"🔴損切",IF($W288&gt;=$AX$5,"⏱時間決済",IF($H288&lt;=$F288*(1-$AX$2*0.7),"⚠️損切接近","保持継続")))))))</f>
      </c>
      <c r="P288" s="445"/>
      <c r="Q288" s="445"/>
      <c r="R288" s="480" t="str">
        <f>IF(OR($F288="",$H288="",$N288=""),"",IF($S288="✅売却済","",IF($C288="売",IF($H288&gt;$F288*(1-$AX$2),$N288,CEILING(MIN($N288,IF($Q288="",$N288,$Q288*1.03)),IF($N288&lt;=3000,1,IF($N288&lt;=5000,5,IF($N288&lt;=30000,10,IF($N288&lt;=50000,50,IF($N288&lt;=300000,100,500))))))),IF($H288&lt;$F288*(1+$AX$2),$N288,FLOOR(MAX($N288,IF($P288="",$N288,$P288*0.97)),IF($N288&lt;=3000,1,IF($N288&lt;=5000,5,IF($N288&lt;=30000,10,IF($N288&lt;=50000,50,IF($N288&lt;=300000,100,500))))))))))</f>
      </c>
      <c r="S288" s="480" t="str">
        <f>IF(B288="","",IF(T288&lt;&gt;"","✅売却済",IF(OR(H288="",L288=""),"📌保有中",IF(L288&gt;=0.06,"🟢利確推奨",IF(L288&gt;=0.05,"🟡利確直近",IF(L288&gt;=0.045,"🔵トレーリング検討",IF(L288&gt;-0.03,"📌保有中",IF(L288&gt;-0.04,"⚠️損切注意","🔴損切り"))))))))</f>
        <v/>
      </c>
      <c r="T288" s="596"/>
      <c r="U288" s="598"/>
      <c r="V288" s="703" t="str">
        <f>IF(OR(F288="",G288="",U288=""),"",IF(C288="売",(F288-U288)*G288,(U288-F288)*G288))</f>
        <v/>
      </c>
      <c r="W288" s="480" t="str">
        <f>IF(OR($E288="",$B288=""),"",IF($T288&lt;&gt;"",$T288-$E288,TODAY()-$E288)+1)</f>
        <v/>
      </c>
      <c r="X288" s="480" t="str">
        <f>IF(OR($AH288="",$AH288="保有中"),"",$AH288)</f>
        <v/>
      </c>
      <c r="Y288" s="488">
        <f>IF($B288="","",IF(COUNTIFS($B$4:$B288,$B288,$C$4:$C288,$C288)&gt;1,"⛔重複"&amp;COUNTIFS($B$4:$B288,$B288,$C$4:$C288,$C288)&amp;"回目",""))</f>
      </c>
      <c r="Z288" s="710"/>
      <c r="AB288">
        <f>IF($F288="","",MAX(100,ROUNDDOWN($AX$4/($F288*$AX$2)/100,0)*100))</f>
      </c>
      <c r="AC288">
        <f>IF(OR($F288="",$G288="",$U288=""),"",ROUND($V288-($F288+$U288)*$G288*$AX$6-IF($C288="売",$F288*$G288*$AX$7*$W288/365,0),0))</f>
      </c>
      <c r="AD288" s="608"/>
      <c r="AE288" s="600" t="str">
        <f>IF($E288="","",WORKDAY($E288,12))</f>
        <v/>
      </c>
      <c r="AF288" s="600"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0"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0" t="str">
        <f>IF(OR($B288="",$M288=""),"",IF(AND(N($AF288)=0,N($AG288)=0),IF(AND(ISNUMBER($H288),$H288&gt;0,IF($C288="売",$H288&gt;=$N288,$H288&lt;=$N288)),"損切確定",IF(AND(ISNUMBER($H288),$H288&gt;0,IF($C288="売",$H288&lt;=$M288,$H288&gt;=$M288)),"利益確定",IF($AE288&lt;=TODAY(),"日数制限","保有中"))),IF(N($AG288)=0,"利益確定",IF(N($AF288)=0,"損切確定",IF($AG288&lt;=$AF288,"損切確定","利益確定")))))</f>
        <v/>
      </c>
      <c r="AI288" s="600" t="str" cm="1">
        <f t="array" ref="AI288">IFERROR(INDEX(始値!$E$6:$BT$305,MATCH(TEXT($B288,"0"),TEXT(銘柄管理!$B$6:$B$305,"0"),0),MATCH($AE288,始値!$E$3:$BT$3,0)),"")</f>
        <v/>
      </c>
      <c r="AJ288" s="608" t="str">
        <f>IF(OR($V288="",$F288="",$G288=""),"",$V288/($F288*$G288))</f>
        <v/>
      </c>
      <c r="AK288" s="600" t="str">
        <f>IF($V288="","",IF($V288&gt;0,"○勝",IF($V288&lt;0,"●負","△引分")))</f>
        <v/>
      </c>
    </row>
    <row r="289" spans="1:37" ht="17.25" customHeight="1">
      <c r="A289" s="621" t="str">
        <f>IF(B289="","",HYPERLINK("https://kabutan.jp/stock/?code="&amp;B289,"株探"))</f>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IF(OR(F289="",G289="",H289=""),"",IF(C289="売",(F289-H289)*G289,(H289-F289)*G289))</f>
        <v/>
      </c>
      <c r="L289" s="708" t="str">
        <f>IF(OR(F289="",H289=""),"",IF(C289="売",(F289-H289)/F289,(H289-F289)/F289))</f>
        <v/>
      </c>
      <c r="M289" s="598" t="str">
        <f>IF($F289="","",IF($C289="売",CEILING($F289*IF($C289="売",1-$AX$3,1+$AX$3),IF($F289*IF($C289="売",1-$AX$3,1+$AX$3)&lt;=3000,1,IF($F289*IF($C289="売",1-$AX$3,1+$AX$3)&lt;=5000,5,IF($F289*IF($C289="売",1-$AX$3,1+$AX$3)&lt;=30000,10,IF($F289*IF($C289="売",1-$AX$3,1+$AX$3)&lt;=50000,50,IF($F289*IF($C289="売",1-$AX$3,1+$AX$3)&lt;=300000,100,500)))))),FLOOR($F289*IF($C289="売",1-$AX$3,1+$AX$3),IF($F289*IF($C289="売",1-$AX$3,1+$AX$3)&lt;=3000,1,IF($F289*IF($C289="売",1-$AX$3,1+$AX$3)&lt;=5000,5,IF($F289*IF($C289="売",1-$AX$3,1+$AX$3)&lt;=30000,10,IF($F289*IF($C289="売",1-$AX$3,1+$AX$3)&lt;=50000,50,IF($F289*IF($C289="売",1-$AX$3,1+$AX$3)&lt;=300000,100,500))))))))</f>
      </c>
      <c r="N289" s="598" t="str">
        <f>IF($F289="","",IF($C289="売",CEILING($F289*IF($C289="売",1+$AX$2,1-$AX$2),IF($F289*IF($C289="売",1+$AX$2,1-$AX$2)&lt;=3000,1,IF($F289*IF($C289="売",1+$AX$2,1-$AX$2)&lt;=5000,5,IF($F289*IF($C289="売",1+$AX$2,1-$AX$2)&lt;=30000,10,IF($F289*IF($C289="売",1+$AX$2,1-$AX$2)&lt;=50000,50,IF($F289*IF($C289="売",1+$AX$2,1-$AX$2)&lt;=300000,100,500)))))),FLOOR($F289*IF($C289="売",1+$AX$2,1-$AX$2),IF($F289*IF($C289="売",1+$AX$2,1-$AX$2)&lt;=3000,1,IF($F289*IF($C289="売",1+$AX$2,1-$AX$2)&lt;=5000,5,IF($F289*IF($C289="売",1+$AX$2,1-$AX$2)&lt;=30000,10,IF($F289*IF($C289="売",1+$AX$2,1-$AX$2)&lt;=50000,50,IF($F289*IF($C289="売",1+$AX$2,1-$AX$2)&lt;=300000,100,500))))))))</f>
      </c>
      <c r="O289" s="478" t="str">
        <f>IF(OR($B289="",$F289="",$H289=""),"",IF($S289="✅売却済","―決済済―",IF($C289="売",IF($H289&lt;=$M289,"🟢利確",IF(AND($R289&lt;&gt;"",$H289&gt;=$R289),"🟠TRAIL決済",IF($H289&gt;=$N289,"🔴損切",IF($W289&gt;=$AX$5,"⏱時間決済",IF($H289&gt;=$F289*(1+$AX$2*0.7),"⚠️損切接近","保持継続"))))),IF($H289&gt;=$M289,"🟢利確",IF(AND($R289&lt;&gt;"",$H289&lt;=$R289),"🟠TRAIL決済",IF($H289&lt;=$N289,"🔴損切",IF($W289&gt;=$AX$5,"⏱時間決済",IF($H289&lt;=$F289*(1-$AX$2*0.7),"⚠️損切接近","保持継続")))))))</f>
      </c>
      <c r="P289" s="445"/>
      <c r="Q289" s="445"/>
      <c r="R289" s="480" t="str">
        <f>IF(OR($F289="",$H289="",$N289=""),"",IF($S289="✅売却済","",IF($C289="売",IF($H289&gt;$F289*(1-$AX$2),$N289,CEILING(MIN($N289,IF($Q289="",$N289,$Q289*1.03)),IF($N289&lt;=3000,1,IF($N289&lt;=5000,5,IF($N289&lt;=30000,10,IF($N289&lt;=50000,50,IF($N289&lt;=300000,100,500))))))),IF($H289&lt;$F289*(1+$AX$2),$N289,FLOOR(MAX($N289,IF($P289="",$N289,$P289*0.97)),IF($N289&lt;=3000,1,IF($N289&lt;=5000,5,IF($N289&lt;=30000,10,IF($N289&lt;=50000,50,IF($N289&lt;=300000,100,500))))))))))</f>
      </c>
      <c r="S289" s="480" t="str">
        <f>IF(B289="","",IF(T289&lt;&gt;"","✅売却済",IF(OR(H289="",L289=""),"📌保有中",IF(L289&gt;=0.06,"🟢利確推奨",IF(L289&gt;=0.05,"🟡利確直近",IF(L289&gt;=0.045,"🔵トレーリング検討",IF(L289&gt;-0.03,"📌保有中",IF(L289&gt;-0.04,"⚠️損切注意","🔴損切り"))))))))</f>
        <v/>
      </c>
      <c r="T289" s="596"/>
      <c r="U289" s="598"/>
      <c r="V289" s="703" t="str">
        <f>IF(OR(F289="",G289="",U289=""),"",IF(C289="売",(F289-U289)*G289,(U289-F289)*G289))</f>
        <v/>
      </c>
      <c r="W289" s="480" t="str">
        <f>IF(OR($E289="",$B289=""),"",IF($T289&lt;&gt;"",$T289-$E289,TODAY()-$E289)+1)</f>
        <v/>
      </c>
      <c r="X289" s="480" t="str">
        <f>IF(OR($AH289="",$AH289="保有中"),"",$AH289)</f>
        <v/>
      </c>
      <c r="Y289" s="488">
        <f>IF($B289="","",IF(COUNTIFS($B$4:$B289,$B289,$C$4:$C289,$C289)&gt;1,"⛔重複"&amp;COUNTIFS($B$4:$B289,$B289,$C$4:$C289,$C289)&amp;"回目",""))</f>
      </c>
      <c r="Z289" s="710"/>
      <c r="AB289">
        <f>IF($F289="","",MAX(100,ROUNDDOWN($AX$4/($F289*$AX$2)/100,0)*100))</f>
      </c>
      <c r="AC289">
        <f>IF(OR($F289="",$G289="",$U289=""),"",ROUND($V289-($F289+$U289)*$G289*$AX$6-IF($C289="売",$F289*$G289*$AX$7*$W289/365,0),0))</f>
      </c>
      <c r="AD289" s="608"/>
      <c r="AE289" s="600" t="str">
        <f>IF($E289="","",WORKDAY($E289,12))</f>
        <v/>
      </c>
      <c r="AF289" s="600"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0"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0" t="str">
        <f>IF(OR($B289="",$M289=""),"",IF(AND(N($AF289)=0,N($AG289)=0),IF(AND(ISNUMBER($H289),$H289&gt;0,IF($C289="売",$H289&gt;=$N289,$H289&lt;=$N289)),"損切確定",IF(AND(ISNUMBER($H289),$H289&gt;0,IF($C289="売",$H289&lt;=$M289,$H289&gt;=$M289)),"利益確定",IF($AE289&lt;=TODAY(),"日数制限","保有中"))),IF(N($AG289)=0,"利益確定",IF(N($AF289)=0,"損切確定",IF($AG289&lt;=$AF289,"損切確定","利益確定")))))</f>
        <v/>
      </c>
      <c r="AI289" s="600" t="str" cm="1">
        <f t="array" ref="AI289">IFERROR(INDEX(始値!$E$6:$BT$305,MATCH(TEXT($B289,"0"),TEXT(銘柄管理!$B$6:$B$305,"0"),0),MATCH($AE289,始値!$E$3:$BT$3,0)),"")</f>
        <v/>
      </c>
      <c r="AJ289" s="608" t="str">
        <f>IF(OR($V289="",$F289="",$G289=""),"",$V289/($F289*$G289))</f>
        <v/>
      </c>
      <c r="AK289" s="600" t="str">
        <f>IF($V289="","",IF($V289&gt;0,"○勝",IF($V289&lt;0,"●負","△引分")))</f>
        <v/>
      </c>
    </row>
    <row r="290" spans="1:37" ht="17.25" customHeight="1">
      <c r="A290" s="621" t="str">
        <f>IF(B290="","",HYPERLINK("https://kabutan.jp/stock/?code="&amp;B290,"株探"))</f>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IF(OR(F290="",G290="",H290=""),"",IF(C290="売",(F290-H290)*G290,(H290-F290)*G290))</f>
        <v/>
      </c>
      <c r="L290" s="708" t="str">
        <f>IF(OR(F290="",H290=""),"",IF(C290="売",(F290-H290)/F290,(H290-F290)/F290))</f>
        <v/>
      </c>
      <c r="M290" s="598" t="str">
        <f>IF($F290="","",IF($C290="売",CEILING($F290*IF($C290="売",1-$AX$3,1+$AX$3),IF($F290*IF($C290="売",1-$AX$3,1+$AX$3)&lt;=3000,1,IF($F290*IF($C290="売",1-$AX$3,1+$AX$3)&lt;=5000,5,IF($F290*IF($C290="売",1-$AX$3,1+$AX$3)&lt;=30000,10,IF($F290*IF($C290="売",1-$AX$3,1+$AX$3)&lt;=50000,50,IF($F290*IF($C290="売",1-$AX$3,1+$AX$3)&lt;=300000,100,500)))))),FLOOR($F290*IF($C290="売",1-$AX$3,1+$AX$3),IF($F290*IF($C290="売",1-$AX$3,1+$AX$3)&lt;=3000,1,IF($F290*IF($C290="売",1-$AX$3,1+$AX$3)&lt;=5000,5,IF($F290*IF($C290="売",1-$AX$3,1+$AX$3)&lt;=30000,10,IF($F290*IF($C290="売",1-$AX$3,1+$AX$3)&lt;=50000,50,IF($F290*IF($C290="売",1-$AX$3,1+$AX$3)&lt;=300000,100,500))))))))</f>
      </c>
      <c r="N290" s="598" t="str">
        <f>IF($F290="","",IF($C290="売",CEILING($F290*IF($C290="売",1+$AX$2,1-$AX$2),IF($F290*IF($C290="売",1+$AX$2,1-$AX$2)&lt;=3000,1,IF($F290*IF($C290="売",1+$AX$2,1-$AX$2)&lt;=5000,5,IF($F290*IF($C290="売",1+$AX$2,1-$AX$2)&lt;=30000,10,IF($F290*IF($C290="売",1+$AX$2,1-$AX$2)&lt;=50000,50,IF($F290*IF($C290="売",1+$AX$2,1-$AX$2)&lt;=300000,100,500)))))),FLOOR($F290*IF($C290="売",1+$AX$2,1-$AX$2),IF($F290*IF($C290="売",1+$AX$2,1-$AX$2)&lt;=3000,1,IF($F290*IF($C290="売",1+$AX$2,1-$AX$2)&lt;=5000,5,IF($F290*IF($C290="売",1+$AX$2,1-$AX$2)&lt;=30000,10,IF($F290*IF($C290="売",1+$AX$2,1-$AX$2)&lt;=50000,50,IF($F290*IF($C290="売",1+$AX$2,1-$AX$2)&lt;=300000,100,500))))))))</f>
      </c>
      <c r="O290" s="478" t="str">
        <f>IF(OR($B290="",$F290="",$H290=""),"",IF($S290="✅売却済","―決済済―",IF($C290="売",IF($H290&lt;=$M290,"🟢利確",IF(AND($R290&lt;&gt;"",$H290&gt;=$R290),"🟠TRAIL決済",IF($H290&gt;=$N290,"🔴損切",IF($W290&gt;=$AX$5,"⏱時間決済",IF($H290&gt;=$F290*(1+$AX$2*0.7),"⚠️損切接近","保持継続"))))),IF($H290&gt;=$M290,"🟢利確",IF(AND($R290&lt;&gt;"",$H290&lt;=$R290),"🟠TRAIL決済",IF($H290&lt;=$N290,"🔴損切",IF($W290&gt;=$AX$5,"⏱時間決済",IF($H290&lt;=$F290*(1-$AX$2*0.7),"⚠️損切接近","保持継続")))))))</f>
      </c>
      <c r="P290" s="445"/>
      <c r="Q290" s="445"/>
      <c r="R290" s="480" t="str">
        <f>IF(OR($F290="",$H290="",$N290=""),"",IF($S290="✅売却済","",IF($C290="売",IF($H290&gt;$F290*(1-$AX$2),$N290,CEILING(MIN($N290,IF($Q290="",$N290,$Q290*1.03)),IF($N290&lt;=3000,1,IF($N290&lt;=5000,5,IF($N290&lt;=30000,10,IF($N290&lt;=50000,50,IF($N290&lt;=300000,100,500))))))),IF($H290&lt;$F290*(1+$AX$2),$N290,FLOOR(MAX($N290,IF($P290="",$N290,$P290*0.97)),IF($N290&lt;=3000,1,IF($N290&lt;=5000,5,IF($N290&lt;=30000,10,IF($N290&lt;=50000,50,IF($N290&lt;=300000,100,500))))))))))</f>
      </c>
      <c r="S290" s="480" t="str">
        <f>IF(B290="","",IF(T290&lt;&gt;"","✅売却済",IF(OR(H290="",L290=""),"📌保有中",IF(L290&gt;=0.06,"🟢利確推奨",IF(L290&gt;=0.05,"🟡利確直近",IF(L290&gt;=0.045,"🔵トレーリング検討",IF(L290&gt;-0.03,"📌保有中",IF(L290&gt;-0.04,"⚠️損切注意","🔴損切り"))))))))</f>
        <v/>
      </c>
      <c r="T290" s="596"/>
      <c r="U290" s="598"/>
      <c r="V290" s="703" t="str">
        <f>IF(OR(F290="",G290="",U290=""),"",IF(C290="売",(F290-U290)*G290,(U290-F290)*G290))</f>
        <v/>
      </c>
      <c r="W290" s="480" t="str">
        <f>IF(OR($E290="",$B290=""),"",IF($T290&lt;&gt;"",$T290-$E290,TODAY()-$E290)+1)</f>
        <v/>
      </c>
      <c r="X290" s="480" t="str">
        <f>IF(OR($AH290="",$AH290="保有中"),"",$AH290)</f>
        <v/>
      </c>
      <c r="Y290" s="488">
        <f>IF($B290="","",IF(COUNTIFS($B$4:$B290,$B290,$C$4:$C290,$C290)&gt;1,"⛔重複"&amp;COUNTIFS($B$4:$B290,$B290,$C$4:$C290,$C290)&amp;"回目",""))</f>
      </c>
      <c r="Z290" s="710"/>
      <c r="AB290">
        <f>IF($F290="","",MAX(100,ROUNDDOWN($AX$4/($F290*$AX$2)/100,0)*100))</f>
      </c>
      <c r="AC290">
        <f>IF(OR($F290="",$G290="",$U290=""),"",ROUND($V290-($F290+$U290)*$G290*$AX$6-IF($C290="売",$F290*$G290*$AX$7*$W290/365,0),0))</f>
      </c>
      <c r="AD290" s="608"/>
      <c r="AE290" s="600" t="str">
        <f>IF($E290="","",WORKDAY($E290,12))</f>
        <v/>
      </c>
      <c r="AF290" s="600"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0"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0" t="str">
        <f>IF(OR($B290="",$M290=""),"",IF(AND(N($AF290)=0,N($AG290)=0),IF(AND(ISNUMBER($H290),$H290&gt;0,IF($C290="売",$H290&gt;=$N290,$H290&lt;=$N290)),"損切確定",IF(AND(ISNUMBER($H290),$H290&gt;0,IF($C290="売",$H290&lt;=$M290,$H290&gt;=$M290)),"利益確定",IF($AE290&lt;=TODAY(),"日数制限","保有中"))),IF(N($AG290)=0,"利益確定",IF(N($AF290)=0,"損切確定",IF($AG290&lt;=$AF290,"損切確定","利益確定")))))</f>
        <v/>
      </c>
      <c r="AI290" s="600" t="str" cm="1">
        <f t="array" ref="AI290">IFERROR(INDEX(始値!$E$6:$BT$305,MATCH(TEXT($B290,"0"),TEXT(銘柄管理!$B$6:$B$305,"0"),0),MATCH($AE290,始値!$E$3:$BT$3,0)),"")</f>
        <v/>
      </c>
      <c r="AJ290" s="608" t="str">
        <f>IF(OR($V290="",$F290="",$G290=""),"",$V290/($F290*$G290))</f>
        <v/>
      </c>
      <c r="AK290" s="600" t="str">
        <f>IF($V290="","",IF($V290&gt;0,"○勝",IF($V290&lt;0,"●負","△引分")))</f>
        <v/>
      </c>
    </row>
    <row r="291" spans="1:37" ht="17.25" customHeight="1">
      <c r="A291" s="621" t="str">
        <f>IF(B291="","",HYPERLINK("https://kabutan.jp/stock/?code="&amp;B291,"株探"))</f>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IF(OR(F291="",G291="",H291=""),"",IF(C291="売",(F291-H291)*G291,(H291-F291)*G291))</f>
        <v/>
      </c>
      <c r="L291" s="708" t="str">
        <f>IF(OR(F291="",H291=""),"",IF(C291="売",(F291-H291)/F291,(H291-F291)/F291))</f>
        <v/>
      </c>
      <c r="M291" s="598" t="str">
        <f>IF($F291="","",IF($C291="売",CEILING($F291*IF($C291="売",1-$AX$3,1+$AX$3),IF($F291*IF($C291="売",1-$AX$3,1+$AX$3)&lt;=3000,1,IF($F291*IF($C291="売",1-$AX$3,1+$AX$3)&lt;=5000,5,IF($F291*IF($C291="売",1-$AX$3,1+$AX$3)&lt;=30000,10,IF($F291*IF($C291="売",1-$AX$3,1+$AX$3)&lt;=50000,50,IF($F291*IF($C291="売",1-$AX$3,1+$AX$3)&lt;=300000,100,500)))))),FLOOR($F291*IF($C291="売",1-$AX$3,1+$AX$3),IF($F291*IF($C291="売",1-$AX$3,1+$AX$3)&lt;=3000,1,IF($F291*IF($C291="売",1-$AX$3,1+$AX$3)&lt;=5000,5,IF($F291*IF($C291="売",1-$AX$3,1+$AX$3)&lt;=30000,10,IF($F291*IF($C291="売",1-$AX$3,1+$AX$3)&lt;=50000,50,IF($F291*IF($C291="売",1-$AX$3,1+$AX$3)&lt;=300000,100,500))))))))</f>
      </c>
      <c r="N291" s="598" t="str">
        <f>IF($F291="","",IF($C291="売",CEILING($F291*IF($C291="売",1+$AX$2,1-$AX$2),IF($F291*IF($C291="売",1+$AX$2,1-$AX$2)&lt;=3000,1,IF($F291*IF($C291="売",1+$AX$2,1-$AX$2)&lt;=5000,5,IF($F291*IF($C291="売",1+$AX$2,1-$AX$2)&lt;=30000,10,IF($F291*IF($C291="売",1+$AX$2,1-$AX$2)&lt;=50000,50,IF($F291*IF($C291="売",1+$AX$2,1-$AX$2)&lt;=300000,100,500)))))),FLOOR($F291*IF($C291="売",1+$AX$2,1-$AX$2),IF($F291*IF($C291="売",1+$AX$2,1-$AX$2)&lt;=3000,1,IF($F291*IF($C291="売",1+$AX$2,1-$AX$2)&lt;=5000,5,IF($F291*IF($C291="売",1+$AX$2,1-$AX$2)&lt;=30000,10,IF($F291*IF($C291="売",1+$AX$2,1-$AX$2)&lt;=50000,50,IF($F291*IF($C291="売",1+$AX$2,1-$AX$2)&lt;=300000,100,500))))))))</f>
      </c>
      <c r="O291" s="478" t="str">
        <f>IF(OR($B291="",$F291="",$H291=""),"",IF($S291="✅売却済","―決済済―",IF($C291="売",IF($H291&lt;=$M291,"🟢利確",IF(AND($R291&lt;&gt;"",$H291&gt;=$R291),"🟠TRAIL決済",IF($H291&gt;=$N291,"🔴損切",IF($W291&gt;=$AX$5,"⏱時間決済",IF($H291&gt;=$F291*(1+$AX$2*0.7),"⚠️損切接近","保持継続"))))),IF($H291&gt;=$M291,"🟢利確",IF(AND($R291&lt;&gt;"",$H291&lt;=$R291),"🟠TRAIL決済",IF($H291&lt;=$N291,"🔴損切",IF($W291&gt;=$AX$5,"⏱時間決済",IF($H291&lt;=$F291*(1-$AX$2*0.7),"⚠️損切接近","保持継続")))))))</f>
      </c>
      <c r="P291" s="445"/>
      <c r="Q291" s="445"/>
      <c r="R291" s="480" t="str">
        <f>IF(OR($F291="",$H291="",$N291=""),"",IF($S291="✅売却済","",IF($C291="売",IF($H291&gt;$F291*(1-$AX$2),$N291,CEILING(MIN($N291,IF($Q291="",$N291,$Q291*1.03)),IF($N291&lt;=3000,1,IF($N291&lt;=5000,5,IF($N291&lt;=30000,10,IF($N291&lt;=50000,50,IF($N291&lt;=300000,100,500))))))),IF($H291&lt;$F291*(1+$AX$2),$N291,FLOOR(MAX($N291,IF($P291="",$N291,$P291*0.97)),IF($N291&lt;=3000,1,IF($N291&lt;=5000,5,IF($N291&lt;=30000,10,IF($N291&lt;=50000,50,IF($N291&lt;=300000,100,500))))))))))</f>
      </c>
      <c r="S291" s="480" t="str">
        <f>IF(B291="","",IF(T291&lt;&gt;"","✅売却済",IF(OR(H291="",L291=""),"📌保有中",IF(L291&gt;=0.06,"🟢利確推奨",IF(L291&gt;=0.05,"🟡利確直近",IF(L291&gt;=0.045,"🔵トレーリング検討",IF(L291&gt;-0.03,"📌保有中",IF(L291&gt;-0.04,"⚠️損切注意","🔴損切り"))))))))</f>
        <v/>
      </c>
      <c r="T291" s="596"/>
      <c r="U291" s="598"/>
      <c r="V291" s="703" t="str">
        <f>IF(OR(F291="",G291="",U291=""),"",IF(C291="売",(F291-U291)*G291,(U291-F291)*G291))</f>
        <v/>
      </c>
      <c r="W291" s="480" t="str">
        <f>IF(OR($E291="",$B291=""),"",IF($T291&lt;&gt;"",$T291-$E291,TODAY()-$E291)+1)</f>
        <v/>
      </c>
      <c r="X291" s="480" t="str">
        <f>IF(OR($AH291="",$AH291="保有中"),"",$AH291)</f>
        <v/>
      </c>
      <c r="Y291" s="488">
        <f>IF($B291="","",IF(COUNTIFS($B$4:$B291,$B291,$C$4:$C291,$C291)&gt;1,"⛔重複"&amp;COUNTIFS($B$4:$B291,$B291,$C$4:$C291,$C291)&amp;"回目",""))</f>
      </c>
      <c r="Z291" s="710"/>
      <c r="AB291">
        <f>IF($F291="","",MAX(100,ROUNDDOWN($AX$4/($F291*$AX$2)/100,0)*100))</f>
      </c>
      <c r="AC291">
        <f>IF(OR($F291="",$G291="",$U291=""),"",ROUND($V291-($F291+$U291)*$G291*$AX$6-IF($C291="売",$F291*$G291*$AX$7*$W291/365,0),0))</f>
      </c>
      <c r="AD291" s="608"/>
      <c r="AE291" s="600" t="str">
        <f>IF($E291="","",WORKDAY($E291,12))</f>
        <v/>
      </c>
      <c r="AF291" s="600"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0"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0" t="str">
        <f>IF(OR($B291="",$M291=""),"",IF(AND(N($AF291)=0,N($AG291)=0),IF(AND(ISNUMBER($H291),$H291&gt;0,IF($C291="売",$H291&gt;=$N291,$H291&lt;=$N291)),"損切確定",IF(AND(ISNUMBER($H291),$H291&gt;0,IF($C291="売",$H291&lt;=$M291,$H291&gt;=$M291)),"利益確定",IF($AE291&lt;=TODAY(),"日数制限","保有中"))),IF(N($AG291)=0,"利益確定",IF(N($AF291)=0,"損切確定",IF($AG291&lt;=$AF291,"損切確定","利益確定")))))</f>
        <v/>
      </c>
      <c r="AI291" s="600" t="str" cm="1">
        <f t="array" ref="AI291">IFERROR(INDEX(始値!$E$6:$BT$305,MATCH(TEXT($B291,"0"),TEXT(銘柄管理!$B$6:$B$305,"0"),0),MATCH($AE291,始値!$E$3:$BT$3,0)),"")</f>
        <v/>
      </c>
      <c r="AJ291" s="608" t="str">
        <f>IF(OR($V291="",$F291="",$G291=""),"",$V291/($F291*$G291))</f>
        <v/>
      </c>
      <c r="AK291" s="600" t="str">
        <f>IF($V291="","",IF($V291&gt;0,"○勝",IF($V291&lt;0,"●負","△引分")))</f>
        <v/>
      </c>
    </row>
    <row r="292" spans="1:37" ht="17.25" customHeight="1">
      <c r="A292" s="621" t="str">
        <f>IF(B292="","",HYPERLINK("https://kabutan.jp/stock/?code="&amp;B292,"株探"))</f>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IF(OR(F292="",G292="",H292=""),"",IF(C292="売",(F292-H292)*G292,(H292-F292)*G292))</f>
        <v/>
      </c>
      <c r="L292" s="708" t="str">
        <f>IF(OR(F292="",H292=""),"",IF(C292="売",(F292-H292)/F292,(H292-F292)/F292))</f>
        <v/>
      </c>
      <c r="M292" s="598" t="str">
        <f>IF($F292="","",IF($C292="売",CEILING($F292*IF($C292="売",1-$AX$3,1+$AX$3),IF($F292*IF($C292="売",1-$AX$3,1+$AX$3)&lt;=3000,1,IF($F292*IF($C292="売",1-$AX$3,1+$AX$3)&lt;=5000,5,IF($F292*IF($C292="売",1-$AX$3,1+$AX$3)&lt;=30000,10,IF($F292*IF($C292="売",1-$AX$3,1+$AX$3)&lt;=50000,50,IF($F292*IF($C292="売",1-$AX$3,1+$AX$3)&lt;=300000,100,500)))))),FLOOR($F292*IF($C292="売",1-$AX$3,1+$AX$3),IF($F292*IF($C292="売",1-$AX$3,1+$AX$3)&lt;=3000,1,IF($F292*IF($C292="売",1-$AX$3,1+$AX$3)&lt;=5000,5,IF($F292*IF($C292="売",1-$AX$3,1+$AX$3)&lt;=30000,10,IF($F292*IF($C292="売",1-$AX$3,1+$AX$3)&lt;=50000,50,IF($F292*IF($C292="売",1-$AX$3,1+$AX$3)&lt;=300000,100,500))))))))</f>
      </c>
      <c r="N292" s="598" t="str">
        <f>IF($F292="","",IF($C292="売",CEILING($F292*IF($C292="売",1+$AX$2,1-$AX$2),IF($F292*IF($C292="売",1+$AX$2,1-$AX$2)&lt;=3000,1,IF($F292*IF($C292="売",1+$AX$2,1-$AX$2)&lt;=5000,5,IF($F292*IF($C292="売",1+$AX$2,1-$AX$2)&lt;=30000,10,IF($F292*IF($C292="売",1+$AX$2,1-$AX$2)&lt;=50000,50,IF($F292*IF($C292="売",1+$AX$2,1-$AX$2)&lt;=300000,100,500)))))),FLOOR($F292*IF($C292="売",1+$AX$2,1-$AX$2),IF($F292*IF($C292="売",1+$AX$2,1-$AX$2)&lt;=3000,1,IF($F292*IF($C292="売",1+$AX$2,1-$AX$2)&lt;=5000,5,IF($F292*IF($C292="売",1+$AX$2,1-$AX$2)&lt;=30000,10,IF($F292*IF($C292="売",1+$AX$2,1-$AX$2)&lt;=50000,50,IF($F292*IF($C292="売",1+$AX$2,1-$AX$2)&lt;=300000,100,500))))))))</f>
      </c>
      <c r="O292" s="478" t="str">
        <f>IF(OR($B292="",$F292="",$H292=""),"",IF($S292="✅売却済","―決済済―",IF($C292="売",IF($H292&lt;=$M292,"🟢利確",IF(AND($R292&lt;&gt;"",$H292&gt;=$R292),"🟠TRAIL決済",IF($H292&gt;=$N292,"🔴損切",IF($W292&gt;=$AX$5,"⏱時間決済",IF($H292&gt;=$F292*(1+$AX$2*0.7),"⚠️損切接近","保持継続"))))),IF($H292&gt;=$M292,"🟢利確",IF(AND($R292&lt;&gt;"",$H292&lt;=$R292),"🟠TRAIL決済",IF($H292&lt;=$N292,"🔴損切",IF($W292&gt;=$AX$5,"⏱時間決済",IF($H292&lt;=$F292*(1-$AX$2*0.7),"⚠️損切接近","保持継続")))))))</f>
      </c>
      <c r="P292" s="445"/>
      <c r="Q292" s="445"/>
      <c r="R292" s="480" t="str">
        <f>IF(OR($F292="",$H292="",$N292=""),"",IF($S292="✅売却済","",IF($C292="売",IF($H292&gt;$F292*(1-$AX$2),$N292,CEILING(MIN($N292,IF($Q292="",$N292,$Q292*1.03)),IF($N292&lt;=3000,1,IF($N292&lt;=5000,5,IF($N292&lt;=30000,10,IF($N292&lt;=50000,50,IF($N292&lt;=300000,100,500))))))),IF($H292&lt;$F292*(1+$AX$2),$N292,FLOOR(MAX($N292,IF($P292="",$N292,$P292*0.97)),IF($N292&lt;=3000,1,IF($N292&lt;=5000,5,IF($N292&lt;=30000,10,IF($N292&lt;=50000,50,IF($N292&lt;=300000,100,500))))))))))</f>
      </c>
      <c r="S292" s="480" t="str">
        <f>IF(B292="","",IF(T292&lt;&gt;"","✅売却済",IF(OR(H292="",L292=""),"📌保有中",IF(L292&gt;=0.06,"🟢利確推奨",IF(L292&gt;=0.05,"🟡利確直近",IF(L292&gt;=0.045,"🔵トレーリング検討",IF(L292&gt;-0.03,"📌保有中",IF(L292&gt;-0.04,"⚠️損切注意","🔴損切り"))))))))</f>
        <v/>
      </c>
      <c r="T292" s="596"/>
      <c r="U292" s="598"/>
      <c r="V292" s="703" t="str">
        <f>IF(OR(F292="",G292="",U292=""),"",IF(C292="売",(F292-U292)*G292,(U292-F292)*G292))</f>
        <v/>
      </c>
      <c r="W292" s="480" t="str">
        <f>IF(OR($E292="",$B292=""),"",IF($T292&lt;&gt;"",$T292-$E292,TODAY()-$E292)+1)</f>
        <v/>
      </c>
      <c r="X292" s="480" t="str">
        <f>IF(OR($AH292="",$AH292="保有中"),"",$AH292)</f>
        <v/>
      </c>
      <c r="Y292" s="488">
        <f>IF($B292="","",IF(COUNTIFS($B$4:$B292,$B292,$C$4:$C292,$C292)&gt;1,"⛔重複"&amp;COUNTIFS($B$4:$B292,$B292,$C$4:$C292,$C292)&amp;"回目",""))</f>
      </c>
      <c r="Z292" s="710"/>
      <c r="AB292">
        <f>IF($F292="","",MAX(100,ROUNDDOWN($AX$4/($F292*$AX$2)/100,0)*100))</f>
      </c>
      <c r="AC292">
        <f>IF(OR($F292="",$G292="",$U292=""),"",ROUND($V292-($F292+$U292)*$G292*$AX$6-IF($C292="売",$F292*$G292*$AX$7*$W292/365,0),0))</f>
      </c>
      <c r="AD292" s="608"/>
      <c r="AE292" s="600" t="str">
        <f>IF($E292="","",WORKDAY($E292,12))</f>
        <v/>
      </c>
      <c r="AF292" s="600"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0"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0" t="str">
        <f>IF(OR($B292="",$M292=""),"",IF(AND(N($AF292)=0,N($AG292)=0),IF(AND(ISNUMBER($H292),$H292&gt;0,IF($C292="売",$H292&gt;=$N292,$H292&lt;=$N292)),"損切確定",IF(AND(ISNUMBER($H292),$H292&gt;0,IF($C292="売",$H292&lt;=$M292,$H292&gt;=$M292)),"利益確定",IF($AE292&lt;=TODAY(),"日数制限","保有中"))),IF(N($AG292)=0,"利益確定",IF(N($AF292)=0,"損切確定",IF($AG292&lt;=$AF292,"損切確定","利益確定")))))</f>
        <v/>
      </c>
      <c r="AI292" s="600" t="str" cm="1">
        <f t="array" ref="AI292">IFERROR(INDEX(始値!$E$6:$BT$305,MATCH(TEXT($B292,"0"),TEXT(銘柄管理!$B$6:$B$305,"0"),0),MATCH($AE292,始値!$E$3:$BT$3,0)),"")</f>
        <v/>
      </c>
      <c r="AJ292" s="608" t="str">
        <f>IF(OR($V292="",$F292="",$G292=""),"",$V292/($F292*$G292))</f>
        <v/>
      </c>
      <c r="AK292" s="600" t="str">
        <f>IF($V292="","",IF($V292&gt;0,"○勝",IF($V292&lt;0,"●負","△引分")))</f>
        <v/>
      </c>
    </row>
    <row r="293" spans="1:37" ht="17.25" customHeight="1">
      <c r="A293" s="621" t="str">
        <f>IF(B293="","",HYPERLINK("https://kabutan.jp/stock/?code="&amp;B293,"株探"))</f>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IF(OR(F293="",G293="",H293=""),"",IF(C293="売",(F293-H293)*G293,(H293-F293)*G293))</f>
        <v/>
      </c>
      <c r="L293" s="708" t="str">
        <f>IF(OR(F293="",H293=""),"",IF(C293="売",(F293-H293)/F293,(H293-F293)/F293))</f>
        <v/>
      </c>
      <c r="M293" s="598" t="str">
        <f>IF($F293="","",IF($C293="売",CEILING($F293*IF($C293="売",1-$AX$3,1+$AX$3),IF($F293*IF($C293="売",1-$AX$3,1+$AX$3)&lt;=3000,1,IF($F293*IF($C293="売",1-$AX$3,1+$AX$3)&lt;=5000,5,IF($F293*IF($C293="売",1-$AX$3,1+$AX$3)&lt;=30000,10,IF($F293*IF($C293="売",1-$AX$3,1+$AX$3)&lt;=50000,50,IF($F293*IF($C293="売",1-$AX$3,1+$AX$3)&lt;=300000,100,500)))))),FLOOR($F293*IF($C293="売",1-$AX$3,1+$AX$3),IF($F293*IF($C293="売",1-$AX$3,1+$AX$3)&lt;=3000,1,IF($F293*IF($C293="売",1-$AX$3,1+$AX$3)&lt;=5000,5,IF($F293*IF($C293="売",1-$AX$3,1+$AX$3)&lt;=30000,10,IF($F293*IF($C293="売",1-$AX$3,1+$AX$3)&lt;=50000,50,IF($F293*IF($C293="売",1-$AX$3,1+$AX$3)&lt;=300000,100,500))))))))</f>
      </c>
      <c r="N293" s="598" t="str">
        <f>IF($F293="","",IF($C293="売",CEILING($F293*IF($C293="売",1+$AX$2,1-$AX$2),IF($F293*IF($C293="売",1+$AX$2,1-$AX$2)&lt;=3000,1,IF($F293*IF($C293="売",1+$AX$2,1-$AX$2)&lt;=5000,5,IF($F293*IF($C293="売",1+$AX$2,1-$AX$2)&lt;=30000,10,IF($F293*IF($C293="売",1+$AX$2,1-$AX$2)&lt;=50000,50,IF($F293*IF($C293="売",1+$AX$2,1-$AX$2)&lt;=300000,100,500)))))),FLOOR($F293*IF($C293="売",1+$AX$2,1-$AX$2),IF($F293*IF($C293="売",1+$AX$2,1-$AX$2)&lt;=3000,1,IF($F293*IF($C293="売",1+$AX$2,1-$AX$2)&lt;=5000,5,IF($F293*IF($C293="売",1+$AX$2,1-$AX$2)&lt;=30000,10,IF($F293*IF($C293="売",1+$AX$2,1-$AX$2)&lt;=50000,50,IF($F293*IF($C293="売",1+$AX$2,1-$AX$2)&lt;=300000,100,500))))))))</f>
      </c>
      <c r="O293" s="478" t="str">
        <f>IF(OR($B293="",$F293="",$H293=""),"",IF($S293="✅売却済","―決済済―",IF($C293="売",IF($H293&lt;=$M293,"🟢利確",IF(AND($R293&lt;&gt;"",$H293&gt;=$R293),"🟠TRAIL決済",IF($H293&gt;=$N293,"🔴損切",IF($W293&gt;=$AX$5,"⏱時間決済",IF($H293&gt;=$F293*(1+$AX$2*0.7),"⚠️損切接近","保持継続"))))),IF($H293&gt;=$M293,"🟢利確",IF(AND($R293&lt;&gt;"",$H293&lt;=$R293),"🟠TRAIL決済",IF($H293&lt;=$N293,"🔴損切",IF($W293&gt;=$AX$5,"⏱時間決済",IF($H293&lt;=$F293*(1-$AX$2*0.7),"⚠️損切接近","保持継続")))))))</f>
      </c>
      <c r="P293" s="445"/>
      <c r="Q293" s="445"/>
      <c r="R293" s="480" t="str">
        <f>IF(OR($F293="",$H293="",$N293=""),"",IF($S293="✅売却済","",IF($C293="売",IF($H293&gt;$F293*(1-$AX$2),$N293,CEILING(MIN($N293,IF($Q293="",$N293,$Q293*1.03)),IF($N293&lt;=3000,1,IF($N293&lt;=5000,5,IF($N293&lt;=30000,10,IF($N293&lt;=50000,50,IF($N293&lt;=300000,100,500))))))),IF($H293&lt;$F293*(1+$AX$2),$N293,FLOOR(MAX($N293,IF($P293="",$N293,$P293*0.97)),IF($N293&lt;=3000,1,IF($N293&lt;=5000,5,IF($N293&lt;=30000,10,IF($N293&lt;=50000,50,IF($N293&lt;=300000,100,500))))))))))</f>
      </c>
      <c r="S293" s="480" t="str">
        <f>IF(B293="","",IF(T293&lt;&gt;"","✅売却済",IF(OR(H293="",L293=""),"📌保有中",IF(L293&gt;=0.06,"🟢利確推奨",IF(L293&gt;=0.05,"🟡利確直近",IF(L293&gt;=0.045,"🔵トレーリング検討",IF(L293&gt;-0.03,"📌保有中",IF(L293&gt;-0.04,"⚠️損切注意","🔴損切り"))))))))</f>
        <v/>
      </c>
      <c r="T293" s="596"/>
      <c r="U293" s="598"/>
      <c r="V293" s="703" t="str">
        <f>IF(OR(F293="",G293="",U293=""),"",IF(C293="売",(F293-U293)*G293,(U293-F293)*G293))</f>
        <v/>
      </c>
      <c r="W293" s="480" t="str">
        <f>IF(OR($E293="",$B293=""),"",IF($T293&lt;&gt;"",$T293-$E293,TODAY()-$E293)+1)</f>
        <v/>
      </c>
      <c r="X293" s="480" t="str">
        <f>IF(OR($AH293="",$AH293="保有中"),"",$AH293)</f>
        <v/>
      </c>
      <c r="Y293" s="488">
        <f>IF($B293="","",IF(COUNTIFS($B$4:$B293,$B293,$C$4:$C293,$C293)&gt;1,"⛔重複"&amp;COUNTIFS($B$4:$B293,$B293,$C$4:$C293,$C293)&amp;"回目",""))</f>
      </c>
      <c r="Z293" s="710"/>
      <c r="AB293">
        <f>IF($F293="","",MAX(100,ROUNDDOWN($AX$4/($F293*$AX$2)/100,0)*100))</f>
      </c>
      <c r="AC293">
        <f>IF(OR($F293="",$G293="",$U293=""),"",ROUND($V293-($F293+$U293)*$G293*$AX$6-IF($C293="売",$F293*$G293*$AX$7*$W293/365,0),0))</f>
      </c>
      <c r="AD293" s="608"/>
      <c r="AE293" s="600" t="str">
        <f>IF($E293="","",WORKDAY($E293,12))</f>
        <v/>
      </c>
      <c r="AF293" s="600"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0"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0" t="str">
        <f>IF(OR($B293="",$M293=""),"",IF(AND(N($AF293)=0,N($AG293)=0),IF(AND(ISNUMBER($H293),$H293&gt;0,IF($C293="売",$H293&gt;=$N293,$H293&lt;=$N293)),"損切確定",IF(AND(ISNUMBER($H293),$H293&gt;0,IF($C293="売",$H293&lt;=$M293,$H293&gt;=$M293)),"利益確定",IF($AE293&lt;=TODAY(),"日数制限","保有中"))),IF(N($AG293)=0,"利益確定",IF(N($AF293)=0,"損切確定",IF($AG293&lt;=$AF293,"損切確定","利益確定")))))</f>
        <v/>
      </c>
      <c r="AI293" s="600" t="str" cm="1">
        <f t="array" ref="AI293">IFERROR(INDEX(始値!$E$6:$BT$305,MATCH(TEXT($B293,"0"),TEXT(銘柄管理!$B$6:$B$305,"0"),0),MATCH($AE293,始値!$E$3:$BT$3,0)),"")</f>
        <v/>
      </c>
      <c r="AJ293" s="608" t="str">
        <f>IF(OR($V293="",$F293="",$G293=""),"",$V293/($F293*$G293))</f>
        <v/>
      </c>
      <c r="AK293" s="600" t="str">
        <f>IF($V293="","",IF($V293&gt;0,"○勝",IF($V293&lt;0,"●負","△引分")))</f>
        <v/>
      </c>
    </row>
    <row r="294" spans="1:37" ht="17.25" customHeight="1">
      <c r="A294" s="621" t="str">
        <f>IF(B294="","",HYPERLINK("https://kabutan.jp/stock/?code="&amp;B294,"株探"))</f>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IF(OR(F294="",G294="",H294=""),"",IF(C294="売",(F294-H294)*G294,(H294-F294)*G294))</f>
        <v/>
      </c>
      <c r="L294" s="708" t="str">
        <f>IF(OR(F294="",H294=""),"",IF(C294="売",(F294-H294)/F294,(H294-F294)/F294))</f>
        <v/>
      </c>
      <c r="M294" s="598" t="str">
        <f>IF($F294="","",IF($C294="売",CEILING($F294*IF($C294="売",1-$AX$3,1+$AX$3),IF($F294*IF($C294="売",1-$AX$3,1+$AX$3)&lt;=3000,1,IF($F294*IF($C294="売",1-$AX$3,1+$AX$3)&lt;=5000,5,IF($F294*IF($C294="売",1-$AX$3,1+$AX$3)&lt;=30000,10,IF($F294*IF($C294="売",1-$AX$3,1+$AX$3)&lt;=50000,50,IF($F294*IF($C294="売",1-$AX$3,1+$AX$3)&lt;=300000,100,500)))))),FLOOR($F294*IF($C294="売",1-$AX$3,1+$AX$3),IF($F294*IF($C294="売",1-$AX$3,1+$AX$3)&lt;=3000,1,IF($F294*IF($C294="売",1-$AX$3,1+$AX$3)&lt;=5000,5,IF($F294*IF($C294="売",1-$AX$3,1+$AX$3)&lt;=30000,10,IF($F294*IF($C294="売",1-$AX$3,1+$AX$3)&lt;=50000,50,IF($F294*IF($C294="売",1-$AX$3,1+$AX$3)&lt;=300000,100,500))))))))</f>
      </c>
      <c r="N294" s="598" t="str">
        <f>IF($F294="","",IF($C294="売",CEILING($F294*IF($C294="売",1+$AX$2,1-$AX$2),IF($F294*IF($C294="売",1+$AX$2,1-$AX$2)&lt;=3000,1,IF($F294*IF($C294="売",1+$AX$2,1-$AX$2)&lt;=5000,5,IF($F294*IF($C294="売",1+$AX$2,1-$AX$2)&lt;=30000,10,IF($F294*IF($C294="売",1+$AX$2,1-$AX$2)&lt;=50000,50,IF($F294*IF($C294="売",1+$AX$2,1-$AX$2)&lt;=300000,100,500)))))),FLOOR($F294*IF($C294="売",1+$AX$2,1-$AX$2),IF($F294*IF($C294="売",1+$AX$2,1-$AX$2)&lt;=3000,1,IF($F294*IF($C294="売",1+$AX$2,1-$AX$2)&lt;=5000,5,IF($F294*IF($C294="売",1+$AX$2,1-$AX$2)&lt;=30000,10,IF($F294*IF($C294="売",1+$AX$2,1-$AX$2)&lt;=50000,50,IF($F294*IF($C294="売",1+$AX$2,1-$AX$2)&lt;=300000,100,500))))))))</f>
      </c>
      <c r="O294" s="478" t="str">
        <f>IF(OR($B294="",$F294="",$H294=""),"",IF($S294="✅売却済","―決済済―",IF($C294="売",IF($H294&lt;=$M294,"🟢利確",IF(AND($R294&lt;&gt;"",$H294&gt;=$R294),"🟠TRAIL決済",IF($H294&gt;=$N294,"🔴損切",IF($W294&gt;=$AX$5,"⏱時間決済",IF($H294&gt;=$F294*(1+$AX$2*0.7),"⚠️損切接近","保持継続"))))),IF($H294&gt;=$M294,"🟢利確",IF(AND($R294&lt;&gt;"",$H294&lt;=$R294),"🟠TRAIL決済",IF($H294&lt;=$N294,"🔴損切",IF($W294&gt;=$AX$5,"⏱時間決済",IF($H294&lt;=$F294*(1-$AX$2*0.7),"⚠️損切接近","保持継続")))))))</f>
      </c>
      <c r="P294" s="445"/>
      <c r="Q294" s="445"/>
      <c r="R294" s="480" t="str">
        <f>IF(OR($F294="",$H294="",$N294=""),"",IF($S294="✅売却済","",IF($C294="売",IF($H294&gt;$F294*(1-$AX$2),$N294,CEILING(MIN($N294,IF($Q294="",$N294,$Q294*1.03)),IF($N294&lt;=3000,1,IF($N294&lt;=5000,5,IF($N294&lt;=30000,10,IF($N294&lt;=50000,50,IF($N294&lt;=300000,100,500))))))),IF($H294&lt;$F294*(1+$AX$2),$N294,FLOOR(MAX($N294,IF($P294="",$N294,$P294*0.97)),IF($N294&lt;=3000,1,IF($N294&lt;=5000,5,IF($N294&lt;=30000,10,IF($N294&lt;=50000,50,IF($N294&lt;=300000,100,500))))))))))</f>
      </c>
      <c r="S294" s="480" t="str">
        <f>IF(B294="","",IF(T294&lt;&gt;"","✅売却済",IF(OR(H294="",L294=""),"📌保有中",IF(L294&gt;=0.06,"🟢利確推奨",IF(L294&gt;=0.05,"🟡利確直近",IF(L294&gt;=0.045,"🔵トレーリング検討",IF(L294&gt;-0.03,"📌保有中",IF(L294&gt;-0.04,"⚠️損切注意","🔴損切り"))))))))</f>
        <v/>
      </c>
      <c r="T294" s="596"/>
      <c r="U294" s="598"/>
      <c r="V294" s="703" t="str">
        <f>IF(OR(F294="",G294="",U294=""),"",IF(C294="売",(F294-U294)*G294,(U294-F294)*G294))</f>
        <v/>
      </c>
      <c r="W294" s="480" t="str">
        <f>IF(OR($E294="",$B294=""),"",IF($T294&lt;&gt;"",$T294-$E294,TODAY()-$E294)+1)</f>
        <v/>
      </c>
      <c r="X294" s="480" t="str">
        <f>IF(OR($AH294="",$AH294="保有中"),"",$AH294)</f>
        <v/>
      </c>
      <c r="Y294" s="488">
        <f>IF($B294="","",IF(COUNTIFS($B$4:$B294,$B294,$C$4:$C294,$C294)&gt;1,"⛔重複"&amp;COUNTIFS($B$4:$B294,$B294,$C$4:$C294,$C294)&amp;"回目",""))</f>
      </c>
      <c r="Z294" s="710"/>
      <c r="AB294">
        <f>IF($F294="","",MAX(100,ROUNDDOWN($AX$4/($F294*$AX$2)/100,0)*100))</f>
      </c>
      <c r="AC294">
        <f>IF(OR($F294="",$G294="",$U294=""),"",ROUND($V294-($F294+$U294)*$G294*$AX$6-IF($C294="売",$F294*$G294*$AX$7*$W294/365,0),0))</f>
      </c>
      <c r="AD294" s="608"/>
      <c r="AE294" s="600" t="str">
        <f>IF($E294="","",WORKDAY($E294,12))</f>
        <v/>
      </c>
      <c r="AF294" s="600"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0"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0" t="str">
        <f>IF(OR($B294="",$M294=""),"",IF(AND(N($AF294)=0,N($AG294)=0),IF(AND(ISNUMBER($H294),$H294&gt;0,IF($C294="売",$H294&gt;=$N294,$H294&lt;=$N294)),"損切確定",IF(AND(ISNUMBER($H294),$H294&gt;0,IF($C294="売",$H294&lt;=$M294,$H294&gt;=$M294)),"利益確定",IF($AE294&lt;=TODAY(),"日数制限","保有中"))),IF(N($AG294)=0,"利益確定",IF(N($AF294)=0,"損切確定",IF($AG294&lt;=$AF294,"損切確定","利益確定")))))</f>
        <v/>
      </c>
      <c r="AI294" s="600" t="str" cm="1">
        <f t="array" ref="AI294">IFERROR(INDEX(始値!$E$6:$BT$305,MATCH(TEXT($B294,"0"),TEXT(銘柄管理!$B$6:$B$305,"0"),0),MATCH($AE294,始値!$E$3:$BT$3,0)),"")</f>
        <v/>
      </c>
      <c r="AJ294" s="608" t="str">
        <f>IF(OR($V294="",$F294="",$G294=""),"",$V294/($F294*$G294))</f>
        <v/>
      </c>
      <c r="AK294" s="600" t="str">
        <f>IF($V294="","",IF($V294&gt;0,"○勝",IF($V294&lt;0,"●負","△引分")))</f>
        <v/>
      </c>
    </row>
    <row r="295" spans="1:37" ht="17.25" customHeight="1">
      <c r="A295" s="621" t="str">
        <f>IF(B295="","",HYPERLINK("https://kabutan.jp/stock/?code="&amp;B295,"株探"))</f>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IF(OR(F295="",G295="",H295=""),"",IF(C295="売",(F295-H295)*G295,(H295-F295)*G295))</f>
        <v/>
      </c>
      <c r="L295" s="708" t="str">
        <f>IF(OR(F295="",H295=""),"",IF(C295="売",(F295-H295)/F295,(H295-F295)/F295))</f>
        <v/>
      </c>
      <c r="M295" s="598" t="str">
        <f>IF($F295="","",IF($C295="売",CEILING($F295*IF($C295="売",1-$AX$3,1+$AX$3),IF($F295*IF($C295="売",1-$AX$3,1+$AX$3)&lt;=3000,1,IF($F295*IF($C295="売",1-$AX$3,1+$AX$3)&lt;=5000,5,IF($F295*IF($C295="売",1-$AX$3,1+$AX$3)&lt;=30000,10,IF($F295*IF($C295="売",1-$AX$3,1+$AX$3)&lt;=50000,50,IF($F295*IF($C295="売",1-$AX$3,1+$AX$3)&lt;=300000,100,500)))))),FLOOR($F295*IF($C295="売",1-$AX$3,1+$AX$3),IF($F295*IF($C295="売",1-$AX$3,1+$AX$3)&lt;=3000,1,IF($F295*IF($C295="売",1-$AX$3,1+$AX$3)&lt;=5000,5,IF($F295*IF($C295="売",1-$AX$3,1+$AX$3)&lt;=30000,10,IF($F295*IF($C295="売",1-$AX$3,1+$AX$3)&lt;=50000,50,IF($F295*IF($C295="売",1-$AX$3,1+$AX$3)&lt;=300000,100,500))))))))</f>
      </c>
      <c r="N295" s="598" t="str">
        <f>IF($F295="","",IF($C295="売",CEILING($F295*IF($C295="売",1+$AX$2,1-$AX$2),IF($F295*IF($C295="売",1+$AX$2,1-$AX$2)&lt;=3000,1,IF($F295*IF($C295="売",1+$AX$2,1-$AX$2)&lt;=5000,5,IF($F295*IF($C295="売",1+$AX$2,1-$AX$2)&lt;=30000,10,IF($F295*IF($C295="売",1+$AX$2,1-$AX$2)&lt;=50000,50,IF($F295*IF($C295="売",1+$AX$2,1-$AX$2)&lt;=300000,100,500)))))),FLOOR($F295*IF($C295="売",1+$AX$2,1-$AX$2),IF($F295*IF($C295="売",1+$AX$2,1-$AX$2)&lt;=3000,1,IF($F295*IF($C295="売",1+$AX$2,1-$AX$2)&lt;=5000,5,IF($F295*IF($C295="売",1+$AX$2,1-$AX$2)&lt;=30000,10,IF($F295*IF($C295="売",1+$AX$2,1-$AX$2)&lt;=50000,50,IF($F295*IF($C295="売",1+$AX$2,1-$AX$2)&lt;=300000,100,500))))))))</f>
      </c>
      <c r="O295" s="478" t="str">
        <f>IF(OR($B295="",$F295="",$H295=""),"",IF($S295="✅売却済","―決済済―",IF($C295="売",IF($H295&lt;=$M295,"🟢利確",IF(AND($R295&lt;&gt;"",$H295&gt;=$R295),"🟠TRAIL決済",IF($H295&gt;=$N295,"🔴損切",IF($W295&gt;=$AX$5,"⏱時間決済",IF($H295&gt;=$F295*(1+$AX$2*0.7),"⚠️損切接近","保持継続"))))),IF($H295&gt;=$M295,"🟢利確",IF(AND($R295&lt;&gt;"",$H295&lt;=$R295),"🟠TRAIL決済",IF($H295&lt;=$N295,"🔴損切",IF($W295&gt;=$AX$5,"⏱時間決済",IF($H295&lt;=$F295*(1-$AX$2*0.7),"⚠️損切接近","保持継続")))))))</f>
      </c>
      <c r="P295" s="445"/>
      <c r="Q295" s="445"/>
      <c r="R295" s="480" t="str">
        <f>IF(OR($F295="",$H295="",$N295=""),"",IF($S295="✅売却済","",IF($C295="売",IF($H295&gt;$F295*(1-$AX$2),$N295,CEILING(MIN($N295,IF($Q295="",$N295,$Q295*1.03)),IF($N295&lt;=3000,1,IF($N295&lt;=5000,5,IF($N295&lt;=30000,10,IF($N295&lt;=50000,50,IF($N295&lt;=300000,100,500))))))),IF($H295&lt;$F295*(1+$AX$2),$N295,FLOOR(MAX($N295,IF($P295="",$N295,$P295*0.97)),IF($N295&lt;=3000,1,IF($N295&lt;=5000,5,IF($N295&lt;=30000,10,IF($N295&lt;=50000,50,IF($N295&lt;=300000,100,500))))))))))</f>
      </c>
      <c r="S295" s="480" t="str">
        <f>IF(B295="","",IF(T295&lt;&gt;"","✅売却済",IF(OR(H295="",L295=""),"📌保有中",IF(L295&gt;=0.06,"🟢利確推奨",IF(L295&gt;=0.05,"🟡利確直近",IF(L295&gt;=0.045,"🔵トレーリング検討",IF(L295&gt;-0.03,"📌保有中",IF(L295&gt;-0.04,"⚠️損切注意","🔴損切り"))))))))</f>
        <v/>
      </c>
      <c r="T295" s="596"/>
      <c r="U295" s="598"/>
      <c r="V295" s="703" t="str">
        <f>IF(OR(F295="",G295="",U295=""),"",IF(C295="売",(F295-U295)*G295,(U295-F295)*G295))</f>
        <v/>
      </c>
      <c r="W295" s="480" t="str">
        <f>IF(OR($E295="",$B295=""),"",IF($T295&lt;&gt;"",$T295-$E295,TODAY()-$E295)+1)</f>
        <v/>
      </c>
      <c r="X295" s="480" t="str">
        <f>IF(OR($AH295="",$AH295="保有中"),"",$AH295)</f>
        <v/>
      </c>
      <c r="Y295" s="488">
        <f>IF($B295="","",IF(COUNTIFS($B$4:$B295,$B295,$C$4:$C295,$C295)&gt;1,"⛔重複"&amp;COUNTIFS($B$4:$B295,$B295,$C$4:$C295,$C295)&amp;"回目",""))</f>
      </c>
      <c r="Z295" s="710"/>
      <c r="AB295">
        <f>IF($F295="","",MAX(100,ROUNDDOWN($AX$4/($F295*$AX$2)/100,0)*100))</f>
      </c>
      <c r="AC295">
        <f>IF(OR($F295="",$G295="",$U295=""),"",ROUND($V295-($F295+$U295)*$G295*$AX$6-IF($C295="売",$F295*$G295*$AX$7*$W295/365,0),0))</f>
      </c>
      <c r="AD295" s="608"/>
      <c r="AE295" s="600" t="str">
        <f>IF($E295="","",WORKDAY($E295,12))</f>
        <v/>
      </c>
      <c r="AF295" s="600"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0"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0" t="str">
        <f>IF(OR($B295="",$M295=""),"",IF(AND(N($AF295)=0,N($AG295)=0),IF(AND(ISNUMBER($H295),$H295&gt;0,IF($C295="売",$H295&gt;=$N295,$H295&lt;=$N295)),"損切確定",IF(AND(ISNUMBER($H295),$H295&gt;0,IF($C295="売",$H295&lt;=$M295,$H295&gt;=$M295)),"利益確定",IF($AE295&lt;=TODAY(),"日数制限","保有中"))),IF(N($AG295)=0,"利益確定",IF(N($AF295)=0,"損切確定",IF($AG295&lt;=$AF295,"損切確定","利益確定")))))</f>
        <v/>
      </c>
      <c r="AI295" s="600" t="str" cm="1">
        <f t="array" ref="AI295">IFERROR(INDEX(始値!$E$6:$BT$305,MATCH(TEXT($B295,"0"),TEXT(銘柄管理!$B$6:$B$305,"0"),0),MATCH($AE295,始値!$E$3:$BT$3,0)),"")</f>
        <v/>
      </c>
      <c r="AJ295" s="608" t="str">
        <f>IF(OR($V295="",$F295="",$G295=""),"",$V295/($F295*$G295))</f>
        <v/>
      </c>
      <c r="AK295" s="600" t="str">
        <f>IF($V295="","",IF($V295&gt;0,"○勝",IF($V295&lt;0,"●負","△引分")))</f>
        <v/>
      </c>
    </row>
    <row r="296" spans="1:37" ht="17.25" customHeight="1">
      <c r="A296" s="621" t="str">
        <f>IF(B296="","",HYPERLINK("https://kabutan.jp/stock/?code="&amp;B296,"株探"))</f>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IF(OR(F296="",G296="",H296=""),"",IF(C296="売",(F296-H296)*G296,(H296-F296)*G296))</f>
        <v/>
      </c>
      <c r="L296" s="708" t="str">
        <f>IF(OR(F296="",H296=""),"",IF(C296="売",(F296-H296)/F296,(H296-F296)/F296))</f>
        <v/>
      </c>
      <c r="M296" s="598" t="str">
        <f>IF($F296="","",IF($C296="売",CEILING($F296*IF($C296="売",1-$AX$3,1+$AX$3),IF($F296*IF($C296="売",1-$AX$3,1+$AX$3)&lt;=3000,1,IF($F296*IF($C296="売",1-$AX$3,1+$AX$3)&lt;=5000,5,IF($F296*IF($C296="売",1-$AX$3,1+$AX$3)&lt;=30000,10,IF($F296*IF($C296="売",1-$AX$3,1+$AX$3)&lt;=50000,50,IF($F296*IF($C296="売",1-$AX$3,1+$AX$3)&lt;=300000,100,500)))))),FLOOR($F296*IF($C296="売",1-$AX$3,1+$AX$3),IF($F296*IF($C296="売",1-$AX$3,1+$AX$3)&lt;=3000,1,IF($F296*IF($C296="売",1-$AX$3,1+$AX$3)&lt;=5000,5,IF($F296*IF($C296="売",1-$AX$3,1+$AX$3)&lt;=30000,10,IF($F296*IF($C296="売",1-$AX$3,1+$AX$3)&lt;=50000,50,IF($F296*IF($C296="売",1-$AX$3,1+$AX$3)&lt;=300000,100,500))))))))</f>
      </c>
      <c r="N296" s="598" t="str">
        <f>IF($F296="","",IF($C296="売",CEILING($F296*IF($C296="売",1+$AX$2,1-$AX$2),IF($F296*IF($C296="売",1+$AX$2,1-$AX$2)&lt;=3000,1,IF($F296*IF($C296="売",1+$AX$2,1-$AX$2)&lt;=5000,5,IF($F296*IF($C296="売",1+$AX$2,1-$AX$2)&lt;=30000,10,IF($F296*IF($C296="売",1+$AX$2,1-$AX$2)&lt;=50000,50,IF($F296*IF($C296="売",1+$AX$2,1-$AX$2)&lt;=300000,100,500)))))),FLOOR($F296*IF($C296="売",1+$AX$2,1-$AX$2),IF($F296*IF($C296="売",1+$AX$2,1-$AX$2)&lt;=3000,1,IF($F296*IF($C296="売",1+$AX$2,1-$AX$2)&lt;=5000,5,IF($F296*IF($C296="売",1+$AX$2,1-$AX$2)&lt;=30000,10,IF($F296*IF($C296="売",1+$AX$2,1-$AX$2)&lt;=50000,50,IF($F296*IF($C296="売",1+$AX$2,1-$AX$2)&lt;=300000,100,500))))))))</f>
      </c>
      <c r="O296" s="478" t="str">
        <f>IF(OR($B296="",$F296="",$H296=""),"",IF($S296="✅売却済","―決済済―",IF($C296="売",IF($H296&lt;=$M296,"🟢利確",IF(AND($R296&lt;&gt;"",$H296&gt;=$R296),"🟠TRAIL決済",IF($H296&gt;=$N296,"🔴損切",IF($W296&gt;=$AX$5,"⏱時間決済",IF($H296&gt;=$F296*(1+$AX$2*0.7),"⚠️損切接近","保持継続"))))),IF($H296&gt;=$M296,"🟢利確",IF(AND($R296&lt;&gt;"",$H296&lt;=$R296),"🟠TRAIL決済",IF($H296&lt;=$N296,"🔴損切",IF($W296&gt;=$AX$5,"⏱時間決済",IF($H296&lt;=$F296*(1-$AX$2*0.7),"⚠️損切接近","保持継続")))))))</f>
      </c>
      <c r="P296" s="445"/>
      <c r="Q296" s="445"/>
      <c r="R296" s="480" t="str">
        <f>IF(OR($F296="",$H296="",$N296=""),"",IF($S296="✅売却済","",IF($C296="売",IF($H296&gt;$F296*(1-$AX$2),$N296,CEILING(MIN($N296,IF($Q296="",$N296,$Q296*1.03)),IF($N296&lt;=3000,1,IF($N296&lt;=5000,5,IF($N296&lt;=30000,10,IF($N296&lt;=50000,50,IF($N296&lt;=300000,100,500))))))),IF($H296&lt;$F296*(1+$AX$2),$N296,FLOOR(MAX($N296,IF($P296="",$N296,$P296*0.97)),IF($N296&lt;=3000,1,IF($N296&lt;=5000,5,IF($N296&lt;=30000,10,IF($N296&lt;=50000,50,IF($N296&lt;=300000,100,500))))))))))</f>
      </c>
      <c r="S296" s="480" t="str">
        <f>IF(B296="","",IF(T296&lt;&gt;"","✅売却済",IF(OR(H296="",L296=""),"📌保有中",IF(L296&gt;=0.06,"🟢利確推奨",IF(L296&gt;=0.05,"🟡利確直近",IF(L296&gt;=0.045,"🔵トレーリング検討",IF(L296&gt;-0.03,"📌保有中",IF(L296&gt;-0.04,"⚠️損切注意","🔴損切り"))))))))</f>
        <v/>
      </c>
      <c r="T296" s="596"/>
      <c r="U296" s="598"/>
      <c r="V296" s="703" t="str">
        <f>IF(OR(F296="",G296="",U296=""),"",IF(C296="売",(F296-U296)*G296,(U296-F296)*G296))</f>
        <v/>
      </c>
      <c r="W296" s="480" t="str">
        <f>IF(OR($E296="",$B296=""),"",IF($T296&lt;&gt;"",$T296-$E296,TODAY()-$E296)+1)</f>
        <v/>
      </c>
      <c r="X296" s="480" t="str">
        <f>IF(OR($AH296="",$AH296="保有中"),"",$AH296)</f>
        <v/>
      </c>
      <c r="Y296" s="488">
        <f>IF($B296="","",IF(COUNTIFS($B$4:$B296,$B296,$C$4:$C296,$C296)&gt;1,"⛔重複"&amp;COUNTIFS($B$4:$B296,$B296,$C$4:$C296,$C296)&amp;"回目",""))</f>
      </c>
      <c r="Z296" s="710"/>
      <c r="AB296">
        <f>IF($F296="","",MAX(100,ROUNDDOWN($AX$4/($F296*$AX$2)/100,0)*100))</f>
      </c>
      <c r="AC296">
        <f>IF(OR($F296="",$G296="",$U296=""),"",ROUND($V296-($F296+$U296)*$G296*$AX$6-IF($C296="売",$F296*$G296*$AX$7*$W296/365,0),0))</f>
      </c>
      <c r="AD296" s="608"/>
      <c r="AE296" s="600" t="str">
        <f>IF($E296="","",WORKDAY($E296,12))</f>
        <v/>
      </c>
      <c r="AF296" s="600"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0"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0" t="str">
        <f>IF(OR($B296="",$M296=""),"",IF(AND(N($AF296)=0,N($AG296)=0),IF(AND(ISNUMBER($H296),$H296&gt;0,IF($C296="売",$H296&gt;=$N296,$H296&lt;=$N296)),"損切確定",IF(AND(ISNUMBER($H296),$H296&gt;0,IF($C296="売",$H296&lt;=$M296,$H296&gt;=$M296)),"利益確定",IF($AE296&lt;=TODAY(),"日数制限","保有中"))),IF(N($AG296)=0,"利益確定",IF(N($AF296)=0,"損切確定",IF($AG296&lt;=$AF296,"損切確定","利益確定")))))</f>
        <v/>
      </c>
      <c r="AI296" s="600" t="str" cm="1">
        <f t="array" ref="AI296">IFERROR(INDEX(始値!$E$6:$BT$305,MATCH(TEXT($B296,"0"),TEXT(銘柄管理!$B$6:$B$305,"0"),0),MATCH($AE296,始値!$E$3:$BT$3,0)),"")</f>
        <v/>
      </c>
      <c r="AJ296" s="608" t="str">
        <f>IF(OR($V296="",$F296="",$G296=""),"",$V296/($F296*$G296))</f>
        <v/>
      </c>
      <c r="AK296" s="600" t="str">
        <f>IF($V296="","",IF($V296&gt;0,"○勝",IF($V296&lt;0,"●負","△引分")))</f>
        <v/>
      </c>
    </row>
    <row r="297" spans="1:37" ht="17.25" customHeight="1">
      <c r="A297" s="621" t="str">
        <f>IF(B297="","",HYPERLINK("https://kabutan.jp/stock/?code="&amp;B297,"株探"))</f>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IF(OR(F297="",G297="",H297=""),"",IF(C297="売",(F297-H297)*G297,(H297-F297)*G297))</f>
        <v/>
      </c>
      <c r="L297" s="708" t="str">
        <f>IF(OR(F297="",H297=""),"",IF(C297="売",(F297-H297)/F297,(H297-F297)/F297))</f>
        <v/>
      </c>
      <c r="M297" s="598" t="str">
        <f>IF($F297="","",IF($C297="売",CEILING($F297*IF($C297="売",1-$AX$3,1+$AX$3),IF($F297*IF($C297="売",1-$AX$3,1+$AX$3)&lt;=3000,1,IF($F297*IF($C297="売",1-$AX$3,1+$AX$3)&lt;=5000,5,IF($F297*IF($C297="売",1-$AX$3,1+$AX$3)&lt;=30000,10,IF($F297*IF($C297="売",1-$AX$3,1+$AX$3)&lt;=50000,50,IF($F297*IF($C297="売",1-$AX$3,1+$AX$3)&lt;=300000,100,500)))))),FLOOR($F297*IF($C297="売",1-$AX$3,1+$AX$3),IF($F297*IF($C297="売",1-$AX$3,1+$AX$3)&lt;=3000,1,IF($F297*IF($C297="売",1-$AX$3,1+$AX$3)&lt;=5000,5,IF($F297*IF($C297="売",1-$AX$3,1+$AX$3)&lt;=30000,10,IF($F297*IF($C297="売",1-$AX$3,1+$AX$3)&lt;=50000,50,IF($F297*IF($C297="売",1-$AX$3,1+$AX$3)&lt;=300000,100,500))))))))</f>
      </c>
      <c r="N297" s="598" t="str">
        <f>IF($F297="","",IF($C297="売",CEILING($F297*IF($C297="売",1+$AX$2,1-$AX$2),IF($F297*IF($C297="売",1+$AX$2,1-$AX$2)&lt;=3000,1,IF($F297*IF($C297="売",1+$AX$2,1-$AX$2)&lt;=5000,5,IF($F297*IF($C297="売",1+$AX$2,1-$AX$2)&lt;=30000,10,IF($F297*IF($C297="売",1+$AX$2,1-$AX$2)&lt;=50000,50,IF($F297*IF($C297="売",1+$AX$2,1-$AX$2)&lt;=300000,100,500)))))),FLOOR($F297*IF($C297="売",1+$AX$2,1-$AX$2),IF($F297*IF($C297="売",1+$AX$2,1-$AX$2)&lt;=3000,1,IF($F297*IF($C297="売",1+$AX$2,1-$AX$2)&lt;=5000,5,IF($F297*IF($C297="売",1+$AX$2,1-$AX$2)&lt;=30000,10,IF($F297*IF($C297="売",1+$AX$2,1-$AX$2)&lt;=50000,50,IF($F297*IF($C297="売",1+$AX$2,1-$AX$2)&lt;=300000,100,500))))))))</f>
      </c>
      <c r="O297" s="478" t="str">
        <f>IF(OR($B297="",$F297="",$H297=""),"",IF($S297="✅売却済","―決済済―",IF($C297="売",IF($H297&lt;=$M297,"🟢利確",IF(AND($R297&lt;&gt;"",$H297&gt;=$R297),"🟠TRAIL決済",IF($H297&gt;=$N297,"🔴損切",IF($W297&gt;=$AX$5,"⏱時間決済",IF($H297&gt;=$F297*(1+$AX$2*0.7),"⚠️損切接近","保持継続"))))),IF($H297&gt;=$M297,"🟢利確",IF(AND($R297&lt;&gt;"",$H297&lt;=$R297),"🟠TRAIL決済",IF($H297&lt;=$N297,"🔴損切",IF($W297&gt;=$AX$5,"⏱時間決済",IF($H297&lt;=$F297*(1-$AX$2*0.7),"⚠️損切接近","保持継続")))))))</f>
      </c>
      <c r="P297" s="445"/>
      <c r="Q297" s="445"/>
      <c r="R297" s="480" t="str">
        <f>IF(OR($F297="",$H297="",$N297=""),"",IF($S297="✅売却済","",IF($C297="売",IF($H297&gt;$F297*(1-$AX$2),$N297,CEILING(MIN($N297,IF($Q297="",$N297,$Q297*1.03)),IF($N297&lt;=3000,1,IF($N297&lt;=5000,5,IF($N297&lt;=30000,10,IF($N297&lt;=50000,50,IF($N297&lt;=300000,100,500))))))),IF($H297&lt;$F297*(1+$AX$2),$N297,FLOOR(MAX($N297,IF($P297="",$N297,$P297*0.97)),IF($N297&lt;=3000,1,IF($N297&lt;=5000,5,IF($N297&lt;=30000,10,IF($N297&lt;=50000,50,IF($N297&lt;=300000,100,500))))))))))</f>
      </c>
      <c r="S297" s="480" t="str">
        <f>IF(B297="","",IF(T297&lt;&gt;"","✅売却済",IF(OR(H297="",L297=""),"📌保有中",IF(L297&gt;=0.06,"🟢利確推奨",IF(L297&gt;=0.05,"🟡利確直近",IF(L297&gt;=0.045,"🔵トレーリング検討",IF(L297&gt;-0.03,"📌保有中",IF(L297&gt;-0.04,"⚠️損切注意","🔴損切り"))))))))</f>
        <v/>
      </c>
      <c r="T297" s="596"/>
      <c r="U297" s="598"/>
      <c r="V297" s="703" t="str">
        <f>IF(OR(F297="",G297="",U297=""),"",IF(C297="売",(F297-U297)*G297,(U297-F297)*G297))</f>
        <v/>
      </c>
      <c r="W297" s="480" t="str">
        <f>IF(OR($E297="",$B297=""),"",IF($T297&lt;&gt;"",$T297-$E297,TODAY()-$E297)+1)</f>
        <v/>
      </c>
      <c r="X297" s="480" t="str">
        <f>IF(OR($AH297="",$AH297="保有中"),"",$AH297)</f>
        <v/>
      </c>
      <c r="Y297" s="488">
        <f>IF($B297="","",IF(COUNTIFS($B$4:$B297,$B297,$C$4:$C297,$C297)&gt;1,"⛔重複"&amp;COUNTIFS($B$4:$B297,$B297,$C$4:$C297,$C297)&amp;"回目",""))</f>
      </c>
      <c r="Z297" s="710"/>
      <c r="AB297">
        <f>IF($F297="","",MAX(100,ROUNDDOWN($AX$4/($F297*$AX$2)/100,0)*100))</f>
      </c>
      <c r="AC297">
        <f>IF(OR($F297="",$G297="",$U297=""),"",ROUND($V297-($F297+$U297)*$G297*$AX$6-IF($C297="売",$F297*$G297*$AX$7*$W297/365,0),0))</f>
      </c>
      <c r="AD297" s="608"/>
      <c r="AE297" s="600" t="str">
        <f>IF($E297="","",WORKDAY($E297,12))</f>
        <v/>
      </c>
      <c r="AF297" s="600"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0"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0" t="str">
        <f>IF(OR($B297="",$M297=""),"",IF(AND(N($AF297)=0,N($AG297)=0),IF(AND(ISNUMBER($H297),$H297&gt;0,IF($C297="売",$H297&gt;=$N297,$H297&lt;=$N297)),"損切確定",IF(AND(ISNUMBER($H297),$H297&gt;0,IF($C297="売",$H297&lt;=$M297,$H297&gt;=$M297)),"利益確定",IF($AE297&lt;=TODAY(),"日数制限","保有中"))),IF(N($AG297)=0,"利益確定",IF(N($AF297)=0,"損切確定",IF($AG297&lt;=$AF297,"損切確定","利益確定")))))</f>
        <v/>
      </c>
      <c r="AI297" s="600" t="str" cm="1">
        <f t="array" ref="AI297">IFERROR(INDEX(始値!$E$6:$BT$305,MATCH(TEXT($B297,"0"),TEXT(銘柄管理!$B$6:$B$305,"0"),0),MATCH($AE297,始値!$E$3:$BT$3,0)),"")</f>
        <v/>
      </c>
      <c r="AJ297" s="608" t="str">
        <f>IF(OR($V297="",$F297="",$G297=""),"",$V297/($F297*$G297))</f>
        <v/>
      </c>
      <c r="AK297" s="600" t="str">
        <f>IF($V297="","",IF($V297&gt;0,"○勝",IF($V297&lt;0,"●負","△引分")))</f>
        <v/>
      </c>
    </row>
    <row r="298" spans="1:37" ht="17.25" customHeight="1">
      <c r="A298" s="621" t="str">
        <f>IF(B298="","",HYPERLINK("https://kabutan.jp/stock/?code="&amp;B298,"株探"))</f>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IF(OR(F298="",G298="",H298=""),"",IF(C298="売",(F298-H298)*G298,(H298-F298)*G298))</f>
        <v/>
      </c>
      <c r="L298" s="708" t="str">
        <f>IF(OR(F298="",H298=""),"",IF(C298="売",(F298-H298)/F298,(H298-F298)/F298))</f>
        <v/>
      </c>
      <c r="M298" s="598" t="str">
        <f>IF($F298="","",IF($C298="売",CEILING($F298*IF($C298="売",1-$AX$3,1+$AX$3),IF($F298*IF($C298="売",1-$AX$3,1+$AX$3)&lt;=3000,1,IF($F298*IF($C298="売",1-$AX$3,1+$AX$3)&lt;=5000,5,IF($F298*IF($C298="売",1-$AX$3,1+$AX$3)&lt;=30000,10,IF($F298*IF($C298="売",1-$AX$3,1+$AX$3)&lt;=50000,50,IF($F298*IF($C298="売",1-$AX$3,1+$AX$3)&lt;=300000,100,500)))))),FLOOR($F298*IF($C298="売",1-$AX$3,1+$AX$3),IF($F298*IF($C298="売",1-$AX$3,1+$AX$3)&lt;=3000,1,IF($F298*IF($C298="売",1-$AX$3,1+$AX$3)&lt;=5000,5,IF($F298*IF($C298="売",1-$AX$3,1+$AX$3)&lt;=30000,10,IF($F298*IF($C298="売",1-$AX$3,1+$AX$3)&lt;=50000,50,IF($F298*IF($C298="売",1-$AX$3,1+$AX$3)&lt;=300000,100,500))))))))</f>
      </c>
      <c r="N298" s="598" t="str">
        <f>IF($F298="","",IF($C298="売",CEILING($F298*IF($C298="売",1+$AX$2,1-$AX$2),IF($F298*IF($C298="売",1+$AX$2,1-$AX$2)&lt;=3000,1,IF($F298*IF($C298="売",1+$AX$2,1-$AX$2)&lt;=5000,5,IF($F298*IF($C298="売",1+$AX$2,1-$AX$2)&lt;=30000,10,IF($F298*IF($C298="売",1+$AX$2,1-$AX$2)&lt;=50000,50,IF($F298*IF($C298="売",1+$AX$2,1-$AX$2)&lt;=300000,100,500)))))),FLOOR($F298*IF($C298="売",1+$AX$2,1-$AX$2),IF($F298*IF($C298="売",1+$AX$2,1-$AX$2)&lt;=3000,1,IF($F298*IF($C298="売",1+$AX$2,1-$AX$2)&lt;=5000,5,IF($F298*IF($C298="売",1+$AX$2,1-$AX$2)&lt;=30000,10,IF($F298*IF($C298="売",1+$AX$2,1-$AX$2)&lt;=50000,50,IF($F298*IF($C298="売",1+$AX$2,1-$AX$2)&lt;=300000,100,500))))))))</f>
      </c>
      <c r="O298" s="478" t="str">
        <f>IF(OR($B298="",$F298="",$H298=""),"",IF($S298="✅売却済","―決済済―",IF($C298="売",IF($H298&lt;=$M298,"🟢利確",IF(AND($R298&lt;&gt;"",$H298&gt;=$R298),"🟠TRAIL決済",IF($H298&gt;=$N298,"🔴損切",IF($W298&gt;=$AX$5,"⏱時間決済",IF($H298&gt;=$F298*(1+$AX$2*0.7),"⚠️損切接近","保持継続"))))),IF($H298&gt;=$M298,"🟢利確",IF(AND($R298&lt;&gt;"",$H298&lt;=$R298),"🟠TRAIL決済",IF($H298&lt;=$N298,"🔴損切",IF($W298&gt;=$AX$5,"⏱時間決済",IF($H298&lt;=$F298*(1-$AX$2*0.7),"⚠️損切接近","保持継続")))))))</f>
      </c>
      <c r="P298" s="445"/>
      <c r="Q298" s="445"/>
      <c r="R298" s="480" t="str">
        <f>IF(OR($F298="",$H298="",$N298=""),"",IF($S298="✅売却済","",IF($C298="売",IF($H298&gt;$F298*(1-$AX$2),$N298,CEILING(MIN($N298,IF($Q298="",$N298,$Q298*1.03)),IF($N298&lt;=3000,1,IF($N298&lt;=5000,5,IF($N298&lt;=30000,10,IF($N298&lt;=50000,50,IF($N298&lt;=300000,100,500))))))),IF($H298&lt;$F298*(1+$AX$2),$N298,FLOOR(MAX($N298,IF($P298="",$N298,$P298*0.97)),IF($N298&lt;=3000,1,IF($N298&lt;=5000,5,IF($N298&lt;=30000,10,IF($N298&lt;=50000,50,IF($N298&lt;=300000,100,500))))))))))</f>
      </c>
      <c r="S298" s="480" t="str">
        <f>IF(B298="","",IF(T298&lt;&gt;"","✅売却済",IF(OR(H298="",L298=""),"📌保有中",IF(L298&gt;=0.06,"🟢利確推奨",IF(L298&gt;=0.05,"🟡利確直近",IF(L298&gt;=0.045,"🔵トレーリング検討",IF(L298&gt;-0.03,"📌保有中",IF(L298&gt;-0.04,"⚠️損切注意","🔴損切り"))))))))</f>
        <v/>
      </c>
      <c r="T298" s="596"/>
      <c r="U298" s="598"/>
      <c r="V298" s="703" t="str">
        <f>IF(OR(F298="",G298="",U298=""),"",IF(C298="売",(F298-U298)*G298,(U298-F298)*G298))</f>
        <v/>
      </c>
      <c r="W298" s="480" t="str">
        <f>IF(OR($E298="",$B298=""),"",IF($T298&lt;&gt;"",$T298-$E298,TODAY()-$E298)+1)</f>
        <v/>
      </c>
      <c r="X298" s="480" t="str">
        <f>IF(OR($AH298="",$AH298="保有中"),"",$AH298)</f>
        <v/>
      </c>
      <c r="Y298" s="488">
        <f>IF($B298="","",IF(COUNTIFS($B$4:$B298,$B298,$C$4:$C298,$C298)&gt;1,"⛔重複"&amp;COUNTIFS($B$4:$B298,$B298,$C$4:$C298,$C298)&amp;"回目",""))</f>
      </c>
      <c r="Z298" s="710"/>
      <c r="AB298">
        <f>IF($F298="","",MAX(100,ROUNDDOWN($AX$4/($F298*$AX$2)/100,0)*100))</f>
      </c>
      <c r="AC298">
        <f>IF(OR($F298="",$G298="",$U298=""),"",ROUND($V298-($F298+$U298)*$G298*$AX$6-IF($C298="売",$F298*$G298*$AX$7*$W298/365,0),0))</f>
      </c>
      <c r="AD298" s="608"/>
      <c r="AE298" s="600" t="str">
        <f>IF($E298="","",WORKDAY($E298,12))</f>
        <v/>
      </c>
      <c r="AF298" s="600"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0"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0" t="str">
        <f>IF(OR($B298="",$M298=""),"",IF(AND(N($AF298)=0,N($AG298)=0),IF(AND(ISNUMBER($H298),$H298&gt;0,IF($C298="売",$H298&gt;=$N298,$H298&lt;=$N298)),"損切確定",IF(AND(ISNUMBER($H298),$H298&gt;0,IF($C298="売",$H298&lt;=$M298,$H298&gt;=$M298)),"利益確定",IF($AE298&lt;=TODAY(),"日数制限","保有中"))),IF(N($AG298)=0,"利益確定",IF(N($AF298)=0,"損切確定",IF($AG298&lt;=$AF298,"損切確定","利益確定")))))</f>
        <v/>
      </c>
      <c r="AI298" s="600" t="str" cm="1">
        <f t="array" ref="AI298">IFERROR(INDEX(始値!$E$6:$BT$305,MATCH(TEXT($B298,"0"),TEXT(銘柄管理!$B$6:$B$305,"0"),0),MATCH($AE298,始値!$E$3:$BT$3,0)),"")</f>
        <v/>
      </c>
      <c r="AJ298" s="608" t="str">
        <f>IF(OR($V298="",$F298="",$G298=""),"",$V298/($F298*$G298))</f>
        <v/>
      </c>
      <c r="AK298" s="600" t="str">
        <f>IF($V298="","",IF($V298&gt;0,"○勝",IF($V298&lt;0,"●負","△引分")))</f>
        <v/>
      </c>
    </row>
    <row r="299" spans="1:37" ht="36" customHeight="1">
      <c r="A299" s="621" t="str">
        <f>IF(B299="","",HYPERLINK("https://kabutan.jp/stock/?code="&amp;B299,"株探"))</f>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IF(OR(F299="",G299="",H299=""),"",IF(C299="売",(F299-H299)*G299,(H299-F299)*G299))</f>
        <v/>
      </c>
      <c r="L299" s="708" t="str">
        <f>IF(OR(F299="",H299=""),"",IF(C299="売",(F299-H299)/F299,(H299-F299)/F299))</f>
        <v/>
      </c>
      <c r="M299" s="598" t="str">
        <f>IF($F299="","",IF($C299="売",CEILING($F299*IF($C299="売",1-$AX$3,1+$AX$3),IF($F299*IF($C299="売",1-$AX$3,1+$AX$3)&lt;=3000,1,IF($F299*IF($C299="売",1-$AX$3,1+$AX$3)&lt;=5000,5,IF($F299*IF($C299="売",1-$AX$3,1+$AX$3)&lt;=30000,10,IF($F299*IF($C299="売",1-$AX$3,1+$AX$3)&lt;=50000,50,IF($F299*IF($C299="売",1-$AX$3,1+$AX$3)&lt;=300000,100,500)))))),FLOOR($F299*IF($C299="売",1-$AX$3,1+$AX$3),IF($F299*IF($C299="売",1-$AX$3,1+$AX$3)&lt;=3000,1,IF($F299*IF($C299="売",1-$AX$3,1+$AX$3)&lt;=5000,5,IF($F299*IF($C299="売",1-$AX$3,1+$AX$3)&lt;=30000,10,IF($F299*IF($C299="売",1-$AX$3,1+$AX$3)&lt;=50000,50,IF($F299*IF($C299="売",1-$AX$3,1+$AX$3)&lt;=300000,100,500))))))))</f>
      </c>
      <c r="N299" s="598" t="str">
        <f>IF($F299="","",IF($C299="売",CEILING($F299*IF($C299="売",1+$AX$2,1-$AX$2),IF($F299*IF($C299="売",1+$AX$2,1-$AX$2)&lt;=3000,1,IF($F299*IF($C299="売",1+$AX$2,1-$AX$2)&lt;=5000,5,IF($F299*IF($C299="売",1+$AX$2,1-$AX$2)&lt;=30000,10,IF($F299*IF($C299="売",1+$AX$2,1-$AX$2)&lt;=50000,50,IF($F299*IF($C299="売",1+$AX$2,1-$AX$2)&lt;=300000,100,500)))))),FLOOR($F299*IF($C299="売",1+$AX$2,1-$AX$2),IF($F299*IF($C299="売",1+$AX$2,1-$AX$2)&lt;=3000,1,IF($F299*IF($C299="売",1+$AX$2,1-$AX$2)&lt;=5000,5,IF($F299*IF($C299="売",1+$AX$2,1-$AX$2)&lt;=30000,10,IF($F299*IF($C299="売",1+$AX$2,1-$AX$2)&lt;=50000,50,IF($F299*IF($C299="売",1+$AX$2,1-$AX$2)&lt;=300000,100,500))))))))</f>
      </c>
      <c r="O299" s="478" t="str">
        <f>IF(OR($B299="",$F299="",$H299=""),"",IF($S299="✅売却済","―決済済―",IF($C299="売",IF($H299&lt;=$M299,"🟢利確",IF(AND($R299&lt;&gt;"",$H299&gt;=$R299),"🟠TRAIL決済",IF($H299&gt;=$N299,"🔴損切",IF($W299&gt;=$AX$5,"⏱時間決済",IF($H299&gt;=$F299*(1+$AX$2*0.7),"⚠️損切接近","保持継続"))))),IF($H299&gt;=$M299,"🟢利確",IF(AND($R299&lt;&gt;"",$H299&lt;=$R299),"🟠TRAIL決済",IF($H299&lt;=$N299,"🔴損切",IF($W299&gt;=$AX$5,"⏱時間決済",IF($H299&lt;=$F299*(1-$AX$2*0.7),"⚠️損切接近","保持継続")))))))</f>
      </c>
      <c r="P299" s="445"/>
      <c r="Q299" s="445"/>
      <c r="R299" s="480" t="str">
        <f>IF(OR($F299="",$H299="",$N299=""),"",IF($S299="✅売却済","",IF($C299="売",IF($H299&gt;$F299*(1-$AX$2),$N299,CEILING(MIN($N299,IF($Q299="",$N299,$Q299*1.03)),IF($N299&lt;=3000,1,IF($N299&lt;=5000,5,IF($N299&lt;=30000,10,IF($N299&lt;=50000,50,IF($N299&lt;=300000,100,500))))))),IF($H299&lt;$F299*(1+$AX$2),$N299,FLOOR(MAX($N299,IF($P299="",$N299,$P299*0.97)),IF($N299&lt;=3000,1,IF($N299&lt;=5000,5,IF($N299&lt;=30000,10,IF($N299&lt;=50000,50,IF($N299&lt;=300000,100,500))))))))))</f>
      </c>
      <c r="S299" s="480" t="str">
        <f>IF(B299="","",IF(T299&lt;&gt;"","✅売却済",IF(OR(H299="",L299=""),"📌保有中",IF(L299&gt;=0.06,"🟢利確推奨",IF(L299&gt;=0.05,"🟡利確直近",IF(L299&gt;=0.045,"🔵トレーリング検討",IF(L299&gt;-0.03,"📌保有中",IF(L299&gt;-0.04,"⚠️損切注意","🔴損切り"))))))))</f>
        <v/>
      </c>
      <c r="T299" s="596"/>
      <c r="U299" s="598"/>
      <c r="V299" s="703" t="str">
        <f>IF(OR(F299="",G299="",U299=""),"",IF(C299="売",(F299-U299)*G299,(U299-F299)*G299))</f>
        <v/>
      </c>
      <c r="W299" s="480" t="str">
        <f>IF(OR($E299="",$B299=""),"",IF($T299&lt;&gt;"",$T299-$E299,TODAY()-$E299)+1)</f>
        <v/>
      </c>
      <c r="X299" s="480" t="str">
        <f>IF(OR($AH299="",$AH299="保有中"),"",$AH299)</f>
        <v/>
      </c>
      <c r="Y299" s="488">
        <f>IF($B299="","",IF(COUNTIFS($B$4:$B299,$B299,$C$4:$C299,$C299)&gt;1,"⛔重複"&amp;COUNTIFS($B$4:$B299,$B299,$C$4:$C299,$C299)&amp;"回目",""))</f>
      </c>
      <c r="Z299" s="710"/>
      <c r="AB299">
        <f>IF($F299="","",MAX(100,ROUNDDOWN($AX$4/($F299*$AX$2)/100,0)*100))</f>
      </c>
      <c r="AC299">
        <f>IF(OR($F299="",$G299="",$U299=""),"",ROUND($V299-($F299+$U299)*$G299*$AX$6-IF($C299="売",$F299*$G299*$AX$7*$W299/365,0),0))</f>
      </c>
      <c r="AD299" s="608"/>
      <c r="AE299" s="600" t="str">
        <f>IF($E299="","",WORKDAY($E299,12))</f>
        <v/>
      </c>
      <c r="AF299" s="600"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0"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0" t="str">
        <f>IF(OR($B299="",$M299=""),"",IF(AND(N($AF299)=0,N($AG299)=0),IF(AND(ISNUMBER($H299),$H299&gt;0,IF($C299="売",$H299&gt;=$N299,$H299&lt;=$N299)),"損切確定",IF(AND(ISNUMBER($H299),$H299&gt;0,IF($C299="売",$H299&lt;=$M299,$H299&gt;=$M299)),"利益確定",IF($AE299&lt;=TODAY(),"日数制限","保有中"))),IF(N($AG299)=0,"利益確定",IF(N($AF299)=0,"損切確定",IF($AG299&lt;=$AF299,"損切確定","利益確定")))))</f>
        <v/>
      </c>
      <c r="AI299" s="600" t="str" cm="1">
        <f t="array" ref="AI299">IFERROR(INDEX(始値!$E$6:$BT$305,MATCH(TEXT($B299,"0"),TEXT(銘柄管理!$B$6:$B$305,"0"),0),MATCH($AE299,始値!$E$3:$BT$3,0)),"")</f>
        <v/>
      </c>
      <c r="AJ299" s="608" t="str">
        <f>IF(OR($V299="",$F299="",$G299=""),"",$V299/($F299*$G299))</f>
        <v/>
      </c>
      <c r="AK299" s="600" t="str">
        <f>IF($V299="","",IF($V299&gt;0,"○勝",IF($V299&lt;0,"●負","△引分")))</f>
        <v/>
      </c>
    </row>
    <row r="300" spans="1:37" ht="37.799999999999997" customHeight="1">
      <c r="A300" s="621" t="str">
        <f>IF(B300="","",HYPERLINK("https://kabutan.jp/stock/?code="&amp;B300,"株探"))</f>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IF(OR(F300="",G300="",H300=""),"",IF(C300="売",(F300-H300)*G300,(H300-F300)*G300))</f>
        <v/>
      </c>
      <c r="L300" s="708" t="str">
        <f>IF(OR(F300="",H300=""),"",IF(C300="売",(F300-H300)/F300,(H300-F300)/F300))</f>
        <v/>
      </c>
      <c r="M300" s="598" t="str">
        <f>IF($F300="","",IF($C300="売",CEILING($F300*IF($C300="売",1-$AX$3,1+$AX$3),IF($F300*IF($C300="売",1-$AX$3,1+$AX$3)&lt;=3000,1,IF($F300*IF($C300="売",1-$AX$3,1+$AX$3)&lt;=5000,5,IF($F300*IF($C300="売",1-$AX$3,1+$AX$3)&lt;=30000,10,IF($F300*IF($C300="売",1-$AX$3,1+$AX$3)&lt;=50000,50,IF($F300*IF($C300="売",1-$AX$3,1+$AX$3)&lt;=300000,100,500)))))),FLOOR($F300*IF($C300="売",1-$AX$3,1+$AX$3),IF($F300*IF($C300="売",1-$AX$3,1+$AX$3)&lt;=3000,1,IF($F300*IF($C300="売",1-$AX$3,1+$AX$3)&lt;=5000,5,IF($F300*IF($C300="売",1-$AX$3,1+$AX$3)&lt;=30000,10,IF($F300*IF($C300="売",1-$AX$3,1+$AX$3)&lt;=50000,50,IF($F300*IF($C300="売",1-$AX$3,1+$AX$3)&lt;=300000,100,500))))))))</f>
      </c>
      <c r="N300" s="598" t="str">
        <f>IF($F300="","",IF($C300="売",CEILING($F300*IF($C300="売",1+$AX$2,1-$AX$2),IF($F300*IF($C300="売",1+$AX$2,1-$AX$2)&lt;=3000,1,IF($F300*IF($C300="売",1+$AX$2,1-$AX$2)&lt;=5000,5,IF($F300*IF($C300="売",1+$AX$2,1-$AX$2)&lt;=30000,10,IF($F300*IF($C300="売",1+$AX$2,1-$AX$2)&lt;=50000,50,IF($F300*IF($C300="売",1+$AX$2,1-$AX$2)&lt;=300000,100,500)))))),FLOOR($F300*IF($C300="売",1+$AX$2,1-$AX$2),IF($F300*IF($C300="売",1+$AX$2,1-$AX$2)&lt;=3000,1,IF($F300*IF($C300="売",1+$AX$2,1-$AX$2)&lt;=5000,5,IF($F300*IF($C300="売",1+$AX$2,1-$AX$2)&lt;=30000,10,IF($F300*IF($C300="売",1+$AX$2,1-$AX$2)&lt;=50000,50,IF($F300*IF($C300="売",1+$AX$2,1-$AX$2)&lt;=300000,100,500))))))))</f>
      </c>
      <c r="O300" s="478" t="str">
        <f>IF(OR($B300="",$F300="",$H300=""),"",IF($S300="✅売却済","―決済済―",IF($C300="売",IF($H300&lt;=$M300,"🟢利確",IF(AND($R300&lt;&gt;"",$H300&gt;=$R300),"🟠TRAIL決済",IF($H300&gt;=$N300,"🔴損切",IF($W300&gt;=$AX$5,"⏱時間決済",IF($H300&gt;=$F300*(1+$AX$2*0.7),"⚠️損切接近","保持継続"))))),IF($H300&gt;=$M300,"🟢利確",IF(AND($R300&lt;&gt;"",$H300&lt;=$R300),"🟠TRAIL決済",IF($H300&lt;=$N300,"🔴損切",IF($W300&gt;=$AX$5,"⏱時間決済",IF($H300&lt;=$F300*(1-$AX$2*0.7),"⚠️損切接近","保持継続")))))))</f>
      </c>
      <c r="P300" s="445"/>
      <c r="Q300" s="445"/>
      <c r="R300" s="480" t="str">
        <f>IF(OR($F300="",$H300="",$N300=""),"",IF($S300="✅売却済","",IF($C300="売",IF($H300&gt;$F300*(1-$AX$2),$N300,CEILING(MIN($N300,IF($Q300="",$N300,$Q300*1.03)),IF($N300&lt;=3000,1,IF($N300&lt;=5000,5,IF($N300&lt;=30000,10,IF($N300&lt;=50000,50,IF($N300&lt;=300000,100,500))))))),IF($H300&lt;$F300*(1+$AX$2),$N300,FLOOR(MAX($N300,IF($P300="",$N300,$P300*0.97)),IF($N300&lt;=3000,1,IF($N300&lt;=5000,5,IF($N300&lt;=30000,10,IF($N300&lt;=50000,50,IF($N300&lt;=300000,100,500))))))))))</f>
      </c>
      <c r="S300" s="480" t="str">
        <f>IF(B300="","",IF(T300&lt;&gt;"","✅売却済",IF(OR(H300="",L300=""),"📌保有中",IF(L300&gt;=0.06,"🟢利確推奨",IF(L300&gt;=0.05,"🟡利確直近",IF(L300&gt;=0.045,"🔵トレーリング検討",IF(L300&gt;-0.03,"📌保有中",IF(L300&gt;-0.04,"⚠️損切注意","🔴損切り"))))))))</f>
        <v/>
      </c>
      <c r="T300" s="596"/>
      <c r="U300" s="598"/>
      <c r="V300" s="703" t="str">
        <f>IF(OR(F300="",G300="",U300=""),"",IF(C300="売",(F300-U300)*G300,(U300-F300)*G300))</f>
        <v/>
      </c>
      <c r="W300" s="480" t="str">
        <f>IF(OR($E300="",$B300=""),"",IF($T300&lt;&gt;"",$T300-$E300,TODAY()-$E300)+1)</f>
        <v/>
      </c>
      <c r="X300" s="480" t="str">
        <f>IF(OR($AH300="",$AH300="保有中"),"",$AH300)</f>
        <v/>
      </c>
      <c r="Y300" s="488">
        <f>IF($B300="","",IF(COUNTIFS($B$4:$B300,$B300,$C$4:$C300,$C300)&gt;1,"⛔重複"&amp;COUNTIFS($B$4:$B300,$B300,$C$4:$C300,$C300)&amp;"回目",""))</f>
      </c>
      <c r="Z300" s="710"/>
      <c r="AB300">
        <f>IF($F300="","",MAX(100,ROUNDDOWN($AX$4/($F300*$AX$2)/100,0)*100))</f>
      </c>
      <c r="AC300">
        <f>IF(OR($F300="",$G300="",$U300=""),"",ROUND($V300-($F300+$U300)*$G300*$AX$6-IF($C300="売",$F300*$G300*$AX$7*$W300/365,0),0))</f>
      </c>
      <c r="AD300" s="608"/>
      <c r="AE300" s="600" t="str">
        <f>IF($E300="","",WORKDAY($E300,12))</f>
        <v/>
      </c>
      <c r="AF300" s="600"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0"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0" t="str">
        <f>IF(OR($B300="",$M300=""),"",IF(AND(N($AF300)=0,N($AG300)=0),IF(AND(ISNUMBER($H300),$H300&gt;0,IF($C300="売",$H300&gt;=$N300,$H300&lt;=$N300)),"損切確定",IF(AND(ISNUMBER($H300),$H300&gt;0,IF($C300="売",$H300&lt;=$M300,$H300&gt;=$M300)),"利益確定",IF($AE300&lt;=TODAY(),"日数制限","保有中"))),IF(N($AG300)=0,"利益確定",IF(N($AF300)=0,"損切確定",IF($AG300&lt;=$AF300,"損切確定","利益確定")))))</f>
        <v/>
      </c>
      <c r="AI300" s="600" t="str" cm="1">
        <f t="array" ref="AI300">IFERROR(INDEX(始値!$E$6:$BT$305,MATCH(TEXT($B300,"0"),TEXT(銘柄管理!$B$6:$B$305,"0"),0),MATCH($AE300,始値!$E$3:$BT$3,0)),"")</f>
        <v/>
      </c>
      <c r="AJ300" s="608" t="str">
        <f>IF(OR($V300="",$F300="",$G300=""),"",$V300/($F300*$G300))</f>
        <v/>
      </c>
      <c r="AK300" s="600" t="str">
        <f>IF($V300="","",IF($V300&gt;0,"○勝",IF($V300&lt;0,"●負","△引分")))</f>
        <v/>
      </c>
    </row>
    <row r="301" spans="1:37" ht="17.25" customHeight="1">
      <c r="A301" s="621" t="str">
        <f>IF(B301="","",HYPERLINK("https://kabutan.jp/stock/?code="&amp;B301,"株探"))</f>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IF(OR(F301="",G301="",H301=""),"",IF(C301="売",(F301-H301)*G301,(H301-F301)*G301))</f>
        <v/>
      </c>
      <c r="L301" s="708" t="str">
        <f>IF(OR(F301="",H301=""),"",IF(C301="売",(F301-H301)/F301,(H301-F301)/F301))</f>
        <v/>
      </c>
      <c r="M301" s="598" t="str">
        <f>IF($F301="","",IF($C301="売",CEILING($F301*IF($C301="売",1-$AX$3,1+$AX$3),IF($F301*IF($C301="売",1-$AX$3,1+$AX$3)&lt;=3000,1,IF($F301*IF($C301="売",1-$AX$3,1+$AX$3)&lt;=5000,5,IF($F301*IF($C301="売",1-$AX$3,1+$AX$3)&lt;=30000,10,IF($F301*IF($C301="売",1-$AX$3,1+$AX$3)&lt;=50000,50,IF($F301*IF($C301="売",1-$AX$3,1+$AX$3)&lt;=300000,100,500)))))),FLOOR($F301*IF($C301="売",1-$AX$3,1+$AX$3),IF($F301*IF($C301="売",1-$AX$3,1+$AX$3)&lt;=3000,1,IF($F301*IF($C301="売",1-$AX$3,1+$AX$3)&lt;=5000,5,IF($F301*IF($C301="売",1-$AX$3,1+$AX$3)&lt;=30000,10,IF($F301*IF($C301="売",1-$AX$3,1+$AX$3)&lt;=50000,50,IF($F301*IF($C301="売",1-$AX$3,1+$AX$3)&lt;=300000,100,500))))))))</f>
      </c>
      <c r="N301" s="598" t="str">
        <f>IF($F301="","",IF($C301="売",CEILING($F301*IF($C301="売",1+$AX$2,1-$AX$2),IF($F301*IF($C301="売",1+$AX$2,1-$AX$2)&lt;=3000,1,IF($F301*IF($C301="売",1+$AX$2,1-$AX$2)&lt;=5000,5,IF($F301*IF($C301="売",1+$AX$2,1-$AX$2)&lt;=30000,10,IF($F301*IF($C301="売",1+$AX$2,1-$AX$2)&lt;=50000,50,IF($F301*IF($C301="売",1+$AX$2,1-$AX$2)&lt;=300000,100,500)))))),FLOOR($F301*IF($C301="売",1+$AX$2,1-$AX$2),IF($F301*IF($C301="売",1+$AX$2,1-$AX$2)&lt;=3000,1,IF($F301*IF($C301="売",1+$AX$2,1-$AX$2)&lt;=5000,5,IF($F301*IF($C301="売",1+$AX$2,1-$AX$2)&lt;=30000,10,IF($F301*IF($C301="売",1+$AX$2,1-$AX$2)&lt;=50000,50,IF($F301*IF($C301="売",1+$AX$2,1-$AX$2)&lt;=300000,100,500))))))))</f>
      </c>
      <c r="O301" s="478" t="str">
        <f>IF(OR($B301="",$F301="",$H301=""),"",IF($S301="✅売却済","―決済済―",IF($C301="売",IF($H301&lt;=$M301,"🟢利確",IF(AND($R301&lt;&gt;"",$H301&gt;=$R301),"🟠TRAIL決済",IF($H301&gt;=$N301,"🔴損切",IF($W301&gt;=$AX$5,"⏱時間決済",IF($H301&gt;=$F301*(1+$AX$2*0.7),"⚠️損切接近","保持継続"))))),IF($H301&gt;=$M301,"🟢利確",IF(AND($R301&lt;&gt;"",$H301&lt;=$R301),"🟠TRAIL決済",IF($H301&lt;=$N301,"🔴損切",IF($W301&gt;=$AX$5,"⏱時間決済",IF($H301&lt;=$F301*(1-$AX$2*0.7),"⚠️損切接近","保持継続")))))))</f>
      </c>
      <c r="P301" s="445"/>
      <c r="Q301" s="445"/>
      <c r="R301" s="480" t="str">
        <f>IF(OR($F301="",$H301="",$N301=""),"",IF($S301="✅売却済","",IF($C301="売",IF($H301&gt;$F301*(1-$AX$2),$N301,CEILING(MIN($N301,IF($Q301="",$N301,$Q301*1.03)),IF($N301&lt;=3000,1,IF($N301&lt;=5000,5,IF($N301&lt;=30000,10,IF($N301&lt;=50000,50,IF($N301&lt;=300000,100,500))))))),IF($H301&lt;$F301*(1+$AX$2),$N301,FLOOR(MAX($N301,IF($P301="",$N301,$P301*0.97)),IF($N301&lt;=3000,1,IF($N301&lt;=5000,5,IF($N301&lt;=30000,10,IF($N301&lt;=50000,50,IF($N301&lt;=300000,100,500))))))))))</f>
      </c>
      <c r="S301" s="480" t="str">
        <f>IF(B301="","",IF(T301&lt;&gt;"","✅売却済",IF(OR(H301="",L301=""),"📌保有中",IF(L301&gt;=0.06,"🟢利確推奨",IF(L301&gt;=0.05,"🟡利確直近",IF(L301&gt;=0.045,"🔵トレーリング検討",IF(L301&gt;-0.03,"📌保有中",IF(L301&gt;-0.04,"⚠️損切注意","🔴損切り"))))))))</f>
        <v/>
      </c>
      <c r="T301" s="596"/>
      <c r="U301" s="598"/>
      <c r="V301" s="703" t="str">
        <f>IF(OR(F301="",G301="",U301=""),"",IF(C301="売",(F301-U301)*G301,(U301-F301)*G301))</f>
        <v/>
      </c>
      <c r="W301" s="480" t="str">
        <f>IF(OR($E301="",$B301=""),"",IF($T301&lt;&gt;"",$T301-$E301,TODAY()-$E301)+1)</f>
        <v/>
      </c>
      <c r="X301" s="480" t="str">
        <f>IF(OR($AH301="",$AH301="保有中"),"",$AH301)</f>
        <v/>
      </c>
      <c r="Y301" s="488">
        <f>IF($B301="","",IF(COUNTIFS($B$4:$B301,$B301,$C$4:$C301,$C301)&gt;1,"⛔重複"&amp;COUNTIFS($B$4:$B301,$B301,$C$4:$C301,$C301)&amp;"回目",""))</f>
      </c>
      <c r="Z301" s="710"/>
      <c r="AB301">
        <f>IF($F301="","",MAX(100,ROUNDDOWN($AX$4/($F301*$AX$2)/100,0)*100))</f>
      </c>
      <c r="AC301">
        <f>IF(OR($F301="",$G301="",$U301=""),"",ROUND($V301-($F301+$U301)*$G301*$AX$6-IF($C301="売",$F301*$G301*$AX$7*$W301/365,0),0))</f>
      </c>
      <c r="AD301" s="608"/>
      <c r="AE301" s="600" t="str">
        <f>IF($E301="","",WORKDAY($E301,12))</f>
        <v/>
      </c>
      <c r="AF301" s="600"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0"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0" t="str">
        <f>IF(OR($B301="",$M301=""),"",IF(AND(N($AF301)=0,N($AG301)=0),IF(AND(ISNUMBER($H301),$H301&gt;0,IF($C301="売",$H301&gt;=$N301,$H301&lt;=$N301)),"損切確定",IF(AND(ISNUMBER($H301),$H301&gt;0,IF($C301="売",$H301&lt;=$M301,$H301&gt;=$M301)),"利益確定",IF($AE301&lt;=TODAY(),"日数制限","保有中"))),IF(N($AG301)=0,"利益確定",IF(N($AF301)=0,"損切確定",IF($AG301&lt;=$AF301,"損切確定","利益確定")))))</f>
        <v/>
      </c>
      <c r="AI301" s="600" t="str" cm="1">
        <f t="array" ref="AI301">IFERROR(INDEX(始値!$E$6:$BT$305,MATCH(TEXT($B301,"0"),TEXT(銘柄管理!$B$6:$B$305,"0"),0),MATCH($AE301,始値!$E$3:$BT$3,0)),"")</f>
        <v/>
      </c>
      <c r="AJ301" s="608" t="str">
        <f>IF(OR($V301="",$F301="",$G301=""),"",$V301/($F301*$G301))</f>
        <v/>
      </c>
      <c r="AK301" s="600" t="str">
        <f>IF($V301="","",IF($V301&gt;0,"○勝",IF($V301&lt;0,"●負","△引分")))</f>
        <v/>
      </c>
    </row>
    <row r="302" spans="1:37" ht="17.25" customHeight="1">
      <c r="A302" s="621" t="str">
        <f>IF(B302="","",HYPERLINK("https://kabutan.jp/stock/?code="&amp;B302,"株探"))</f>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IF(OR(F302="",G302="",H302=""),"",IF(C302="売",(F302-H302)*G302,(H302-F302)*G302))</f>
        <v/>
      </c>
      <c r="L302" s="708" t="str">
        <f>IF(OR(F302="",H302=""),"",IF(C302="売",(F302-H302)/F302,(H302-F302)/F302))</f>
        <v/>
      </c>
      <c r="M302" s="598" t="str">
        <f>IF($F302="","",IF($C302="売",CEILING($F302*IF($C302="売",1-$AX$3,1+$AX$3),IF($F302*IF($C302="売",1-$AX$3,1+$AX$3)&lt;=3000,1,IF($F302*IF($C302="売",1-$AX$3,1+$AX$3)&lt;=5000,5,IF($F302*IF($C302="売",1-$AX$3,1+$AX$3)&lt;=30000,10,IF($F302*IF($C302="売",1-$AX$3,1+$AX$3)&lt;=50000,50,IF($F302*IF($C302="売",1-$AX$3,1+$AX$3)&lt;=300000,100,500)))))),FLOOR($F302*IF($C302="売",1-$AX$3,1+$AX$3),IF($F302*IF($C302="売",1-$AX$3,1+$AX$3)&lt;=3000,1,IF($F302*IF($C302="売",1-$AX$3,1+$AX$3)&lt;=5000,5,IF($F302*IF($C302="売",1-$AX$3,1+$AX$3)&lt;=30000,10,IF($F302*IF($C302="売",1-$AX$3,1+$AX$3)&lt;=50000,50,IF($F302*IF($C302="売",1-$AX$3,1+$AX$3)&lt;=300000,100,500))))))))</f>
      </c>
      <c r="N302" s="598" t="str">
        <f>IF($F302="","",IF($C302="売",CEILING($F302*IF($C302="売",1+$AX$2,1-$AX$2),IF($F302*IF($C302="売",1+$AX$2,1-$AX$2)&lt;=3000,1,IF($F302*IF($C302="売",1+$AX$2,1-$AX$2)&lt;=5000,5,IF($F302*IF($C302="売",1+$AX$2,1-$AX$2)&lt;=30000,10,IF($F302*IF($C302="売",1+$AX$2,1-$AX$2)&lt;=50000,50,IF($F302*IF($C302="売",1+$AX$2,1-$AX$2)&lt;=300000,100,500)))))),FLOOR($F302*IF($C302="売",1+$AX$2,1-$AX$2),IF($F302*IF($C302="売",1+$AX$2,1-$AX$2)&lt;=3000,1,IF($F302*IF($C302="売",1+$AX$2,1-$AX$2)&lt;=5000,5,IF($F302*IF($C302="売",1+$AX$2,1-$AX$2)&lt;=30000,10,IF($F302*IF($C302="売",1+$AX$2,1-$AX$2)&lt;=50000,50,IF($F302*IF($C302="売",1+$AX$2,1-$AX$2)&lt;=300000,100,500))))))))</f>
      </c>
      <c r="O302" s="478" t="str">
        <f>IF(OR($B302="",$F302="",$H302=""),"",IF($S302="✅売却済","―決済済―",IF($C302="売",IF($H302&lt;=$M302,"🟢利確",IF(AND($R302&lt;&gt;"",$H302&gt;=$R302),"🟠TRAIL決済",IF($H302&gt;=$N302,"🔴損切",IF($W302&gt;=$AX$5,"⏱時間決済",IF($H302&gt;=$F302*(1+$AX$2*0.7),"⚠️損切接近","保持継続"))))),IF($H302&gt;=$M302,"🟢利確",IF(AND($R302&lt;&gt;"",$H302&lt;=$R302),"🟠TRAIL決済",IF($H302&lt;=$N302,"🔴損切",IF($W302&gt;=$AX$5,"⏱時間決済",IF($H302&lt;=$F302*(1-$AX$2*0.7),"⚠️損切接近","保持継続")))))))</f>
      </c>
      <c r="P302" s="445"/>
      <c r="Q302" s="445"/>
      <c r="R302" s="480" t="str">
        <f>IF(OR($F302="",$H302="",$N302=""),"",IF($S302="✅売却済","",IF($C302="売",IF($H302&gt;$F302*(1-$AX$2),$N302,CEILING(MIN($N302,IF($Q302="",$N302,$Q302*1.03)),IF($N302&lt;=3000,1,IF($N302&lt;=5000,5,IF($N302&lt;=30000,10,IF($N302&lt;=50000,50,IF($N302&lt;=300000,100,500))))))),IF($H302&lt;$F302*(1+$AX$2),$N302,FLOOR(MAX($N302,IF($P302="",$N302,$P302*0.97)),IF($N302&lt;=3000,1,IF($N302&lt;=5000,5,IF($N302&lt;=30000,10,IF($N302&lt;=50000,50,IF($N302&lt;=300000,100,500))))))))))</f>
      </c>
      <c r="S302" s="480" t="str">
        <f>IF(B302="","",IF(T302&lt;&gt;"","✅売却済",IF(OR(H302="",L302=""),"📌保有中",IF(L302&gt;=0.06,"🟢利確推奨",IF(L302&gt;=0.05,"🟡利確直近",IF(L302&gt;=0.045,"🔵トレーリング検討",IF(L302&gt;-0.03,"📌保有中",IF(L302&gt;-0.04,"⚠️損切注意","🔴損切り"))))))))</f>
        <v/>
      </c>
      <c r="T302" s="596"/>
      <c r="U302" s="598"/>
      <c r="V302" s="703" t="str">
        <f>IF(OR(F302="",G302="",U302=""),"",IF(C302="売",(F302-U302)*G302,(U302-F302)*G302))</f>
        <v/>
      </c>
      <c r="W302" s="480" t="str">
        <f>IF(OR($E302="",$B302=""),"",IF($T302&lt;&gt;"",$T302-$E302,TODAY()-$E302)+1)</f>
        <v/>
      </c>
      <c r="X302" s="480" t="str">
        <f>IF(OR($AH302="",$AH302="保有中"),"",$AH302)</f>
        <v/>
      </c>
      <c r="Y302" s="488">
        <f>IF($B302="","",IF(COUNTIFS($B$4:$B302,$B302,$C$4:$C302,$C302)&gt;1,"⛔重複"&amp;COUNTIFS($B$4:$B302,$B302,$C$4:$C302,$C302)&amp;"回目",""))</f>
      </c>
      <c r="Z302" s="710"/>
      <c r="AB302">
        <f>IF($F302="","",MAX(100,ROUNDDOWN($AX$4/($F302*$AX$2)/100,0)*100))</f>
      </c>
      <c r="AC302">
        <f>IF(OR($F302="",$G302="",$U302=""),"",ROUND($V302-($F302+$U302)*$G302*$AX$6-IF($C302="売",$F302*$G302*$AX$7*$W302/365,0),0))</f>
      </c>
      <c r="AD302" s="608"/>
      <c r="AE302" s="600" t="str">
        <f>IF($E302="","",WORKDAY($E302,12))</f>
        <v/>
      </c>
      <c r="AF302" s="600"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0"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0" t="str">
        <f>IF(OR($B302="",$M302=""),"",IF(AND(N($AF302)=0,N($AG302)=0),IF(AND(ISNUMBER($H302),$H302&gt;0,IF($C302="売",$H302&gt;=$N302,$H302&lt;=$N302)),"損切確定",IF(AND(ISNUMBER($H302),$H302&gt;0,IF($C302="売",$H302&lt;=$M302,$H302&gt;=$M302)),"利益確定",IF($AE302&lt;=TODAY(),"日数制限","保有中"))),IF(N($AG302)=0,"利益確定",IF(N($AF302)=0,"損切確定",IF($AG302&lt;=$AF302,"損切確定","利益確定")))))</f>
        <v/>
      </c>
      <c r="AI302" s="600" t="str" cm="1">
        <f t="array" ref="AI302">IFERROR(INDEX(始値!$E$6:$BT$305,MATCH(TEXT($B302,"0"),TEXT(銘柄管理!$B$6:$B$305,"0"),0),MATCH($AE302,始値!$E$3:$BT$3,0)),"")</f>
        <v/>
      </c>
      <c r="AJ302" s="608" t="str">
        <f>IF(OR($V302="",$F302="",$G302=""),"",$V302/($F302*$G302))</f>
        <v/>
      </c>
      <c r="AK302" s="600" t="str">
        <f>IF($V302="","",IF($V302&gt;0,"○勝",IF($V302&lt;0,"●負","△引分")))</f>
        <v/>
      </c>
    </row>
    <row r="303" spans="1:37" ht="17.25" customHeight="1">
      <c r="A303" s="621" t="str">
        <f>IF(B303="","",HYPERLINK("https://kabutan.jp/stock/?code="&amp;B303,"株探"))</f>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IF(OR(F303="",G303="",H303=""),"",IF(C303="売",(F303-H303)*G303,(H303-F303)*G303))</f>
        <v/>
      </c>
      <c r="L303" s="708" t="str">
        <f>IF(OR(F303="",H303=""),"",IF(C303="売",(F303-H303)/F303,(H303-F303)/F303))</f>
        <v/>
      </c>
      <c r="M303" s="598" t="str">
        <f>IF($F303="","",IF($C303="売",CEILING($F303*IF($C303="売",1-$AX$3,1+$AX$3),IF($F303*IF($C303="売",1-$AX$3,1+$AX$3)&lt;=3000,1,IF($F303*IF($C303="売",1-$AX$3,1+$AX$3)&lt;=5000,5,IF($F303*IF($C303="売",1-$AX$3,1+$AX$3)&lt;=30000,10,IF($F303*IF($C303="売",1-$AX$3,1+$AX$3)&lt;=50000,50,IF($F303*IF($C303="売",1-$AX$3,1+$AX$3)&lt;=300000,100,500)))))),FLOOR($F303*IF($C303="売",1-$AX$3,1+$AX$3),IF($F303*IF($C303="売",1-$AX$3,1+$AX$3)&lt;=3000,1,IF($F303*IF($C303="売",1-$AX$3,1+$AX$3)&lt;=5000,5,IF($F303*IF($C303="売",1-$AX$3,1+$AX$3)&lt;=30000,10,IF($F303*IF($C303="売",1-$AX$3,1+$AX$3)&lt;=50000,50,IF($F303*IF($C303="売",1-$AX$3,1+$AX$3)&lt;=300000,100,500))))))))</f>
      </c>
      <c r="N303" s="598" t="str">
        <f>IF($F303="","",IF($C303="売",CEILING($F303*IF($C303="売",1+$AX$2,1-$AX$2),IF($F303*IF($C303="売",1+$AX$2,1-$AX$2)&lt;=3000,1,IF($F303*IF($C303="売",1+$AX$2,1-$AX$2)&lt;=5000,5,IF($F303*IF($C303="売",1+$AX$2,1-$AX$2)&lt;=30000,10,IF($F303*IF($C303="売",1+$AX$2,1-$AX$2)&lt;=50000,50,IF($F303*IF($C303="売",1+$AX$2,1-$AX$2)&lt;=300000,100,500)))))),FLOOR($F303*IF($C303="売",1+$AX$2,1-$AX$2),IF($F303*IF($C303="売",1+$AX$2,1-$AX$2)&lt;=3000,1,IF($F303*IF($C303="売",1+$AX$2,1-$AX$2)&lt;=5000,5,IF($F303*IF($C303="売",1+$AX$2,1-$AX$2)&lt;=30000,10,IF($F303*IF($C303="売",1+$AX$2,1-$AX$2)&lt;=50000,50,IF($F303*IF($C303="売",1+$AX$2,1-$AX$2)&lt;=300000,100,500))))))))</f>
      </c>
      <c r="O303" s="478" t="str">
        <f>IF(OR($B303="",$F303="",$H303=""),"",IF($S303="✅売却済","―決済済―",IF($C303="売",IF($H303&lt;=$M303,"🟢利確",IF(AND($R303&lt;&gt;"",$H303&gt;=$R303),"🟠TRAIL決済",IF($H303&gt;=$N303,"🔴損切",IF($W303&gt;=$AX$5,"⏱時間決済",IF($H303&gt;=$F303*(1+$AX$2*0.7),"⚠️損切接近","保持継続"))))),IF($H303&gt;=$M303,"🟢利確",IF(AND($R303&lt;&gt;"",$H303&lt;=$R303),"🟠TRAIL決済",IF($H303&lt;=$N303,"🔴損切",IF($W303&gt;=$AX$5,"⏱時間決済",IF($H303&lt;=$F303*(1-$AX$2*0.7),"⚠️損切接近","保持継続")))))))</f>
      </c>
      <c r="P303" s="445"/>
      <c r="Q303" s="445"/>
      <c r="R303" s="480" t="str">
        <f>IF(OR($F303="",$H303="",$N303=""),"",IF($S303="✅売却済","",IF($C303="売",IF($H303&gt;$F303*(1-$AX$2),$N303,CEILING(MIN($N303,IF($Q303="",$N303,$Q303*1.03)),IF($N303&lt;=3000,1,IF($N303&lt;=5000,5,IF($N303&lt;=30000,10,IF($N303&lt;=50000,50,IF($N303&lt;=300000,100,500))))))),IF($H303&lt;$F303*(1+$AX$2),$N303,FLOOR(MAX($N303,IF($P303="",$N303,$P303*0.97)),IF($N303&lt;=3000,1,IF($N303&lt;=5000,5,IF($N303&lt;=30000,10,IF($N303&lt;=50000,50,IF($N303&lt;=300000,100,500))))))))))</f>
      </c>
      <c r="S303" s="480" t="str">
        <f>IF(B303="","",IF(T303&lt;&gt;"","✅売却済",IF(OR(H303="",L303=""),"📌保有中",IF(L303&gt;=0.06,"🟢利確推奨",IF(L303&gt;=0.05,"🟡利確直近",IF(L303&gt;=0.045,"🔵トレーリング検討",IF(L303&gt;-0.03,"📌保有中",IF(L303&gt;-0.04,"⚠️損切注意","🔴損切り"))))))))</f>
        <v/>
      </c>
      <c r="T303" s="596"/>
      <c r="U303" s="598"/>
      <c r="V303" s="703" t="str">
        <f>IF(OR(F303="",G303="",U303=""),"",IF(C303="売",(F303-U303)*G303,(U303-F303)*G303))</f>
        <v/>
      </c>
      <c r="W303" s="480" t="str">
        <f>IF(OR($E303="",$B303=""),"",IF($T303&lt;&gt;"",$T303-$E303,TODAY()-$E303)+1)</f>
        <v/>
      </c>
      <c r="X303" s="480" t="str">
        <f>IF(OR($AH303="",$AH303="保有中"),"",$AH303)</f>
        <v/>
      </c>
      <c r="Y303" s="488">
        <f>IF($B303="","",IF(COUNTIFS($B$4:$B303,$B303,$C$4:$C303,$C303)&gt;1,"⛔重複"&amp;COUNTIFS($B$4:$B303,$B303,$C$4:$C303,$C303)&amp;"回目",""))</f>
      </c>
      <c r="Z303" s="710"/>
      <c r="AB303">
        <f>IF($F303="","",MAX(100,ROUNDDOWN($AX$4/($F303*$AX$2)/100,0)*100))</f>
      </c>
      <c r="AC303">
        <f>IF(OR($F303="",$G303="",$U303=""),"",ROUND($V303-($F303+$U303)*$G303*$AX$6-IF($C303="売",$F303*$G303*$AX$7*$W303/365,0),0))</f>
      </c>
      <c r="AD303" s="608"/>
      <c r="AE303" s="600" t="str">
        <f>IF($E303="","",WORKDAY($E303,12))</f>
        <v/>
      </c>
      <c r="AF303" s="600"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0"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0" t="str">
        <f>IF(OR($B303="",$M303=""),"",IF(AND(N($AF303)=0,N($AG303)=0),IF(AND(ISNUMBER($H303),$H303&gt;0,IF($C303="売",$H303&gt;=$N303,$H303&lt;=$N303)),"損切確定",IF(AND(ISNUMBER($H303),$H303&gt;0,IF($C303="売",$H303&lt;=$M303,$H303&gt;=$M303)),"利益確定",IF($AE303&lt;=TODAY(),"日数制限","保有中"))),IF(N($AG303)=0,"利益確定",IF(N($AF303)=0,"損切確定",IF($AG303&lt;=$AF303,"損切確定","利益確定")))))</f>
        <v/>
      </c>
      <c r="AI303" s="600" t="str" cm="1">
        <f t="array" ref="AI303">IFERROR(INDEX(始値!$E$6:$BT$305,MATCH(TEXT($B303,"0"),TEXT(銘柄管理!$B$6:$B$305,"0"),0),MATCH($AE303,始値!$E$3:$BT$3,0)),"")</f>
        <v/>
      </c>
      <c r="AJ303" s="608" t="str">
        <f>IF(OR($V303="",$F303="",$G303=""),"",$V303/($F303*$G303))</f>
        <v/>
      </c>
      <c r="AK303" s="600" t="str">
        <f>IF($V303="","",IF($V303&gt;0,"○勝",IF($V303&lt;0,"●負","△引分")))</f>
        <v/>
      </c>
    </row>
    <row r="304" spans="1:37" ht="17.25" customHeight="1">
      <c r="A304" s="621" t="str">
        <f>IF(B304="","",HYPERLINK("https://kabutan.jp/stock/?code="&amp;B304,"株探"))</f>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IF(OR(F304="",G304="",H304=""),"",IF(C304="売",(F304-H304)*G304,(H304-F304)*G304))</f>
        <v/>
      </c>
      <c r="L304" s="708" t="str">
        <f>IF(OR(F304="",H304=""),"",IF(C304="売",(F304-H304)/F304,(H304-F304)/F304))</f>
        <v/>
      </c>
      <c r="M304" s="598" t="str">
        <f>IF($F304="","",IF($C304="売",CEILING($F304*IF($C304="売",1-$AX$3,1+$AX$3),IF($F304*IF($C304="売",1-$AX$3,1+$AX$3)&lt;=3000,1,IF($F304*IF($C304="売",1-$AX$3,1+$AX$3)&lt;=5000,5,IF($F304*IF($C304="売",1-$AX$3,1+$AX$3)&lt;=30000,10,IF($F304*IF($C304="売",1-$AX$3,1+$AX$3)&lt;=50000,50,IF($F304*IF($C304="売",1-$AX$3,1+$AX$3)&lt;=300000,100,500)))))),FLOOR($F304*IF($C304="売",1-$AX$3,1+$AX$3),IF($F304*IF($C304="売",1-$AX$3,1+$AX$3)&lt;=3000,1,IF($F304*IF($C304="売",1-$AX$3,1+$AX$3)&lt;=5000,5,IF($F304*IF($C304="売",1-$AX$3,1+$AX$3)&lt;=30000,10,IF($F304*IF($C304="売",1-$AX$3,1+$AX$3)&lt;=50000,50,IF($F304*IF($C304="売",1-$AX$3,1+$AX$3)&lt;=300000,100,500))))))))</f>
      </c>
      <c r="N304" s="598" t="str">
        <f>IF($F304="","",IF($C304="売",CEILING($F304*IF($C304="売",1+$AX$2,1-$AX$2),IF($F304*IF($C304="売",1+$AX$2,1-$AX$2)&lt;=3000,1,IF($F304*IF($C304="売",1+$AX$2,1-$AX$2)&lt;=5000,5,IF($F304*IF($C304="売",1+$AX$2,1-$AX$2)&lt;=30000,10,IF($F304*IF($C304="売",1+$AX$2,1-$AX$2)&lt;=50000,50,IF($F304*IF($C304="売",1+$AX$2,1-$AX$2)&lt;=300000,100,500)))))),FLOOR($F304*IF($C304="売",1+$AX$2,1-$AX$2),IF($F304*IF($C304="売",1+$AX$2,1-$AX$2)&lt;=3000,1,IF($F304*IF($C304="売",1+$AX$2,1-$AX$2)&lt;=5000,5,IF($F304*IF($C304="売",1+$AX$2,1-$AX$2)&lt;=30000,10,IF($F304*IF($C304="売",1+$AX$2,1-$AX$2)&lt;=50000,50,IF($F304*IF($C304="売",1+$AX$2,1-$AX$2)&lt;=300000,100,500))))))))</f>
      </c>
      <c r="O304" s="478" t="str">
        <f>IF(OR($B304="",$F304="",$H304=""),"",IF($S304="✅売却済","―決済済―",IF($C304="売",IF($H304&lt;=$M304,"🟢利確",IF(AND($R304&lt;&gt;"",$H304&gt;=$R304),"🟠TRAIL決済",IF($H304&gt;=$N304,"🔴損切",IF($W304&gt;=$AX$5,"⏱時間決済",IF($H304&gt;=$F304*(1+$AX$2*0.7),"⚠️損切接近","保持継続"))))),IF($H304&gt;=$M304,"🟢利確",IF(AND($R304&lt;&gt;"",$H304&lt;=$R304),"🟠TRAIL決済",IF($H304&lt;=$N304,"🔴損切",IF($W304&gt;=$AX$5,"⏱時間決済",IF($H304&lt;=$F304*(1-$AX$2*0.7),"⚠️損切接近","保持継続")))))))</f>
      </c>
      <c r="P304" s="445"/>
      <c r="Q304" s="445"/>
      <c r="R304" s="480" t="str">
        <f>IF(OR($F304="",$H304="",$N304=""),"",IF($S304="✅売却済","",IF($C304="売",IF($H304&gt;$F304*(1-$AX$2),$N304,CEILING(MIN($N304,IF($Q304="",$N304,$Q304*1.03)),IF($N304&lt;=3000,1,IF($N304&lt;=5000,5,IF($N304&lt;=30000,10,IF($N304&lt;=50000,50,IF($N304&lt;=300000,100,500))))))),IF($H304&lt;$F304*(1+$AX$2),$N304,FLOOR(MAX($N304,IF($P304="",$N304,$P304*0.97)),IF($N304&lt;=3000,1,IF($N304&lt;=5000,5,IF($N304&lt;=30000,10,IF($N304&lt;=50000,50,IF($N304&lt;=300000,100,500))))))))))</f>
      </c>
      <c r="S304" s="480" t="str">
        <f>IF(B304="","",IF(T304&lt;&gt;"","✅売却済",IF(OR(H304="",L304=""),"📌保有中",IF(L304&gt;=0.06,"🟢利確推奨",IF(L304&gt;=0.05,"🟡利確直近",IF(L304&gt;=0.045,"🔵トレーリング検討",IF(L304&gt;-0.03,"📌保有中",IF(L304&gt;-0.04,"⚠️損切注意","🔴損切り"))))))))</f>
        <v/>
      </c>
      <c r="T304" s="596"/>
      <c r="U304" s="598"/>
      <c r="V304" s="703" t="str">
        <f>IF(OR(F304="",G304="",U304=""),"",IF(C304="売",(F304-U304)*G304,(U304-F304)*G304))</f>
        <v/>
      </c>
      <c r="W304" s="480" t="str">
        <f>IF(OR($E304="",$B304=""),"",IF($T304&lt;&gt;"",$T304-$E304,TODAY()-$E304)+1)</f>
        <v/>
      </c>
      <c r="X304" s="480" t="str">
        <f>IF(OR($AH304="",$AH304="保有中"),"",$AH304)</f>
        <v/>
      </c>
      <c r="Y304" s="488">
        <f>IF($B304="","",IF(COUNTIFS($B$4:$B304,$B304,$C$4:$C304,$C304)&gt;1,"⛔重複"&amp;COUNTIFS($B$4:$B304,$B304,$C$4:$C304,$C304)&amp;"回目",""))</f>
      </c>
      <c r="Z304" s="710"/>
      <c r="AB304">
        <f>IF($F304="","",MAX(100,ROUNDDOWN($AX$4/($F304*$AX$2)/100,0)*100))</f>
      </c>
      <c r="AC304">
        <f>IF(OR($F304="",$G304="",$U304=""),"",ROUND($V304-($F304+$U304)*$G304*$AX$6-IF($C304="売",$F304*$G304*$AX$7*$W304/365,0),0))</f>
      </c>
      <c r="AD304" s="608"/>
      <c r="AE304" s="600" t="str">
        <f>IF($E304="","",WORKDAY($E304,12))</f>
        <v/>
      </c>
      <c r="AF304" s="600"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0"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0" t="str">
        <f>IF(OR($B304="",$M304=""),"",IF(AND(N($AF304)=0,N($AG304)=0),IF(AND(ISNUMBER($H304),$H304&gt;0,IF($C304="売",$H304&gt;=$N304,$H304&lt;=$N304)),"損切確定",IF(AND(ISNUMBER($H304),$H304&gt;0,IF($C304="売",$H304&lt;=$M304,$H304&gt;=$M304)),"利益確定",IF($AE304&lt;=TODAY(),"日数制限","保有中"))),IF(N($AG304)=0,"利益確定",IF(N($AF304)=0,"損切確定",IF($AG304&lt;=$AF304,"損切確定","利益確定")))))</f>
        <v/>
      </c>
      <c r="AI304" s="600" t="str" cm="1">
        <f t="array" ref="AI304">IFERROR(INDEX(始値!$E$6:$BT$305,MATCH(TEXT($B304,"0"),TEXT(銘柄管理!$B$6:$B$305,"0"),0),MATCH($AE304,始値!$E$3:$BT$3,0)),"")</f>
        <v/>
      </c>
      <c r="AJ304" s="608" t="str">
        <f>IF(OR($V304="",$F304="",$G304=""),"",$V304/($F304*$G304))</f>
        <v/>
      </c>
      <c r="AK304" s="600" t="str">
        <f>IF($V304="","",IF($V304&gt;0,"○勝",IF($V304&lt;0,"●負","△引分")))</f>
        <v/>
      </c>
    </row>
    <row r="305" spans="1:37" ht="17.25" customHeight="1">
      <c r="A305" s="621" t="str">
        <f>IF(B305="","",HYPERLINK("https://kabutan.jp/stock/?code="&amp;B305,"株探"))</f>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IF(OR(F305="",G305="",H305=""),"",IF(C305="売",(F305-H305)*G305,(H305-F305)*G305))</f>
        <v/>
      </c>
      <c r="L305" s="708" t="str">
        <f>IF(OR(F305="",H305=""),"",IF(C305="売",(F305-H305)/F305,(H305-F305)/F305))</f>
        <v/>
      </c>
      <c r="M305" s="598" t="str">
        <f>IF($F305="","",IF($C305="売",CEILING($F305*IF($C305="売",1-$AX$3,1+$AX$3),IF($F305*IF($C305="売",1-$AX$3,1+$AX$3)&lt;=3000,1,IF($F305*IF($C305="売",1-$AX$3,1+$AX$3)&lt;=5000,5,IF($F305*IF($C305="売",1-$AX$3,1+$AX$3)&lt;=30000,10,IF($F305*IF($C305="売",1-$AX$3,1+$AX$3)&lt;=50000,50,IF($F305*IF($C305="売",1-$AX$3,1+$AX$3)&lt;=300000,100,500)))))),FLOOR($F305*IF($C305="売",1-$AX$3,1+$AX$3),IF($F305*IF($C305="売",1-$AX$3,1+$AX$3)&lt;=3000,1,IF($F305*IF($C305="売",1-$AX$3,1+$AX$3)&lt;=5000,5,IF($F305*IF($C305="売",1-$AX$3,1+$AX$3)&lt;=30000,10,IF($F305*IF($C305="売",1-$AX$3,1+$AX$3)&lt;=50000,50,IF($F305*IF($C305="売",1-$AX$3,1+$AX$3)&lt;=300000,100,500))))))))</f>
      </c>
      <c r="N305" s="598" t="str">
        <f>IF($F305="","",IF($C305="売",CEILING($F305*IF($C305="売",1+$AX$2,1-$AX$2),IF($F305*IF($C305="売",1+$AX$2,1-$AX$2)&lt;=3000,1,IF($F305*IF($C305="売",1+$AX$2,1-$AX$2)&lt;=5000,5,IF($F305*IF($C305="売",1+$AX$2,1-$AX$2)&lt;=30000,10,IF($F305*IF($C305="売",1+$AX$2,1-$AX$2)&lt;=50000,50,IF($F305*IF($C305="売",1+$AX$2,1-$AX$2)&lt;=300000,100,500)))))),FLOOR($F305*IF($C305="売",1+$AX$2,1-$AX$2),IF($F305*IF($C305="売",1+$AX$2,1-$AX$2)&lt;=3000,1,IF($F305*IF($C305="売",1+$AX$2,1-$AX$2)&lt;=5000,5,IF($F305*IF($C305="売",1+$AX$2,1-$AX$2)&lt;=30000,10,IF($F305*IF($C305="売",1+$AX$2,1-$AX$2)&lt;=50000,50,IF($F305*IF($C305="売",1+$AX$2,1-$AX$2)&lt;=300000,100,500))))))))</f>
      </c>
      <c r="O305" s="478" t="str">
        <f>IF(OR($B305="",$F305="",$H305=""),"",IF($S305="✅売却済","―決済済―",IF($C305="売",IF($H305&lt;=$M305,"🟢利確",IF(AND($R305&lt;&gt;"",$H305&gt;=$R305),"🟠TRAIL決済",IF($H305&gt;=$N305,"🔴損切",IF($W305&gt;=$AX$5,"⏱時間決済",IF($H305&gt;=$F305*(1+$AX$2*0.7),"⚠️損切接近","保持継続"))))),IF($H305&gt;=$M305,"🟢利確",IF(AND($R305&lt;&gt;"",$H305&lt;=$R305),"🟠TRAIL決済",IF($H305&lt;=$N305,"🔴損切",IF($W305&gt;=$AX$5,"⏱時間決済",IF($H305&lt;=$F305*(1-$AX$2*0.7),"⚠️損切接近","保持継続")))))))</f>
      </c>
      <c r="P305" s="445"/>
      <c r="Q305" s="445"/>
      <c r="R305" s="480" t="str">
        <f>IF(OR($F305="",$H305="",$N305=""),"",IF($S305="✅売却済","",IF($C305="売",IF($H305&gt;$F305*(1-$AX$2),$N305,CEILING(MIN($N305,IF($Q305="",$N305,$Q305*1.03)),IF($N305&lt;=3000,1,IF($N305&lt;=5000,5,IF($N305&lt;=30000,10,IF($N305&lt;=50000,50,IF($N305&lt;=300000,100,500))))))),IF($H305&lt;$F305*(1+$AX$2),$N305,FLOOR(MAX($N305,IF($P305="",$N305,$P305*0.97)),IF($N305&lt;=3000,1,IF($N305&lt;=5000,5,IF($N305&lt;=30000,10,IF($N305&lt;=50000,50,IF($N305&lt;=300000,100,500))))))))))</f>
      </c>
      <c r="S305" s="480" t="str">
        <f>IF(B305="","",IF(T305&lt;&gt;"","✅売却済",IF(OR(H305="",L305=""),"📌保有中",IF(L305&gt;=0.06,"🟢利確推奨",IF(L305&gt;=0.05,"🟡利確直近",IF(L305&gt;=0.045,"🔵トレーリング検討",IF(L305&gt;-0.03,"📌保有中",IF(L305&gt;-0.04,"⚠️損切注意","🔴損切り"))))))))</f>
        <v/>
      </c>
      <c r="T305" s="596"/>
      <c r="U305" s="598"/>
      <c r="V305" s="703" t="str">
        <f>IF(OR(F305="",G305="",U305=""),"",IF(C305="売",(F305-U305)*G305,(U305-F305)*G305))</f>
        <v/>
      </c>
      <c r="W305" s="480" t="str">
        <f>IF(OR($E305="",$B305=""),"",IF($T305&lt;&gt;"",$T305-$E305,TODAY()-$E305)+1)</f>
        <v/>
      </c>
      <c r="X305" s="480" t="str">
        <f>IF(OR($AH305="",$AH305="保有中"),"",$AH305)</f>
        <v/>
      </c>
      <c r="Y305" s="488">
        <f>IF($B305="","",IF(COUNTIFS($B$4:$B305,$B305,$C$4:$C305,$C305)&gt;1,"⛔重複"&amp;COUNTIFS($B$4:$B305,$B305,$C$4:$C305,$C305)&amp;"回目",""))</f>
      </c>
      <c r="Z305" s="710"/>
      <c r="AB305">
        <f>IF($F305="","",MAX(100,ROUNDDOWN($AX$4/($F305*$AX$2)/100,0)*100))</f>
      </c>
      <c r="AC305">
        <f>IF(OR($F305="",$G305="",$U305=""),"",ROUND($V305-($F305+$U305)*$G305*$AX$6-IF($C305="売",$F305*$G305*$AX$7*$W305/365,0),0))</f>
      </c>
      <c r="AD305" s="608"/>
      <c r="AE305" s="600" t="str">
        <f>IF($E305="","",WORKDAY($E305,12))</f>
        <v/>
      </c>
      <c r="AF305" s="600"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0"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0" t="str">
        <f>IF(OR($B305="",$M305=""),"",IF(AND(N($AF305)=0,N($AG305)=0),IF(AND(ISNUMBER($H305),$H305&gt;0,IF($C305="売",$H305&gt;=$N305,$H305&lt;=$N305)),"損切確定",IF(AND(ISNUMBER($H305),$H305&gt;0,IF($C305="売",$H305&lt;=$M305,$H305&gt;=$M305)),"利益確定",IF($AE305&lt;=TODAY(),"日数制限","保有中"))),IF(N($AG305)=0,"利益確定",IF(N($AF305)=0,"損切確定",IF($AG305&lt;=$AF305,"損切確定","利益確定")))))</f>
        <v/>
      </c>
      <c r="AI305" s="600" t="str" cm="1">
        <f t="array" ref="AI305">IFERROR(INDEX(始値!$E$6:$BT$305,MATCH(TEXT($B305,"0"),TEXT(銘柄管理!$B$6:$B$305,"0"),0),MATCH($AE305,始値!$E$3:$BT$3,0)),"")</f>
        <v/>
      </c>
      <c r="AJ305" s="608" t="str">
        <f>IF(OR($V305="",$F305="",$G305=""),"",$V305/($F305*$G305))</f>
        <v/>
      </c>
      <c r="AK305" s="600" t="str">
        <f>IF($V305="","",IF($V305&gt;0,"○勝",IF($V305&lt;0,"●負","△引分")))</f>
        <v/>
      </c>
    </row>
    <row r="306" spans="1:37" ht="17.25" customHeight="1">
      <c r="A306" s="621" t="str">
        <f>IF(B306="","",HYPERLINK("https://kabutan.jp/stock/?code="&amp;B306,"株探"))</f>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IF(OR(F306="",G306="",H306=""),"",IF(C306="売",(F306-H306)*G306,(H306-F306)*G306))</f>
        <v/>
      </c>
      <c r="L306" s="708" t="str">
        <f>IF(OR(F306="",H306=""),"",IF(C306="売",(F306-H306)/F306,(H306-F306)/F306))</f>
        <v/>
      </c>
      <c r="M306" s="598" t="str">
        <f>IF($F306="","",IF($C306="売",CEILING($F306*IF($C306="売",1-$AX$3,1+$AX$3),IF($F306*IF($C306="売",1-$AX$3,1+$AX$3)&lt;=3000,1,IF($F306*IF($C306="売",1-$AX$3,1+$AX$3)&lt;=5000,5,IF($F306*IF($C306="売",1-$AX$3,1+$AX$3)&lt;=30000,10,IF($F306*IF($C306="売",1-$AX$3,1+$AX$3)&lt;=50000,50,IF($F306*IF($C306="売",1-$AX$3,1+$AX$3)&lt;=300000,100,500)))))),FLOOR($F306*IF($C306="売",1-$AX$3,1+$AX$3),IF($F306*IF($C306="売",1-$AX$3,1+$AX$3)&lt;=3000,1,IF($F306*IF($C306="売",1-$AX$3,1+$AX$3)&lt;=5000,5,IF($F306*IF($C306="売",1-$AX$3,1+$AX$3)&lt;=30000,10,IF($F306*IF($C306="売",1-$AX$3,1+$AX$3)&lt;=50000,50,IF($F306*IF($C306="売",1-$AX$3,1+$AX$3)&lt;=300000,100,500))))))))</f>
      </c>
      <c r="N306" s="598" t="str">
        <f>IF($F306="","",IF($C306="売",CEILING($F306*IF($C306="売",1+$AX$2,1-$AX$2),IF($F306*IF($C306="売",1+$AX$2,1-$AX$2)&lt;=3000,1,IF($F306*IF($C306="売",1+$AX$2,1-$AX$2)&lt;=5000,5,IF($F306*IF($C306="売",1+$AX$2,1-$AX$2)&lt;=30000,10,IF($F306*IF($C306="売",1+$AX$2,1-$AX$2)&lt;=50000,50,IF($F306*IF($C306="売",1+$AX$2,1-$AX$2)&lt;=300000,100,500)))))),FLOOR($F306*IF($C306="売",1+$AX$2,1-$AX$2),IF($F306*IF($C306="売",1+$AX$2,1-$AX$2)&lt;=3000,1,IF($F306*IF($C306="売",1+$AX$2,1-$AX$2)&lt;=5000,5,IF($F306*IF($C306="売",1+$AX$2,1-$AX$2)&lt;=30000,10,IF($F306*IF($C306="売",1+$AX$2,1-$AX$2)&lt;=50000,50,IF($F306*IF($C306="売",1+$AX$2,1-$AX$2)&lt;=300000,100,500))))))))</f>
      </c>
      <c r="O306" s="478" t="str">
        <f>IF(OR($B306="",$F306="",$H306=""),"",IF($S306="✅売却済","―決済済―",IF($C306="売",IF($H306&lt;=$M306,"🟢利確",IF(AND($R306&lt;&gt;"",$H306&gt;=$R306),"🟠TRAIL決済",IF($H306&gt;=$N306,"🔴損切",IF($W306&gt;=$AX$5,"⏱時間決済",IF($H306&gt;=$F306*(1+$AX$2*0.7),"⚠️損切接近","保持継続"))))),IF($H306&gt;=$M306,"🟢利確",IF(AND($R306&lt;&gt;"",$H306&lt;=$R306),"🟠TRAIL決済",IF($H306&lt;=$N306,"🔴損切",IF($W306&gt;=$AX$5,"⏱時間決済",IF($H306&lt;=$F306*(1-$AX$2*0.7),"⚠️損切接近","保持継続")))))))</f>
      </c>
      <c r="P306" s="445"/>
      <c r="Q306" s="445"/>
      <c r="R306" s="480" t="str">
        <f>IF(OR($F306="",$H306="",$N306=""),"",IF($S306="✅売却済","",IF($C306="売",IF($H306&gt;$F306*(1-$AX$2),$N306,CEILING(MIN($N306,IF($Q306="",$N306,$Q306*1.03)),IF($N306&lt;=3000,1,IF($N306&lt;=5000,5,IF($N306&lt;=30000,10,IF($N306&lt;=50000,50,IF($N306&lt;=300000,100,500))))))),IF($H306&lt;$F306*(1+$AX$2),$N306,FLOOR(MAX($N306,IF($P306="",$N306,$P306*0.97)),IF($N306&lt;=3000,1,IF($N306&lt;=5000,5,IF($N306&lt;=30000,10,IF($N306&lt;=50000,50,IF($N306&lt;=300000,100,500))))))))))</f>
      </c>
      <c r="S306" s="480" t="str">
        <f>IF(B306="","",IF(T306&lt;&gt;"","✅売却済",IF(OR(H306="",L306=""),"📌保有中",IF(L306&gt;=0.06,"🟢利確推奨",IF(L306&gt;=0.05,"🟡利確直近",IF(L306&gt;=0.045,"🔵トレーリング検討",IF(L306&gt;-0.03,"📌保有中",IF(L306&gt;-0.04,"⚠️損切注意","🔴損切り"))))))))</f>
        <v/>
      </c>
      <c r="T306" s="596"/>
      <c r="U306" s="598"/>
      <c r="V306" s="703" t="str">
        <f>IF(OR(F306="",G306="",U306=""),"",IF(C306="売",(F306-U306)*G306,(U306-F306)*G306))</f>
        <v/>
      </c>
      <c r="W306" s="480" t="str">
        <f>IF(OR($E306="",$B306=""),"",IF($T306&lt;&gt;"",$T306-$E306,TODAY()-$E306)+1)</f>
        <v/>
      </c>
      <c r="X306" s="480" t="str">
        <f>IF(OR($AH306="",$AH306="保有中"),"",$AH306)</f>
        <v/>
      </c>
      <c r="Y306" s="488">
        <f>IF($B306="","",IF(COUNTIFS($B$4:$B306,$B306,$C$4:$C306,$C306)&gt;1,"⛔重複"&amp;COUNTIFS($B$4:$B306,$B306,$C$4:$C306,$C306)&amp;"回目",""))</f>
      </c>
      <c r="Z306" s="710"/>
      <c r="AB306">
        <f>IF($F306="","",MAX(100,ROUNDDOWN($AX$4/($F306*$AX$2)/100,0)*100))</f>
      </c>
      <c r="AC306">
        <f>IF(OR($F306="",$G306="",$U306=""),"",ROUND($V306-($F306+$U306)*$G306*$AX$6-IF($C306="売",$F306*$G306*$AX$7*$W306/365,0),0))</f>
      </c>
      <c r="AD306" s="608"/>
      <c r="AE306" s="600" t="str">
        <f>IF($E306="","",WORKDAY($E306,12))</f>
        <v/>
      </c>
      <c r="AF306" s="600"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0"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0" t="str">
        <f>IF(OR($B306="",$M306=""),"",IF(AND(N($AF306)=0,N($AG306)=0),IF(AND(ISNUMBER($H306),$H306&gt;0,IF($C306="売",$H306&gt;=$N306,$H306&lt;=$N306)),"損切確定",IF(AND(ISNUMBER($H306),$H306&gt;0,IF($C306="売",$H306&lt;=$M306,$H306&gt;=$M306)),"利益確定",IF($AE306&lt;=TODAY(),"日数制限","保有中"))),IF(N($AG306)=0,"利益確定",IF(N($AF306)=0,"損切確定",IF($AG306&lt;=$AF306,"損切確定","利益確定")))))</f>
        <v/>
      </c>
      <c r="AI306" s="600" t="str" cm="1">
        <f t="array" ref="AI306">IFERROR(INDEX(始値!$E$6:$BT$305,MATCH(TEXT($B306,"0"),TEXT(銘柄管理!$B$6:$B$305,"0"),0),MATCH($AE306,始値!$E$3:$BT$3,0)),"")</f>
        <v/>
      </c>
      <c r="AJ306" s="608" t="str">
        <f>IF(OR($V306="",$F306="",$G306=""),"",$V306/($F306*$G306))</f>
        <v/>
      </c>
      <c r="AK306" s="600" t="str">
        <f>IF($V306="","",IF($V306&gt;0,"○勝",IF($V306&lt;0,"●負","△引分")))</f>
        <v/>
      </c>
    </row>
    <row r="307" spans="1:37" ht="17.25" customHeight="1">
      <c r="A307" s="621" t="str">
        <f>IF(B307="","",HYPERLINK("https://kabutan.jp/stock/?code="&amp;B307,"株探"))</f>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IF(OR(F307="",G307="",H307=""),"",IF(C307="売",(F307-H307)*G307,(H307-F307)*G307))</f>
        <v/>
      </c>
      <c r="L307" s="708" t="str">
        <f>IF(OR(F307="",H307=""),"",IF(C307="売",(F307-H307)/F307,(H307-F307)/F307))</f>
        <v/>
      </c>
      <c r="M307" s="598" t="str">
        <f>IF($F307="","",IF($C307="売",CEILING($F307*IF($C307="売",1-$AX$3,1+$AX$3),IF($F307*IF($C307="売",1-$AX$3,1+$AX$3)&lt;=3000,1,IF($F307*IF($C307="売",1-$AX$3,1+$AX$3)&lt;=5000,5,IF($F307*IF($C307="売",1-$AX$3,1+$AX$3)&lt;=30000,10,IF($F307*IF($C307="売",1-$AX$3,1+$AX$3)&lt;=50000,50,IF($F307*IF($C307="売",1-$AX$3,1+$AX$3)&lt;=300000,100,500)))))),FLOOR($F307*IF($C307="売",1-$AX$3,1+$AX$3),IF($F307*IF($C307="売",1-$AX$3,1+$AX$3)&lt;=3000,1,IF($F307*IF($C307="売",1-$AX$3,1+$AX$3)&lt;=5000,5,IF($F307*IF($C307="売",1-$AX$3,1+$AX$3)&lt;=30000,10,IF($F307*IF($C307="売",1-$AX$3,1+$AX$3)&lt;=50000,50,IF($F307*IF($C307="売",1-$AX$3,1+$AX$3)&lt;=300000,100,500))))))))</f>
      </c>
      <c r="N307" s="598" t="str">
        <f>IF($F307="","",IF($C307="売",CEILING($F307*IF($C307="売",1+$AX$2,1-$AX$2),IF($F307*IF($C307="売",1+$AX$2,1-$AX$2)&lt;=3000,1,IF($F307*IF($C307="売",1+$AX$2,1-$AX$2)&lt;=5000,5,IF($F307*IF($C307="売",1+$AX$2,1-$AX$2)&lt;=30000,10,IF($F307*IF($C307="売",1+$AX$2,1-$AX$2)&lt;=50000,50,IF($F307*IF($C307="売",1+$AX$2,1-$AX$2)&lt;=300000,100,500)))))),FLOOR($F307*IF($C307="売",1+$AX$2,1-$AX$2),IF($F307*IF($C307="売",1+$AX$2,1-$AX$2)&lt;=3000,1,IF($F307*IF($C307="売",1+$AX$2,1-$AX$2)&lt;=5000,5,IF($F307*IF($C307="売",1+$AX$2,1-$AX$2)&lt;=30000,10,IF($F307*IF($C307="売",1+$AX$2,1-$AX$2)&lt;=50000,50,IF($F307*IF($C307="売",1+$AX$2,1-$AX$2)&lt;=300000,100,500))))))))</f>
      </c>
      <c r="O307" s="478" t="str">
        <f>IF(OR($B307="",$F307="",$H307=""),"",IF($S307="✅売却済","―決済済―",IF($C307="売",IF($H307&lt;=$M307,"🟢利確",IF(AND($R307&lt;&gt;"",$H307&gt;=$R307),"🟠TRAIL決済",IF($H307&gt;=$N307,"🔴損切",IF($W307&gt;=$AX$5,"⏱時間決済",IF($H307&gt;=$F307*(1+$AX$2*0.7),"⚠️損切接近","保持継続"))))),IF($H307&gt;=$M307,"🟢利確",IF(AND($R307&lt;&gt;"",$H307&lt;=$R307),"🟠TRAIL決済",IF($H307&lt;=$N307,"🔴損切",IF($W307&gt;=$AX$5,"⏱時間決済",IF($H307&lt;=$F307*(1-$AX$2*0.7),"⚠️損切接近","保持継続")))))))</f>
      </c>
      <c r="P307" s="445"/>
      <c r="Q307" s="445"/>
      <c r="R307" s="480" t="str">
        <f>IF(OR($F307="",$H307="",$N307=""),"",IF($S307="✅売却済","",IF($C307="売",IF($H307&gt;$F307*(1-$AX$2),$N307,CEILING(MIN($N307,IF($Q307="",$N307,$Q307*1.03)),IF($N307&lt;=3000,1,IF($N307&lt;=5000,5,IF($N307&lt;=30000,10,IF($N307&lt;=50000,50,IF($N307&lt;=300000,100,500))))))),IF($H307&lt;$F307*(1+$AX$2),$N307,FLOOR(MAX($N307,IF($P307="",$N307,$P307*0.97)),IF($N307&lt;=3000,1,IF($N307&lt;=5000,5,IF($N307&lt;=30000,10,IF($N307&lt;=50000,50,IF($N307&lt;=300000,100,500))))))))))</f>
      </c>
      <c r="S307" s="480" t="str">
        <f>IF(B307="","",IF(T307&lt;&gt;"","✅売却済",IF(OR(H307="",L307=""),"📌保有中",IF(L307&gt;=0.06,"🟢利確推奨",IF(L307&gt;=0.05,"🟡利確直近",IF(L307&gt;=0.045,"🔵トレーリング検討",IF(L307&gt;-0.03,"📌保有中",IF(L307&gt;-0.04,"⚠️損切注意","🔴損切り"))))))))</f>
        <v/>
      </c>
      <c r="T307" s="596"/>
      <c r="U307" s="598"/>
      <c r="V307" s="703" t="str">
        <f>IF(OR(F307="",G307="",U307=""),"",IF(C307="売",(F307-U307)*G307,(U307-F307)*G307))</f>
        <v/>
      </c>
      <c r="W307" s="480" t="str">
        <f>IF(OR($E307="",$B307=""),"",IF($T307&lt;&gt;"",$T307-$E307,TODAY()-$E307)+1)</f>
        <v/>
      </c>
      <c r="X307" s="480" t="str">
        <f>IF(OR($AH307="",$AH307="保有中"),"",$AH307)</f>
        <v/>
      </c>
      <c r="Y307" s="488">
        <f>IF($B307="","",IF(COUNTIFS($B$4:$B307,$B307,$C$4:$C307,$C307)&gt;1,"⛔重複"&amp;COUNTIFS($B$4:$B307,$B307,$C$4:$C307,$C307)&amp;"回目",""))</f>
      </c>
      <c r="Z307" s="710"/>
      <c r="AB307">
        <f>IF($F307="","",MAX(100,ROUNDDOWN($AX$4/($F307*$AX$2)/100,0)*100))</f>
      </c>
      <c r="AC307">
        <f>IF(OR($F307="",$G307="",$U307=""),"",ROUND($V307-($F307+$U307)*$G307*$AX$6-IF($C307="売",$F307*$G307*$AX$7*$W307/365,0),0))</f>
      </c>
      <c r="AD307" s="608"/>
      <c r="AE307" s="600" t="str">
        <f>IF($E307="","",WORKDAY($E307,12))</f>
        <v/>
      </c>
      <c r="AF307" s="600"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0"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0" t="str">
        <f>IF(OR($B307="",$M307=""),"",IF(AND(N($AF307)=0,N($AG307)=0),IF(AND(ISNUMBER($H307),$H307&gt;0,IF($C307="売",$H307&gt;=$N307,$H307&lt;=$N307)),"損切確定",IF(AND(ISNUMBER($H307),$H307&gt;0,IF($C307="売",$H307&lt;=$M307,$H307&gt;=$M307)),"利益確定",IF($AE307&lt;=TODAY(),"日数制限","保有中"))),IF(N($AG307)=0,"利益確定",IF(N($AF307)=0,"損切確定",IF($AG307&lt;=$AF307,"損切確定","利益確定")))))</f>
        <v/>
      </c>
      <c r="AI307" s="600" t="str" cm="1">
        <f t="array" ref="AI307">IFERROR(INDEX(始値!$E$6:$BT$305,MATCH(TEXT($B307,"0"),TEXT(銘柄管理!$B$6:$B$305,"0"),0),MATCH($AE307,始値!$E$3:$BT$3,0)),"")</f>
        <v/>
      </c>
      <c r="AJ307" s="608" t="str">
        <f>IF(OR($V307="",$F307="",$G307=""),"",$V307/($F307*$G307))</f>
        <v/>
      </c>
      <c r="AK307" s="600" t="str">
        <f>IF($V307="","",IF($V307&gt;0,"○勝",IF($V307&lt;0,"●負","△引分")))</f>
        <v/>
      </c>
    </row>
    <row r="308" spans="1:37" ht="17.25" customHeight="1">
      <c r="A308" s="621" t="str">
        <f>IF(B308="","",HYPERLINK("https://kabutan.jp/stock/?code="&amp;B308,"株探"))</f>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IF(OR(F308="",G308="",H308=""),"",IF(C308="売",(F308-H308)*G308,(H308-F308)*G308))</f>
        <v/>
      </c>
      <c r="L308" s="708" t="str">
        <f>IF(OR(F308="",H308=""),"",IF(C308="売",(F308-H308)/F308,(H308-F308)/F308))</f>
        <v/>
      </c>
      <c r="M308" s="598" t="str">
        <f>IF($F308="","",IF($C308="売",CEILING($F308*IF($C308="売",1-$AX$3,1+$AX$3),IF($F308*IF($C308="売",1-$AX$3,1+$AX$3)&lt;=3000,1,IF($F308*IF($C308="売",1-$AX$3,1+$AX$3)&lt;=5000,5,IF($F308*IF($C308="売",1-$AX$3,1+$AX$3)&lt;=30000,10,IF($F308*IF($C308="売",1-$AX$3,1+$AX$3)&lt;=50000,50,IF($F308*IF($C308="売",1-$AX$3,1+$AX$3)&lt;=300000,100,500)))))),FLOOR($F308*IF($C308="売",1-$AX$3,1+$AX$3),IF($F308*IF($C308="売",1-$AX$3,1+$AX$3)&lt;=3000,1,IF($F308*IF($C308="売",1-$AX$3,1+$AX$3)&lt;=5000,5,IF($F308*IF($C308="売",1-$AX$3,1+$AX$3)&lt;=30000,10,IF($F308*IF($C308="売",1-$AX$3,1+$AX$3)&lt;=50000,50,IF($F308*IF($C308="売",1-$AX$3,1+$AX$3)&lt;=300000,100,500))))))))</f>
      </c>
      <c r="N308" s="598" t="str">
        <f>IF($F308="","",IF($C308="売",CEILING($F308*IF($C308="売",1+$AX$2,1-$AX$2),IF($F308*IF($C308="売",1+$AX$2,1-$AX$2)&lt;=3000,1,IF($F308*IF($C308="売",1+$AX$2,1-$AX$2)&lt;=5000,5,IF($F308*IF($C308="売",1+$AX$2,1-$AX$2)&lt;=30000,10,IF($F308*IF($C308="売",1+$AX$2,1-$AX$2)&lt;=50000,50,IF($F308*IF($C308="売",1+$AX$2,1-$AX$2)&lt;=300000,100,500)))))),FLOOR($F308*IF($C308="売",1+$AX$2,1-$AX$2),IF($F308*IF($C308="売",1+$AX$2,1-$AX$2)&lt;=3000,1,IF($F308*IF($C308="売",1+$AX$2,1-$AX$2)&lt;=5000,5,IF($F308*IF($C308="売",1+$AX$2,1-$AX$2)&lt;=30000,10,IF($F308*IF($C308="売",1+$AX$2,1-$AX$2)&lt;=50000,50,IF($F308*IF($C308="売",1+$AX$2,1-$AX$2)&lt;=300000,100,500))))))))</f>
      </c>
      <c r="O308" s="478" t="str">
        <f>IF(OR($B308="",$F308="",$H308=""),"",IF($S308="✅売却済","―決済済―",IF($C308="売",IF($H308&lt;=$M308,"🟢利確",IF(AND($R308&lt;&gt;"",$H308&gt;=$R308),"🟠TRAIL決済",IF($H308&gt;=$N308,"🔴損切",IF($W308&gt;=$AX$5,"⏱時間決済",IF($H308&gt;=$F308*(1+$AX$2*0.7),"⚠️損切接近","保持継続"))))),IF($H308&gt;=$M308,"🟢利確",IF(AND($R308&lt;&gt;"",$H308&lt;=$R308),"🟠TRAIL決済",IF($H308&lt;=$N308,"🔴損切",IF($W308&gt;=$AX$5,"⏱時間決済",IF($H308&lt;=$F308*(1-$AX$2*0.7),"⚠️損切接近","保持継続")))))))</f>
      </c>
      <c r="P308" s="445"/>
      <c r="Q308" s="445"/>
      <c r="R308" s="480" t="str">
        <f>IF(OR($F308="",$H308="",$N308=""),"",IF($S308="✅売却済","",IF($C308="売",IF($H308&gt;$F308*(1-$AX$2),$N308,CEILING(MIN($N308,IF($Q308="",$N308,$Q308*1.03)),IF($N308&lt;=3000,1,IF($N308&lt;=5000,5,IF($N308&lt;=30000,10,IF($N308&lt;=50000,50,IF($N308&lt;=300000,100,500))))))),IF($H308&lt;$F308*(1+$AX$2),$N308,FLOOR(MAX($N308,IF($P308="",$N308,$P308*0.97)),IF($N308&lt;=3000,1,IF($N308&lt;=5000,5,IF($N308&lt;=30000,10,IF($N308&lt;=50000,50,IF($N308&lt;=300000,100,500))))))))))</f>
      </c>
      <c r="S308" s="480" t="str">
        <f>IF(B308="","",IF(T308&lt;&gt;"","✅売却済",IF(OR(H308="",L308=""),"📌保有中",IF(L308&gt;=0.06,"🟢利確推奨",IF(L308&gt;=0.05,"🟡利確直近",IF(L308&gt;=0.045,"🔵トレーリング検討",IF(L308&gt;-0.03,"📌保有中",IF(L308&gt;-0.04,"⚠️損切注意","🔴損切り"))))))))</f>
        <v/>
      </c>
      <c r="T308" s="596"/>
      <c r="U308" s="598"/>
      <c r="V308" s="703" t="str">
        <f>IF(OR(F308="",G308="",U308=""),"",IF(C308="売",(F308-U308)*G308,(U308-F308)*G308))</f>
        <v/>
      </c>
      <c r="W308" s="480" t="str">
        <f>IF(OR($E308="",$B308=""),"",IF($T308&lt;&gt;"",$T308-$E308,TODAY()-$E308)+1)</f>
        <v/>
      </c>
      <c r="X308" s="480" t="str">
        <f>IF(OR($AH308="",$AH308="保有中"),"",$AH308)</f>
        <v/>
      </c>
      <c r="Y308" s="488">
        <f>IF($B308="","",IF(COUNTIFS($B$4:$B308,$B308,$C$4:$C308,$C308)&gt;1,"⛔重複"&amp;COUNTIFS($B$4:$B308,$B308,$C$4:$C308,$C308)&amp;"回目",""))</f>
      </c>
      <c r="Z308" s="710"/>
      <c r="AB308">
        <f>IF($F308="","",MAX(100,ROUNDDOWN($AX$4/($F308*$AX$2)/100,0)*100))</f>
      </c>
      <c r="AC308">
        <f>IF(OR($F308="",$G308="",$U308=""),"",ROUND($V308-($F308+$U308)*$G308*$AX$6-IF($C308="売",$F308*$G308*$AX$7*$W308/365,0),0))</f>
      </c>
      <c r="AD308" s="608"/>
      <c r="AE308" s="600" t="str">
        <f>IF($E308="","",WORKDAY($E308,12))</f>
        <v/>
      </c>
      <c r="AF308" s="600"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0"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0" t="str">
        <f>IF(OR($B308="",$M308=""),"",IF(AND(N($AF308)=0,N($AG308)=0),IF(AND(ISNUMBER($H308),$H308&gt;0,IF($C308="売",$H308&gt;=$N308,$H308&lt;=$N308)),"損切確定",IF(AND(ISNUMBER($H308),$H308&gt;0,IF($C308="売",$H308&lt;=$M308,$H308&gt;=$M308)),"利益確定",IF($AE308&lt;=TODAY(),"日数制限","保有中"))),IF(N($AG308)=0,"利益確定",IF(N($AF308)=0,"損切確定",IF($AG308&lt;=$AF308,"損切確定","利益確定")))))</f>
        <v/>
      </c>
      <c r="AI308" s="600" t="str" cm="1">
        <f t="array" ref="AI308">IFERROR(INDEX(始値!$E$6:$BT$305,MATCH(TEXT($B308,"0"),TEXT(銘柄管理!$B$6:$B$305,"0"),0),MATCH($AE308,始値!$E$3:$BT$3,0)),"")</f>
        <v/>
      </c>
      <c r="AJ308" s="608" t="str">
        <f>IF(OR($V308="",$F308="",$G308=""),"",$V308/($F308*$G308))</f>
        <v/>
      </c>
      <c r="AK308" s="600" t="str">
        <f>IF($V308="","",IF($V308&gt;0,"○勝",IF($V308&lt;0,"●負","△引分")))</f>
        <v/>
      </c>
    </row>
    <row r="309" spans="1:37" ht="17.25" customHeight="1">
      <c r="A309" s="621" t="str">
        <f>IF(B309="","",HYPERLINK("https://kabutan.jp/stock/?code="&amp;B309,"株探"))</f>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IF(OR(F309="",G309="",H309=""),"",IF(C309="売",(F309-H309)*G309,(H309-F309)*G309))</f>
        <v/>
      </c>
      <c r="L309" s="708" t="str">
        <f>IF(OR(F309="",H309=""),"",IF(C309="売",(F309-H309)/F309,(H309-F309)/F309))</f>
        <v/>
      </c>
      <c r="M309" s="598" t="str">
        <f>IF($F309="","",IF($C309="売",CEILING($F309*IF($C309="売",1-$AX$3,1+$AX$3),IF($F309*IF($C309="売",1-$AX$3,1+$AX$3)&lt;=3000,1,IF($F309*IF($C309="売",1-$AX$3,1+$AX$3)&lt;=5000,5,IF($F309*IF($C309="売",1-$AX$3,1+$AX$3)&lt;=30000,10,IF($F309*IF($C309="売",1-$AX$3,1+$AX$3)&lt;=50000,50,IF($F309*IF($C309="売",1-$AX$3,1+$AX$3)&lt;=300000,100,500)))))),FLOOR($F309*IF($C309="売",1-$AX$3,1+$AX$3),IF($F309*IF($C309="売",1-$AX$3,1+$AX$3)&lt;=3000,1,IF($F309*IF($C309="売",1-$AX$3,1+$AX$3)&lt;=5000,5,IF($F309*IF($C309="売",1-$AX$3,1+$AX$3)&lt;=30000,10,IF($F309*IF($C309="売",1-$AX$3,1+$AX$3)&lt;=50000,50,IF($F309*IF($C309="売",1-$AX$3,1+$AX$3)&lt;=300000,100,500))))))))</f>
      </c>
      <c r="N309" s="598" t="str">
        <f>IF($F309="","",IF($C309="売",CEILING($F309*IF($C309="売",1+$AX$2,1-$AX$2),IF($F309*IF($C309="売",1+$AX$2,1-$AX$2)&lt;=3000,1,IF($F309*IF($C309="売",1+$AX$2,1-$AX$2)&lt;=5000,5,IF($F309*IF($C309="売",1+$AX$2,1-$AX$2)&lt;=30000,10,IF($F309*IF($C309="売",1+$AX$2,1-$AX$2)&lt;=50000,50,IF($F309*IF($C309="売",1+$AX$2,1-$AX$2)&lt;=300000,100,500)))))),FLOOR($F309*IF($C309="売",1+$AX$2,1-$AX$2),IF($F309*IF($C309="売",1+$AX$2,1-$AX$2)&lt;=3000,1,IF($F309*IF($C309="売",1+$AX$2,1-$AX$2)&lt;=5000,5,IF($F309*IF($C309="売",1+$AX$2,1-$AX$2)&lt;=30000,10,IF($F309*IF($C309="売",1+$AX$2,1-$AX$2)&lt;=50000,50,IF($F309*IF($C309="売",1+$AX$2,1-$AX$2)&lt;=300000,100,500))))))))</f>
      </c>
      <c r="O309" s="478" t="str">
        <f>IF(OR($B309="",$F309="",$H309=""),"",IF($S309="✅売却済","―決済済―",IF($C309="売",IF($H309&lt;=$M309,"🟢利確",IF(AND($R309&lt;&gt;"",$H309&gt;=$R309),"🟠TRAIL決済",IF($H309&gt;=$N309,"🔴損切",IF($W309&gt;=$AX$5,"⏱時間決済",IF($H309&gt;=$F309*(1+$AX$2*0.7),"⚠️損切接近","保持継続"))))),IF($H309&gt;=$M309,"🟢利確",IF(AND($R309&lt;&gt;"",$H309&lt;=$R309),"🟠TRAIL決済",IF($H309&lt;=$N309,"🔴損切",IF($W309&gt;=$AX$5,"⏱時間決済",IF($H309&lt;=$F309*(1-$AX$2*0.7),"⚠️損切接近","保持継続")))))))</f>
      </c>
      <c r="P309" s="445"/>
      <c r="Q309" s="445"/>
      <c r="R309" s="480" t="str">
        <f>IF(OR($F309="",$H309="",$N309=""),"",IF($S309="✅売却済","",IF($C309="売",IF($H309&gt;$F309*(1-$AX$2),$N309,CEILING(MIN($N309,IF($Q309="",$N309,$Q309*1.03)),IF($N309&lt;=3000,1,IF($N309&lt;=5000,5,IF($N309&lt;=30000,10,IF($N309&lt;=50000,50,IF($N309&lt;=300000,100,500))))))),IF($H309&lt;$F309*(1+$AX$2),$N309,FLOOR(MAX($N309,IF($P309="",$N309,$P309*0.97)),IF($N309&lt;=3000,1,IF($N309&lt;=5000,5,IF($N309&lt;=30000,10,IF($N309&lt;=50000,50,IF($N309&lt;=300000,100,500))))))))))</f>
      </c>
      <c r="S309" s="480" t="str">
        <f>IF(B309="","",IF(T309&lt;&gt;"","✅売却済",IF(OR(H309="",L309=""),"📌保有中",IF(L309&gt;=0.06,"🟢利確推奨",IF(L309&gt;=0.05,"🟡利確直近",IF(L309&gt;=0.045,"🔵トレーリング検討",IF(L309&gt;-0.03,"📌保有中",IF(L309&gt;-0.04,"⚠️損切注意","🔴損切り"))))))))</f>
        <v/>
      </c>
      <c r="T309" s="596"/>
      <c r="U309" s="598"/>
      <c r="V309" s="703" t="str">
        <f>IF(OR(F309="",G309="",U309=""),"",IF(C309="売",(F309-U309)*G309,(U309-F309)*G309))</f>
        <v/>
      </c>
      <c r="W309" s="480" t="str">
        <f>IF(OR($E309="",$B309=""),"",IF($T309&lt;&gt;"",$T309-$E309,TODAY()-$E309)+1)</f>
        <v/>
      </c>
      <c r="X309" s="480" t="str">
        <f>IF(OR($AH309="",$AH309="保有中"),"",$AH309)</f>
        <v/>
      </c>
      <c r="Y309" s="488">
        <f>IF($B309="","",IF(COUNTIFS($B$4:$B309,$B309,$C$4:$C309,$C309)&gt;1,"⛔重複"&amp;COUNTIFS($B$4:$B309,$B309,$C$4:$C309,$C309)&amp;"回目",""))</f>
      </c>
      <c r="Z309" s="710"/>
      <c r="AB309">
        <f>IF($F309="","",MAX(100,ROUNDDOWN($AX$4/($F309*$AX$2)/100,0)*100))</f>
      </c>
      <c r="AC309">
        <f>IF(OR($F309="",$G309="",$U309=""),"",ROUND($V309-($F309+$U309)*$G309*$AX$6-IF($C309="売",$F309*$G309*$AX$7*$W309/365,0),0))</f>
      </c>
      <c r="AD309" s="608"/>
      <c r="AE309" s="600" t="str">
        <f>IF($E309="","",WORKDAY($E309,12))</f>
        <v/>
      </c>
      <c r="AF309" s="600"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0"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0" t="str">
        <f>IF(OR($B309="",$M309=""),"",IF(AND(N($AF309)=0,N($AG309)=0),IF(AND(ISNUMBER($H309),$H309&gt;0,IF($C309="売",$H309&gt;=$N309,$H309&lt;=$N309)),"損切確定",IF(AND(ISNUMBER($H309),$H309&gt;0,IF($C309="売",$H309&lt;=$M309,$H309&gt;=$M309)),"利益確定",IF($AE309&lt;=TODAY(),"日数制限","保有中"))),IF(N($AG309)=0,"利益確定",IF(N($AF309)=0,"損切確定",IF($AG309&lt;=$AF309,"損切確定","利益確定")))))</f>
        <v/>
      </c>
      <c r="AI309" s="600" t="str" cm="1">
        <f t="array" ref="AI309">IFERROR(INDEX(始値!$E$6:$BT$305,MATCH(TEXT($B309,"0"),TEXT(銘柄管理!$B$6:$B$305,"0"),0),MATCH($AE309,始値!$E$3:$BT$3,0)),"")</f>
        <v/>
      </c>
      <c r="AJ309" s="608" t="str">
        <f>IF(OR($V309="",$F309="",$G309=""),"",$V309/($F309*$G309))</f>
        <v/>
      </c>
      <c r="AK309" s="600" t="str">
        <f>IF($V309="","",IF($V309&gt;0,"○勝",IF($V309&lt;0,"●負","△引分")))</f>
        <v/>
      </c>
    </row>
    <row r="310" spans="1:37" ht="17.25" customHeight="1">
      <c r="A310" s="621" t="str">
        <f>IF(B310="","",HYPERLINK("https://kabutan.jp/stock/?code="&amp;B310,"株探"))</f>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IF(OR(F310="",G310="",H310=""),"",IF(C310="売",(F310-H310)*G310,(H310-F310)*G310))</f>
        <v/>
      </c>
      <c r="L310" s="708" t="str">
        <f>IF(OR(F310="",H310=""),"",IF(C310="売",(F310-H310)/F310,(H310-F310)/F310))</f>
        <v/>
      </c>
      <c r="M310" s="598" t="str">
        <f>IF($F310="","",IF($C310="売",CEILING($F310*IF($C310="売",1-$AX$3,1+$AX$3),IF($F310*IF($C310="売",1-$AX$3,1+$AX$3)&lt;=3000,1,IF($F310*IF($C310="売",1-$AX$3,1+$AX$3)&lt;=5000,5,IF($F310*IF($C310="売",1-$AX$3,1+$AX$3)&lt;=30000,10,IF($F310*IF($C310="売",1-$AX$3,1+$AX$3)&lt;=50000,50,IF($F310*IF($C310="売",1-$AX$3,1+$AX$3)&lt;=300000,100,500)))))),FLOOR($F310*IF($C310="売",1-$AX$3,1+$AX$3),IF($F310*IF($C310="売",1-$AX$3,1+$AX$3)&lt;=3000,1,IF($F310*IF($C310="売",1-$AX$3,1+$AX$3)&lt;=5000,5,IF($F310*IF($C310="売",1-$AX$3,1+$AX$3)&lt;=30000,10,IF($F310*IF($C310="売",1-$AX$3,1+$AX$3)&lt;=50000,50,IF($F310*IF($C310="売",1-$AX$3,1+$AX$3)&lt;=300000,100,500))))))))</f>
      </c>
      <c r="N310" s="598" t="str">
        <f>IF($F310="","",IF($C310="売",CEILING($F310*IF($C310="売",1+$AX$2,1-$AX$2),IF($F310*IF($C310="売",1+$AX$2,1-$AX$2)&lt;=3000,1,IF($F310*IF($C310="売",1+$AX$2,1-$AX$2)&lt;=5000,5,IF($F310*IF($C310="売",1+$AX$2,1-$AX$2)&lt;=30000,10,IF($F310*IF($C310="売",1+$AX$2,1-$AX$2)&lt;=50000,50,IF($F310*IF($C310="売",1+$AX$2,1-$AX$2)&lt;=300000,100,500)))))),FLOOR($F310*IF($C310="売",1+$AX$2,1-$AX$2),IF($F310*IF($C310="売",1+$AX$2,1-$AX$2)&lt;=3000,1,IF($F310*IF($C310="売",1+$AX$2,1-$AX$2)&lt;=5000,5,IF($F310*IF($C310="売",1+$AX$2,1-$AX$2)&lt;=30000,10,IF($F310*IF($C310="売",1+$AX$2,1-$AX$2)&lt;=50000,50,IF($F310*IF($C310="売",1+$AX$2,1-$AX$2)&lt;=300000,100,500))))))))</f>
      </c>
      <c r="O310" s="478" t="str">
        <f>IF(OR($B310="",$F310="",$H310=""),"",IF($S310="✅売却済","―決済済―",IF($C310="売",IF($H310&lt;=$M310,"🟢利確",IF(AND($R310&lt;&gt;"",$H310&gt;=$R310),"🟠TRAIL決済",IF($H310&gt;=$N310,"🔴損切",IF($W310&gt;=$AX$5,"⏱時間決済",IF($H310&gt;=$F310*(1+$AX$2*0.7),"⚠️損切接近","保持継続"))))),IF($H310&gt;=$M310,"🟢利確",IF(AND($R310&lt;&gt;"",$H310&lt;=$R310),"🟠TRAIL決済",IF($H310&lt;=$N310,"🔴損切",IF($W310&gt;=$AX$5,"⏱時間決済",IF($H310&lt;=$F310*(1-$AX$2*0.7),"⚠️損切接近","保持継続")))))))</f>
      </c>
      <c r="P310" s="445"/>
      <c r="Q310" s="445"/>
      <c r="R310" s="480" t="str">
        <f>IF(OR($F310="",$H310="",$N310=""),"",IF($S310="✅売却済","",IF($C310="売",IF($H310&gt;$F310*(1-$AX$2),$N310,CEILING(MIN($N310,IF($Q310="",$N310,$Q310*1.03)),IF($N310&lt;=3000,1,IF($N310&lt;=5000,5,IF($N310&lt;=30000,10,IF($N310&lt;=50000,50,IF($N310&lt;=300000,100,500))))))),IF($H310&lt;$F310*(1+$AX$2),$N310,FLOOR(MAX($N310,IF($P310="",$N310,$P310*0.97)),IF($N310&lt;=3000,1,IF($N310&lt;=5000,5,IF($N310&lt;=30000,10,IF($N310&lt;=50000,50,IF($N310&lt;=300000,100,500))))))))))</f>
      </c>
      <c r="S310" s="480" t="str">
        <f>IF(B310="","",IF(T310&lt;&gt;"","✅売却済",IF(OR(H310="",L310=""),"📌保有中",IF(L310&gt;=0.06,"🟢利確推奨",IF(L310&gt;=0.05,"🟡利確直近",IF(L310&gt;=0.045,"🔵トレーリング検討",IF(L310&gt;-0.03,"📌保有中",IF(L310&gt;-0.04,"⚠️損切注意","🔴損切り"))))))))</f>
        <v/>
      </c>
      <c r="T310" s="596"/>
      <c r="U310" s="598"/>
      <c r="V310" s="703" t="str">
        <f>IF(OR(F310="",G310="",U310=""),"",IF(C310="売",(F310-U310)*G310,(U310-F310)*G310))</f>
        <v/>
      </c>
      <c r="W310" s="480" t="str">
        <f>IF(OR($E310="",$B310=""),"",IF($T310&lt;&gt;"",$T310-$E310,TODAY()-$E310)+1)</f>
        <v/>
      </c>
      <c r="X310" s="480" t="str">
        <f>IF(OR($AH310="",$AH310="保有中"),"",$AH310)</f>
        <v/>
      </c>
      <c r="Y310" s="488">
        <f>IF($B310="","",IF(COUNTIFS($B$4:$B310,$B310,$C$4:$C310,$C310)&gt;1,"⛔重複"&amp;COUNTIFS($B$4:$B310,$B310,$C$4:$C310,$C310)&amp;"回目",""))</f>
      </c>
      <c r="Z310" s="710"/>
      <c r="AB310">
        <f>IF($F310="","",MAX(100,ROUNDDOWN($AX$4/($F310*$AX$2)/100,0)*100))</f>
      </c>
      <c r="AC310">
        <f>IF(OR($F310="",$G310="",$U310=""),"",ROUND($V310-($F310+$U310)*$G310*$AX$6-IF($C310="売",$F310*$G310*$AX$7*$W310/365,0),0))</f>
      </c>
      <c r="AD310" s="608"/>
      <c r="AE310" s="600" t="str">
        <f>IF($E310="","",WORKDAY($E310,12))</f>
        <v/>
      </c>
      <c r="AF310" s="600"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0"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0" t="str">
        <f>IF(OR($B310="",$M310=""),"",IF(AND(N($AF310)=0,N($AG310)=0),IF(AND(ISNUMBER($H310),$H310&gt;0,IF($C310="売",$H310&gt;=$N310,$H310&lt;=$N310)),"損切確定",IF(AND(ISNUMBER($H310),$H310&gt;0,IF($C310="売",$H310&lt;=$M310,$H310&gt;=$M310)),"利益確定",IF($AE310&lt;=TODAY(),"日数制限","保有中"))),IF(N($AG310)=0,"利益確定",IF(N($AF310)=0,"損切確定",IF($AG310&lt;=$AF310,"損切確定","利益確定")))))</f>
        <v/>
      </c>
      <c r="AI310" s="600" t="str" cm="1">
        <f t="array" ref="AI310">IFERROR(INDEX(始値!$E$6:$BT$305,MATCH(TEXT($B310,"0"),TEXT(銘柄管理!$B$6:$B$305,"0"),0),MATCH($AE310,始値!$E$3:$BT$3,0)),"")</f>
        <v/>
      </c>
      <c r="AJ310" s="608" t="str">
        <f>IF(OR($V310="",$F310="",$G310=""),"",$V310/($F310*$G310))</f>
        <v/>
      </c>
      <c r="AK310" s="600" t="str">
        <f>IF($V310="","",IF($V310&gt;0,"○勝",IF($V310&lt;0,"●負","△引分")))</f>
        <v/>
      </c>
    </row>
    <row r="311" spans="1:37" ht="17.25" customHeight="1">
      <c r="A311" s="621" t="str">
        <f>IF(B311="","",HYPERLINK("https://kabutan.jp/stock/?code="&amp;B311,"株探"))</f>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IF(OR(F311="",G311="",H311=""),"",IF(C311="売",(F311-H311)*G311,(H311-F311)*G311))</f>
        <v/>
      </c>
      <c r="L311" s="708" t="str">
        <f>IF(OR(F311="",H311=""),"",IF(C311="売",(F311-H311)/F311,(H311-F311)/F311))</f>
        <v/>
      </c>
      <c r="M311" s="598" t="str">
        <f>IF($F311="","",IF($C311="売",CEILING($F311*IF($C311="売",1-$AX$3,1+$AX$3),IF($F311*IF($C311="売",1-$AX$3,1+$AX$3)&lt;=3000,1,IF($F311*IF($C311="売",1-$AX$3,1+$AX$3)&lt;=5000,5,IF($F311*IF($C311="売",1-$AX$3,1+$AX$3)&lt;=30000,10,IF($F311*IF($C311="売",1-$AX$3,1+$AX$3)&lt;=50000,50,IF($F311*IF($C311="売",1-$AX$3,1+$AX$3)&lt;=300000,100,500)))))),FLOOR($F311*IF($C311="売",1-$AX$3,1+$AX$3),IF($F311*IF($C311="売",1-$AX$3,1+$AX$3)&lt;=3000,1,IF($F311*IF($C311="売",1-$AX$3,1+$AX$3)&lt;=5000,5,IF($F311*IF($C311="売",1-$AX$3,1+$AX$3)&lt;=30000,10,IF($F311*IF($C311="売",1-$AX$3,1+$AX$3)&lt;=50000,50,IF($F311*IF($C311="売",1-$AX$3,1+$AX$3)&lt;=300000,100,500))))))))</f>
      </c>
      <c r="N311" s="598" t="str">
        <f>IF($F311="","",IF($C311="売",CEILING($F311*IF($C311="売",1+$AX$2,1-$AX$2),IF($F311*IF($C311="売",1+$AX$2,1-$AX$2)&lt;=3000,1,IF($F311*IF($C311="売",1+$AX$2,1-$AX$2)&lt;=5000,5,IF($F311*IF($C311="売",1+$AX$2,1-$AX$2)&lt;=30000,10,IF($F311*IF($C311="売",1+$AX$2,1-$AX$2)&lt;=50000,50,IF($F311*IF($C311="売",1+$AX$2,1-$AX$2)&lt;=300000,100,500)))))),FLOOR($F311*IF($C311="売",1+$AX$2,1-$AX$2),IF($F311*IF($C311="売",1+$AX$2,1-$AX$2)&lt;=3000,1,IF($F311*IF($C311="売",1+$AX$2,1-$AX$2)&lt;=5000,5,IF($F311*IF($C311="売",1+$AX$2,1-$AX$2)&lt;=30000,10,IF($F311*IF($C311="売",1+$AX$2,1-$AX$2)&lt;=50000,50,IF($F311*IF($C311="売",1+$AX$2,1-$AX$2)&lt;=300000,100,500))))))))</f>
      </c>
      <c r="O311" s="478" t="str">
        <f>IF(OR($B311="",$F311="",$H311=""),"",IF($S311="✅売却済","―決済済―",IF($C311="売",IF($H311&lt;=$M311,"🟢利確",IF(AND($R311&lt;&gt;"",$H311&gt;=$R311),"🟠TRAIL決済",IF($H311&gt;=$N311,"🔴損切",IF($W311&gt;=$AX$5,"⏱時間決済",IF($H311&gt;=$F311*(1+$AX$2*0.7),"⚠️損切接近","保持継続"))))),IF($H311&gt;=$M311,"🟢利確",IF(AND($R311&lt;&gt;"",$H311&lt;=$R311),"🟠TRAIL決済",IF($H311&lt;=$N311,"🔴損切",IF($W311&gt;=$AX$5,"⏱時間決済",IF($H311&lt;=$F311*(1-$AX$2*0.7),"⚠️損切接近","保持継続")))))))</f>
      </c>
      <c r="P311" s="445"/>
      <c r="Q311" s="445"/>
      <c r="R311" s="480" t="str">
        <f>IF(OR($F311="",$H311="",$N311=""),"",IF($S311="✅売却済","",IF($C311="売",IF($H311&gt;$F311*(1-$AX$2),$N311,CEILING(MIN($N311,IF($Q311="",$N311,$Q311*1.03)),IF($N311&lt;=3000,1,IF($N311&lt;=5000,5,IF($N311&lt;=30000,10,IF($N311&lt;=50000,50,IF($N311&lt;=300000,100,500))))))),IF($H311&lt;$F311*(1+$AX$2),$N311,FLOOR(MAX($N311,IF($P311="",$N311,$P311*0.97)),IF($N311&lt;=3000,1,IF($N311&lt;=5000,5,IF($N311&lt;=30000,10,IF($N311&lt;=50000,50,IF($N311&lt;=300000,100,500))))))))))</f>
      </c>
      <c r="S311" s="480" t="str">
        <f>IF(B311="","",IF(T311&lt;&gt;"","✅売却済",IF(OR(H311="",L311=""),"📌保有中",IF(L311&gt;=0.06,"🟢利確推奨",IF(L311&gt;=0.05,"🟡利確直近",IF(L311&gt;=0.045,"🔵トレーリング検討",IF(L311&gt;-0.03,"📌保有中",IF(L311&gt;-0.04,"⚠️損切注意","🔴損切り"))))))))</f>
        <v/>
      </c>
      <c r="T311" s="596"/>
      <c r="U311" s="598"/>
      <c r="V311" s="703" t="str">
        <f>IF(OR(F311="",G311="",U311=""),"",IF(C311="売",(F311-U311)*G311,(U311-F311)*G311))</f>
        <v/>
      </c>
      <c r="W311" s="480" t="str">
        <f>IF(OR($E311="",$B311=""),"",IF($T311&lt;&gt;"",$T311-$E311,TODAY()-$E311)+1)</f>
        <v/>
      </c>
      <c r="X311" s="480" t="str">
        <f>IF(OR($AH311="",$AH311="保有中"),"",$AH311)</f>
        <v/>
      </c>
      <c r="Y311" s="488">
        <f>IF($B311="","",IF(COUNTIFS($B$4:$B311,$B311,$C$4:$C311,$C311)&gt;1,"⛔重複"&amp;COUNTIFS($B$4:$B311,$B311,$C$4:$C311,$C311)&amp;"回目",""))</f>
      </c>
      <c r="Z311" s="710"/>
      <c r="AB311">
        <f>IF($F311="","",MAX(100,ROUNDDOWN($AX$4/($F311*$AX$2)/100,0)*100))</f>
      </c>
      <c r="AC311">
        <f>IF(OR($F311="",$G311="",$U311=""),"",ROUND($V311-($F311+$U311)*$G311*$AX$6-IF($C311="売",$F311*$G311*$AX$7*$W311/365,0),0))</f>
      </c>
      <c r="AD311" s="608"/>
      <c r="AE311" s="600" t="str">
        <f>IF($E311="","",WORKDAY($E311,12))</f>
        <v/>
      </c>
      <c r="AF311" s="600"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0"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0" t="str">
        <f>IF(OR($B311="",$M311=""),"",IF(AND(N($AF311)=0,N($AG311)=0),IF(AND(ISNUMBER($H311),$H311&gt;0,IF($C311="売",$H311&gt;=$N311,$H311&lt;=$N311)),"損切確定",IF(AND(ISNUMBER($H311),$H311&gt;0,IF($C311="売",$H311&lt;=$M311,$H311&gt;=$M311)),"利益確定",IF($AE311&lt;=TODAY(),"日数制限","保有中"))),IF(N($AG311)=0,"利益確定",IF(N($AF311)=0,"損切確定",IF($AG311&lt;=$AF311,"損切確定","利益確定")))))</f>
        <v/>
      </c>
      <c r="AI311" s="600" t="str" cm="1">
        <f t="array" ref="AI311">IFERROR(INDEX(始値!$E$6:$BT$305,MATCH(TEXT($B311,"0"),TEXT(銘柄管理!$B$6:$B$305,"0"),0),MATCH($AE311,始値!$E$3:$BT$3,0)),"")</f>
        <v/>
      </c>
      <c r="AJ311" s="608" t="str">
        <f>IF(OR($V311="",$F311="",$G311=""),"",$V311/($F311*$G311))</f>
        <v/>
      </c>
      <c r="AK311" s="600" t="str">
        <f>IF($V311="","",IF($V311&gt;0,"○勝",IF($V311&lt;0,"●負","△引分")))</f>
        <v/>
      </c>
    </row>
    <row r="312" spans="1:37" ht="17.25" customHeight="1">
      <c r="A312" s="621" t="str">
        <f>IF(B312="","",HYPERLINK("https://kabutan.jp/stock/?code="&amp;B312,"株探"))</f>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IF(OR(F312="",G312="",H312=""),"",IF(C312="売",(F312-H312)*G312,(H312-F312)*G312))</f>
        <v/>
      </c>
      <c r="L312" s="708" t="str">
        <f>IF(OR(F312="",H312=""),"",IF(C312="売",(F312-H312)/F312,(H312-F312)/F312))</f>
        <v/>
      </c>
      <c r="M312" s="598" t="str">
        <f>IF($F312="","",IF($C312="売",CEILING($F312*IF($C312="売",1-$AX$3,1+$AX$3),IF($F312*IF($C312="売",1-$AX$3,1+$AX$3)&lt;=3000,1,IF($F312*IF($C312="売",1-$AX$3,1+$AX$3)&lt;=5000,5,IF($F312*IF($C312="売",1-$AX$3,1+$AX$3)&lt;=30000,10,IF($F312*IF($C312="売",1-$AX$3,1+$AX$3)&lt;=50000,50,IF($F312*IF($C312="売",1-$AX$3,1+$AX$3)&lt;=300000,100,500)))))),FLOOR($F312*IF($C312="売",1-$AX$3,1+$AX$3),IF($F312*IF($C312="売",1-$AX$3,1+$AX$3)&lt;=3000,1,IF($F312*IF($C312="売",1-$AX$3,1+$AX$3)&lt;=5000,5,IF($F312*IF($C312="売",1-$AX$3,1+$AX$3)&lt;=30000,10,IF($F312*IF($C312="売",1-$AX$3,1+$AX$3)&lt;=50000,50,IF($F312*IF($C312="売",1-$AX$3,1+$AX$3)&lt;=300000,100,500))))))))</f>
      </c>
      <c r="N312" s="598" t="str">
        <f>IF($F312="","",IF($C312="売",CEILING($F312*IF($C312="売",1+$AX$2,1-$AX$2),IF($F312*IF($C312="売",1+$AX$2,1-$AX$2)&lt;=3000,1,IF($F312*IF($C312="売",1+$AX$2,1-$AX$2)&lt;=5000,5,IF($F312*IF($C312="売",1+$AX$2,1-$AX$2)&lt;=30000,10,IF($F312*IF($C312="売",1+$AX$2,1-$AX$2)&lt;=50000,50,IF($F312*IF($C312="売",1+$AX$2,1-$AX$2)&lt;=300000,100,500)))))),FLOOR($F312*IF($C312="売",1+$AX$2,1-$AX$2),IF($F312*IF($C312="売",1+$AX$2,1-$AX$2)&lt;=3000,1,IF($F312*IF($C312="売",1+$AX$2,1-$AX$2)&lt;=5000,5,IF($F312*IF($C312="売",1+$AX$2,1-$AX$2)&lt;=30000,10,IF($F312*IF($C312="売",1+$AX$2,1-$AX$2)&lt;=50000,50,IF($F312*IF($C312="売",1+$AX$2,1-$AX$2)&lt;=300000,100,500))))))))</f>
      </c>
      <c r="O312" s="478" t="str">
        <f>IF(OR($B312="",$F312="",$H312=""),"",IF($S312="✅売却済","―決済済―",IF($C312="売",IF($H312&lt;=$M312,"🟢利確",IF(AND($R312&lt;&gt;"",$H312&gt;=$R312),"🟠TRAIL決済",IF($H312&gt;=$N312,"🔴損切",IF($W312&gt;=$AX$5,"⏱時間決済",IF($H312&gt;=$F312*(1+$AX$2*0.7),"⚠️損切接近","保持継続"))))),IF($H312&gt;=$M312,"🟢利確",IF(AND($R312&lt;&gt;"",$H312&lt;=$R312),"🟠TRAIL決済",IF($H312&lt;=$N312,"🔴損切",IF($W312&gt;=$AX$5,"⏱時間決済",IF($H312&lt;=$F312*(1-$AX$2*0.7),"⚠️損切接近","保持継続")))))))</f>
      </c>
      <c r="P312" s="445"/>
      <c r="Q312" s="445"/>
      <c r="R312" s="480" t="str">
        <f>IF(OR($F312="",$H312="",$N312=""),"",IF($S312="✅売却済","",IF($C312="売",IF($H312&gt;$F312*(1-$AX$2),$N312,CEILING(MIN($N312,IF($Q312="",$N312,$Q312*1.03)),IF($N312&lt;=3000,1,IF($N312&lt;=5000,5,IF($N312&lt;=30000,10,IF($N312&lt;=50000,50,IF($N312&lt;=300000,100,500))))))),IF($H312&lt;$F312*(1+$AX$2),$N312,FLOOR(MAX($N312,IF($P312="",$N312,$P312*0.97)),IF($N312&lt;=3000,1,IF($N312&lt;=5000,5,IF($N312&lt;=30000,10,IF($N312&lt;=50000,50,IF($N312&lt;=300000,100,500))))))))))</f>
      </c>
      <c r="S312" s="480" t="str">
        <f>IF(B312="","",IF(T312&lt;&gt;"","✅売却済",IF(OR(H312="",L312=""),"📌保有中",IF(L312&gt;=0.06,"🟢利確推奨",IF(L312&gt;=0.05,"🟡利確直近",IF(L312&gt;=0.045,"🔵トレーリング検討",IF(L312&gt;-0.03,"📌保有中",IF(L312&gt;-0.04,"⚠️損切注意","🔴損切り"))))))))</f>
        <v/>
      </c>
      <c r="T312" s="596"/>
      <c r="U312" s="598"/>
      <c r="V312" s="703" t="str">
        <f>IF(OR(F312="",G312="",U312=""),"",IF(C312="売",(F312-U312)*G312,(U312-F312)*G312))</f>
        <v/>
      </c>
      <c r="W312" s="480" t="str">
        <f>IF(OR($E312="",$B312=""),"",IF($T312&lt;&gt;"",$T312-$E312,TODAY()-$E312)+1)</f>
        <v/>
      </c>
      <c r="X312" s="480" t="str">
        <f>IF(OR($AH312="",$AH312="保有中"),"",$AH312)</f>
        <v/>
      </c>
      <c r="Y312" s="488">
        <f>IF($B312="","",IF(COUNTIFS($B$4:$B312,$B312,$C$4:$C312,$C312)&gt;1,"⛔重複"&amp;COUNTIFS($B$4:$B312,$B312,$C$4:$C312,$C312)&amp;"回目",""))</f>
      </c>
      <c r="Z312" s="710"/>
      <c r="AB312">
        <f>IF($F312="","",MAX(100,ROUNDDOWN($AX$4/($F312*$AX$2)/100,0)*100))</f>
      </c>
      <c r="AC312">
        <f>IF(OR($F312="",$G312="",$U312=""),"",ROUND($V312-($F312+$U312)*$G312*$AX$6-IF($C312="売",$F312*$G312*$AX$7*$W312/365,0),0))</f>
      </c>
      <c r="AD312" s="608"/>
      <c r="AE312" s="600" t="str">
        <f>IF($E312="","",WORKDAY($E312,12))</f>
        <v/>
      </c>
      <c r="AF312" s="600"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0"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0" t="str">
        <f>IF(OR($B312="",$M312=""),"",IF(AND(N($AF312)=0,N($AG312)=0),IF(AND(ISNUMBER($H312),$H312&gt;0,IF($C312="売",$H312&gt;=$N312,$H312&lt;=$N312)),"損切確定",IF(AND(ISNUMBER($H312),$H312&gt;0,IF($C312="売",$H312&lt;=$M312,$H312&gt;=$M312)),"利益確定",IF($AE312&lt;=TODAY(),"日数制限","保有中"))),IF(N($AG312)=0,"利益確定",IF(N($AF312)=0,"損切確定",IF($AG312&lt;=$AF312,"損切確定","利益確定")))))</f>
        <v/>
      </c>
      <c r="AI312" s="600" t="str" cm="1">
        <f t="array" ref="AI312">IFERROR(INDEX(始値!$E$6:$BT$305,MATCH(TEXT($B312,"0"),TEXT(銘柄管理!$B$6:$B$305,"0"),0),MATCH($AE312,始値!$E$3:$BT$3,0)),"")</f>
        <v/>
      </c>
      <c r="AJ312" s="608" t="str">
        <f>IF(OR($V312="",$F312="",$G312=""),"",$V312/($F312*$G312))</f>
        <v/>
      </c>
      <c r="AK312" s="600" t="str">
        <f>IF($V312="","",IF($V312&gt;0,"○勝",IF($V312&lt;0,"●負","△引分")))</f>
        <v/>
      </c>
    </row>
    <row r="313" spans="1:37" ht="17.25" customHeight="1">
      <c r="A313" s="621" t="str">
        <f>IF(B313="","",HYPERLINK("https://kabutan.jp/stock/?code="&amp;B313,"株探"))</f>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IF(OR(F313="",G313="",H313=""),"",IF(C313="売",(F313-H313)*G313,(H313-F313)*G313))</f>
        <v/>
      </c>
      <c r="L313" s="708" t="str">
        <f>IF(OR(F313="",H313=""),"",IF(C313="売",(F313-H313)/F313,(H313-F313)/F313))</f>
        <v/>
      </c>
      <c r="M313" s="598" t="str">
        <f>IF($F313="","",IF($C313="売",CEILING($F313*IF($C313="売",1-$AX$3,1+$AX$3),IF($F313*IF($C313="売",1-$AX$3,1+$AX$3)&lt;=3000,1,IF($F313*IF($C313="売",1-$AX$3,1+$AX$3)&lt;=5000,5,IF($F313*IF($C313="売",1-$AX$3,1+$AX$3)&lt;=30000,10,IF($F313*IF($C313="売",1-$AX$3,1+$AX$3)&lt;=50000,50,IF($F313*IF($C313="売",1-$AX$3,1+$AX$3)&lt;=300000,100,500)))))),FLOOR($F313*IF($C313="売",1-$AX$3,1+$AX$3),IF($F313*IF($C313="売",1-$AX$3,1+$AX$3)&lt;=3000,1,IF($F313*IF($C313="売",1-$AX$3,1+$AX$3)&lt;=5000,5,IF($F313*IF($C313="売",1-$AX$3,1+$AX$3)&lt;=30000,10,IF($F313*IF($C313="売",1-$AX$3,1+$AX$3)&lt;=50000,50,IF($F313*IF($C313="売",1-$AX$3,1+$AX$3)&lt;=300000,100,500))))))))</f>
      </c>
      <c r="N313" s="598" t="str">
        <f>IF($F313="","",IF($C313="売",CEILING($F313*IF($C313="売",1+$AX$2,1-$AX$2),IF($F313*IF($C313="売",1+$AX$2,1-$AX$2)&lt;=3000,1,IF($F313*IF($C313="売",1+$AX$2,1-$AX$2)&lt;=5000,5,IF($F313*IF($C313="売",1+$AX$2,1-$AX$2)&lt;=30000,10,IF($F313*IF($C313="売",1+$AX$2,1-$AX$2)&lt;=50000,50,IF($F313*IF($C313="売",1+$AX$2,1-$AX$2)&lt;=300000,100,500)))))),FLOOR($F313*IF($C313="売",1+$AX$2,1-$AX$2),IF($F313*IF($C313="売",1+$AX$2,1-$AX$2)&lt;=3000,1,IF($F313*IF($C313="売",1+$AX$2,1-$AX$2)&lt;=5000,5,IF($F313*IF($C313="売",1+$AX$2,1-$AX$2)&lt;=30000,10,IF($F313*IF($C313="売",1+$AX$2,1-$AX$2)&lt;=50000,50,IF($F313*IF($C313="売",1+$AX$2,1-$AX$2)&lt;=300000,100,500))))))))</f>
      </c>
      <c r="O313" s="478" t="str">
        <f>IF(OR($B313="",$F313="",$H313=""),"",IF($S313="✅売却済","―決済済―",IF($C313="売",IF($H313&lt;=$M313,"🟢利確",IF(AND($R313&lt;&gt;"",$H313&gt;=$R313),"🟠TRAIL決済",IF($H313&gt;=$N313,"🔴損切",IF($W313&gt;=$AX$5,"⏱時間決済",IF($H313&gt;=$F313*(1+$AX$2*0.7),"⚠️損切接近","保持継続"))))),IF($H313&gt;=$M313,"🟢利確",IF(AND($R313&lt;&gt;"",$H313&lt;=$R313),"🟠TRAIL決済",IF($H313&lt;=$N313,"🔴損切",IF($W313&gt;=$AX$5,"⏱時間決済",IF($H313&lt;=$F313*(1-$AX$2*0.7),"⚠️損切接近","保持継続")))))))</f>
      </c>
      <c r="P313" s="445"/>
      <c r="Q313" s="445"/>
      <c r="R313" s="480" t="str">
        <f>IF(OR($F313="",$H313="",$N313=""),"",IF($S313="✅売却済","",IF($C313="売",IF($H313&gt;$F313*(1-$AX$2),$N313,CEILING(MIN($N313,IF($Q313="",$N313,$Q313*1.03)),IF($N313&lt;=3000,1,IF($N313&lt;=5000,5,IF($N313&lt;=30000,10,IF($N313&lt;=50000,50,IF($N313&lt;=300000,100,500))))))),IF($H313&lt;$F313*(1+$AX$2),$N313,FLOOR(MAX($N313,IF($P313="",$N313,$P313*0.97)),IF($N313&lt;=3000,1,IF($N313&lt;=5000,5,IF($N313&lt;=30000,10,IF($N313&lt;=50000,50,IF($N313&lt;=300000,100,500))))))))))</f>
      </c>
      <c r="S313" s="480" t="str">
        <f>IF(B313="","",IF(T313&lt;&gt;"","✅売却済",IF(OR(H313="",L313=""),"📌保有中",IF(L313&gt;=0.06,"🟢利確推奨",IF(L313&gt;=0.05,"🟡利確直近",IF(L313&gt;=0.045,"🔵トレーリング検討",IF(L313&gt;-0.03,"📌保有中",IF(L313&gt;-0.04,"⚠️損切注意","🔴損切り"))))))))</f>
        <v/>
      </c>
      <c r="T313" s="596"/>
      <c r="U313" s="598"/>
      <c r="V313" s="703" t="str">
        <f>IF(OR(F313="",G313="",U313=""),"",IF(C313="売",(F313-U313)*G313,(U313-F313)*G313))</f>
        <v/>
      </c>
      <c r="W313" s="480" t="str">
        <f>IF(OR($E313="",$B313=""),"",IF($T313&lt;&gt;"",$T313-$E313,TODAY()-$E313)+1)</f>
        <v/>
      </c>
      <c r="X313" s="480" t="str">
        <f>IF(OR($AH313="",$AH313="保有中"),"",$AH313)</f>
        <v/>
      </c>
      <c r="Y313" s="488">
        <f>IF($B313="","",IF(COUNTIFS($B$4:$B313,$B313,$C$4:$C313,$C313)&gt;1,"⛔重複"&amp;COUNTIFS($B$4:$B313,$B313,$C$4:$C313,$C313)&amp;"回目",""))</f>
      </c>
      <c r="Z313" s="710"/>
      <c r="AB313">
        <f>IF($F313="","",MAX(100,ROUNDDOWN($AX$4/($F313*$AX$2)/100,0)*100))</f>
      </c>
      <c r="AC313">
        <f>IF(OR($F313="",$G313="",$U313=""),"",ROUND($V313-($F313+$U313)*$G313*$AX$6-IF($C313="売",$F313*$G313*$AX$7*$W313/365,0),0))</f>
      </c>
      <c r="AD313" s="608"/>
      <c r="AE313" s="600" t="str">
        <f>IF($E313="","",WORKDAY($E313,12))</f>
        <v/>
      </c>
      <c r="AF313" s="600"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0"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0" t="str">
        <f>IF(OR($B313="",$M313=""),"",IF(AND(N($AF313)=0,N($AG313)=0),IF(AND(ISNUMBER($H313),$H313&gt;0,IF($C313="売",$H313&gt;=$N313,$H313&lt;=$N313)),"損切確定",IF(AND(ISNUMBER($H313),$H313&gt;0,IF($C313="売",$H313&lt;=$M313,$H313&gt;=$M313)),"利益確定",IF($AE313&lt;=TODAY(),"日数制限","保有中"))),IF(N($AG313)=0,"利益確定",IF(N($AF313)=0,"損切確定",IF($AG313&lt;=$AF313,"損切確定","利益確定")))))</f>
        <v/>
      </c>
      <c r="AI313" s="600" t="str" cm="1">
        <f t="array" ref="AI313">IFERROR(INDEX(始値!$E$6:$BT$305,MATCH(TEXT($B313,"0"),TEXT(銘柄管理!$B$6:$B$305,"0"),0),MATCH($AE313,始値!$E$3:$BT$3,0)),"")</f>
        <v/>
      </c>
      <c r="AJ313" s="608" t="str">
        <f>IF(OR($V313="",$F313="",$G313=""),"",$V313/($F313*$G313))</f>
        <v/>
      </c>
      <c r="AK313" s="600" t="str">
        <f>IF($V313="","",IF($V313&gt;0,"○勝",IF($V313&lt;0,"●負","△引分")))</f>
        <v/>
      </c>
    </row>
    <row r="314" spans="1:37" ht="17.25" customHeight="1">
      <c r="A314" s="621" t="str">
        <f>IF(B314="","",HYPERLINK("https://kabutan.jp/stock/?code="&amp;B314,"株探"))</f>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IF(OR(F314="",G314="",H314=""),"",IF(C314="売",(F314-H314)*G314,(H314-F314)*G314))</f>
        <v/>
      </c>
      <c r="L314" s="708" t="str">
        <f>IF(OR(F314="",H314=""),"",IF(C314="売",(F314-H314)/F314,(H314-F314)/F314))</f>
        <v/>
      </c>
      <c r="M314" s="598" t="str">
        <f>IF($F314="","",IF($C314="売",CEILING($F314*IF($C314="売",1-$AX$3,1+$AX$3),IF($F314*IF($C314="売",1-$AX$3,1+$AX$3)&lt;=3000,1,IF($F314*IF($C314="売",1-$AX$3,1+$AX$3)&lt;=5000,5,IF($F314*IF($C314="売",1-$AX$3,1+$AX$3)&lt;=30000,10,IF($F314*IF($C314="売",1-$AX$3,1+$AX$3)&lt;=50000,50,IF($F314*IF($C314="売",1-$AX$3,1+$AX$3)&lt;=300000,100,500)))))),FLOOR($F314*IF($C314="売",1-$AX$3,1+$AX$3),IF($F314*IF($C314="売",1-$AX$3,1+$AX$3)&lt;=3000,1,IF($F314*IF($C314="売",1-$AX$3,1+$AX$3)&lt;=5000,5,IF($F314*IF($C314="売",1-$AX$3,1+$AX$3)&lt;=30000,10,IF($F314*IF($C314="売",1-$AX$3,1+$AX$3)&lt;=50000,50,IF($F314*IF($C314="売",1-$AX$3,1+$AX$3)&lt;=300000,100,500))))))))</f>
      </c>
      <c r="N314" s="598" t="str">
        <f>IF($F314="","",IF($C314="売",CEILING($F314*IF($C314="売",1+$AX$2,1-$AX$2),IF($F314*IF($C314="売",1+$AX$2,1-$AX$2)&lt;=3000,1,IF($F314*IF($C314="売",1+$AX$2,1-$AX$2)&lt;=5000,5,IF($F314*IF($C314="売",1+$AX$2,1-$AX$2)&lt;=30000,10,IF($F314*IF($C314="売",1+$AX$2,1-$AX$2)&lt;=50000,50,IF($F314*IF($C314="売",1+$AX$2,1-$AX$2)&lt;=300000,100,500)))))),FLOOR($F314*IF($C314="売",1+$AX$2,1-$AX$2),IF($F314*IF($C314="売",1+$AX$2,1-$AX$2)&lt;=3000,1,IF($F314*IF($C314="売",1+$AX$2,1-$AX$2)&lt;=5000,5,IF($F314*IF($C314="売",1+$AX$2,1-$AX$2)&lt;=30000,10,IF($F314*IF($C314="売",1+$AX$2,1-$AX$2)&lt;=50000,50,IF($F314*IF($C314="売",1+$AX$2,1-$AX$2)&lt;=300000,100,500))))))))</f>
      </c>
      <c r="O314" s="478" t="str">
        <f>IF(OR($B314="",$F314="",$H314=""),"",IF($S314="✅売却済","―決済済―",IF($C314="売",IF($H314&lt;=$M314,"🟢利確",IF(AND($R314&lt;&gt;"",$H314&gt;=$R314),"🟠TRAIL決済",IF($H314&gt;=$N314,"🔴損切",IF($W314&gt;=$AX$5,"⏱時間決済",IF($H314&gt;=$F314*(1+$AX$2*0.7),"⚠️損切接近","保持継続"))))),IF($H314&gt;=$M314,"🟢利確",IF(AND($R314&lt;&gt;"",$H314&lt;=$R314),"🟠TRAIL決済",IF($H314&lt;=$N314,"🔴損切",IF($W314&gt;=$AX$5,"⏱時間決済",IF($H314&lt;=$F314*(1-$AX$2*0.7),"⚠️損切接近","保持継続")))))))</f>
      </c>
      <c r="P314" s="445"/>
      <c r="Q314" s="445"/>
      <c r="R314" s="480" t="str">
        <f>IF(OR($F314="",$H314="",$N314=""),"",IF($S314="✅売却済","",IF($C314="売",IF($H314&gt;$F314*(1-$AX$2),$N314,CEILING(MIN($N314,IF($Q314="",$N314,$Q314*1.03)),IF($N314&lt;=3000,1,IF($N314&lt;=5000,5,IF($N314&lt;=30000,10,IF($N314&lt;=50000,50,IF($N314&lt;=300000,100,500))))))),IF($H314&lt;$F314*(1+$AX$2),$N314,FLOOR(MAX($N314,IF($P314="",$N314,$P314*0.97)),IF($N314&lt;=3000,1,IF($N314&lt;=5000,5,IF($N314&lt;=30000,10,IF($N314&lt;=50000,50,IF($N314&lt;=300000,100,500))))))))))</f>
      </c>
      <c r="S314" s="480" t="str">
        <f>IF(B314="","",IF(T314&lt;&gt;"","✅売却済",IF(OR(H314="",L314=""),"📌保有中",IF(L314&gt;=0.06,"🟢利確推奨",IF(L314&gt;=0.05,"🟡利確直近",IF(L314&gt;=0.045,"🔵トレーリング検討",IF(L314&gt;-0.03,"📌保有中",IF(L314&gt;-0.04,"⚠️損切注意","🔴損切り"))))))))</f>
        <v/>
      </c>
      <c r="T314" s="596"/>
      <c r="U314" s="598"/>
      <c r="V314" s="703" t="str">
        <f>IF(OR(F314="",G314="",U314=""),"",IF(C314="売",(F314-U314)*G314,(U314-F314)*G314))</f>
        <v/>
      </c>
      <c r="W314" s="480" t="str">
        <f>IF(OR($E314="",$B314=""),"",IF($T314&lt;&gt;"",$T314-$E314,TODAY()-$E314)+1)</f>
        <v/>
      </c>
      <c r="X314" s="480" t="str">
        <f>IF(OR($AH314="",$AH314="保有中"),"",$AH314)</f>
        <v/>
      </c>
      <c r="Y314" s="488">
        <f>IF($B314="","",IF(COUNTIFS($B$4:$B314,$B314,$C$4:$C314,$C314)&gt;1,"⛔重複"&amp;COUNTIFS($B$4:$B314,$B314,$C$4:$C314,$C314)&amp;"回目",""))</f>
      </c>
      <c r="Z314" s="710"/>
      <c r="AB314">
        <f>IF($F314="","",MAX(100,ROUNDDOWN($AX$4/($F314*$AX$2)/100,0)*100))</f>
      </c>
      <c r="AC314">
        <f>IF(OR($F314="",$G314="",$U314=""),"",ROUND($V314-($F314+$U314)*$G314*$AX$6-IF($C314="売",$F314*$G314*$AX$7*$W314/365,0),0))</f>
      </c>
      <c r="AD314" s="608"/>
      <c r="AE314" s="600" t="str">
        <f>IF($E314="","",WORKDAY($E314,12))</f>
        <v/>
      </c>
      <c r="AF314" s="600"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0"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0" t="str">
        <f>IF(OR($B314="",$M314=""),"",IF(AND(N($AF314)=0,N($AG314)=0),IF(AND(ISNUMBER($H314),$H314&gt;0,IF($C314="売",$H314&gt;=$N314,$H314&lt;=$N314)),"損切確定",IF(AND(ISNUMBER($H314),$H314&gt;0,IF($C314="売",$H314&lt;=$M314,$H314&gt;=$M314)),"利益確定",IF($AE314&lt;=TODAY(),"日数制限","保有中"))),IF(N($AG314)=0,"利益確定",IF(N($AF314)=0,"損切確定",IF($AG314&lt;=$AF314,"損切確定","利益確定")))))</f>
        <v/>
      </c>
      <c r="AI314" s="600" t="str" cm="1">
        <f t="array" ref="AI314">IFERROR(INDEX(始値!$E$6:$BT$305,MATCH(TEXT($B314,"0"),TEXT(銘柄管理!$B$6:$B$305,"0"),0),MATCH($AE314,始値!$E$3:$BT$3,0)),"")</f>
        <v/>
      </c>
      <c r="AJ314" s="608" t="str">
        <f>IF(OR($V314="",$F314="",$G314=""),"",$V314/($F314*$G314))</f>
        <v/>
      </c>
      <c r="AK314" s="600" t="str">
        <f>IF($V314="","",IF($V314&gt;0,"○勝",IF($V314&lt;0,"●負","△引分")))</f>
        <v/>
      </c>
    </row>
    <row r="315" spans="1:37" ht="17.25" customHeight="1">
      <c r="A315" s="621" t="str">
        <f>IF(B315="","",HYPERLINK("https://kabutan.jp/stock/?code="&amp;B315,"株探"))</f>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IF(OR(F315="",G315="",H315=""),"",IF(C315="売",(F315-H315)*G315,(H315-F315)*G315))</f>
        <v/>
      </c>
      <c r="L315" s="708" t="str">
        <f>IF(OR(F315="",H315=""),"",IF(C315="売",(F315-H315)/F315,(H315-F315)/F315))</f>
        <v/>
      </c>
      <c r="M315" s="598" t="str">
        <f>IF($F315="","",IF($C315="売",CEILING($F315*IF($C315="売",1-$AX$3,1+$AX$3),IF($F315*IF($C315="売",1-$AX$3,1+$AX$3)&lt;=3000,1,IF($F315*IF($C315="売",1-$AX$3,1+$AX$3)&lt;=5000,5,IF($F315*IF($C315="売",1-$AX$3,1+$AX$3)&lt;=30000,10,IF($F315*IF($C315="売",1-$AX$3,1+$AX$3)&lt;=50000,50,IF($F315*IF($C315="売",1-$AX$3,1+$AX$3)&lt;=300000,100,500)))))),FLOOR($F315*IF($C315="売",1-$AX$3,1+$AX$3),IF($F315*IF($C315="売",1-$AX$3,1+$AX$3)&lt;=3000,1,IF($F315*IF($C315="売",1-$AX$3,1+$AX$3)&lt;=5000,5,IF($F315*IF($C315="売",1-$AX$3,1+$AX$3)&lt;=30000,10,IF($F315*IF($C315="売",1-$AX$3,1+$AX$3)&lt;=50000,50,IF($F315*IF($C315="売",1-$AX$3,1+$AX$3)&lt;=300000,100,500))))))))</f>
      </c>
      <c r="N315" s="598" t="str">
        <f>IF($F315="","",IF($C315="売",CEILING($F315*IF($C315="売",1+$AX$2,1-$AX$2),IF($F315*IF($C315="売",1+$AX$2,1-$AX$2)&lt;=3000,1,IF($F315*IF($C315="売",1+$AX$2,1-$AX$2)&lt;=5000,5,IF($F315*IF($C315="売",1+$AX$2,1-$AX$2)&lt;=30000,10,IF($F315*IF($C315="売",1+$AX$2,1-$AX$2)&lt;=50000,50,IF($F315*IF($C315="売",1+$AX$2,1-$AX$2)&lt;=300000,100,500)))))),FLOOR($F315*IF($C315="売",1+$AX$2,1-$AX$2),IF($F315*IF($C315="売",1+$AX$2,1-$AX$2)&lt;=3000,1,IF($F315*IF($C315="売",1+$AX$2,1-$AX$2)&lt;=5000,5,IF($F315*IF($C315="売",1+$AX$2,1-$AX$2)&lt;=30000,10,IF($F315*IF($C315="売",1+$AX$2,1-$AX$2)&lt;=50000,50,IF($F315*IF($C315="売",1+$AX$2,1-$AX$2)&lt;=300000,100,500))))))))</f>
      </c>
      <c r="O315" s="478" t="str">
        <f>IF(OR($B315="",$F315="",$H315=""),"",IF($S315="✅売却済","―決済済―",IF($C315="売",IF($H315&lt;=$M315,"🟢利確",IF(AND($R315&lt;&gt;"",$H315&gt;=$R315),"🟠TRAIL決済",IF($H315&gt;=$N315,"🔴損切",IF($W315&gt;=$AX$5,"⏱時間決済",IF($H315&gt;=$F315*(1+$AX$2*0.7),"⚠️損切接近","保持継続"))))),IF($H315&gt;=$M315,"🟢利確",IF(AND($R315&lt;&gt;"",$H315&lt;=$R315),"🟠TRAIL決済",IF($H315&lt;=$N315,"🔴損切",IF($W315&gt;=$AX$5,"⏱時間決済",IF($H315&lt;=$F315*(1-$AX$2*0.7),"⚠️損切接近","保持継続")))))))</f>
      </c>
      <c r="P315" s="445"/>
      <c r="Q315" s="445"/>
      <c r="R315" s="480" t="str">
        <f>IF(OR($F315="",$H315="",$N315=""),"",IF($S315="✅売却済","",IF($C315="売",IF($H315&gt;$F315*(1-$AX$2),$N315,CEILING(MIN($N315,IF($Q315="",$N315,$Q315*1.03)),IF($N315&lt;=3000,1,IF($N315&lt;=5000,5,IF($N315&lt;=30000,10,IF($N315&lt;=50000,50,IF($N315&lt;=300000,100,500))))))),IF($H315&lt;$F315*(1+$AX$2),$N315,FLOOR(MAX($N315,IF($P315="",$N315,$P315*0.97)),IF($N315&lt;=3000,1,IF($N315&lt;=5000,5,IF($N315&lt;=30000,10,IF($N315&lt;=50000,50,IF($N315&lt;=300000,100,500))))))))))</f>
      </c>
      <c r="S315" s="480" t="str">
        <f>IF(B315="","",IF(T315&lt;&gt;"","✅売却済",IF(OR(H315="",L315=""),"📌保有中",IF(L315&gt;=0.06,"🟢利確推奨",IF(L315&gt;=0.05,"🟡利確直近",IF(L315&gt;=0.045,"🔵トレーリング検討",IF(L315&gt;-0.03,"📌保有中",IF(L315&gt;-0.04,"⚠️損切注意","🔴損切り"))))))))</f>
        <v/>
      </c>
      <c r="T315" s="596"/>
      <c r="U315" s="598"/>
      <c r="V315" s="703" t="str">
        <f>IF(OR(F315="",G315="",U315=""),"",IF(C315="売",(F315-U315)*G315,(U315-F315)*G315))</f>
        <v/>
      </c>
      <c r="W315" s="480" t="str">
        <f>IF(OR($E315="",$B315=""),"",IF($T315&lt;&gt;"",$T315-$E315,TODAY()-$E315)+1)</f>
        <v/>
      </c>
      <c r="X315" s="480" t="str">
        <f>IF(OR($AH315="",$AH315="保有中"),"",$AH315)</f>
        <v/>
      </c>
      <c r="Y315" s="488">
        <f>IF($B315="","",IF(COUNTIFS($B$4:$B315,$B315,$C$4:$C315,$C315)&gt;1,"⛔重複"&amp;COUNTIFS($B$4:$B315,$B315,$C$4:$C315,$C315)&amp;"回目",""))</f>
      </c>
      <c r="Z315" s="710"/>
      <c r="AB315">
        <f>IF($F315="","",MAX(100,ROUNDDOWN($AX$4/($F315*$AX$2)/100,0)*100))</f>
      </c>
      <c r="AC315">
        <f>IF(OR($F315="",$G315="",$U315=""),"",ROUND($V315-($F315+$U315)*$G315*$AX$6-IF($C315="売",$F315*$G315*$AX$7*$W315/365,0),0))</f>
      </c>
      <c r="AD315" s="608"/>
      <c r="AE315" s="600" t="str">
        <f>IF($E315="","",WORKDAY($E315,12))</f>
        <v/>
      </c>
      <c r="AF315" s="600"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0"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0" t="str">
        <f>IF(OR($B315="",$M315=""),"",IF(AND(N($AF315)=0,N($AG315)=0),IF(AND(ISNUMBER($H315),$H315&gt;0,IF($C315="売",$H315&gt;=$N315,$H315&lt;=$N315)),"損切確定",IF(AND(ISNUMBER($H315),$H315&gt;0,IF($C315="売",$H315&lt;=$M315,$H315&gt;=$M315)),"利益確定",IF($AE315&lt;=TODAY(),"日数制限","保有中"))),IF(N($AG315)=0,"利益確定",IF(N($AF315)=0,"損切確定",IF($AG315&lt;=$AF315,"損切確定","利益確定")))))</f>
        <v/>
      </c>
      <c r="AI315" s="600" t="str" cm="1">
        <f t="array" ref="AI315">IFERROR(INDEX(始値!$E$6:$BT$305,MATCH(TEXT($B315,"0"),TEXT(銘柄管理!$B$6:$B$305,"0"),0),MATCH($AE315,始値!$E$3:$BT$3,0)),"")</f>
        <v/>
      </c>
      <c r="AJ315" s="608" t="str">
        <f>IF(OR($V315="",$F315="",$G315=""),"",$V315/($F315*$G315))</f>
        <v/>
      </c>
      <c r="AK315" s="600" t="str">
        <f>IF($V315="","",IF($V315&gt;0,"○勝",IF($V315&lt;0,"●負","△引分")))</f>
        <v/>
      </c>
    </row>
    <row r="316" spans="1:37" ht="17.25" customHeight="1">
      <c r="A316" s="621" t="str">
        <f>IF(B316="","",HYPERLINK("https://kabutan.jp/stock/?code="&amp;B316,"株探"))</f>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IF(OR(F316="",G316="",H316=""),"",IF(C316="売",(F316-H316)*G316,(H316-F316)*G316))</f>
        <v/>
      </c>
      <c r="L316" s="708" t="str">
        <f>IF(OR(F316="",H316=""),"",IF(C316="売",(F316-H316)/F316,(H316-F316)/F316))</f>
        <v/>
      </c>
      <c r="M316" s="598" t="str">
        <f>IF($F316="","",IF($C316="売",CEILING($F316*IF($C316="売",1-$AX$3,1+$AX$3),IF($F316*IF($C316="売",1-$AX$3,1+$AX$3)&lt;=3000,1,IF($F316*IF($C316="売",1-$AX$3,1+$AX$3)&lt;=5000,5,IF($F316*IF($C316="売",1-$AX$3,1+$AX$3)&lt;=30000,10,IF($F316*IF($C316="売",1-$AX$3,1+$AX$3)&lt;=50000,50,IF($F316*IF($C316="売",1-$AX$3,1+$AX$3)&lt;=300000,100,500)))))),FLOOR($F316*IF($C316="売",1-$AX$3,1+$AX$3),IF($F316*IF($C316="売",1-$AX$3,1+$AX$3)&lt;=3000,1,IF($F316*IF($C316="売",1-$AX$3,1+$AX$3)&lt;=5000,5,IF($F316*IF($C316="売",1-$AX$3,1+$AX$3)&lt;=30000,10,IF($F316*IF($C316="売",1-$AX$3,1+$AX$3)&lt;=50000,50,IF($F316*IF($C316="売",1-$AX$3,1+$AX$3)&lt;=300000,100,500))))))))</f>
      </c>
      <c r="N316" s="598" t="str">
        <f>IF($F316="","",IF($C316="売",CEILING($F316*IF($C316="売",1+$AX$2,1-$AX$2),IF($F316*IF($C316="売",1+$AX$2,1-$AX$2)&lt;=3000,1,IF($F316*IF($C316="売",1+$AX$2,1-$AX$2)&lt;=5000,5,IF($F316*IF($C316="売",1+$AX$2,1-$AX$2)&lt;=30000,10,IF($F316*IF($C316="売",1+$AX$2,1-$AX$2)&lt;=50000,50,IF($F316*IF($C316="売",1+$AX$2,1-$AX$2)&lt;=300000,100,500)))))),FLOOR($F316*IF($C316="売",1+$AX$2,1-$AX$2),IF($F316*IF($C316="売",1+$AX$2,1-$AX$2)&lt;=3000,1,IF($F316*IF($C316="売",1+$AX$2,1-$AX$2)&lt;=5000,5,IF($F316*IF($C316="売",1+$AX$2,1-$AX$2)&lt;=30000,10,IF($F316*IF($C316="売",1+$AX$2,1-$AX$2)&lt;=50000,50,IF($F316*IF($C316="売",1+$AX$2,1-$AX$2)&lt;=300000,100,500))))))))</f>
      </c>
      <c r="O316" s="478" t="str">
        <f>IF(OR($B316="",$F316="",$H316=""),"",IF($S316="✅売却済","―決済済―",IF($C316="売",IF($H316&lt;=$M316,"🟢利確",IF(AND($R316&lt;&gt;"",$H316&gt;=$R316),"🟠TRAIL決済",IF($H316&gt;=$N316,"🔴損切",IF($W316&gt;=$AX$5,"⏱時間決済",IF($H316&gt;=$F316*(1+$AX$2*0.7),"⚠️損切接近","保持継続"))))),IF($H316&gt;=$M316,"🟢利確",IF(AND($R316&lt;&gt;"",$H316&lt;=$R316),"🟠TRAIL決済",IF($H316&lt;=$N316,"🔴損切",IF($W316&gt;=$AX$5,"⏱時間決済",IF($H316&lt;=$F316*(1-$AX$2*0.7),"⚠️損切接近","保持継続")))))))</f>
      </c>
      <c r="P316" s="445"/>
      <c r="Q316" s="445"/>
      <c r="R316" s="480" t="str">
        <f>IF(OR($F316="",$H316="",$N316=""),"",IF($S316="✅売却済","",IF($C316="売",IF($H316&gt;$F316*(1-$AX$2),$N316,CEILING(MIN($N316,IF($Q316="",$N316,$Q316*1.03)),IF($N316&lt;=3000,1,IF($N316&lt;=5000,5,IF($N316&lt;=30000,10,IF($N316&lt;=50000,50,IF($N316&lt;=300000,100,500))))))),IF($H316&lt;$F316*(1+$AX$2),$N316,FLOOR(MAX($N316,IF($P316="",$N316,$P316*0.97)),IF($N316&lt;=3000,1,IF($N316&lt;=5000,5,IF($N316&lt;=30000,10,IF($N316&lt;=50000,50,IF($N316&lt;=300000,100,500))))))))))</f>
      </c>
      <c r="S316" s="480" t="str">
        <f>IF(B316="","",IF(T316&lt;&gt;"","✅売却済",IF(OR(H316="",L316=""),"📌保有中",IF(L316&gt;=0.06,"🟢利確推奨",IF(L316&gt;=0.05,"🟡利確直近",IF(L316&gt;=0.045,"🔵トレーリング検討",IF(L316&gt;-0.03,"📌保有中",IF(L316&gt;-0.04,"⚠️損切注意","🔴損切り"))))))))</f>
        <v/>
      </c>
      <c r="T316" s="596"/>
      <c r="U316" s="598"/>
      <c r="V316" s="703" t="str">
        <f>IF(OR(F316="",G316="",U316=""),"",IF(C316="売",(F316-U316)*G316,(U316-F316)*G316))</f>
        <v/>
      </c>
      <c r="W316" s="480" t="str">
        <f>IF(OR($E316="",$B316=""),"",IF($T316&lt;&gt;"",$T316-$E316,TODAY()-$E316)+1)</f>
        <v/>
      </c>
      <c r="X316" s="480" t="str">
        <f>IF(OR($AH316="",$AH316="保有中"),"",$AH316)</f>
        <v/>
      </c>
      <c r="Y316" s="488">
        <f>IF($B316="","",IF(COUNTIFS($B$4:$B316,$B316,$C$4:$C316,$C316)&gt;1,"⛔重複"&amp;COUNTIFS($B$4:$B316,$B316,$C$4:$C316,$C316)&amp;"回目",""))</f>
      </c>
      <c r="Z316" s="710"/>
      <c r="AB316">
        <f>IF($F316="","",MAX(100,ROUNDDOWN($AX$4/($F316*$AX$2)/100,0)*100))</f>
      </c>
      <c r="AC316">
        <f>IF(OR($F316="",$G316="",$U316=""),"",ROUND($V316-($F316+$U316)*$G316*$AX$6-IF($C316="売",$F316*$G316*$AX$7*$W316/365,0),0))</f>
      </c>
      <c r="AD316" s="608"/>
      <c r="AE316" s="600" t="str">
        <f>IF($E316="","",WORKDAY($E316,12))</f>
        <v/>
      </c>
      <c r="AF316" s="600"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0"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0" t="str">
        <f>IF(OR($B316="",$M316=""),"",IF(AND(N($AF316)=0,N($AG316)=0),IF(AND(ISNUMBER($H316),$H316&gt;0,IF($C316="売",$H316&gt;=$N316,$H316&lt;=$N316)),"損切確定",IF(AND(ISNUMBER($H316),$H316&gt;0,IF($C316="売",$H316&lt;=$M316,$H316&gt;=$M316)),"利益確定",IF($AE316&lt;=TODAY(),"日数制限","保有中"))),IF(N($AG316)=0,"利益確定",IF(N($AF316)=0,"損切確定",IF($AG316&lt;=$AF316,"損切確定","利益確定")))))</f>
        <v/>
      </c>
      <c r="AI316" s="600" t="str" cm="1">
        <f t="array" ref="AI316">IFERROR(INDEX(始値!$E$6:$BT$305,MATCH(TEXT($B316,"0"),TEXT(銘柄管理!$B$6:$B$305,"0"),0),MATCH($AE316,始値!$E$3:$BT$3,0)),"")</f>
        <v/>
      </c>
      <c r="AJ316" s="608" t="str">
        <f>IF(OR($V316="",$F316="",$G316=""),"",$V316/($F316*$G316))</f>
        <v/>
      </c>
      <c r="AK316" s="600" t="str">
        <f>IF($V316="","",IF($V316&gt;0,"○勝",IF($V316&lt;0,"●負","△引分")))</f>
        <v/>
      </c>
    </row>
    <row r="317" spans="1:37" ht="17.25" customHeight="1">
      <c r="A317" s="621" t="str">
        <f>IF(B317="","",HYPERLINK("https://kabutan.jp/stock/?code="&amp;B317,"株探"))</f>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IF(OR(F317="",G317="",H317=""),"",IF(C317="売",(F317-H317)*G317,(H317-F317)*G317))</f>
        <v/>
      </c>
      <c r="L317" s="708" t="str">
        <f>IF(OR(F317="",H317=""),"",IF(C317="売",(F317-H317)/F317,(H317-F317)/F317))</f>
        <v/>
      </c>
      <c r="M317" s="598" t="str">
        <f>IF($F317="","",IF($C317="売",CEILING($F317*IF($C317="売",1-$AX$3,1+$AX$3),IF($F317*IF($C317="売",1-$AX$3,1+$AX$3)&lt;=3000,1,IF($F317*IF($C317="売",1-$AX$3,1+$AX$3)&lt;=5000,5,IF($F317*IF($C317="売",1-$AX$3,1+$AX$3)&lt;=30000,10,IF($F317*IF($C317="売",1-$AX$3,1+$AX$3)&lt;=50000,50,IF($F317*IF($C317="売",1-$AX$3,1+$AX$3)&lt;=300000,100,500)))))),FLOOR($F317*IF($C317="売",1-$AX$3,1+$AX$3),IF($F317*IF($C317="売",1-$AX$3,1+$AX$3)&lt;=3000,1,IF($F317*IF($C317="売",1-$AX$3,1+$AX$3)&lt;=5000,5,IF($F317*IF($C317="売",1-$AX$3,1+$AX$3)&lt;=30000,10,IF($F317*IF($C317="売",1-$AX$3,1+$AX$3)&lt;=50000,50,IF($F317*IF($C317="売",1-$AX$3,1+$AX$3)&lt;=300000,100,500))))))))</f>
      </c>
      <c r="N317" s="598" t="str">
        <f>IF($F317="","",IF($C317="売",CEILING($F317*IF($C317="売",1+$AX$2,1-$AX$2),IF($F317*IF($C317="売",1+$AX$2,1-$AX$2)&lt;=3000,1,IF($F317*IF($C317="売",1+$AX$2,1-$AX$2)&lt;=5000,5,IF($F317*IF($C317="売",1+$AX$2,1-$AX$2)&lt;=30000,10,IF($F317*IF($C317="売",1+$AX$2,1-$AX$2)&lt;=50000,50,IF($F317*IF($C317="売",1+$AX$2,1-$AX$2)&lt;=300000,100,500)))))),FLOOR($F317*IF($C317="売",1+$AX$2,1-$AX$2),IF($F317*IF($C317="売",1+$AX$2,1-$AX$2)&lt;=3000,1,IF($F317*IF($C317="売",1+$AX$2,1-$AX$2)&lt;=5000,5,IF($F317*IF($C317="売",1+$AX$2,1-$AX$2)&lt;=30000,10,IF($F317*IF($C317="売",1+$AX$2,1-$AX$2)&lt;=50000,50,IF($F317*IF($C317="売",1+$AX$2,1-$AX$2)&lt;=300000,100,500))))))))</f>
      </c>
      <c r="O317" s="478" t="str">
        <f>IF(OR($B317="",$F317="",$H317=""),"",IF($S317="✅売却済","―決済済―",IF($C317="売",IF($H317&lt;=$M317,"🟢利確",IF(AND($R317&lt;&gt;"",$H317&gt;=$R317),"🟠TRAIL決済",IF($H317&gt;=$N317,"🔴損切",IF($W317&gt;=$AX$5,"⏱時間決済",IF($H317&gt;=$F317*(1+$AX$2*0.7),"⚠️損切接近","保持継続"))))),IF($H317&gt;=$M317,"🟢利確",IF(AND($R317&lt;&gt;"",$H317&lt;=$R317),"🟠TRAIL決済",IF($H317&lt;=$N317,"🔴損切",IF($W317&gt;=$AX$5,"⏱時間決済",IF($H317&lt;=$F317*(1-$AX$2*0.7),"⚠️損切接近","保持継続")))))))</f>
      </c>
      <c r="P317" s="445"/>
      <c r="Q317" s="445"/>
      <c r="R317" s="480" t="str">
        <f>IF(OR($F317="",$H317="",$N317=""),"",IF($S317="✅売却済","",IF($C317="売",IF($H317&gt;$F317*(1-$AX$2),$N317,CEILING(MIN($N317,IF($Q317="",$N317,$Q317*1.03)),IF($N317&lt;=3000,1,IF($N317&lt;=5000,5,IF($N317&lt;=30000,10,IF($N317&lt;=50000,50,IF($N317&lt;=300000,100,500))))))),IF($H317&lt;$F317*(1+$AX$2),$N317,FLOOR(MAX($N317,IF($P317="",$N317,$P317*0.97)),IF($N317&lt;=3000,1,IF($N317&lt;=5000,5,IF($N317&lt;=30000,10,IF($N317&lt;=50000,50,IF($N317&lt;=300000,100,500))))))))))</f>
      </c>
      <c r="S317" s="480" t="str">
        <f>IF(B317="","",IF(T317&lt;&gt;"","✅売却済",IF(OR(H317="",L317=""),"📌保有中",IF(L317&gt;=0.06,"🟢利確推奨",IF(L317&gt;=0.05,"🟡利確直近",IF(L317&gt;=0.045,"🔵トレーリング検討",IF(L317&gt;-0.03,"📌保有中",IF(L317&gt;-0.04,"⚠️損切注意","🔴損切り"))))))))</f>
        <v/>
      </c>
      <c r="T317" s="596"/>
      <c r="U317" s="598"/>
      <c r="V317" s="703" t="str">
        <f>IF(OR(F317="",G317="",U317=""),"",IF(C317="売",(F317-U317)*G317,(U317-F317)*G317))</f>
        <v/>
      </c>
      <c r="W317" s="480" t="str">
        <f>IF(OR($E317="",$B317=""),"",IF($T317&lt;&gt;"",$T317-$E317,TODAY()-$E317)+1)</f>
        <v/>
      </c>
      <c r="X317" s="480" t="str">
        <f>IF(OR($AH317="",$AH317="保有中"),"",$AH317)</f>
        <v/>
      </c>
      <c r="Y317" s="488">
        <f>IF($B317="","",IF(COUNTIFS($B$4:$B317,$B317,$C$4:$C317,$C317)&gt;1,"⛔重複"&amp;COUNTIFS($B$4:$B317,$B317,$C$4:$C317,$C317)&amp;"回目",""))</f>
      </c>
      <c r="Z317" s="710"/>
      <c r="AB317">
        <f>IF($F317="","",MAX(100,ROUNDDOWN($AX$4/($F317*$AX$2)/100,0)*100))</f>
      </c>
      <c r="AC317">
        <f>IF(OR($F317="",$G317="",$U317=""),"",ROUND($V317-($F317+$U317)*$G317*$AX$6-IF($C317="売",$F317*$G317*$AX$7*$W317/365,0),0))</f>
      </c>
      <c r="AD317" s="608"/>
      <c r="AE317" s="600" t="str">
        <f>IF($E317="","",WORKDAY($E317,12))</f>
        <v/>
      </c>
      <c r="AF317" s="600"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0"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0" t="str">
        <f>IF(OR($B317="",$M317=""),"",IF(AND(N($AF317)=0,N($AG317)=0),IF(AND(ISNUMBER($H317),$H317&gt;0,IF($C317="売",$H317&gt;=$N317,$H317&lt;=$N317)),"損切確定",IF(AND(ISNUMBER($H317),$H317&gt;0,IF($C317="売",$H317&lt;=$M317,$H317&gt;=$M317)),"利益確定",IF($AE317&lt;=TODAY(),"日数制限","保有中"))),IF(N($AG317)=0,"利益確定",IF(N($AF317)=0,"損切確定",IF($AG317&lt;=$AF317,"損切確定","利益確定")))))</f>
        <v/>
      </c>
      <c r="AI317" s="600" t="str" cm="1">
        <f t="array" ref="AI317">IFERROR(INDEX(始値!$E$6:$BT$305,MATCH(TEXT($B317,"0"),TEXT(銘柄管理!$B$6:$B$305,"0"),0),MATCH($AE317,始値!$E$3:$BT$3,0)),"")</f>
        <v/>
      </c>
      <c r="AJ317" s="608" t="str">
        <f>IF(OR($V317="",$F317="",$G317=""),"",$V317/($F317*$G317))</f>
        <v/>
      </c>
      <c r="AK317" s="600" t="str">
        <f>IF($V317="","",IF($V317&gt;0,"○勝",IF($V317&lt;0,"●負","△引分")))</f>
        <v/>
      </c>
    </row>
    <row r="318" spans="1:37" ht="17.25" customHeight="1">
      <c r="A318" s="621" t="str">
        <f>IF(B318="","",HYPERLINK("https://kabutan.jp/stock/?code="&amp;B318,"株探"))</f>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IF(OR(F318="",G318="",H318=""),"",IF(C318="売",(F318-H318)*G318,(H318-F318)*G318))</f>
        <v/>
      </c>
      <c r="L318" s="708" t="str">
        <f>IF(OR(F318="",H318=""),"",IF(C318="売",(F318-H318)/F318,(H318-F318)/F318))</f>
        <v/>
      </c>
      <c r="M318" s="598" t="str">
        <f>IF($F318="","",IF($C318="売",CEILING($F318*IF($C318="売",1-$AX$3,1+$AX$3),IF($F318*IF($C318="売",1-$AX$3,1+$AX$3)&lt;=3000,1,IF($F318*IF($C318="売",1-$AX$3,1+$AX$3)&lt;=5000,5,IF($F318*IF($C318="売",1-$AX$3,1+$AX$3)&lt;=30000,10,IF($F318*IF($C318="売",1-$AX$3,1+$AX$3)&lt;=50000,50,IF($F318*IF($C318="売",1-$AX$3,1+$AX$3)&lt;=300000,100,500)))))),FLOOR($F318*IF($C318="売",1-$AX$3,1+$AX$3),IF($F318*IF($C318="売",1-$AX$3,1+$AX$3)&lt;=3000,1,IF($F318*IF($C318="売",1-$AX$3,1+$AX$3)&lt;=5000,5,IF($F318*IF($C318="売",1-$AX$3,1+$AX$3)&lt;=30000,10,IF($F318*IF($C318="売",1-$AX$3,1+$AX$3)&lt;=50000,50,IF($F318*IF($C318="売",1-$AX$3,1+$AX$3)&lt;=300000,100,500))))))))</f>
      </c>
      <c r="N318" s="598" t="str">
        <f>IF($F318="","",IF($C318="売",CEILING($F318*IF($C318="売",1+$AX$2,1-$AX$2),IF($F318*IF($C318="売",1+$AX$2,1-$AX$2)&lt;=3000,1,IF($F318*IF($C318="売",1+$AX$2,1-$AX$2)&lt;=5000,5,IF($F318*IF($C318="売",1+$AX$2,1-$AX$2)&lt;=30000,10,IF($F318*IF($C318="売",1+$AX$2,1-$AX$2)&lt;=50000,50,IF($F318*IF($C318="売",1+$AX$2,1-$AX$2)&lt;=300000,100,500)))))),FLOOR($F318*IF($C318="売",1+$AX$2,1-$AX$2),IF($F318*IF($C318="売",1+$AX$2,1-$AX$2)&lt;=3000,1,IF($F318*IF($C318="売",1+$AX$2,1-$AX$2)&lt;=5000,5,IF($F318*IF($C318="売",1+$AX$2,1-$AX$2)&lt;=30000,10,IF($F318*IF($C318="売",1+$AX$2,1-$AX$2)&lt;=50000,50,IF($F318*IF($C318="売",1+$AX$2,1-$AX$2)&lt;=300000,100,500))))))))</f>
      </c>
      <c r="O318" s="478" t="str">
        <f>IF(OR($B318="",$F318="",$H318=""),"",IF($S318="✅売却済","―決済済―",IF($C318="売",IF($H318&lt;=$M318,"🟢利確",IF(AND($R318&lt;&gt;"",$H318&gt;=$R318),"🟠TRAIL決済",IF($H318&gt;=$N318,"🔴損切",IF($W318&gt;=$AX$5,"⏱時間決済",IF($H318&gt;=$F318*(1+$AX$2*0.7),"⚠️損切接近","保持継続"))))),IF($H318&gt;=$M318,"🟢利確",IF(AND($R318&lt;&gt;"",$H318&lt;=$R318),"🟠TRAIL決済",IF($H318&lt;=$N318,"🔴損切",IF($W318&gt;=$AX$5,"⏱時間決済",IF($H318&lt;=$F318*(1-$AX$2*0.7),"⚠️損切接近","保持継続")))))))</f>
      </c>
      <c r="P318" s="445"/>
      <c r="Q318" s="445"/>
      <c r="R318" s="480" t="str">
        <f>IF(OR($F318="",$H318="",$N318=""),"",IF($S318="✅売却済","",IF($C318="売",IF($H318&gt;$F318*(1-$AX$2),$N318,CEILING(MIN($N318,IF($Q318="",$N318,$Q318*1.03)),IF($N318&lt;=3000,1,IF($N318&lt;=5000,5,IF($N318&lt;=30000,10,IF($N318&lt;=50000,50,IF($N318&lt;=300000,100,500))))))),IF($H318&lt;$F318*(1+$AX$2),$N318,FLOOR(MAX($N318,IF($P318="",$N318,$P318*0.97)),IF($N318&lt;=3000,1,IF($N318&lt;=5000,5,IF($N318&lt;=30000,10,IF($N318&lt;=50000,50,IF($N318&lt;=300000,100,500))))))))))</f>
      </c>
      <c r="S318" s="480" t="str">
        <f>IF(B318="","",IF(T318&lt;&gt;"","✅売却済",IF(OR(H318="",L318=""),"📌保有中",IF(L318&gt;=0.06,"🟢利確推奨",IF(L318&gt;=0.05,"🟡利確直近",IF(L318&gt;=0.045,"🔵トレーリング検討",IF(L318&gt;-0.03,"📌保有中",IF(L318&gt;-0.04,"⚠️損切注意","🔴損切り"))))))))</f>
        <v/>
      </c>
      <c r="T318" s="596"/>
      <c r="U318" s="598"/>
      <c r="V318" s="703" t="str">
        <f>IF(OR(F318="",G318="",U318=""),"",IF(C318="売",(F318-U318)*G318,(U318-F318)*G318))</f>
        <v/>
      </c>
      <c r="W318" s="480" t="str">
        <f>IF(OR($E318="",$B318=""),"",IF($T318&lt;&gt;"",$T318-$E318,TODAY()-$E318)+1)</f>
        <v/>
      </c>
      <c r="X318" s="480" t="str">
        <f>IF(OR($AH318="",$AH318="保有中"),"",$AH318)</f>
        <v/>
      </c>
      <c r="Y318" s="488">
        <f>IF($B318="","",IF(COUNTIFS($B$4:$B318,$B318,$C$4:$C318,$C318)&gt;1,"⛔重複"&amp;COUNTIFS($B$4:$B318,$B318,$C$4:$C318,$C318)&amp;"回目",""))</f>
      </c>
      <c r="Z318" s="710"/>
      <c r="AB318">
        <f>IF($F318="","",MAX(100,ROUNDDOWN($AX$4/($F318*$AX$2)/100,0)*100))</f>
      </c>
      <c r="AC318">
        <f>IF(OR($F318="",$G318="",$U318=""),"",ROUND($V318-($F318+$U318)*$G318*$AX$6-IF($C318="売",$F318*$G318*$AX$7*$W318/365,0),0))</f>
      </c>
      <c r="AD318" s="608"/>
      <c r="AE318" s="600" t="str">
        <f>IF($E318="","",WORKDAY($E318,12))</f>
        <v/>
      </c>
      <c r="AF318" s="600"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0"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0" t="str">
        <f>IF(OR($B318="",$M318=""),"",IF(AND(N($AF318)=0,N($AG318)=0),IF(AND(ISNUMBER($H318),$H318&gt;0,IF($C318="売",$H318&gt;=$N318,$H318&lt;=$N318)),"損切確定",IF(AND(ISNUMBER($H318),$H318&gt;0,IF($C318="売",$H318&lt;=$M318,$H318&gt;=$M318)),"利益確定",IF($AE318&lt;=TODAY(),"日数制限","保有中"))),IF(N($AG318)=0,"利益確定",IF(N($AF318)=0,"損切確定",IF($AG318&lt;=$AF318,"損切確定","利益確定")))))</f>
        <v/>
      </c>
      <c r="AI318" s="600" t="str" cm="1">
        <f t="array" ref="AI318">IFERROR(INDEX(始値!$E$6:$BT$305,MATCH(TEXT($B318,"0"),TEXT(銘柄管理!$B$6:$B$305,"0"),0),MATCH($AE318,始値!$E$3:$BT$3,0)),"")</f>
        <v/>
      </c>
      <c r="AJ318" s="608" t="str">
        <f>IF(OR($V318="",$F318="",$G318=""),"",$V318/($F318*$G318))</f>
        <v/>
      </c>
      <c r="AK318" s="600" t="str">
        <f>IF($V318="","",IF($V318&gt;0,"○勝",IF($V318&lt;0,"●負","△引分")))</f>
        <v/>
      </c>
    </row>
    <row r="319" spans="1:37" ht="17.25" customHeight="1">
      <c r="A319" s="621" t="str">
        <f>IF(B319="","",HYPERLINK("https://kabutan.jp/stock/?code="&amp;B319,"株探"))</f>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IF(OR(F319="",G319="",H319=""),"",IF(C319="売",(F319-H319)*G319,(H319-F319)*G319))</f>
        <v/>
      </c>
      <c r="L319" s="708" t="str">
        <f>IF(OR(F319="",H319=""),"",IF(C319="売",(F319-H319)/F319,(H319-F319)/F319))</f>
        <v/>
      </c>
      <c r="M319" s="598" t="str">
        <f>IF($F319="","",IF($C319="売",CEILING($F319*IF($C319="売",1-$AX$3,1+$AX$3),IF($F319*IF($C319="売",1-$AX$3,1+$AX$3)&lt;=3000,1,IF($F319*IF($C319="売",1-$AX$3,1+$AX$3)&lt;=5000,5,IF($F319*IF($C319="売",1-$AX$3,1+$AX$3)&lt;=30000,10,IF($F319*IF($C319="売",1-$AX$3,1+$AX$3)&lt;=50000,50,IF($F319*IF($C319="売",1-$AX$3,1+$AX$3)&lt;=300000,100,500)))))),FLOOR($F319*IF($C319="売",1-$AX$3,1+$AX$3),IF($F319*IF($C319="売",1-$AX$3,1+$AX$3)&lt;=3000,1,IF($F319*IF($C319="売",1-$AX$3,1+$AX$3)&lt;=5000,5,IF($F319*IF($C319="売",1-$AX$3,1+$AX$3)&lt;=30000,10,IF($F319*IF($C319="売",1-$AX$3,1+$AX$3)&lt;=50000,50,IF($F319*IF($C319="売",1-$AX$3,1+$AX$3)&lt;=300000,100,500))))))))</f>
      </c>
      <c r="N319" s="598" t="str">
        <f>IF($F319="","",IF($C319="売",CEILING($F319*IF($C319="売",1+$AX$2,1-$AX$2),IF($F319*IF($C319="売",1+$AX$2,1-$AX$2)&lt;=3000,1,IF($F319*IF($C319="売",1+$AX$2,1-$AX$2)&lt;=5000,5,IF($F319*IF($C319="売",1+$AX$2,1-$AX$2)&lt;=30000,10,IF($F319*IF($C319="売",1+$AX$2,1-$AX$2)&lt;=50000,50,IF($F319*IF($C319="売",1+$AX$2,1-$AX$2)&lt;=300000,100,500)))))),FLOOR($F319*IF($C319="売",1+$AX$2,1-$AX$2),IF($F319*IF($C319="売",1+$AX$2,1-$AX$2)&lt;=3000,1,IF($F319*IF($C319="売",1+$AX$2,1-$AX$2)&lt;=5000,5,IF($F319*IF($C319="売",1+$AX$2,1-$AX$2)&lt;=30000,10,IF($F319*IF($C319="売",1+$AX$2,1-$AX$2)&lt;=50000,50,IF($F319*IF($C319="売",1+$AX$2,1-$AX$2)&lt;=300000,100,500))))))))</f>
      </c>
      <c r="O319" s="478" t="str">
        <f>IF(OR($B319="",$F319="",$H319=""),"",IF($S319="✅売却済","―決済済―",IF($C319="売",IF($H319&lt;=$M319,"🟢利確",IF(AND($R319&lt;&gt;"",$H319&gt;=$R319),"🟠TRAIL決済",IF($H319&gt;=$N319,"🔴損切",IF($W319&gt;=$AX$5,"⏱時間決済",IF($H319&gt;=$F319*(1+$AX$2*0.7),"⚠️損切接近","保持継続"))))),IF($H319&gt;=$M319,"🟢利確",IF(AND($R319&lt;&gt;"",$H319&lt;=$R319),"🟠TRAIL決済",IF($H319&lt;=$N319,"🔴損切",IF($W319&gt;=$AX$5,"⏱時間決済",IF($H319&lt;=$F319*(1-$AX$2*0.7),"⚠️損切接近","保持継続")))))))</f>
      </c>
      <c r="P319" s="445"/>
      <c r="Q319" s="445"/>
      <c r="R319" s="480" t="str">
        <f>IF(OR($F319="",$H319="",$N319=""),"",IF($S319="✅売却済","",IF($C319="売",IF($H319&gt;$F319*(1-$AX$2),$N319,CEILING(MIN($N319,IF($Q319="",$N319,$Q319*1.03)),IF($N319&lt;=3000,1,IF($N319&lt;=5000,5,IF($N319&lt;=30000,10,IF($N319&lt;=50000,50,IF($N319&lt;=300000,100,500))))))),IF($H319&lt;$F319*(1+$AX$2),$N319,FLOOR(MAX($N319,IF($P319="",$N319,$P319*0.97)),IF($N319&lt;=3000,1,IF($N319&lt;=5000,5,IF($N319&lt;=30000,10,IF($N319&lt;=50000,50,IF($N319&lt;=300000,100,500))))))))))</f>
      </c>
      <c r="S319" s="480" t="str">
        <f>IF(B319="","",IF(T319&lt;&gt;"","✅売却済",IF(OR(H319="",L319=""),"📌保有中",IF(L319&gt;=0.06,"🟢利確推奨",IF(L319&gt;=0.05,"🟡利確直近",IF(L319&gt;=0.045,"🔵トレーリング検討",IF(L319&gt;-0.03,"📌保有中",IF(L319&gt;-0.04,"⚠️損切注意","🔴損切り"))))))))</f>
        <v/>
      </c>
      <c r="T319" s="596"/>
      <c r="U319" s="598"/>
      <c r="V319" s="703" t="str">
        <f>IF(OR(F319="",G319="",U319=""),"",IF(C319="売",(F319-U319)*G319,(U319-F319)*G319))</f>
        <v/>
      </c>
      <c r="W319" s="480" t="str">
        <f>IF(OR($E319="",$B319=""),"",IF($T319&lt;&gt;"",$T319-$E319,TODAY()-$E319)+1)</f>
        <v/>
      </c>
      <c r="X319" s="480" t="str">
        <f>IF(OR($AH319="",$AH319="保有中"),"",$AH319)</f>
        <v/>
      </c>
      <c r="Y319" s="488">
        <f>IF($B319="","",IF(COUNTIFS($B$4:$B319,$B319,$C$4:$C319,$C319)&gt;1,"⛔重複"&amp;COUNTIFS($B$4:$B319,$B319,$C$4:$C319,$C319)&amp;"回目",""))</f>
      </c>
      <c r="Z319" s="710"/>
      <c r="AB319">
        <f>IF($F319="","",MAX(100,ROUNDDOWN($AX$4/($F319*$AX$2)/100,0)*100))</f>
      </c>
      <c r="AC319">
        <f>IF(OR($F319="",$G319="",$U319=""),"",ROUND($V319-($F319+$U319)*$G319*$AX$6-IF($C319="売",$F319*$G319*$AX$7*$W319/365,0),0))</f>
      </c>
      <c r="AD319" s="608"/>
      <c r="AE319" s="600" t="str">
        <f>IF($E319="","",WORKDAY($E319,12))</f>
        <v/>
      </c>
      <c r="AF319" s="600"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0"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0" t="str">
        <f>IF(OR($B319="",$M319=""),"",IF(AND(N($AF319)=0,N($AG319)=0),IF(AND(ISNUMBER($H319),$H319&gt;0,IF($C319="売",$H319&gt;=$N319,$H319&lt;=$N319)),"損切確定",IF(AND(ISNUMBER($H319),$H319&gt;0,IF($C319="売",$H319&lt;=$M319,$H319&gt;=$M319)),"利益確定",IF($AE319&lt;=TODAY(),"日数制限","保有中"))),IF(N($AG319)=0,"利益確定",IF(N($AF319)=0,"損切確定",IF($AG319&lt;=$AF319,"損切確定","利益確定")))))</f>
        <v/>
      </c>
      <c r="AI319" s="600" t="str" cm="1">
        <f t="array" ref="AI319">IFERROR(INDEX(始値!$E$6:$BT$305,MATCH(TEXT($B319,"0"),TEXT(銘柄管理!$B$6:$B$305,"0"),0),MATCH($AE319,始値!$E$3:$BT$3,0)),"")</f>
        <v/>
      </c>
      <c r="AJ319" s="608" t="str">
        <f>IF(OR($V319="",$F319="",$G319=""),"",$V319/($F319*$G319))</f>
        <v/>
      </c>
      <c r="AK319" s="600" t="str">
        <f>IF($V319="","",IF($V319&gt;0,"○勝",IF($V319&lt;0,"●負","△引分")))</f>
        <v/>
      </c>
    </row>
    <row r="320" spans="1:37" ht="17.25" customHeight="1">
      <c r="A320" s="621" t="str">
        <f>IF(B320="","",HYPERLINK("https://kabutan.jp/stock/?code="&amp;B320,"株探"))</f>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IF(OR(F320="",G320="",H320=""),"",IF(C320="売",(F320-H320)*G320,(H320-F320)*G320))</f>
        <v/>
      </c>
      <c r="L320" s="708" t="str">
        <f>IF(OR(F320="",H320=""),"",IF(C320="売",(F320-H320)/F320,(H320-F320)/F320))</f>
        <v/>
      </c>
      <c r="M320" s="598" t="str">
        <f>IF($F320="","",IF($C320="売",CEILING($F320*IF($C320="売",1-$AX$3,1+$AX$3),IF($F320*IF($C320="売",1-$AX$3,1+$AX$3)&lt;=3000,1,IF($F320*IF($C320="売",1-$AX$3,1+$AX$3)&lt;=5000,5,IF($F320*IF($C320="売",1-$AX$3,1+$AX$3)&lt;=30000,10,IF($F320*IF($C320="売",1-$AX$3,1+$AX$3)&lt;=50000,50,IF($F320*IF($C320="売",1-$AX$3,1+$AX$3)&lt;=300000,100,500)))))),FLOOR($F320*IF($C320="売",1-$AX$3,1+$AX$3),IF($F320*IF($C320="売",1-$AX$3,1+$AX$3)&lt;=3000,1,IF($F320*IF($C320="売",1-$AX$3,1+$AX$3)&lt;=5000,5,IF($F320*IF($C320="売",1-$AX$3,1+$AX$3)&lt;=30000,10,IF($F320*IF($C320="売",1-$AX$3,1+$AX$3)&lt;=50000,50,IF($F320*IF($C320="売",1-$AX$3,1+$AX$3)&lt;=300000,100,500))))))))</f>
      </c>
      <c r="N320" s="598" t="str">
        <f>IF($F320="","",IF($C320="売",CEILING($F320*IF($C320="売",1+$AX$2,1-$AX$2),IF($F320*IF($C320="売",1+$AX$2,1-$AX$2)&lt;=3000,1,IF($F320*IF($C320="売",1+$AX$2,1-$AX$2)&lt;=5000,5,IF($F320*IF($C320="売",1+$AX$2,1-$AX$2)&lt;=30000,10,IF($F320*IF($C320="売",1+$AX$2,1-$AX$2)&lt;=50000,50,IF($F320*IF($C320="売",1+$AX$2,1-$AX$2)&lt;=300000,100,500)))))),FLOOR($F320*IF($C320="売",1+$AX$2,1-$AX$2),IF($F320*IF($C320="売",1+$AX$2,1-$AX$2)&lt;=3000,1,IF($F320*IF($C320="売",1+$AX$2,1-$AX$2)&lt;=5000,5,IF($F320*IF($C320="売",1+$AX$2,1-$AX$2)&lt;=30000,10,IF($F320*IF($C320="売",1+$AX$2,1-$AX$2)&lt;=50000,50,IF($F320*IF($C320="売",1+$AX$2,1-$AX$2)&lt;=300000,100,500))))))))</f>
      </c>
      <c r="O320" s="478" t="str">
        <f>IF(OR($B320="",$F320="",$H320=""),"",IF($S320="✅売却済","―決済済―",IF($C320="売",IF($H320&lt;=$M320,"🟢利確",IF(AND($R320&lt;&gt;"",$H320&gt;=$R320),"🟠TRAIL決済",IF($H320&gt;=$N320,"🔴損切",IF($W320&gt;=$AX$5,"⏱時間決済",IF($H320&gt;=$F320*(1+$AX$2*0.7),"⚠️損切接近","保持継続"))))),IF($H320&gt;=$M320,"🟢利確",IF(AND($R320&lt;&gt;"",$H320&lt;=$R320),"🟠TRAIL決済",IF($H320&lt;=$N320,"🔴損切",IF($W320&gt;=$AX$5,"⏱時間決済",IF($H320&lt;=$F320*(1-$AX$2*0.7),"⚠️損切接近","保持継続")))))))</f>
      </c>
      <c r="P320" s="445"/>
      <c r="Q320" s="445"/>
      <c r="R320" s="480" t="str">
        <f>IF(OR($F320="",$H320="",$N320=""),"",IF($S320="✅売却済","",IF($C320="売",IF($H320&gt;$F320*(1-$AX$2),$N320,CEILING(MIN($N320,IF($Q320="",$N320,$Q320*1.03)),IF($N320&lt;=3000,1,IF($N320&lt;=5000,5,IF($N320&lt;=30000,10,IF($N320&lt;=50000,50,IF($N320&lt;=300000,100,500))))))),IF($H320&lt;$F320*(1+$AX$2),$N320,FLOOR(MAX($N320,IF($P320="",$N320,$P320*0.97)),IF($N320&lt;=3000,1,IF($N320&lt;=5000,5,IF($N320&lt;=30000,10,IF($N320&lt;=50000,50,IF($N320&lt;=300000,100,500))))))))))</f>
      </c>
      <c r="S320" s="480" t="str">
        <f>IF(B320="","",IF(T320&lt;&gt;"","✅売却済",IF(OR(H320="",L320=""),"📌保有中",IF(L320&gt;=0.06,"🟢利確推奨",IF(L320&gt;=0.05,"🟡利確直近",IF(L320&gt;=0.045,"🔵トレーリング検討",IF(L320&gt;-0.03,"📌保有中",IF(L320&gt;-0.04,"⚠️損切注意","🔴損切り"))))))))</f>
        <v/>
      </c>
      <c r="T320" s="596"/>
      <c r="U320" s="598"/>
      <c r="V320" s="703" t="str">
        <f>IF(OR(F320="",G320="",U320=""),"",IF(C320="売",(F320-U320)*G320,(U320-F320)*G320))</f>
        <v/>
      </c>
      <c r="W320" s="480" t="str">
        <f>IF(OR($E320="",$B320=""),"",IF($T320&lt;&gt;"",$T320-$E320,TODAY()-$E320)+1)</f>
        <v/>
      </c>
      <c r="X320" s="480" t="str">
        <f>IF(OR($AH320="",$AH320="保有中"),"",$AH320)</f>
        <v/>
      </c>
      <c r="Y320" s="488">
        <f>IF($B320="","",IF(COUNTIFS($B$4:$B320,$B320,$C$4:$C320,$C320)&gt;1,"⛔重複"&amp;COUNTIFS($B$4:$B320,$B320,$C$4:$C320,$C320)&amp;"回目",""))</f>
      </c>
      <c r="Z320" s="710"/>
      <c r="AB320">
        <f>IF($F320="","",MAX(100,ROUNDDOWN($AX$4/($F320*$AX$2)/100,0)*100))</f>
      </c>
      <c r="AC320">
        <f>IF(OR($F320="",$G320="",$U320=""),"",ROUND($V320-($F320+$U320)*$G320*$AX$6-IF($C320="売",$F320*$G320*$AX$7*$W320/365,0),0))</f>
      </c>
      <c r="AD320" s="608"/>
      <c r="AE320" s="600" t="str">
        <f>IF($E320="","",WORKDAY($E320,12))</f>
        <v/>
      </c>
      <c r="AF320" s="600"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0"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0" t="str">
        <f>IF(OR($B320="",$M320=""),"",IF(AND(N($AF320)=0,N($AG320)=0),IF(AND(ISNUMBER($H320),$H320&gt;0,IF($C320="売",$H320&gt;=$N320,$H320&lt;=$N320)),"損切確定",IF(AND(ISNUMBER($H320),$H320&gt;0,IF($C320="売",$H320&lt;=$M320,$H320&gt;=$M320)),"利益確定",IF($AE320&lt;=TODAY(),"日数制限","保有中"))),IF(N($AG320)=0,"利益確定",IF(N($AF320)=0,"損切確定",IF($AG320&lt;=$AF320,"損切確定","利益確定")))))</f>
        <v/>
      </c>
      <c r="AI320" s="600" t="str" cm="1">
        <f t="array" ref="AI320">IFERROR(INDEX(始値!$E$6:$BT$305,MATCH(TEXT($B320,"0"),TEXT(銘柄管理!$B$6:$B$305,"0"),0),MATCH($AE320,始値!$E$3:$BT$3,0)),"")</f>
        <v/>
      </c>
      <c r="AJ320" s="608" t="str">
        <f>IF(OR($V320="",$F320="",$G320=""),"",$V320/($F320*$G320))</f>
        <v/>
      </c>
      <c r="AK320" s="600" t="str">
        <f>IF($V320="","",IF($V320&gt;0,"○勝",IF($V320&lt;0,"●負","△引分")))</f>
        <v/>
      </c>
    </row>
    <row r="321" spans="1:37" ht="17.25" customHeight="1">
      <c r="A321" s="622" t="str">
        <f>IF(B321="","",HYPERLINK("https://kabutan.jp/stock/?code="&amp;B321,"株探"))</f>
        <v/>
      </c>
      <c r="D321" s="440" t="str" cm="1">
        <f t="array" ref="D321">_xll.RssMarket(B321, "銘柄名称")</f>
        <v/>
      </c>
      <c r="E321" s="717"/>
      <c r="F321" s="6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IF(OR(F321="",G321="",H321=""),"",IF(C321="売",(F321-H321)*G321,(H321-F321)*G321))</f>
        <v/>
      </c>
      <c r="L321" s="709" t="str">
        <f>IF(OR(F321="",H321=""),"",IF(C321="売",(F321-H321)/F321,(H321-F321)/F321))</f>
        <v/>
      </c>
      <c r="M321" s="599" t="str">
        <f>IF($F321="","",IF($C321="売",CEILING($F321*IF($C321="売",1-$AX$3,1+$AX$3),IF($F321*IF($C321="売",1-$AX$3,1+$AX$3)&lt;=3000,1,IF($F321*IF($C321="売",1-$AX$3,1+$AX$3)&lt;=5000,5,IF($F321*IF($C321="売",1-$AX$3,1+$AX$3)&lt;=30000,10,IF($F321*IF($C321="売",1-$AX$3,1+$AX$3)&lt;=50000,50,IF($F321*IF($C321="売",1-$AX$3,1+$AX$3)&lt;=300000,100,500)))))),FLOOR($F321*IF($C321="売",1-$AX$3,1+$AX$3),IF($F321*IF($C321="売",1-$AX$3,1+$AX$3)&lt;=3000,1,IF($F321*IF($C321="売",1-$AX$3,1+$AX$3)&lt;=5000,5,IF($F321*IF($C321="売",1-$AX$3,1+$AX$3)&lt;=30000,10,IF($F321*IF($C321="売",1-$AX$3,1+$AX$3)&lt;=50000,50,IF($F321*IF($C321="売",1-$AX$3,1+$AX$3)&lt;=300000,100,500))))))))</f>
      </c>
      <c r="N321" s="599" t="str">
        <f>IF($F321="","",IF($C321="売",CEILING($F321*IF($C321="売",1+$AX$2,1-$AX$2),IF($F321*IF($C321="売",1+$AX$2,1-$AX$2)&lt;=3000,1,IF($F321*IF($C321="売",1+$AX$2,1-$AX$2)&lt;=5000,5,IF($F321*IF($C321="売",1+$AX$2,1-$AX$2)&lt;=30000,10,IF($F321*IF($C321="売",1+$AX$2,1-$AX$2)&lt;=50000,50,IF($F321*IF($C321="売",1+$AX$2,1-$AX$2)&lt;=300000,100,500)))))),FLOOR($F321*IF($C321="売",1+$AX$2,1-$AX$2),IF($F321*IF($C321="売",1+$AX$2,1-$AX$2)&lt;=3000,1,IF($F321*IF($C321="売",1+$AX$2,1-$AX$2)&lt;=5000,5,IF($F321*IF($C321="売",1+$AX$2,1-$AX$2)&lt;=30000,10,IF($F321*IF($C321="売",1+$AX$2,1-$AX$2)&lt;=50000,50,IF($F321*IF($C321="売",1+$AX$2,1-$AX$2)&lt;=300000,100,500))))))))</f>
      </c>
      <c r="O321" s="478" t="str">
        <f>IF(OR($B321="",$F321="",$H321=""),"",IF($S321="✅売却済","―決済済―",IF($C321="売",IF($H321&lt;=$M321,"🟢利確",IF(AND($R321&lt;&gt;"",$H321&gt;=$R321),"🟠TRAIL決済",IF($H321&gt;=$N321,"🔴損切",IF($W321&gt;=$AX$5,"⏱時間決済",IF($H321&gt;=$F321*(1+$AX$2*0.7),"⚠️損切接近","保持継続"))))),IF($H321&gt;=$M321,"🟢利確",IF(AND($R321&lt;&gt;"",$H321&lt;=$R321),"🟠TRAIL決済",IF($H321&lt;=$N321,"🔴損切",IF($W321&gt;=$AX$5,"⏱時間決済",IF($H321&lt;=$F321*(1-$AX$2*0.7),"⚠️損切接近","保持継続")))))))</f>
      </c>
      <c r="P321" s="445"/>
      <c r="Q321" s="445"/>
      <c r="R321" s="440" t="str">
        <f>IF(OR($F321="",$H321="",$N321=""),"",IF($S321="✅売却済","",IF($C321="売",IF($H321&gt;$F321*(1-$AX$2),$N321,CEILING(MIN($N321,IF($Q321="",$N321,$Q321*1.03)),IF($N321&lt;=3000,1,IF($N321&lt;=5000,5,IF($N321&lt;=30000,10,IF($N321&lt;=50000,50,IF($N321&lt;=300000,100,500))))))),IF($H321&lt;$F321*(1+$AX$2),$N321,FLOOR(MAX($N321,IF($P321="",$N321,$P321*0.97)),IF($N321&lt;=3000,1,IF($N321&lt;=5000,5,IF($N321&lt;=30000,10,IF($N321&lt;=50000,50,IF($N321&lt;=300000,100,500))))))))))</f>
      </c>
      <c r="S321" s="440" t="str">
        <f>IF(B321="","",IF(T321&lt;&gt;"","✅売却済",IF(OR(H321="",L321=""),"📌保有中",IF(L321&gt;=0.06,"🟢利確推奨",IF(L321&gt;=0.05,"🟡利確直近",IF(L321&gt;=0.045,"🔵トレーリング検討",IF(L321&gt;-0.03,"📌保有中",IF(L321&gt;-0.04,"⚠️損切注意","🔴損切り"))))))))</f>
        <v/>
      </c>
      <c r="T321" s="597"/>
      <c r="U321" s="599"/>
      <c r="V321" s="704" t="str">
        <f>IF(OR(F321="",G321="",U321=""),"",IF(C321="売",(F321-U321)*G321,(U321-F321)*G321))</f>
        <v/>
      </c>
      <c r="W321" s="440" t="str">
        <f>IF(OR($E321="",$B321=""),"",IF($T321&lt;&gt;"",$T321-$E321,TODAY()-$E321)+1)</f>
        <v/>
      </c>
      <c r="X321" s="440" t="str">
        <f>IF(OR($AH321="",$AH321="保有中"),"",$AH321)</f>
        <v/>
      </c>
      <c r="Y321">
        <f>IF($B321="","",IF(COUNTIFS($B$4:$B321,$B321,$C$4:$C321,$C321)&gt;1,"⛔重複"&amp;COUNTIFS($B$4:$B321,$B321,$C$4:$C321,$C321)&amp;"回目",""))</f>
      </c>
      <c r="AB321">
        <f>IF($F321="","",MAX(100,ROUNDDOWN($AX$4/($F321*$AX$2)/100,0)*100))</f>
      </c>
      <c r="AC321">
        <f>IF(OR($F321="",$G321="",$U321=""),"",ROUND($V321-($F321+$U321)*$G321*$AX$6-IF($C321="売",$F321*$G321*$AX$7*$W321/365,0),0))</f>
      </c>
      <c r="AD321" s="608"/>
      <c r="AE321" s="600" t="str">
        <f>IF($E321="","",WORKDAY($E321,12))</f>
        <v/>
      </c>
      <c r="AF321" s="600"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0"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0" t="str">
        <f>IF(OR($B321="",$M321=""),"",IF(AND(N($AF321)=0,N($AG321)=0),IF(AND(ISNUMBER($H321),$H321&gt;0,IF($C321="売",$H321&gt;=$N321,$H321&lt;=$N321)),"損切確定",IF(AND(ISNUMBER($H321),$H321&gt;0,IF($C321="売",$H321&lt;=$M321,$H321&gt;=$M321)),"利益確定",IF($AE321&lt;=TODAY(),"日数制限","保有中"))),IF(N($AG321)=0,"利益確定",IF(N($AF321)=0,"損切確定",IF($AG321&lt;=$AF321,"損切確定","利益確定")))))</f>
        <v/>
      </c>
      <c r="AI321" s="600" t="str" cm="1">
        <f t="array" ref="AI321">IFERROR(INDEX(始値!$E$6:$BT$305,MATCH(TEXT($B321,"0"),TEXT(銘柄管理!$B$6:$B$305,"0"),0),MATCH($AE321,始値!$E$3:$BT$3,0)),"")</f>
        <v/>
      </c>
      <c r="AJ321" s="608" t="str">
        <f>IF(OR($V321="",$F321="",$G321=""),"",$V321/($F321*$G321))</f>
        <v/>
      </c>
      <c r="AK321" s="600" t="str">
        <f>IF($V321="","",IF($V321&gt;0,"○勝",IF($V321&lt;0,"●負","△引分")))</f>
        <v/>
      </c>
    </row>
    <row r="322" spans="1:37" ht="17.25" customHeight="1">
      <c r="A322" s="622" t="str">
        <f>IF(B322="","",HYPERLINK("https://kabutan.jp/stock/?code="&amp;B322,"株探"))</f>
        <v/>
      </c>
      <c r="D322" s="440" t="str" cm="1">
        <f t="array" ref="D322">_xll.RssMarket(B322, "銘柄名称")</f>
        <v/>
      </c>
      <c r="E322" s="717"/>
      <c r="F322" s="6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IF(OR(F322="",G322="",H322=""),"",IF(C322="売",(F322-H322)*G322,(H322-F322)*G322))</f>
        <v/>
      </c>
      <c r="L322" s="709" t="str">
        <f>IF(OR(F322="",H322=""),"",IF(C322="売",(F322-H322)/F322,(H322-F322)/F322))</f>
        <v/>
      </c>
      <c r="M322" s="599" t="str">
        <f>IF($F322="","",IF($C322="売",CEILING($F322*IF($C322="売",1-$AX$3,1+$AX$3),IF($F322*IF($C322="売",1-$AX$3,1+$AX$3)&lt;=3000,1,IF($F322*IF($C322="売",1-$AX$3,1+$AX$3)&lt;=5000,5,IF($F322*IF($C322="売",1-$AX$3,1+$AX$3)&lt;=30000,10,IF($F322*IF($C322="売",1-$AX$3,1+$AX$3)&lt;=50000,50,IF($F322*IF($C322="売",1-$AX$3,1+$AX$3)&lt;=300000,100,500)))))),FLOOR($F322*IF($C322="売",1-$AX$3,1+$AX$3),IF($F322*IF($C322="売",1-$AX$3,1+$AX$3)&lt;=3000,1,IF($F322*IF($C322="売",1-$AX$3,1+$AX$3)&lt;=5000,5,IF($F322*IF($C322="売",1-$AX$3,1+$AX$3)&lt;=30000,10,IF($F322*IF($C322="売",1-$AX$3,1+$AX$3)&lt;=50000,50,IF($F322*IF($C322="売",1-$AX$3,1+$AX$3)&lt;=300000,100,500))))))))</f>
      </c>
      <c r="N322" s="599" t="str">
        <f>IF($F322="","",IF($C322="売",CEILING($F322*IF($C322="売",1+$AX$2,1-$AX$2),IF($F322*IF($C322="売",1+$AX$2,1-$AX$2)&lt;=3000,1,IF($F322*IF($C322="売",1+$AX$2,1-$AX$2)&lt;=5000,5,IF($F322*IF($C322="売",1+$AX$2,1-$AX$2)&lt;=30000,10,IF($F322*IF($C322="売",1+$AX$2,1-$AX$2)&lt;=50000,50,IF($F322*IF($C322="売",1+$AX$2,1-$AX$2)&lt;=300000,100,500)))))),FLOOR($F322*IF($C322="売",1+$AX$2,1-$AX$2),IF($F322*IF($C322="売",1+$AX$2,1-$AX$2)&lt;=3000,1,IF($F322*IF($C322="売",1+$AX$2,1-$AX$2)&lt;=5000,5,IF($F322*IF($C322="売",1+$AX$2,1-$AX$2)&lt;=30000,10,IF($F322*IF($C322="売",1+$AX$2,1-$AX$2)&lt;=50000,50,IF($F322*IF($C322="売",1+$AX$2,1-$AX$2)&lt;=300000,100,500))))))))</f>
      </c>
      <c r="O322" s="478" t="str">
        <f>IF(OR($B322="",$F322="",$H322=""),"",IF($S322="✅売却済","―決済済―",IF($C322="売",IF($H322&lt;=$M322,"🟢利確",IF(AND($R322&lt;&gt;"",$H322&gt;=$R322),"🟠TRAIL決済",IF($H322&gt;=$N322,"🔴損切",IF($W322&gt;=$AX$5,"⏱時間決済",IF($H322&gt;=$F322*(1+$AX$2*0.7),"⚠️損切接近","保持継続"))))),IF($H322&gt;=$M322,"🟢利確",IF(AND($R322&lt;&gt;"",$H322&lt;=$R322),"🟠TRAIL決済",IF($H322&lt;=$N322,"🔴損切",IF($W322&gt;=$AX$5,"⏱時間決済",IF($H322&lt;=$F322*(1-$AX$2*0.7),"⚠️損切接近","保持継続")))))))</f>
      </c>
      <c r="P322" s="445"/>
      <c r="Q322" s="445"/>
      <c r="R322" s="440" t="str">
        <f>IF(OR($F322="",$H322="",$N322=""),"",IF($S322="✅売却済","",IF($C322="売",IF($H322&gt;$F322*(1-$AX$2),$N322,CEILING(MIN($N322,IF($Q322="",$N322,$Q322*1.03)),IF($N322&lt;=3000,1,IF($N322&lt;=5000,5,IF($N322&lt;=30000,10,IF($N322&lt;=50000,50,IF($N322&lt;=300000,100,500))))))),IF($H322&lt;$F322*(1+$AX$2),$N322,FLOOR(MAX($N322,IF($P322="",$N322,$P322*0.97)),IF($N322&lt;=3000,1,IF($N322&lt;=5000,5,IF($N322&lt;=30000,10,IF($N322&lt;=50000,50,IF($N322&lt;=300000,100,500))))))))))</f>
      </c>
      <c r="S322" s="440" t="str">
        <f>IF(B322="","",IF(T322&lt;&gt;"","✅売却済",IF(OR(H322="",L322=""),"📌保有中",IF(L322&gt;=0.06,"🟢利確推奨",IF(L322&gt;=0.05,"🟡利確直近",IF(L322&gt;=0.045,"🔵トレーリング検討",IF(L322&gt;-0.03,"📌保有中",IF(L322&gt;-0.04,"⚠️損切注意","🔴損切り"))))))))</f>
        <v/>
      </c>
      <c r="T322" s="597"/>
      <c r="U322" s="599"/>
      <c r="V322" s="704" t="str">
        <f>IF(OR(F322="",G322="",U322=""),"",IF(C322="売",(F322-U322)*G322,(U322-F322)*G322))</f>
        <v/>
      </c>
      <c r="W322" s="440" t="str">
        <f>IF(OR($E322="",$B322=""),"",IF($T322&lt;&gt;"",$T322-$E322,TODAY()-$E322)+1)</f>
        <v/>
      </c>
      <c r="X322" s="440" t="str">
        <f>IF(OR($AH322="",$AH322="保有中"),"",$AH322)</f>
        <v/>
      </c>
      <c r="Y322">
        <f>IF($B322="","",IF(COUNTIFS($B$4:$B322,$B322,$C$4:$C322,$C322)&gt;1,"⛔重複"&amp;COUNTIFS($B$4:$B322,$B322,$C$4:$C322,$C322)&amp;"回目",""))</f>
      </c>
      <c r="AB322">
        <f>IF($F322="","",MAX(100,ROUNDDOWN($AX$4/($F322*$AX$2)/100,0)*100))</f>
      </c>
      <c r="AC322">
        <f>IF(OR($F322="",$G322="",$U322=""),"",ROUND($V322-($F322+$U322)*$G322*$AX$6-IF($C322="売",$F322*$G322*$AX$7*$W322/365,0),0))</f>
      </c>
      <c r="AD322" s="608"/>
      <c r="AE322" s="600" t="str">
        <f>IF($E322="","",WORKDAY($E322,12))</f>
        <v/>
      </c>
      <c r="AF322" s="600"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0"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0" t="str">
        <f>IF(OR($B322="",$M322=""),"",IF(AND(N($AF322)=0,N($AG322)=0),IF(AND(ISNUMBER($H322),$H322&gt;0,IF($C322="売",$H322&gt;=$N322,$H322&lt;=$N322)),"損切確定",IF(AND(ISNUMBER($H322),$H322&gt;0,IF($C322="売",$H322&lt;=$M322,$H322&gt;=$M322)),"利益確定",IF($AE322&lt;=TODAY(),"日数制限","保有中"))),IF(N($AG322)=0,"利益確定",IF(N($AF322)=0,"損切確定",IF($AG322&lt;=$AF322,"損切確定","利益確定")))))</f>
        <v/>
      </c>
      <c r="AI322" s="600" t="str" cm="1">
        <f t="array" ref="AI322">IFERROR(INDEX(始値!$E$6:$BT$305,MATCH(TEXT($B322,"0"),TEXT(銘柄管理!$B$6:$B$305,"0"),0),MATCH($AE322,始値!$E$3:$BT$3,0)),"")</f>
        <v/>
      </c>
      <c r="AJ322" s="608" t="str">
        <f>IF(OR($V322="",$F322="",$G322=""),"",$V322/($F322*$G322))</f>
        <v/>
      </c>
      <c r="AK322" s="600" t="str">
        <f>IF($V322="","",IF($V322&gt;0,"○勝",IF($V322&lt;0,"●負","△引分")))</f>
        <v/>
      </c>
    </row>
    <row r="323" spans="1:37" ht="17.25" customHeight="1">
      <c r="A323" s="622" t="str">
        <f>IF(B323="","",HYPERLINK("https://kabutan.jp/stock/?code="&amp;B323,"株探"))</f>
        <v/>
      </c>
      <c r="D323" s="440" t="str" cm="1">
        <f t="array" ref="D323">_xll.RssMarket(B323, "銘柄名称")</f>
        <v/>
      </c>
      <c r="E323" s="717"/>
      <c r="F323" s="6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IF(OR(F323="",G323="",H323=""),"",IF(C323="売",(F323-H323)*G323,(H323-F323)*G323))</f>
        <v/>
      </c>
      <c r="L323" s="709" t="str">
        <f>IF(OR(F323="",H323=""),"",IF(C323="売",(F323-H323)/F323,(H323-F323)/F323))</f>
        <v/>
      </c>
      <c r="M323" s="599" t="str">
        <f>IF($F323="","",IF($C323="売",CEILING($F323*IF($C323="売",1-$AX$3,1+$AX$3),IF($F323*IF($C323="売",1-$AX$3,1+$AX$3)&lt;=3000,1,IF($F323*IF($C323="売",1-$AX$3,1+$AX$3)&lt;=5000,5,IF($F323*IF($C323="売",1-$AX$3,1+$AX$3)&lt;=30000,10,IF($F323*IF($C323="売",1-$AX$3,1+$AX$3)&lt;=50000,50,IF($F323*IF($C323="売",1-$AX$3,1+$AX$3)&lt;=300000,100,500)))))),FLOOR($F323*IF($C323="売",1-$AX$3,1+$AX$3),IF($F323*IF($C323="売",1-$AX$3,1+$AX$3)&lt;=3000,1,IF($F323*IF($C323="売",1-$AX$3,1+$AX$3)&lt;=5000,5,IF($F323*IF($C323="売",1-$AX$3,1+$AX$3)&lt;=30000,10,IF($F323*IF($C323="売",1-$AX$3,1+$AX$3)&lt;=50000,50,IF($F323*IF($C323="売",1-$AX$3,1+$AX$3)&lt;=300000,100,500))))))))</f>
      </c>
      <c r="N323" s="599" t="str">
        <f>IF($F323="","",IF($C323="売",CEILING($F323*IF($C323="売",1+$AX$2,1-$AX$2),IF($F323*IF($C323="売",1+$AX$2,1-$AX$2)&lt;=3000,1,IF($F323*IF($C323="売",1+$AX$2,1-$AX$2)&lt;=5000,5,IF($F323*IF($C323="売",1+$AX$2,1-$AX$2)&lt;=30000,10,IF($F323*IF($C323="売",1+$AX$2,1-$AX$2)&lt;=50000,50,IF($F323*IF($C323="売",1+$AX$2,1-$AX$2)&lt;=300000,100,500)))))),FLOOR($F323*IF($C323="売",1+$AX$2,1-$AX$2),IF($F323*IF($C323="売",1+$AX$2,1-$AX$2)&lt;=3000,1,IF($F323*IF($C323="売",1+$AX$2,1-$AX$2)&lt;=5000,5,IF($F323*IF($C323="売",1+$AX$2,1-$AX$2)&lt;=30000,10,IF($F323*IF($C323="売",1+$AX$2,1-$AX$2)&lt;=50000,50,IF($F323*IF($C323="売",1+$AX$2,1-$AX$2)&lt;=300000,100,500))))))))</f>
      </c>
      <c r="O323" s="478" t="str">
        <f>IF(OR($B323="",$F323="",$H323=""),"",IF($S323="✅売却済","―決済済―",IF($C323="売",IF($H323&lt;=$M323,"🟢利確",IF(AND($R323&lt;&gt;"",$H323&gt;=$R323),"🟠TRAIL決済",IF($H323&gt;=$N323,"🔴損切",IF($W323&gt;=$AX$5,"⏱時間決済",IF($H323&gt;=$F323*(1+$AX$2*0.7),"⚠️損切接近","保持継続"))))),IF($H323&gt;=$M323,"🟢利確",IF(AND($R323&lt;&gt;"",$H323&lt;=$R323),"🟠TRAIL決済",IF($H323&lt;=$N323,"🔴損切",IF($W323&gt;=$AX$5,"⏱時間決済",IF($H323&lt;=$F323*(1-$AX$2*0.7),"⚠️損切接近","保持継続")))))))</f>
      </c>
      <c r="P323" s="445"/>
      <c r="Q323" s="445"/>
      <c r="R323" s="440" t="str">
        <f>IF(OR($F323="",$H323="",$N323=""),"",IF($S323="✅売却済","",IF($C323="売",IF($H323&gt;$F323*(1-$AX$2),$N323,CEILING(MIN($N323,IF($Q323="",$N323,$Q323*1.03)),IF($N323&lt;=3000,1,IF($N323&lt;=5000,5,IF($N323&lt;=30000,10,IF($N323&lt;=50000,50,IF($N323&lt;=300000,100,500))))))),IF($H323&lt;$F323*(1+$AX$2),$N323,FLOOR(MAX($N323,IF($P323="",$N323,$P323*0.97)),IF($N323&lt;=3000,1,IF($N323&lt;=5000,5,IF($N323&lt;=30000,10,IF($N323&lt;=50000,50,IF($N323&lt;=300000,100,500))))))))))</f>
      </c>
      <c r="S323" s="440" t="str">
        <f>IF(B323="","",IF(T323&lt;&gt;"","✅売却済",IF(OR(H323="",L323=""),"📌保有中",IF(L323&gt;=0.06,"🟢利確推奨",IF(L323&gt;=0.05,"🟡利確直近",IF(L323&gt;=0.045,"🔵トレーリング検討",IF(L323&gt;-0.03,"📌保有中",IF(L323&gt;-0.04,"⚠️損切注意","🔴損切り"))))))))</f>
        <v/>
      </c>
      <c r="T323" s="597"/>
      <c r="U323" s="599"/>
      <c r="V323" s="704" t="str">
        <f>IF(OR(F323="",G323="",U323=""),"",IF(C323="売",(F323-U323)*G323,(U323-F323)*G323))</f>
        <v/>
      </c>
      <c r="W323" s="440" t="str">
        <f>IF(OR($E323="",$B323=""),"",IF($T323&lt;&gt;"",$T323-$E323,TODAY()-$E323)+1)</f>
        <v/>
      </c>
      <c r="X323" s="440" t="str">
        <f>IF(OR($AH323="",$AH323="保有中"),"",$AH323)</f>
        <v/>
      </c>
      <c r="Y323">
        <f>IF($B323="","",IF(COUNTIFS($B$4:$B323,$B323,$C$4:$C323,$C323)&gt;1,"⛔重複"&amp;COUNTIFS($B$4:$B323,$B323,$C$4:$C323,$C323)&amp;"回目",""))</f>
      </c>
      <c r="AB323">
        <f>IF($F323="","",MAX(100,ROUNDDOWN($AX$4/($F323*$AX$2)/100,0)*100))</f>
      </c>
      <c r="AC323">
        <f>IF(OR($F323="",$G323="",$U323=""),"",ROUND($V323-($F323+$U323)*$G323*$AX$6-IF($C323="売",$F323*$G323*$AX$7*$W323/365,0),0))</f>
      </c>
      <c r="AD323" s="608"/>
      <c r="AE323" s="600" t="str">
        <f>IF($E323="","",WORKDAY($E323,12))</f>
        <v/>
      </c>
      <c r="AF323" s="600"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0"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0" t="str">
        <f>IF(OR($B323="",$M323=""),"",IF(AND(N($AF323)=0,N($AG323)=0),IF(AND(ISNUMBER($H323),$H323&gt;0,IF($C323="売",$H323&gt;=$N323,$H323&lt;=$N323)),"損切確定",IF(AND(ISNUMBER($H323),$H323&gt;0,IF($C323="売",$H323&lt;=$M323,$H323&gt;=$M323)),"利益確定",IF($AE323&lt;=TODAY(),"日数制限","保有中"))),IF(N($AG323)=0,"利益確定",IF(N($AF323)=0,"損切確定",IF($AG323&lt;=$AF323,"損切確定","利益確定")))))</f>
        <v/>
      </c>
      <c r="AI323" s="600" t="str" cm="1">
        <f t="array" ref="AI323">IFERROR(INDEX(始値!$E$6:$BT$305,MATCH(TEXT($B323,"0"),TEXT(銘柄管理!$B$6:$B$305,"0"),0),MATCH($AE323,始値!$E$3:$BT$3,0)),"")</f>
        <v/>
      </c>
      <c r="AJ323" s="608" t="str">
        <f>IF(OR($V323="",$F323="",$G323=""),"",$V323/($F323*$G323))</f>
        <v/>
      </c>
      <c r="AK323" s="600" t="str">
        <f>IF($V323="","",IF($V323&gt;0,"○勝",IF($V323&lt;0,"●負","△引分")))</f>
        <v/>
      </c>
    </row>
    <row r="324" spans="1:37" ht="17.25" customHeight="1">
      <c r="A324" s="622" t="str">
        <f>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IF(OR(F324="",G324="",H324=""),"",IF(C324="売",(F324-H324)*G324,(H324-F324)*G324))</f>
        <v/>
      </c>
      <c r="L324" s="709" t="str">
        <f>IF(OR(F324="",H324=""),"",IF(C324="売",(F324-H324)/F324,(H324-F324)/F324))</f>
        <v/>
      </c>
      <c r="M324" s="599" t="str">
        <f>IF($F324="","",IF($C324="売",CEILING($F324*IF($C324="売",1-$AX$3,1+$AX$3),IF($F324*IF($C324="売",1-$AX$3,1+$AX$3)&lt;=3000,1,IF($F324*IF($C324="売",1-$AX$3,1+$AX$3)&lt;=5000,5,IF($F324*IF($C324="売",1-$AX$3,1+$AX$3)&lt;=30000,10,IF($F324*IF($C324="売",1-$AX$3,1+$AX$3)&lt;=50000,50,IF($F324*IF($C324="売",1-$AX$3,1+$AX$3)&lt;=300000,100,500)))))),FLOOR($F324*IF($C324="売",1-$AX$3,1+$AX$3),IF($F324*IF($C324="売",1-$AX$3,1+$AX$3)&lt;=3000,1,IF($F324*IF($C324="売",1-$AX$3,1+$AX$3)&lt;=5000,5,IF($F324*IF($C324="売",1-$AX$3,1+$AX$3)&lt;=30000,10,IF($F324*IF($C324="売",1-$AX$3,1+$AX$3)&lt;=50000,50,IF($F324*IF($C324="売",1-$AX$3,1+$AX$3)&lt;=300000,100,500))))))))</f>
      </c>
      <c r="N324" s="599" t="str">
        <f>IF($F324="","",IF($C324="売",CEILING($F324*IF($C324="売",1+$AX$2,1-$AX$2),IF($F324*IF($C324="売",1+$AX$2,1-$AX$2)&lt;=3000,1,IF($F324*IF($C324="売",1+$AX$2,1-$AX$2)&lt;=5000,5,IF($F324*IF($C324="売",1+$AX$2,1-$AX$2)&lt;=30000,10,IF($F324*IF($C324="売",1+$AX$2,1-$AX$2)&lt;=50000,50,IF($F324*IF($C324="売",1+$AX$2,1-$AX$2)&lt;=300000,100,500)))))),FLOOR($F324*IF($C324="売",1+$AX$2,1-$AX$2),IF($F324*IF($C324="売",1+$AX$2,1-$AX$2)&lt;=3000,1,IF($F324*IF($C324="売",1+$AX$2,1-$AX$2)&lt;=5000,5,IF($F324*IF($C324="売",1+$AX$2,1-$AX$2)&lt;=30000,10,IF($F324*IF($C324="売",1+$AX$2,1-$AX$2)&lt;=50000,50,IF($F324*IF($C324="売",1+$AX$2,1-$AX$2)&lt;=300000,100,500))))))))</f>
      </c>
      <c r="O324" s="478" t="str">
        <f>IF(OR($B324="",$F324="",$H324=""),"",IF($S324="✅売却済","―決済済―",IF($C324="売",IF($H324&lt;=$M324,"🟢利確",IF(AND($R324&lt;&gt;"",$H324&gt;=$R324),"🟠TRAIL決済",IF($H324&gt;=$N324,"🔴損切",IF($W324&gt;=$AX$5,"⏱時間決済",IF($H324&gt;=$F324*(1+$AX$2*0.7),"⚠️損切接近","保持継続"))))),IF($H324&gt;=$M324,"🟢利確",IF(AND($R324&lt;&gt;"",$H324&lt;=$R324),"🟠TRAIL決済",IF($H324&lt;=$N324,"🔴損切",IF($W324&gt;=$AX$5,"⏱時間決済",IF($H324&lt;=$F324*(1-$AX$2*0.7),"⚠️損切接近","保持継続")))))))</f>
      </c>
      <c r="P324" s="445"/>
      <c r="Q324" s="445"/>
      <c r="R324" s="440" t="str">
        <f>IF(OR($F324="",$H324="",$N324=""),"",IF($S324="✅売却済","",IF($C324="売",IF($H324&gt;$F324*(1-$AX$2),$N324,CEILING(MIN($N324,IF($Q324="",$N324,$Q324*1.03)),IF($N324&lt;=3000,1,IF($N324&lt;=5000,5,IF($N324&lt;=30000,10,IF($N324&lt;=50000,50,IF($N324&lt;=300000,100,500))))))),IF($H324&lt;$F324*(1+$AX$2),$N324,FLOOR(MAX($N324,IF($P324="",$N324,$P324*0.97)),IF($N324&lt;=3000,1,IF($N324&lt;=5000,5,IF($N324&lt;=30000,10,IF($N324&lt;=50000,50,IF($N324&lt;=300000,100,500))))))))))</f>
      </c>
      <c r="S324" s="440" t="str">
        <f>IF(B324="","",IF(T324&lt;&gt;"","✅売却済",IF(OR(H324="",L324=""),"📌保有中",IF(L324&gt;=0.06,"🟢利確推奨",IF(L324&gt;=0.05,"🟡利確直近",IF(L324&gt;=0.045,"🔵トレーリング検討",IF(L324&gt;-0.03,"📌保有中",IF(L324&gt;-0.04,"⚠️損切注意","🔴損切り"))))))))</f>
        <v/>
      </c>
      <c r="T324" s="597"/>
      <c r="U324" s="599"/>
      <c r="V324" s="704" t="str">
        <f>IF(OR(F324="",G324="",U324=""),"",IF(C324="売",(F324-U324)*G324,(U324-F324)*G324))</f>
        <v/>
      </c>
      <c r="W324" s="440" t="str">
        <f>IF(OR($E324="",$B324=""),"",IF($T324&lt;&gt;"",$T324-$E324,TODAY()-$E324)+1)</f>
        <v/>
      </c>
      <c r="X324" s="440" t="str">
        <f>IF(OR($AH324="",$AH324="保有中"),"",$AH324)</f>
        <v/>
      </c>
      <c r="Y324">
        <f>IF($B324="","",IF(COUNTIFS($B$4:$B324,$B324,$C$4:$C324,$C324)&gt;1,"⛔重複"&amp;COUNTIFS($B$4:$B324,$B324,$C$4:$C324,$C324)&amp;"回目",""))</f>
      </c>
      <c r="AB324">
        <f>IF($F324="","",MAX(100,ROUNDDOWN($AX$4/($F324*$AX$2)/100,0)*100))</f>
      </c>
      <c r="AC324">
        <f>IF(OR($F324="",$G324="",$U324=""),"",ROUND($V324-($F324+$U324)*$G324*$AX$6-IF($C324="売",$F324*$G324*$AX$7*$W324/365,0),0))</f>
      </c>
      <c r="AD324" s="608"/>
      <c r="AE324" s="600" t="str">
        <f>IF($E324="","",WORKDAY($E324,12))</f>
        <v/>
      </c>
      <c r="AF324" s="600"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0"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0" t="str">
        <f>IF(OR($B324="",$M324=""),"",IF(AND(N($AF324)=0,N($AG324)=0),IF(AND(ISNUMBER($H324),$H324&gt;0,IF($C324="売",$H324&gt;=$N324,$H324&lt;=$N324)),"損切確定",IF(AND(ISNUMBER($H324),$H324&gt;0,IF($C324="売",$H324&lt;=$M324,$H324&gt;=$M324)),"利益確定",IF($AE324&lt;=TODAY(),"日数制限","保有中"))),IF(N($AG324)=0,"利益確定",IF(N($AF324)=0,"損切確定",IF($AG324&lt;=$AF324,"損切確定","利益確定")))))</f>
        <v/>
      </c>
      <c r="AI324" s="600" t="str" cm="1">
        <f t="array" ref="AI324">IFERROR(INDEX(始値!$E$6:$BT$305,MATCH(TEXT($B324,"0"),TEXT(銘柄管理!$B$6:$B$305,"0"),0),MATCH($AE324,始値!$E$3:$BT$3,0)),"")</f>
        <v/>
      </c>
      <c r="AJ324" s="608" t="str">
        <f>IF(OR($V324="",$F324="",$G324=""),"",$V324/($F324*$G324))</f>
        <v/>
      </c>
      <c r="AK324" s="600" t="str">
        <f>IF($V324="","",IF($V324&gt;0,"○勝",IF($V324&lt;0,"●負","△引分")))</f>
        <v/>
      </c>
    </row>
    <row r="325" spans="1:37" ht="17.25" customHeight="1">
      <c r="A325" s="622" t="str">
        <f>IF(B325="","",HYPERLINK("https://kabutan.jp/stock/?code="&amp;B325,"株探"))</f>
        <v/>
      </c>
      <c r="D325" s="440" t="str" cm="1">
        <f t="array" ref="D325">_xll.RssMarket(B325, "銘柄名称")</f>
        <v/>
      </c>
      <c r="E325" s="717"/>
      <c r="F325" s="6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IF(OR(F325="",G325="",H325=""),"",IF(C325="売",(F325-H325)*G325,(H325-F325)*G325))</f>
        <v/>
      </c>
      <c r="L325" s="709" t="str">
        <f>IF(OR(F325="",H325=""),"",IF(C325="売",(F325-H325)/F325,(H325-F325)/F325))</f>
        <v/>
      </c>
      <c r="M325" s="599" t="str">
        <f>IF($F325="","",IF($C325="売",CEILING($F325*IF($C325="売",1-$AX$3,1+$AX$3),IF($F325*IF($C325="売",1-$AX$3,1+$AX$3)&lt;=3000,1,IF($F325*IF($C325="売",1-$AX$3,1+$AX$3)&lt;=5000,5,IF($F325*IF($C325="売",1-$AX$3,1+$AX$3)&lt;=30000,10,IF($F325*IF($C325="売",1-$AX$3,1+$AX$3)&lt;=50000,50,IF($F325*IF($C325="売",1-$AX$3,1+$AX$3)&lt;=300000,100,500)))))),FLOOR($F325*IF($C325="売",1-$AX$3,1+$AX$3),IF($F325*IF($C325="売",1-$AX$3,1+$AX$3)&lt;=3000,1,IF($F325*IF($C325="売",1-$AX$3,1+$AX$3)&lt;=5000,5,IF($F325*IF($C325="売",1-$AX$3,1+$AX$3)&lt;=30000,10,IF($F325*IF($C325="売",1-$AX$3,1+$AX$3)&lt;=50000,50,IF($F325*IF($C325="売",1-$AX$3,1+$AX$3)&lt;=300000,100,500))))))))</f>
      </c>
      <c r="N325" s="599" t="str">
        <f>IF($F325="","",IF($C325="売",CEILING($F325*IF($C325="売",1+$AX$2,1-$AX$2),IF($F325*IF($C325="売",1+$AX$2,1-$AX$2)&lt;=3000,1,IF($F325*IF($C325="売",1+$AX$2,1-$AX$2)&lt;=5000,5,IF($F325*IF($C325="売",1+$AX$2,1-$AX$2)&lt;=30000,10,IF($F325*IF($C325="売",1+$AX$2,1-$AX$2)&lt;=50000,50,IF($F325*IF($C325="売",1+$AX$2,1-$AX$2)&lt;=300000,100,500)))))),FLOOR($F325*IF($C325="売",1+$AX$2,1-$AX$2),IF($F325*IF($C325="売",1+$AX$2,1-$AX$2)&lt;=3000,1,IF($F325*IF($C325="売",1+$AX$2,1-$AX$2)&lt;=5000,5,IF($F325*IF($C325="売",1+$AX$2,1-$AX$2)&lt;=30000,10,IF($F325*IF($C325="売",1+$AX$2,1-$AX$2)&lt;=50000,50,IF($F325*IF($C325="売",1+$AX$2,1-$AX$2)&lt;=300000,100,500))))))))</f>
      </c>
      <c r="O325" s="478" t="str">
        <f>IF(OR($B325="",$F325="",$H325=""),"",IF($S325="✅売却済","―決済済―",IF($C325="売",IF($H325&lt;=$M325,"🟢利確",IF(AND($R325&lt;&gt;"",$H325&gt;=$R325),"🟠TRAIL決済",IF($H325&gt;=$N325,"🔴損切",IF($W325&gt;=$AX$5,"⏱時間決済",IF($H325&gt;=$F325*(1+$AX$2*0.7),"⚠️損切接近","保持継続"))))),IF($H325&gt;=$M325,"🟢利確",IF(AND($R325&lt;&gt;"",$H325&lt;=$R325),"🟠TRAIL決済",IF($H325&lt;=$N325,"🔴損切",IF($W325&gt;=$AX$5,"⏱時間決済",IF($H325&lt;=$F325*(1-$AX$2*0.7),"⚠️損切接近","保持継続")))))))</f>
      </c>
      <c r="P325" s="445"/>
      <c r="Q325" s="445"/>
      <c r="R325" s="440" t="str">
        <f>IF(OR($F325="",$H325="",$N325=""),"",IF($S325="✅売却済","",IF($C325="売",IF($H325&gt;$F325*(1-$AX$2),$N325,CEILING(MIN($N325,IF($Q325="",$N325,$Q325*1.03)),IF($N325&lt;=3000,1,IF($N325&lt;=5000,5,IF($N325&lt;=30000,10,IF($N325&lt;=50000,50,IF($N325&lt;=300000,100,500))))))),IF($H325&lt;$F325*(1+$AX$2),$N325,FLOOR(MAX($N325,IF($P325="",$N325,$P325*0.97)),IF($N325&lt;=3000,1,IF($N325&lt;=5000,5,IF($N325&lt;=30000,10,IF($N325&lt;=50000,50,IF($N325&lt;=300000,100,500))))))))))</f>
      </c>
      <c r="S325" s="440" t="str">
        <f>IF(B325="","",IF(T325&lt;&gt;"","✅売却済",IF(OR(H325="",L325=""),"📌保有中",IF(L325&gt;=0.06,"🟢利確推奨",IF(L325&gt;=0.05,"🟡利確直近",IF(L325&gt;=0.045,"🔵トレーリング検討",IF(L325&gt;-0.03,"📌保有中",IF(L325&gt;-0.04,"⚠️損切注意","🔴損切り"))))))))</f>
        <v/>
      </c>
      <c r="T325" s="597"/>
      <c r="U325" s="599"/>
      <c r="V325" s="704" t="str">
        <f>IF(OR(F325="",G325="",U325=""),"",IF(C325="売",(F325-U325)*G325,(U325-F325)*G325))</f>
        <v/>
      </c>
      <c r="W325" s="440" t="str">
        <f>IF(OR($E325="",$B325=""),"",IF($T325&lt;&gt;"",$T325-$E325,TODAY()-$E325)+1)</f>
        <v/>
      </c>
      <c r="X325" s="440" t="str">
        <f>IF(OR($AH325="",$AH325="保有中"),"",$AH325)</f>
        <v/>
      </c>
      <c r="Y325">
        <f>IF($B325="","",IF(COUNTIFS($B$4:$B325,$B325,$C$4:$C325,$C325)&gt;1,"⛔重複"&amp;COUNTIFS($B$4:$B325,$B325,$C$4:$C325,$C325)&amp;"回目",""))</f>
      </c>
      <c r="AB325">
        <f>IF($F325="","",MAX(100,ROUNDDOWN($AX$4/($F325*$AX$2)/100,0)*100))</f>
      </c>
      <c r="AC325">
        <f>IF(OR($F325="",$G325="",$U325=""),"",ROUND($V325-($F325+$U325)*$G325*$AX$6-IF($C325="売",$F325*$G325*$AX$7*$W325/365,0),0))</f>
      </c>
      <c r="AD325" s="608"/>
      <c r="AE325" s="600" t="str">
        <f>IF($E325="","",WORKDAY($E325,12))</f>
        <v/>
      </c>
      <c r="AF325" s="600"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0"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0" t="str">
        <f>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IFERROR(INDEX(始値!$E$6:$BT$305,MATCH(TEXT($B325,"0"),TEXT(銘柄管理!$B$6:$B$305,"0"),0),MATCH($AE325,始値!$E$3:$BT$3,0)),"")</f>
        <v/>
      </c>
      <c r="AJ325" s="608" t="str">
        <f>IF(OR($V325="",$F325="",$G325=""),"",$V325/($F325*$G325))</f>
        <v/>
      </c>
      <c r="AK325" s="600" t="str">
        <f>IF($V325="","",IF($V325&gt;0,"○勝",IF($V325&lt;0,"●負","△引分")))</f>
        <v/>
      </c>
    </row>
    <row r="326" spans="1:37" ht="17.25" customHeight="1">
      <c r="A326" s="622" t="str">
        <f>IF(B326="","",HYPERLINK("https://kabutan.jp/stock/?code="&amp;B326,"株探"))</f>
        <v/>
      </c>
      <c r="D326" s="440" t="str" cm="1">
        <f t="array" ref="D326">_xll.RssMarket(B326, "銘柄名称")</f>
        <v/>
      </c>
      <c r="E326" s="717"/>
      <c r="F326" s="6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IF(OR(F326="",G326="",H326=""),"",IF(C326="売",(F326-H326)*G326,(H326-F326)*G326))</f>
        <v/>
      </c>
      <c r="L326" s="709" t="str">
        <f>IF(OR(F326="",H326=""),"",IF(C326="売",(F326-H326)/F326,(H326-F326)/F326))</f>
        <v/>
      </c>
      <c r="M326" s="599" t="str">
        <f>IF($F326="","",IF($C326="売",CEILING($F326*IF($C326="売",1-$AX$3,1+$AX$3),IF($F326*IF($C326="売",1-$AX$3,1+$AX$3)&lt;=3000,1,IF($F326*IF($C326="売",1-$AX$3,1+$AX$3)&lt;=5000,5,IF($F326*IF($C326="売",1-$AX$3,1+$AX$3)&lt;=30000,10,IF($F326*IF($C326="売",1-$AX$3,1+$AX$3)&lt;=50000,50,IF($F326*IF($C326="売",1-$AX$3,1+$AX$3)&lt;=300000,100,500)))))),FLOOR($F326*IF($C326="売",1-$AX$3,1+$AX$3),IF($F326*IF($C326="売",1-$AX$3,1+$AX$3)&lt;=3000,1,IF($F326*IF($C326="売",1-$AX$3,1+$AX$3)&lt;=5000,5,IF($F326*IF($C326="売",1-$AX$3,1+$AX$3)&lt;=30000,10,IF($F326*IF($C326="売",1-$AX$3,1+$AX$3)&lt;=50000,50,IF($F326*IF($C326="売",1-$AX$3,1+$AX$3)&lt;=300000,100,500))))))))</f>
      </c>
      <c r="N326" s="599" t="str">
        <f>IF($F326="","",IF($C326="売",CEILING($F326*IF($C326="売",1+$AX$2,1-$AX$2),IF($F326*IF($C326="売",1+$AX$2,1-$AX$2)&lt;=3000,1,IF($F326*IF($C326="売",1+$AX$2,1-$AX$2)&lt;=5000,5,IF($F326*IF($C326="売",1+$AX$2,1-$AX$2)&lt;=30000,10,IF($F326*IF($C326="売",1+$AX$2,1-$AX$2)&lt;=50000,50,IF($F326*IF($C326="売",1+$AX$2,1-$AX$2)&lt;=300000,100,500)))))),FLOOR($F326*IF($C326="売",1+$AX$2,1-$AX$2),IF($F326*IF($C326="売",1+$AX$2,1-$AX$2)&lt;=3000,1,IF($F326*IF($C326="売",1+$AX$2,1-$AX$2)&lt;=5000,5,IF($F326*IF($C326="売",1+$AX$2,1-$AX$2)&lt;=30000,10,IF($F326*IF($C326="売",1+$AX$2,1-$AX$2)&lt;=50000,50,IF($F326*IF($C326="売",1+$AX$2,1-$AX$2)&lt;=300000,100,500))))))))</f>
      </c>
      <c r="O326" s="478" t="str">
        <f>IF(OR($B326="",$F326="",$H326=""),"",IF($S326="✅売却済","―決済済―",IF($C326="売",IF($H326&lt;=$M326,"🟢利確",IF(AND($R326&lt;&gt;"",$H326&gt;=$R326),"🟠TRAIL決済",IF($H326&gt;=$N326,"🔴損切",IF($W326&gt;=$AX$5,"⏱時間決済",IF($H326&gt;=$F326*(1+$AX$2*0.7),"⚠️損切接近","保持継続"))))),IF($H326&gt;=$M326,"🟢利確",IF(AND($R326&lt;&gt;"",$H326&lt;=$R326),"🟠TRAIL決済",IF($H326&lt;=$N326,"🔴損切",IF($W326&gt;=$AX$5,"⏱時間決済",IF($H326&lt;=$F326*(1-$AX$2*0.7),"⚠️損切接近","保持継続")))))))</f>
      </c>
      <c r="P326" s="445"/>
      <c r="Q326" s="445"/>
      <c r="R326" s="440" t="str">
        <f>IF(OR($F326="",$H326="",$N326=""),"",IF($S326="✅売却済","",IF($C326="売",IF($H326&gt;$F326*(1-$AX$2),$N326,CEILING(MIN($N326,IF($Q326="",$N326,$Q326*1.03)),IF($N326&lt;=3000,1,IF($N326&lt;=5000,5,IF($N326&lt;=30000,10,IF($N326&lt;=50000,50,IF($N326&lt;=300000,100,500))))))),IF($H326&lt;$F326*(1+$AX$2),$N326,FLOOR(MAX($N326,IF($P326="",$N326,$P326*0.97)),IF($N326&lt;=3000,1,IF($N326&lt;=5000,5,IF($N326&lt;=30000,10,IF($N326&lt;=50000,50,IF($N326&lt;=300000,100,500))))))))))</f>
      </c>
      <c r="S326" s="440" t="str">
        <f>IF(B326="","",IF(T326&lt;&gt;"","✅売却済",IF(OR(H326="",L326=""),"📌保有中",IF(L326&gt;=0.06,"🟢利確推奨",IF(L326&gt;=0.05,"🟡利確直近",IF(L326&gt;=0.045,"🔵トレーリング検討",IF(L326&gt;-0.03,"📌保有中",IF(L326&gt;-0.04,"⚠️損切注意","🔴損切り"))))))))</f>
        <v/>
      </c>
      <c r="T326" s="597"/>
      <c r="U326" s="599"/>
      <c r="V326" s="704" t="str">
        <f>IF(OR(F326="",G326="",U326=""),"",IF(C326="売",(F326-U326)*G326,(U326-F326)*G326))</f>
        <v/>
      </c>
      <c r="W326" s="440" t="str">
        <f>IF(OR($E326="",$B326=""),"",IF($T326&lt;&gt;"",$T326-$E326,TODAY()-$E326)+1)</f>
        <v/>
      </c>
      <c r="X326" s="440" t="str">
        <f>IF(OR($AH326="",$AH326="保有中"),"",$AH326)</f>
        <v/>
      </c>
      <c r="Y326">
        <f>IF($B326="","",IF(COUNTIFS($B$4:$B326,$B326,$C$4:$C326,$C326)&gt;1,"⛔重複"&amp;COUNTIFS($B$4:$B326,$B326,$C$4:$C326,$C326)&amp;"回目",""))</f>
      </c>
      <c r="AB326">
        <f>IF($F326="","",MAX(100,ROUNDDOWN($AX$4/($F326*$AX$2)/100,0)*100))</f>
      </c>
      <c r="AC326">
        <f>IF(OR($F326="",$G326="",$U326=""),"",ROUND($V326-($F326+$U326)*$G326*$AX$6-IF($C326="売",$F326*$G326*$AX$7*$W326/365,0),0))</f>
      </c>
      <c r="AD326" s="608"/>
      <c r="AE326" s="600" t="str">
        <f>IF($E326="","",WORKDAY($E326,12))</f>
        <v/>
      </c>
      <c r="AF326" s="600"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0"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0" t="str">
        <f>IF(OR($B326="",$M326=""),"",IF(AND(N($AF326)=0,N($AG326)=0),IF(AND(ISNUMBER($H326),$H326&gt;0,IF($C326="売",$H326&gt;=$N326,$H326&lt;=$N326)),"損切確定",IF(AND(ISNUMBER($H326),$H326&gt;0,IF($C326="売",$H326&lt;=$M326,$H326&gt;=$M326)),"利益確定",IF($AE326&lt;=TODAY(),"日数制限","保有中"))),IF(N($AG326)=0,"利益確定",IF(N($AF326)=0,"損切確定",IF($AG326&lt;=$AF326,"損切確定","利益確定")))))</f>
        <v/>
      </c>
      <c r="AI326" s="600" t="str" cm="1">
        <f t="array" ref="AI326">IFERROR(INDEX(始値!$E$6:$BT$305,MATCH(TEXT($B326,"0"),TEXT(銘柄管理!$B$6:$B$305,"0"),0),MATCH($AE326,始値!$E$3:$BT$3,0)),"")</f>
        <v/>
      </c>
      <c r="AJ326" s="608" t="str">
        <f>IF(OR($V326="",$F326="",$G326=""),"",$V326/($F326*$G326))</f>
        <v/>
      </c>
      <c r="AK326" s="600" t="str">
        <f>IF($V326="","",IF($V326&gt;0,"○勝",IF($V326&lt;0,"●負","△引分")))</f>
        <v/>
      </c>
    </row>
    <row r="327" spans="1:37" ht="17.25" customHeight="1">
      <c r="A327" s="622" t="str">
        <f>IF(B327="","",HYPERLINK("https://kabutan.jp/stock/?code="&amp;B327,"株探"))</f>
        <v/>
      </c>
      <c r="D327" s="440" t="str" cm="1">
        <f t="array" ref="D327">_xll.RssMarket(B327, "銘柄名称")</f>
        <v/>
      </c>
      <c r="E327" s="717"/>
      <c r="F327" s="6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IF(OR(F327="",G327="",H327=""),"",IF(C327="売",(F327-H327)*G327,(H327-F327)*G327))</f>
        <v/>
      </c>
      <c r="L327" s="709" t="str">
        <f>IF(OR(F327="",H327=""),"",IF(C327="売",(F327-H327)/F327,(H327-F327)/F327))</f>
        <v/>
      </c>
      <c r="M327" s="599" t="str">
        <f>IF($F327="","",IF($C327="売",CEILING($F327*IF($C327="売",1-$AX$3,1+$AX$3),IF($F327*IF($C327="売",1-$AX$3,1+$AX$3)&lt;=3000,1,IF($F327*IF($C327="売",1-$AX$3,1+$AX$3)&lt;=5000,5,IF($F327*IF($C327="売",1-$AX$3,1+$AX$3)&lt;=30000,10,IF($F327*IF($C327="売",1-$AX$3,1+$AX$3)&lt;=50000,50,IF($F327*IF($C327="売",1-$AX$3,1+$AX$3)&lt;=300000,100,500)))))),FLOOR($F327*IF($C327="売",1-$AX$3,1+$AX$3),IF($F327*IF($C327="売",1-$AX$3,1+$AX$3)&lt;=3000,1,IF($F327*IF($C327="売",1-$AX$3,1+$AX$3)&lt;=5000,5,IF($F327*IF($C327="売",1-$AX$3,1+$AX$3)&lt;=30000,10,IF($F327*IF($C327="売",1-$AX$3,1+$AX$3)&lt;=50000,50,IF($F327*IF($C327="売",1-$AX$3,1+$AX$3)&lt;=300000,100,500))))))))</f>
      </c>
      <c r="N327" s="599" t="str">
        <f>IF($F327="","",IF($C327="売",CEILING($F327*IF($C327="売",1+$AX$2,1-$AX$2),IF($F327*IF($C327="売",1+$AX$2,1-$AX$2)&lt;=3000,1,IF($F327*IF($C327="売",1+$AX$2,1-$AX$2)&lt;=5000,5,IF($F327*IF($C327="売",1+$AX$2,1-$AX$2)&lt;=30000,10,IF($F327*IF($C327="売",1+$AX$2,1-$AX$2)&lt;=50000,50,IF($F327*IF($C327="売",1+$AX$2,1-$AX$2)&lt;=300000,100,500)))))),FLOOR($F327*IF($C327="売",1+$AX$2,1-$AX$2),IF($F327*IF($C327="売",1+$AX$2,1-$AX$2)&lt;=3000,1,IF($F327*IF($C327="売",1+$AX$2,1-$AX$2)&lt;=5000,5,IF($F327*IF($C327="売",1+$AX$2,1-$AX$2)&lt;=30000,10,IF($F327*IF($C327="売",1+$AX$2,1-$AX$2)&lt;=50000,50,IF($F327*IF($C327="売",1+$AX$2,1-$AX$2)&lt;=300000,100,500))))))))</f>
      </c>
      <c r="O327" s="478" t="str">
        <f>IF(OR($B327="",$F327="",$H327=""),"",IF($S327="✅売却済","―決済済―",IF($C327="売",IF($H327&lt;=$M327,"🟢利確",IF(AND($R327&lt;&gt;"",$H327&gt;=$R327),"🟠TRAIL決済",IF($H327&gt;=$N327,"🔴損切",IF($W327&gt;=$AX$5,"⏱時間決済",IF($H327&gt;=$F327*(1+$AX$2*0.7),"⚠️損切接近","保持継続"))))),IF($H327&gt;=$M327,"🟢利確",IF(AND($R327&lt;&gt;"",$H327&lt;=$R327),"🟠TRAIL決済",IF($H327&lt;=$N327,"🔴損切",IF($W327&gt;=$AX$5,"⏱時間決済",IF($H327&lt;=$F327*(1-$AX$2*0.7),"⚠️損切接近","保持継続")))))))</f>
      </c>
      <c r="P327" s="445"/>
      <c r="Q327" s="445"/>
      <c r="R327" s="440" t="str">
        <f>IF(OR($F327="",$H327="",$N327=""),"",IF($S327="✅売却済","",IF($C327="売",IF($H327&gt;$F327*(1-$AX$2),$N327,CEILING(MIN($N327,IF($Q327="",$N327,$Q327*1.03)),IF($N327&lt;=3000,1,IF($N327&lt;=5000,5,IF($N327&lt;=30000,10,IF($N327&lt;=50000,50,IF($N327&lt;=300000,100,500))))))),IF($H327&lt;$F327*(1+$AX$2),$N327,FLOOR(MAX($N327,IF($P327="",$N327,$P327*0.97)),IF($N327&lt;=3000,1,IF($N327&lt;=5000,5,IF($N327&lt;=30000,10,IF($N327&lt;=50000,50,IF($N327&lt;=300000,100,500))))))))))</f>
      </c>
      <c r="S327" s="440" t="str">
        <f>IF(B327="","",IF(T327&lt;&gt;"","✅売却済",IF(OR(H327="",L327=""),"📌保有中",IF(L327&gt;=0.06,"🟢利確推奨",IF(L327&gt;=0.05,"🟡利確直近",IF(L327&gt;=0.045,"🔵トレーリング検討",IF(L327&gt;-0.03,"📌保有中",IF(L327&gt;-0.04,"⚠️損切注意","🔴損切り"))))))))</f>
        <v/>
      </c>
      <c r="T327" s="597"/>
      <c r="U327" s="599"/>
      <c r="V327" s="704" t="str">
        <f>IF(OR(F327="",G327="",U327=""),"",IF(C327="売",(F327-U327)*G327,(U327-F327)*G327))</f>
        <v/>
      </c>
      <c r="W327" s="440" t="str">
        <f>IF(OR($E327="",$B327=""),"",IF($T327&lt;&gt;"",$T327-$E327,TODAY()-$E327)+1)</f>
        <v/>
      </c>
      <c r="X327" s="440" t="str">
        <f>IF(OR($AH327="",$AH327="保有中"),"",$AH327)</f>
        <v/>
      </c>
      <c r="Y327">
        <f>IF($B327="","",IF(COUNTIFS($B$4:$B327,$B327,$C$4:$C327,$C327)&gt;1,"⛔重複"&amp;COUNTIFS($B$4:$B327,$B327,$C$4:$C327,$C327)&amp;"回目",""))</f>
      </c>
      <c r="AB327">
        <f>IF($F327="","",MAX(100,ROUNDDOWN($AX$4/($F327*$AX$2)/100,0)*100))</f>
      </c>
      <c r="AC327">
        <f>IF(OR($F327="",$G327="",$U327=""),"",ROUND($V327-($F327+$U327)*$G327*$AX$6-IF($C327="売",$F327*$G327*$AX$7*$W327/365,0),0))</f>
      </c>
      <c r="AD327" s="608"/>
      <c r="AE327" s="600" t="str">
        <f>IF($E327="","",WORKDAY($E327,12))</f>
        <v/>
      </c>
      <c r="AF327" s="600"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0"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0" t="str">
        <f>IF(OR($B327="",$M327=""),"",IF(AND(N($AF327)=0,N($AG327)=0),IF(AND(ISNUMBER($H327),$H327&gt;0,IF($C327="売",$H327&gt;=$N327,$H327&lt;=$N327)),"損切確定",IF(AND(ISNUMBER($H327),$H327&gt;0,IF($C327="売",$H327&lt;=$M327,$H327&gt;=$M327)),"利益確定",IF($AE327&lt;=TODAY(),"日数制限","保有中"))),IF(N($AG327)=0,"利益確定",IF(N($AF327)=0,"損切確定",IF($AG327&lt;=$AF327,"損切確定","利益確定")))))</f>
        <v/>
      </c>
      <c r="AI327" s="600" t="str" cm="1">
        <f t="array" ref="AI327">IFERROR(INDEX(始値!$E$6:$BT$305,MATCH(TEXT($B327,"0"),TEXT(銘柄管理!$B$6:$B$305,"0"),0),MATCH($AE327,始値!$E$3:$BT$3,0)),"")</f>
        <v/>
      </c>
      <c r="AJ327" s="608" t="str">
        <f>IF(OR($V327="",$F327="",$G327=""),"",$V327/($F327*$G327))</f>
        <v/>
      </c>
      <c r="AK327" s="600" t="str">
        <f>IF($V327="","",IF($V327&gt;0,"○勝",IF($V327&lt;0,"●負","△引分")))</f>
        <v/>
      </c>
    </row>
    <row r="328" spans="1:37" ht="17.25" customHeight="1">
      <c r="A328" s="622" t="str">
        <f>IF(B328="","",HYPERLINK("https://kabutan.jp/stock/?code="&amp;B328,"株探"))</f>
        <v/>
      </c>
      <c r="D328" s="440" t="str" cm="1">
        <f t="array" ref="D328">_xll.RssMarket(B328, "銘柄名称")</f>
        <v/>
      </c>
      <c r="E328" s="717"/>
      <c r="F328" s="6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IF(OR(F328="",G328="",H328=""),"",IF(C328="売",(F328-H328)*G328,(H328-F328)*G328))</f>
        <v/>
      </c>
      <c r="L328" s="709" t="str">
        <f>IF(OR(F328="",H328=""),"",IF(C328="売",(F328-H328)/F328,(H328-F328)/F328))</f>
        <v/>
      </c>
      <c r="M328" s="599" t="str">
        <f>IF($F328="","",IF($C328="売",CEILING($F328*IF($C328="売",1-$AX$3,1+$AX$3),IF($F328*IF($C328="売",1-$AX$3,1+$AX$3)&lt;=3000,1,IF($F328*IF($C328="売",1-$AX$3,1+$AX$3)&lt;=5000,5,IF($F328*IF($C328="売",1-$AX$3,1+$AX$3)&lt;=30000,10,IF($F328*IF($C328="売",1-$AX$3,1+$AX$3)&lt;=50000,50,IF($F328*IF($C328="売",1-$AX$3,1+$AX$3)&lt;=300000,100,500)))))),FLOOR($F328*IF($C328="売",1-$AX$3,1+$AX$3),IF($F328*IF($C328="売",1-$AX$3,1+$AX$3)&lt;=3000,1,IF($F328*IF($C328="売",1-$AX$3,1+$AX$3)&lt;=5000,5,IF($F328*IF($C328="売",1-$AX$3,1+$AX$3)&lt;=30000,10,IF($F328*IF($C328="売",1-$AX$3,1+$AX$3)&lt;=50000,50,IF($F328*IF($C328="売",1-$AX$3,1+$AX$3)&lt;=300000,100,500))))))))</f>
      </c>
      <c r="N328" s="599" t="str">
        <f>IF($F328="","",IF($C328="売",CEILING($F328*IF($C328="売",1+$AX$2,1-$AX$2),IF($F328*IF($C328="売",1+$AX$2,1-$AX$2)&lt;=3000,1,IF($F328*IF($C328="売",1+$AX$2,1-$AX$2)&lt;=5000,5,IF($F328*IF($C328="売",1+$AX$2,1-$AX$2)&lt;=30000,10,IF($F328*IF($C328="売",1+$AX$2,1-$AX$2)&lt;=50000,50,IF($F328*IF($C328="売",1+$AX$2,1-$AX$2)&lt;=300000,100,500)))))),FLOOR($F328*IF($C328="売",1+$AX$2,1-$AX$2),IF($F328*IF($C328="売",1+$AX$2,1-$AX$2)&lt;=3000,1,IF($F328*IF($C328="売",1+$AX$2,1-$AX$2)&lt;=5000,5,IF($F328*IF($C328="売",1+$AX$2,1-$AX$2)&lt;=30000,10,IF($F328*IF($C328="売",1+$AX$2,1-$AX$2)&lt;=50000,50,IF($F328*IF($C328="売",1+$AX$2,1-$AX$2)&lt;=300000,100,500))))))))</f>
      </c>
      <c r="O328" s="478" t="str">
        <f>IF(OR($B328="",$F328="",$H328=""),"",IF($S328="✅売却済","―決済済―",IF($C328="売",IF($H328&lt;=$M328,"🟢利確",IF(AND($R328&lt;&gt;"",$H328&gt;=$R328),"🟠TRAIL決済",IF($H328&gt;=$N328,"🔴損切",IF($W328&gt;=$AX$5,"⏱時間決済",IF($H328&gt;=$F328*(1+$AX$2*0.7),"⚠️損切接近","保持継続"))))),IF($H328&gt;=$M328,"🟢利確",IF(AND($R328&lt;&gt;"",$H328&lt;=$R328),"🟠TRAIL決済",IF($H328&lt;=$N328,"🔴損切",IF($W328&gt;=$AX$5,"⏱時間決済",IF($H328&lt;=$F328*(1-$AX$2*0.7),"⚠️損切接近","保持継続")))))))</f>
      </c>
      <c r="P328" s="445"/>
      <c r="Q328" s="445"/>
      <c r="R328" s="440" t="str">
        <f>IF(OR($F328="",$H328="",$N328=""),"",IF($S328="✅売却済","",IF($C328="売",IF($H328&gt;$F328*(1-$AX$2),$N328,CEILING(MIN($N328,IF($Q328="",$N328,$Q328*1.03)),IF($N328&lt;=3000,1,IF($N328&lt;=5000,5,IF($N328&lt;=30000,10,IF($N328&lt;=50000,50,IF($N328&lt;=300000,100,500))))))),IF($H328&lt;$F328*(1+$AX$2),$N328,FLOOR(MAX($N328,IF($P328="",$N328,$P328*0.97)),IF($N328&lt;=3000,1,IF($N328&lt;=5000,5,IF($N328&lt;=30000,10,IF($N328&lt;=50000,50,IF($N328&lt;=300000,100,500))))))))))</f>
      </c>
      <c r="S328" s="440" t="str">
        <f>IF(B328="","",IF(T328&lt;&gt;"","✅売却済",IF(OR(H328="",L328=""),"📌保有中",IF(L328&gt;=0.06,"🟢利確推奨",IF(L328&gt;=0.05,"🟡利確直近",IF(L328&gt;=0.045,"🔵トレーリング検討",IF(L328&gt;-0.03,"📌保有中",IF(L328&gt;-0.04,"⚠️損切注意","🔴損切り"))))))))</f>
        <v/>
      </c>
      <c r="T328" s="597"/>
      <c r="U328" s="599"/>
      <c r="V328" s="704" t="str">
        <f>IF(OR(F328="",G328="",U328=""),"",IF(C328="売",(F328-U328)*G328,(U328-F328)*G328))</f>
        <v/>
      </c>
      <c r="W328" s="440" t="str">
        <f>IF(OR($E328="",$B328=""),"",IF($T328&lt;&gt;"",$T328-$E328,TODAY()-$E328)+1)</f>
        <v/>
      </c>
      <c r="X328" s="440" t="str">
        <f>IF(OR($AH328="",$AH328="保有中"),"",$AH328)</f>
        <v/>
      </c>
      <c r="Y328">
        <f>IF($B328="","",IF(COUNTIFS($B$4:$B328,$B328,$C$4:$C328,$C328)&gt;1,"⛔重複"&amp;COUNTIFS($B$4:$B328,$B328,$C$4:$C328,$C328)&amp;"回目",""))</f>
      </c>
      <c r="AB328">
        <f>IF($F328="","",MAX(100,ROUNDDOWN($AX$4/($F328*$AX$2)/100,0)*100))</f>
      </c>
      <c r="AC328">
        <f>IF(OR($F328="",$G328="",$U328=""),"",ROUND($V328-($F328+$U328)*$G328*$AX$6-IF($C328="売",$F328*$G328*$AX$7*$W328/365,0),0))</f>
      </c>
      <c r="AD328" s="608"/>
      <c r="AE328" s="600" t="str">
        <f>IF($E328="","",WORKDAY($E328,12))</f>
        <v/>
      </c>
      <c r="AF328" s="600"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0"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0" t="str">
        <f>IF(OR($B328="",$M328=""),"",IF(AND(N($AF328)=0,N($AG328)=0),IF(AND(ISNUMBER($H328),$H328&gt;0,IF($C328="売",$H328&gt;=$N328,$H328&lt;=$N328)),"損切確定",IF(AND(ISNUMBER($H328),$H328&gt;0,IF($C328="売",$H328&lt;=$M328,$H328&gt;=$M328)),"利益確定",IF($AE328&lt;=TODAY(),"日数制限","保有中"))),IF(N($AG328)=0,"利益確定",IF(N($AF328)=0,"損切確定",IF($AG328&lt;=$AF328,"損切確定","利益確定")))))</f>
        <v/>
      </c>
      <c r="AI328" s="600" t="str" cm="1">
        <f t="array" ref="AI328">IFERROR(INDEX(始値!$E$6:$BT$305,MATCH(TEXT($B328,"0"),TEXT(銘柄管理!$B$6:$B$305,"0"),0),MATCH($AE328,始値!$E$3:$BT$3,0)),"")</f>
        <v/>
      </c>
      <c r="AJ328" s="608" t="str">
        <f>IF(OR($V328="",$F328="",$G328=""),"",$V328/($F328*$G328))</f>
        <v/>
      </c>
      <c r="AK328" s="600" t="str">
        <f>IF($V328="","",IF($V328&gt;0,"○勝",IF($V328&lt;0,"●負","△引分")))</f>
        <v/>
      </c>
    </row>
    <row r="329" spans="1:37" ht="17.25" customHeight="1">
      <c r="A329" s="622" t="str">
        <f>IF(B329="","",HYPERLINK("https://kabutan.jp/stock/?code="&amp;B329,"株探"))</f>
        <v/>
      </c>
      <c r="D329" s="440" t="str" cm="1">
        <f t="array" ref="D329">_xll.RssMarket(B329, "銘柄名称")</f>
        <v/>
      </c>
      <c r="E329" s="717"/>
      <c r="F329" s="6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IF(OR(F329="",G329="",H329=""),"",IF(C329="売",(F329-H329)*G329,(H329-F329)*G329))</f>
        <v/>
      </c>
      <c r="L329" s="709" t="str">
        <f>IF(OR(F329="",H329=""),"",IF(C329="売",(F329-H329)/F329,(H329-F329)/F329))</f>
        <v/>
      </c>
      <c r="M329" s="599" t="str">
        <f>IF($F329="","",IF($C329="売",CEILING($F329*IF($C329="売",1-$AX$3,1+$AX$3),IF($F329*IF($C329="売",1-$AX$3,1+$AX$3)&lt;=3000,1,IF($F329*IF($C329="売",1-$AX$3,1+$AX$3)&lt;=5000,5,IF($F329*IF($C329="売",1-$AX$3,1+$AX$3)&lt;=30000,10,IF($F329*IF($C329="売",1-$AX$3,1+$AX$3)&lt;=50000,50,IF($F329*IF($C329="売",1-$AX$3,1+$AX$3)&lt;=300000,100,500)))))),FLOOR($F329*IF($C329="売",1-$AX$3,1+$AX$3),IF($F329*IF($C329="売",1-$AX$3,1+$AX$3)&lt;=3000,1,IF($F329*IF($C329="売",1-$AX$3,1+$AX$3)&lt;=5000,5,IF($F329*IF($C329="売",1-$AX$3,1+$AX$3)&lt;=30000,10,IF($F329*IF($C329="売",1-$AX$3,1+$AX$3)&lt;=50000,50,IF($F329*IF($C329="売",1-$AX$3,1+$AX$3)&lt;=300000,100,500))))))))</f>
      </c>
      <c r="N329" s="599" t="str">
        <f>IF($F329="","",IF($C329="売",CEILING($F329*IF($C329="売",1+$AX$2,1-$AX$2),IF($F329*IF($C329="売",1+$AX$2,1-$AX$2)&lt;=3000,1,IF($F329*IF($C329="売",1+$AX$2,1-$AX$2)&lt;=5000,5,IF($F329*IF($C329="売",1+$AX$2,1-$AX$2)&lt;=30000,10,IF($F329*IF($C329="売",1+$AX$2,1-$AX$2)&lt;=50000,50,IF($F329*IF($C329="売",1+$AX$2,1-$AX$2)&lt;=300000,100,500)))))),FLOOR($F329*IF($C329="売",1+$AX$2,1-$AX$2),IF($F329*IF($C329="売",1+$AX$2,1-$AX$2)&lt;=3000,1,IF($F329*IF($C329="売",1+$AX$2,1-$AX$2)&lt;=5000,5,IF($F329*IF($C329="売",1+$AX$2,1-$AX$2)&lt;=30000,10,IF($F329*IF($C329="売",1+$AX$2,1-$AX$2)&lt;=50000,50,IF($F329*IF($C329="売",1+$AX$2,1-$AX$2)&lt;=300000,100,500))))))))</f>
      </c>
      <c r="O329" s="478" t="str">
        <f>IF(OR($B329="",$F329="",$H329=""),"",IF($S329="✅売却済","―決済済―",IF($C329="売",IF($H329&lt;=$M329,"🟢利確",IF(AND($R329&lt;&gt;"",$H329&gt;=$R329),"🟠TRAIL決済",IF($H329&gt;=$N329,"🔴損切",IF($W329&gt;=$AX$5,"⏱時間決済",IF($H329&gt;=$F329*(1+$AX$2*0.7),"⚠️損切接近","保持継続"))))),IF($H329&gt;=$M329,"🟢利確",IF(AND($R329&lt;&gt;"",$H329&lt;=$R329),"🟠TRAIL決済",IF($H329&lt;=$N329,"🔴損切",IF($W329&gt;=$AX$5,"⏱時間決済",IF($H329&lt;=$F329*(1-$AX$2*0.7),"⚠️損切接近","保持継続")))))))</f>
      </c>
      <c r="P329" s="445"/>
      <c r="Q329" s="445"/>
      <c r="R329" s="440" t="str">
        <f>IF(OR($F329="",$H329="",$N329=""),"",IF($S329="✅売却済","",IF($C329="売",IF($H329&gt;$F329*(1-$AX$2),$N329,CEILING(MIN($N329,IF($Q329="",$N329,$Q329*1.03)),IF($N329&lt;=3000,1,IF($N329&lt;=5000,5,IF($N329&lt;=30000,10,IF($N329&lt;=50000,50,IF($N329&lt;=300000,100,500))))))),IF($H329&lt;$F329*(1+$AX$2),$N329,FLOOR(MAX($N329,IF($P329="",$N329,$P329*0.97)),IF($N329&lt;=3000,1,IF($N329&lt;=5000,5,IF($N329&lt;=30000,10,IF($N329&lt;=50000,50,IF($N329&lt;=300000,100,500))))))))))</f>
      </c>
      <c r="S329" s="440" t="str">
        <f>IF(B329="","",IF(T329&lt;&gt;"","✅売却済",IF(OR(H329="",L329=""),"📌保有中",IF(L329&gt;=0.06,"🟢利確推奨",IF(L329&gt;=0.05,"🟡利確直近",IF(L329&gt;=0.045,"🔵トレーリング検討",IF(L329&gt;-0.03,"📌保有中",IF(L329&gt;-0.04,"⚠️損切注意","🔴損切り"))))))))</f>
        <v/>
      </c>
      <c r="T329" s="597"/>
      <c r="U329" s="599"/>
      <c r="V329" s="704" t="str">
        <f>IF(OR(F329="",G329="",U329=""),"",IF(C329="売",(F329-U329)*G329,(U329-F329)*G329))</f>
        <v/>
      </c>
      <c r="W329" s="440" t="str">
        <f>IF(OR($E329="",$B329=""),"",IF($T329&lt;&gt;"",$T329-$E329,TODAY()-$E329)+1)</f>
        <v/>
      </c>
      <c r="X329" s="440" t="str">
        <f>IF(OR($AH329="",$AH329="保有中"),"",$AH329)</f>
        <v/>
      </c>
      <c r="Y329">
        <f>IF($B329="","",IF(COUNTIFS($B$4:$B329,$B329,$C$4:$C329,$C329)&gt;1,"⛔重複"&amp;COUNTIFS($B$4:$B329,$B329,$C$4:$C329,$C329)&amp;"回目",""))</f>
      </c>
      <c r="AB329">
        <f>IF($F329="","",MAX(100,ROUNDDOWN($AX$4/($F329*$AX$2)/100,0)*100))</f>
      </c>
      <c r="AC329">
        <f>IF(OR($F329="",$G329="",$U329=""),"",ROUND($V329-($F329+$U329)*$G329*$AX$6-IF($C329="売",$F329*$G329*$AX$7*$W329/365,0),0))</f>
      </c>
      <c r="AD329" s="608"/>
      <c r="AE329" s="600" t="str">
        <f>IF($E329="","",WORKDAY($E329,12))</f>
        <v/>
      </c>
      <c r="AF329" s="600"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0"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0" t="str">
        <f>IF(OR($B329="",$M329=""),"",IF(AND(N($AF329)=0,N($AG329)=0),IF(AND(ISNUMBER($H329),$H329&gt;0,IF($C329="売",$H329&gt;=$N329,$H329&lt;=$N329)),"損切確定",IF(AND(ISNUMBER($H329),$H329&gt;0,IF($C329="売",$H329&lt;=$M329,$H329&gt;=$M329)),"利益確定",IF($AE329&lt;=TODAY(),"日数制限","保有中"))),IF(N($AG329)=0,"利益確定",IF(N($AF329)=0,"損切確定",IF($AG329&lt;=$AF329,"損切確定","利益確定")))))</f>
        <v/>
      </c>
      <c r="AI329" s="600" t="str" cm="1">
        <f t="array" ref="AI329">IFERROR(INDEX(始値!$E$6:$BT$305,MATCH(TEXT($B329,"0"),TEXT(銘柄管理!$B$6:$B$305,"0"),0),MATCH($AE329,始値!$E$3:$BT$3,0)),"")</f>
        <v/>
      </c>
      <c r="AJ329" s="608" t="str">
        <f>IF(OR($V329="",$F329="",$G329=""),"",$V329/($F329*$G329))</f>
        <v/>
      </c>
      <c r="AK329" s="600" t="str">
        <f>IF($V329="","",IF($V329&gt;0,"○勝",IF($V329&lt;0,"●負","△引分")))</f>
        <v/>
      </c>
    </row>
    <row r="330" spans="1:37" ht="17.25" customHeight="1">
      <c r="A330" s="622" t="str">
        <f>IF(B330="","",HYPERLINK("https://kabutan.jp/stock/?code="&amp;B330,"株探"))</f>
        <v/>
      </c>
      <c r="D330" s="440" t="str" cm="1">
        <f t="array" ref="D330">_xll.RssMarket(B330, "銘柄名称")</f>
        <v/>
      </c>
      <c r="E330" s="717"/>
      <c r="F330" s="6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IF(OR(F330="",G330="",H330=""),"",IF(C330="売",(F330-H330)*G330,(H330-F330)*G330))</f>
        <v/>
      </c>
      <c r="L330" s="709" t="str">
        <f>IF(OR(F330="",H330=""),"",IF(C330="売",(F330-H330)/F330,(H330-F330)/F330))</f>
        <v/>
      </c>
      <c r="M330" s="599" t="str">
        <f>IF($F330="","",IF($C330="売",CEILING($F330*IF($C330="売",1-$AX$3,1+$AX$3),IF($F330*IF($C330="売",1-$AX$3,1+$AX$3)&lt;=3000,1,IF($F330*IF($C330="売",1-$AX$3,1+$AX$3)&lt;=5000,5,IF($F330*IF($C330="売",1-$AX$3,1+$AX$3)&lt;=30000,10,IF($F330*IF($C330="売",1-$AX$3,1+$AX$3)&lt;=50000,50,IF($F330*IF($C330="売",1-$AX$3,1+$AX$3)&lt;=300000,100,500)))))),FLOOR($F330*IF($C330="売",1-$AX$3,1+$AX$3),IF($F330*IF($C330="売",1-$AX$3,1+$AX$3)&lt;=3000,1,IF($F330*IF($C330="売",1-$AX$3,1+$AX$3)&lt;=5000,5,IF($F330*IF($C330="売",1-$AX$3,1+$AX$3)&lt;=30000,10,IF($F330*IF($C330="売",1-$AX$3,1+$AX$3)&lt;=50000,50,IF($F330*IF($C330="売",1-$AX$3,1+$AX$3)&lt;=300000,100,500))))))))</f>
      </c>
      <c r="N330" s="599" t="str">
        <f>IF($F330="","",IF($C330="売",CEILING($F330*IF($C330="売",1+$AX$2,1-$AX$2),IF($F330*IF($C330="売",1+$AX$2,1-$AX$2)&lt;=3000,1,IF($F330*IF($C330="売",1+$AX$2,1-$AX$2)&lt;=5000,5,IF($F330*IF($C330="売",1+$AX$2,1-$AX$2)&lt;=30000,10,IF($F330*IF($C330="売",1+$AX$2,1-$AX$2)&lt;=50000,50,IF($F330*IF($C330="売",1+$AX$2,1-$AX$2)&lt;=300000,100,500)))))),FLOOR($F330*IF($C330="売",1+$AX$2,1-$AX$2),IF($F330*IF($C330="売",1+$AX$2,1-$AX$2)&lt;=3000,1,IF($F330*IF($C330="売",1+$AX$2,1-$AX$2)&lt;=5000,5,IF($F330*IF($C330="売",1+$AX$2,1-$AX$2)&lt;=30000,10,IF($F330*IF($C330="売",1+$AX$2,1-$AX$2)&lt;=50000,50,IF($F330*IF($C330="売",1+$AX$2,1-$AX$2)&lt;=300000,100,500))))))))</f>
      </c>
      <c r="O330" s="478" t="str">
        <f>IF(OR($B330="",$F330="",$H330=""),"",IF($S330="✅売却済","―決済済―",IF($C330="売",IF($H330&lt;=$M330,"🟢利確",IF(AND($R330&lt;&gt;"",$H330&gt;=$R330),"🟠TRAIL決済",IF($H330&gt;=$N330,"🔴損切",IF($W330&gt;=$AX$5,"⏱時間決済",IF($H330&gt;=$F330*(1+$AX$2*0.7),"⚠️損切接近","保持継続"))))),IF($H330&gt;=$M330,"🟢利確",IF(AND($R330&lt;&gt;"",$H330&lt;=$R330),"🟠TRAIL決済",IF($H330&lt;=$N330,"🔴損切",IF($W330&gt;=$AX$5,"⏱時間決済",IF($H330&lt;=$F330*(1-$AX$2*0.7),"⚠️損切接近","保持継続")))))))</f>
      </c>
      <c r="P330" s="445"/>
      <c r="Q330" s="445"/>
      <c r="R330" s="440" t="str">
        <f>IF(OR($F330="",$H330="",$N330=""),"",IF($S330="✅売却済","",IF($C330="売",IF($H330&gt;$F330*(1-$AX$2),$N330,CEILING(MIN($N330,IF($Q330="",$N330,$Q330*1.03)),IF($N330&lt;=3000,1,IF($N330&lt;=5000,5,IF($N330&lt;=30000,10,IF($N330&lt;=50000,50,IF($N330&lt;=300000,100,500))))))),IF($H330&lt;$F330*(1+$AX$2),$N330,FLOOR(MAX($N330,IF($P330="",$N330,$P330*0.97)),IF($N330&lt;=3000,1,IF($N330&lt;=5000,5,IF($N330&lt;=30000,10,IF($N330&lt;=50000,50,IF($N330&lt;=300000,100,500))))))))))</f>
      </c>
      <c r="S330" s="440" t="str">
        <f>IF(B330="","",IF(T330&lt;&gt;"","✅売却済",IF(OR(H330="",L330=""),"📌保有中",IF(L330&gt;=0.06,"🟢利確推奨",IF(L330&gt;=0.05,"🟡利確直近",IF(L330&gt;=0.045,"🔵トレーリング検討",IF(L330&gt;-0.03,"📌保有中",IF(L330&gt;-0.04,"⚠️損切注意","🔴損切り"))))))))</f>
        <v/>
      </c>
      <c r="T330" s="597"/>
      <c r="U330" s="599"/>
      <c r="V330" s="704" t="str">
        <f>IF(OR(F330="",G330="",U330=""),"",IF(C330="売",(F330-U330)*G330,(U330-F330)*G330))</f>
        <v/>
      </c>
      <c r="W330" s="440" t="str">
        <f>IF(OR($E330="",$B330=""),"",IF($T330&lt;&gt;"",$T330-$E330,TODAY()-$E330)+1)</f>
        <v/>
      </c>
      <c r="X330" s="440" t="str">
        <f>IF(OR($AH330="",$AH330="保有中"),"",$AH330)</f>
        <v/>
      </c>
      <c r="Y330">
        <f>IF($B330="","",IF(COUNTIFS($B$4:$B330,$B330,$C$4:$C330,$C330)&gt;1,"⛔重複"&amp;COUNTIFS($B$4:$B330,$B330,$C$4:$C330,$C330)&amp;"回目",""))</f>
      </c>
      <c r="AB330">
        <f>IF($F330="","",MAX(100,ROUNDDOWN($AX$4/($F330*$AX$2)/100,0)*100))</f>
      </c>
      <c r="AC330">
        <f>IF(OR($F330="",$G330="",$U330=""),"",ROUND($V330-($F330+$U330)*$G330*$AX$6-IF($C330="売",$F330*$G330*$AX$7*$W330/365,0),0))</f>
      </c>
      <c r="AD330" s="608"/>
      <c r="AE330" s="600" t="str">
        <f>IF($E330="","",WORKDAY($E330,12))</f>
        <v/>
      </c>
      <c r="AF330" s="600"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0"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0" t="str">
        <f>IF(OR($B330="",$M330=""),"",IF(AND(N($AF330)=0,N($AG330)=0),IF(AND(ISNUMBER($H330),$H330&gt;0,IF($C330="売",$H330&gt;=$N330,$H330&lt;=$N330)),"損切確定",IF(AND(ISNUMBER($H330),$H330&gt;0,IF($C330="売",$H330&lt;=$M330,$H330&gt;=$M330)),"利益確定",IF($AE330&lt;=TODAY(),"日数制限","保有中"))),IF(N($AG330)=0,"利益確定",IF(N($AF330)=0,"損切確定",IF($AG330&lt;=$AF330,"損切確定","利益確定")))))</f>
        <v/>
      </c>
      <c r="AI330" s="600" t="str" cm="1">
        <f t="array" ref="AI330">IFERROR(INDEX(始値!$E$6:$BT$305,MATCH(TEXT($B330,"0"),TEXT(銘柄管理!$B$6:$B$305,"0"),0),MATCH($AE330,始値!$E$3:$BT$3,0)),"")</f>
        <v/>
      </c>
      <c r="AJ330" s="608" t="str">
        <f>IF(OR($V330="",$F330="",$G330=""),"",$V330/($F330*$G330))</f>
        <v/>
      </c>
      <c r="AK330" s="600" t="str">
        <f>IF($V330="","",IF($V330&gt;0,"○勝",IF($V330&lt;0,"●負","△引分")))</f>
        <v/>
      </c>
    </row>
    <row r="331" spans="1:37" ht="17.25" customHeight="1">
      <c r="A331" s="622" t="str">
        <f>IF(B331="","",HYPERLINK("https://kabutan.jp/stock/?code="&amp;B331,"株探"))</f>
        <v/>
      </c>
      <c r="D331" s="440" t="str" cm="1">
        <f t="array" ref="D331">_xll.RssMarket(B331, "銘柄名称")</f>
        <v/>
      </c>
      <c r="E331" s="717"/>
      <c r="F331" s="6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IF(OR(F331="",G331="",H331=""),"",IF(C331="売",(F331-H331)*G331,(H331-F331)*G331))</f>
        <v/>
      </c>
      <c r="L331" s="709" t="str">
        <f>IF(OR(F331="",H331=""),"",IF(C331="売",(F331-H331)/F331,(H331-F331)/F331))</f>
        <v/>
      </c>
      <c r="M331" s="599" t="str">
        <f>IF($F331="","",IF($C331="売",CEILING($F331*IF($C331="売",1-$AX$3,1+$AX$3),IF($F331*IF($C331="売",1-$AX$3,1+$AX$3)&lt;=3000,1,IF($F331*IF($C331="売",1-$AX$3,1+$AX$3)&lt;=5000,5,IF($F331*IF($C331="売",1-$AX$3,1+$AX$3)&lt;=30000,10,IF($F331*IF($C331="売",1-$AX$3,1+$AX$3)&lt;=50000,50,IF($F331*IF($C331="売",1-$AX$3,1+$AX$3)&lt;=300000,100,500)))))),FLOOR($F331*IF($C331="売",1-$AX$3,1+$AX$3),IF($F331*IF($C331="売",1-$AX$3,1+$AX$3)&lt;=3000,1,IF($F331*IF($C331="売",1-$AX$3,1+$AX$3)&lt;=5000,5,IF($F331*IF($C331="売",1-$AX$3,1+$AX$3)&lt;=30000,10,IF($F331*IF($C331="売",1-$AX$3,1+$AX$3)&lt;=50000,50,IF($F331*IF($C331="売",1-$AX$3,1+$AX$3)&lt;=300000,100,500))))))))</f>
      </c>
      <c r="N331" s="599" t="str">
        <f>IF($F331="","",IF($C331="売",CEILING($F331*IF($C331="売",1+$AX$2,1-$AX$2),IF($F331*IF($C331="売",1+$AX$2,1-$AX$2)&lt;=3000,1,IF($F331*IF($C331="売",1+$AX$2,1-$AX$2)&lt;=5000,5,IF($F331*IF($C331="売",1+$AX$2,1-$AX$2)&lt;=30000,10,IF($F331*IF($C331="売",1+$AX$2,1-$AX$2)&lt;=50000,50,IF($F331*IF($C331="売",1+$AX$2,1-$AX$2)&lt;=300000,100,500)))))),FLOOR($F331*IF($C331="売",1+$AX$2,1-$AX$2),IF($F331*IF($C331="売",1+$AX$2,1-$AX$2)&lt;=3000,1,IF($F331*IF($C331="売",1+$AX$2,1-$AX$2)&lt;=5000,5,IF($F331*IF($C331="売",1+$AX$2,1-$AX$2)&lt;=30000,10,IF($F331*IF($C331="売",1+$AX$2,1-$AX$2)&lt;=50000,50,IF($F331*IF($C331="売",1+$AX$2,1-$AX$2)&lt;=300000,100,500))))))))</f>
      </c>
      <c r="O331" s="478" t="str">
        <f>IF(OR($B331="",$F331="",$H331=""),"",IF($S331="✅売却済","―決済済―",IF($C331="売",IF($H331&lt;=$M331,"🟢利確",IF(AND($R331&lt;&gt;"",$H331&gt;=$R331),"🟠TRAIL決済",IF($H331&gt;=$N331,"🔴損切",IF($W331&gt;=$AX$5,"⏱時間決済",IF($H331&gt;=$F331*(1+$AX$2*0.7),"⚠️損切接近","保持継続"))))),IF($H331&gt;=$M331,"🟢利確",IF(AND($R331&lt;&gt;"",$H331&lt;=$R331),"🟠TRAIL決済",IF($H331&lt;=$N331,"🔴損切",IF($W331&gt;=$AX$5,"⏱時間決済",IF($H331&lt;=$F331*(1-$AX$2*0.7),"⚠️損切接近","保持継続")))))))</f>
      </c>
      <c r="P331" s="445"/>
      <c r="Q331" s="445"/>
      <c r="R331" s="440" t="str">
        <f>IF(OR($F331="",$H331="",$N331=""),"",IF($S331="✅売却済","",IF($C331="売",IF($H331&gt;$F331*(1-$AX$2),$N331,CEILING(MIN($N331,IF($Q331="",$N331,$Q331*1.03)),IF($N331&lt;=3000,1,IF($N331&lt;=5000,5,IF($N331&lt;=30000,10,IF($N331&lt;=50000,50,IF($N331&lt;=300000,100,500))))))),IF($H331&lt;$F331*(1+$AX$2),$N331,FLOOR(MAX($N331,IF($P331="",$N331,$P331*0.97)),IF($N331&lt;=3000,1,IF($N331&lt;=5000,5,IF($N331&lt;=30000,10,IF($N331&lt;=50000,50,IF($N331&lt;=300000,100,500))))))))))</f>
      </c>
      <c r="S331" s="440" t="str">
        <f>IF(B331="","",IF(T331&lt;&gt;"","✅売却済",IF(OR(H331="",L331=""),"📌保有中",IF(L331&gt;=0.06,"🟢利確推奨",IF(L331&gt;=0.05,"🟡利確直近",IF(L331&gt;=0.045,"🔵トレーリング検討",IF(L331&gt;-0.03,"📌保有中",IF(L331&gt;-0.04,"⚠️損切注意","🔴損切り"))))))))</f>
        <v/>
      </c>
      <c r="T331" s="597"/>
      <c r="U331" s="599"/>
      <c r="V331" s="704" t="str">
        <f>IF(OR(F331="",G331="",U331=""),"",IF(C331="売",(F331-U331)*G331,(U331-F331)*G331))</f>
        <v/>
      </c>
      <c r="W331" s="440" t="str">
        <f>IF(OR($E331="",$B331=""),"",IF($T331&lt;&gt;"",$T331-$E331,TODAY()-$E331)+1)</f>
        <v/>
      </c>
      <c r="X331" s="440" t="str">
        <f>IF(OR($AH331="",$AH331="保有中"),"",$AH331)</f>
        <v/>
      </c>
      <c r="Y331">
        <f>IF($B331="","",IF(COUNTIFS($B$4:$B331,$B331,$C$4:$C331,$C331)&gt;1,"⛔重複"&amp;COUNTIFS($B$4:$B331,$B331,$C$4:$C331,$C331)&amp;"回目",""))</f>
      </c>
      <c r="AB331">
        <f>IF($F331="","",MAX(100,ROUNDDOWN($AX$4/($F331*$AX$2)/100,0)*100))</f>
      </c>
      <c r="AC331">
        <f>IF(OR($F331="",$G331="",$U331=""),"",ROUND($V331-($F331+$U331)*$G331*$AX$6-IF($C331="売",$F331*$G331*$AX$7*$W331/365,0),0))</f>
      </c>
      <c r="AD331" s="608"/>
      <c r="AE331" s="600" t="str">
        <f>IF($E331="","",WORKDAY($E331,12))</f>
        <v/>
      </c>
      <c r="AF331" s="600"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0"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0" t="str">
        <f>IF(OR($B331="",$M331=""),"",IF(AND(N($AF331)=0,N($AG331)=0),IF(AND(ISNUMBER($H331),$H331&gt;0,IF($C331="売",$H331&gt;=$N331,$H331&lt;=$N331)),"損切確定",IF(AND(ISNUMBER($H331),$H331&gt;0,IF($C331="売",$H331&lt;=$M331,$H331&gt;=$M331)),"利益確定",IF($AE331&lt;=TODAY(),"日数制限","保有中"))),IF(N($AG331)=0,"利益確定",IF(N($AF331)=0,"損切確定",IF($AG331&lt;=$AF331,"損切確定","利益確定")))))</f>
        <v/>
      </c>
      <c r="AI331" s="600" t="str" cm="1">
        <f t="array" ref="AI331">IFERROR(INDEX(始値!$E$6:$BT$305,MATCH(TEXT($B331,"0"),TEXT(銘柄管理!$B$6:$B$305,"0"),0),MATCH($AE331,始値!$E$3:$BT$3,0)),"")</f>
        <v/>
      </c>
      <c r="AJ331" s="608" t="str">
        <f>IF(OR($V331="",$F331="",$G331=""),"",$V331/($F331*$G331))</f>
        <v/>
      </c>
      <c r="AK331" s="600" t="str">
        <f>IF($V331="","",IF($V331&gt;0,"○勝",IF($V331&lt;0,"●負","△引分")))</f>
        <v/>
      </c>
    </row>
    <row r="332" spans="1:37" ht="17.25" customHeight="1">
      <c r="A332" s="622" t="str">
        <f>IF(B332="","",HYPERLINK("https://kabutan.jp/stock/?code="&amp;B332,"株探"))</f>
        <v/>
      </c>
      <c r="D332" s="440" t="str" cm="1">
        <f t="array" ref="D332">_xll.RssMarket(B332, "銘柄名称")</f>
        <v/>
      </c>
      <c r="E332" s="717"/>
      <c r="F332" s="6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IF(OR(F332="",G332="",H332=""),"",IF(C332="売",(F332-H332)*G332,(H332-F332)*G332))</f>
        <v/>
      </c>
      <c r="L332" s="709" t="str">
        <f>IF(OR(F332="",H332=""),"",IF(C332="売",(F332-H332)/F332,(H332-F332)/F332))</f>
        <v/>
      </c>
      <c r="M332" s="599" t="str">
        <f>IF($F332="","",IF($C332="売",CEILING($F332*IF($C332="売",1-$AX$3,1+$AX$3),IF($F332*IF($C332="売",1-$AX$3,1+$AX$3)&lt;=3000,1,IF($F332*IF($C332="売",1-$AX$3,1+$AX$3)&lt;=5000,5,IF($F332*IF($C332="売",1-$AX$3,1+$AX$3)&lt;=30000,10,IF($F332*IF($C332="売",1-$AX$3,1+$AX$3)&lt;=50000,50,IF($F332*IF($C332="売",1-$AX$3,1+$AX$3)&lt;=300000,100,500)))))),FLOOR($F332*IF($C332="売",1-$AX$3,1+$AX$3),IF($F332*IF($C332="売",1-$AX$3,1+$AX$3)&lt;=3000,1,IF($F332*IF($C332="売",1-$AX$3,1+$AX$3)&lt;=5000,5,IF($F332*IF($C332="売",1-$AX$3,1+$AX$3)&lt;=30000,10,IF($F332*IF($C332="売",1-$AX$3,1+$AX$3)&lt;=50000,50,IF($F332*IF($C332="売",1-$AX$3,1+$AX$3)&lt;=300000,100,500))))))))</f>
      </c>
      <c r="N332" s="599" t="str">
        <f>IF($F332="","",IF($C332="売",CEILING($F332*IF($C332="売",1+$AX$2,1-$AX$2),IF($F332*IF($C332="売",1+$AX$2,1-$AX$2)&lt;=3000,1,IF($F332*IF($C332="売",1+$AX$2,1-$AX$2)&lt;=5000,5,IF($F332*IF($C332="売",1+$AX$2,1-$AX$2)&lt;=30000,10,IF($F332*IF($C332="売",1+$AX$2,1-$AX$2)&lt;=50000,50,IF($F332*IF($C332="売",1+$AX$2,1-$AX$2)&lt;=300000,100,500)))))),FLOOR($F332*IF($C332="売",1+$AX$2,1-$AX$2),IF($F332*IF($C332="売",1+$AX$2,1-$AX$2)&lt;=3000,1,IF($F332*IF($C332="売",1+$AX$2,1-$AX$2)&lt;=5000,5,IF($F332*IF($C332="売",1+$AX$2,1-$AX$2)&lt;=30000,10,IF($F332*IF($C332="売",1+$AX$2,1-$AX$2)&lt;=50000,50,IF($F332*IF($C332="売",1+$AX$2,1-$AX$2)&lt;=300000,100,500))))))))</f>
      </c>
      <c r="O332" s="478" t="str">
        <f>IF(OR($B332="",$F332="",$H332=""),"",IF($S332="✅売却済","―決済済―",IF($C332="売",IF($H332&lt;=$M332,"🟢利確",IF(AND($R332&lt;&gt;"",$H332&gt;=$R332),"🟠TRAIL決済",IF($H332&gt;=$N332,"🔴損切",IF($W332&gt;=$AX$5,"⏱時間決済",IF($H332&gt;=$F332*(1+$AX$2*0.7),"⚠️損切接近","保持継続"))))),IF($H332&gt;=$M332,"🟢利確",IF(AND($R332&lt;&gt;"",$H332&lt;=$R332),"🟠TRAIL決済",IF($H332&lt;=$N332,"🔴損切",IF($W332&gt;=$AX$5,"⏱時間決済",IF($H332&lt;=$F332*(1-$AX$2*0.7),"⚠️損切接近","保持継続")))))))</f>
      </c>
      <c r="P332" s="445"/>
      <c r="Q332" s="445"/>
      <c r="R332" s="440" t="str">
        <f>IF(OR($F332="",$H332="",$N332=""),"",IF($S332="✅売却済","",IF($C332="売",IF($H332&gt;$F332*(1-$AX$2),$N332,CEILING(MIN($N332,IF($Q332="",$N332,$Q332*1.03)),IF($N332&lt;=3000,1,IF($N332&lt;=5000,5,IF($N332&lt;=30000,10,IF($N332&lt;=50000,50,IF($N332&lt;=300000,100,500))))))),IF($H332&lt;$F332*(1+$AX$2),$N332,FLOOR(MAX($N332,IF($P332="",$N332,$P332*0.97)),IF($N332&lt;=3000,1,IF($N332&lt;=5000,5,IF($N332&lt;=30000,10,IF($N332&lt;=50000,50,IF($N332&lt;=300000,100,500))))))))))</f>
      </c>
      <c r="S332" s="440" t="str">
        <f>IF(B332="","",IF(T332&lt;&gt;"","✅売却済",IF(OR(H332="",L332=""),"📌保有中",IF(L332&gt;=0.06,"🟢利確推奨",IF(L332&gt;=0.05,"🟡利確直近",IF(L332&gt;=0.045,"🔵トレーリング検討",IF(L332&gt;-0.03,"📌保有中",IF(L332&gt;-0.04,"⚠️損切注意","🔴損切り"))))))))</f>
        <v/>
      </c>
      <c r="T332" s="597"/>
      <c r="U332" s="599"/>
      <c r="V332" s="704" t="str">
        <f>IF(OR(F332="",G332="",U332=""),"",IF(C332="売",(F332-U332)*G332,(U332-F332)*G332))</f>
        <v/>
      </c>
      <c r="W332" s="440" t="str">
        <f>IF(OR($E332="",$B332=""),"",IF($T332&lt;&gt;"",$T332-$E332,TODAY()-$E332)+1)</f>
        <v/>
      </c>
      <c r="X332" s="440" t="str">
        <f>IF(OR($AH332="",$AH332="保有中"),"",$AH332)</f>
        <v/>
      </c>
      <c r="Y332">
        <f>IF($B332="","",IF(COUNTIFS($B$4:$B332,$B332,$C$4:$C332,$C332)&gt;1,"⛔重複"&amp;COUNTIFS($B$4:$B332,$B332,$C$4:$C332,$C332)&amp;"回目",""))</f>
      </c>
      <c r="AB332">
        <f>IF($F332="","",MAX(100,ROUNDDOWN($AX$4/($F332*$AX$2)/100,0)*100))</f>
      </c>
      <c r="AC332">
        <f>IF(OR($F332="",$G332="",$U332=""),"",ROUND($V332-($F332+$U332)*$G332*$AX$6-IF($C332="売",$F332*$G332*$AX$7*$W332/365,0),0))</f>
      </c>
      <c r="AD332" s="608"/>
      <c r="AE332" s="600" t="str">
        <f>IF($E332="","",WORKDAY($E332,12))</f>
        <v/>
      </c>
      <c r="AF332" s="600"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0"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0" t="str">
        <f>IF(OR($B332="",$M332=""),"",IF(AND(N($AF332)=0,N($AG332)=0),IF(AND(ISNUMBER($H332),$H332&gt;0,IF($C332="売",$H332&gt;=$N332,$H332&lt;=$N332)),"損切確定",IF(AND(ISNUMBER($H332),$H332&gt;0,IF($C332="売",$H332&lt;=$M332,$H332&gt;=$M332)),"利益確定",IF($AE332&lt;=TODAY(),"日数制限","保有中"))),IF(N($AG332)=0,"利益確定",IF(N($AF332)=0,"損切確定",IF($AG332&lt;=$AF332,"損切確定","利益確定")))))</f>
        <v/>
      </c>
      <c r="AI332" s="600" t="str" cm="1">
        <f t="array" ref="AI332">IFERROR(INDEX(始値!$E$6:$BT$305,MATCH(TEXT($B332,"0"),TEXT(銘柄管理!$B$6:$B$305,"0"),0),MATCH($AE332,始値!$E$3:$BT$3,0)),"")</f>
        <v/>
      </c>
      <c r="AJ332" s="608" t="str">
        <f>IF(OR($V332="",$F332="",$G332=""),"",$V332/($F332*$G332))</f>
        <v/>
      </c>
      <c r="AK332" s="600" t="str">
        <f>IF($V332="","",IF($V332&gt;0,"○勝",IF($V332&lt;0,"●負","△引分")))</f>
        <v/>
      </c>
    </row>
    <row r="333" spans="1:37" ht="17.25" customHeight="1">
      <c r="A333" s="622" t="str">
        <f>IF(B333="","",HYPERLINK("https://kabutan.jp/stock/?code="&amp;B333,"株探"))</f>
        <v/>
      </c>
      <c r="D333" s="440" t="str" cm="1">
        <f t="array" ref="D333">_xll.RssMarket(B333, "銘柄名称")</f>
        <v/>
      </c>
      <c r="E333" s="717"/>
      <c r="F333" s="6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IF(OR(F333="",G333="",H333=""),"",IF(C333="売",(F333-H333)*G333,(H333-F333)*G333))</f>
        <v/>
      </c>
      <c r="L333" s="709" t="str">
        <f>IF(OR(F333="",H333=""),"",IF(C333="売",(F333-H333)/F333,(H333-F333)/F333))</f>
        <v/>
      </c>
      <c r="M333" s="599" t="str">
        <f>IF($F333="","",IF($C333="売",CEILING($F333*IF($C333="売",1-$AX$3,1+$AX$3),IF($F333*IF($C333="売",1-$AX$3,1+$AX$3)&lt;=3000,1,IF($F333*IF($C333="売",1-$AX$3,1+$AX$3)&lt;=5000,5,IF($F333*IF($C333="売",1-$AX$3,1+$AX$3)&lt;=30000,10,IF($F333*IF($C333="売",1-$AX$3,1+$AX$3)&lt;=50000,50,IF($F333*IF($C333="売",1-$AX$3,1+$AX$3)&lt;=300000,100,500)))))),FLOOR($F333*IF($C333="売",1-$AX$3,1+$AX$3),IF($F333*IF($C333="売",1-$AX$3,1+$AX$3)&lt;=3000,1,IF($F333*IF($C333="売",1-$AX$3,1+$AX$3)&lt;=5000,5,IF($F333*IF($C333="売",1-$AX$3,1+$AX$3)&lt;=30000,10,IF($F333*IF($C333="売",1-$AX$3,1+$AX$3)&lt;=50000,50,IF($F333*IF($C333="売",1-$AX$3,1+$AX$3)&lt;=300000,100,500))))))))</f>
      </c>
      <c r="N333" s="599" t="str">
        <f>IF($F333="","",IF($C333="売",CEILING($F333*IF($C333="売",1+$AX$2,1-$AX$2),IF($F333*IF($C333="売",1+$AX$2,1-$AX$2)&lt;=3000,1,IF($F333*IF($C333="売",1+$AX$2,1-$AX$2)&lt;=5000,5,IF($F333*IF($C333="売",1+$AX$2,1-$AX$2)&lt;=30000,10,IF($F333*IF($C333="売",1+$AX$2,1-$AX$2)&lt;=50000,50,IF($F333*IF($C333="売",1+$AX$2,1-$AX$2)&lt;=300000,100,500)))))),FLOOR($F333*IF($C333="売",1+$AX$2,1-$AX$2),IF($F333*IF($C333="売",1+$AX$2,1-$AX$2)&lt;=3000,1,IF($F333*IF($C333="売",1+$AX$2,1-$AX$2)&lt;=5000,5,IF($F333*IF($C333="売",1+$AX$2,1-$AX$2)&lt;=30000,10,IF($F333*IF($C333="売",1+$AX$2,1-$AX$2)&lt;=50000,50,IF($F333*IF($C333="売",1+$AX$2,1-$AX$2)&lt;=300000,100,500))))))))</f>
      </c>
      <c r="O333" s="478" t="str">
        <f>IF(OR($B333="",$F333="",$H333=""),"",IF($S333="✅売却済","―決済済―",IF($C333="売",IF($H333&lt;=$M333,"🟢利確",IF(AND($R333&lt;&gt;"",$H333&gt;=$R333),"🟠TRAIL決済",IF($H333&gt;=$N333,"🔴損切",IF($W333&gt;=$AX$5,"⏱時間決済",IF($H333&gt;=$F333*(1+$AX$2*0.7),"⚠️損切接近","保持継続"))))),IF($H333&gt;=$M333,"🟢利確",IF(AND($R333&lt;&gt;"",$H333&lt;=$R333),"🟠TRAIL決済",IF($H333&lt;=$N333,"🔴損切",IF($W333&gt;=$AX$5,"⏱時間決済",IF($H333&lt;=$F333*(1-$AX$2*0.7),"⚠️損切接近","保持継続")))))))</f>
      </c>
      <c r="P333" s="445"/>
      <c r="Q333" s="445"/>
      <c r="R333" s="440" t="str">
        <f>IF(OR($F333="",$H333="",$N333=""),"",IF($S333="✅売却済","",IF($C333="売",IF($H333&gt;$F333*(1-$AX$2),$N333,CEILING(MIN($N333,IF($Q333="",$N333,$Q333*1.03)),IF($N333&lt;=3000,1,IF($N333&lt;=5000,5,IF($N333&lt;=30000,10,IF($N333&lt;=50000,50,IF($N333&lt;=300000,100,500))))))),IF($H333&lt;$F333*(1+$AX$2),$N333,FLOOR(MAX($N333,IF($P333="",$N333,$P333*0.97)),IF($N333&lt;=3000,1,IF($N333&lt;=5000,5,IF($N333&lt;=30000,10,IF($N333&lt;=50000,50,IF($N333&lt;=300000,100,500))))))))))</f>
      </c>
      <c r="S333" s="440" t="str">
        <f>IF(B333="","",IF(T333&lt;&gt;"","✅売却済",IF(OR(H333="",L333=""),"📌保有中",IF(L333&gt;=0.06,"🟢利確推奨",IF(L333&gt;=0.05,"🟡利確直近",IF(L333&gt;=0.045,"🔵トレーリング検討",IF(L333&gt;-0.03,"📌保有中",IF(L333&gt;-0.04,"⚠️損切注意","🔴損切り"))))))))</f>
        <v/>
      </c>
      <c r="T333" s="597"/>
      <c r="U333" s="599"/>
      <c r="V333" s="704" t="str">
        <f>IF(OR(F333="",G333="",U333=""),"",IF(C333="売",(F333-U333)*G333,(U333-F333)*G333))</f>
        <v/>
      </c>
      <c r="W333" s="440" t="str">
        <f>IF(OR($E333="",$B333=""),"",IF($T333&lt;&gt;"",$T333-$E333,TODAY()-$E333)+1)</f>
        <v/>
      </c>
      <c r="X333" s="440" t="str">
        <f>IF(OR($AH333="",$AH333="保有中"),"",$AH333)</f>
        <v/>
      </c>
      <c r="Y333">
        <f>IF($B333="","",IF(COUNTIFS($B$4:$B333,$B333,$C$4:$C333,$C333)&gt;1,"⛔重複"&amp;COUNTIFS($B$4:$B333,$B333,$C$4:$C333,$C333)&amp;"回目",""))</f>
      </c>
      <c r="AB333">
        <f>IF($F333="","",MAX(100,ROUNDDOWN($AX$4/($F333*$AX$2)/100,0)*100))</f>
      </c>
      <c r="AC333">
        <f>IF(OR($F333="",$G333="",$U333=""),"",ROUND($V333-($F333+$U333)*$G333*$AX$6-IF($C333="売",$F333*$G333*$AX$7*$W333/365,0),0))</f>
      </c>
      <c r="AD333" s="608"/>
      <c r="AE333" s="600" t="str">
        <f>IF($E333="","",WORKDAY($E333,12))</f>
        <v/>
      </c>
      <c r="AF333" s="600"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0"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0" t="str">
        <f>IF(OR($B333="",$M333=""),"",IF(AND(N($AF333)=0,N($AG333)=0),IF(AND(ISNUMBER($H333),$H333&gt;0,IF($C333="売",$H333&gt;=$N333,$H333&lt;=$N333)),"損切確定",IF(AND(ISNUMBER($H333),$H333&gt;0,IF($C333="売",$H333&lt;=$M333,$H333&gt;=$M333)),"利益確定",IF($AE333&lt;=TODAY(),"日数制限","保有中"))),IF(N($AG333)=0,"利益確定",IF(N($AF333)=0,"損切確定",IF($AG333&lt;=$AF333,"損切確定","利益確定")))))</f>
        <v/>
      </c>
      <c r="AI333" s="600" t="str" cm="1">
        <f t="array" ref="AI333">IFERROR(INDEX(始値!$E$6:$BT$305,MATCH(TEXT($B333,"0"),TEXT(銘柄管理!$B$6:$B$305,"0"),0),MATCH($AE333,始値!$E$3:$BT$3,0)),"")</f>
        <v/>
      </c>
      <c r="AJ333" s="608" t="str">
        <f>IF(OR($V333="",$F333="",$G333=""),"",$V333/($F333*$G333))</f>
        <v/>
      </c>
      <c r="AK333" s="600" t="str">
        <f>IF($V333="","",IF($V333&gt;0,"○勝",IF($V333&lt;0,"●負","△引分")))</f>
        <v/>
      </c>
    </row>
    <row r="334" spans="1:37" ht="17.25" customHeight="1">
      <c r="A334" s="622" t="str">
        <f>IF(B334="","",HYPERLINK("https://kabutan.jp/stock/?code="&amp;B334,"株探"))</f>
        <v/>
      </c>
      <c r="D334" s="440" t="str" cm="1">
        <f t="array" ref="D334">_xll.RssMarket(B334, "銘柄名称")</f>
        <v/>
      </c>
      <c r="E334" s="717"/>
      <c r="F334" s="6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IF(OR(F334="",G334="",H334=""),"",IF(C334="売",(F334-H334)*G334,(H334-F334)*G334))</f>
        <v/>
      </c>
      <c r="L334" s="709" t="str">
        <f>IF(OR(F334="",H334=""),"",IF(C334="売",(F334-H334)/F334,(H334-F334)/F334))</f>
        <v/>
      </c>
      <c r="M334" s="599" t="str">
        <f>IF($F334="","",IF($C334="売",CEILING($F334*IF($C334="売",1-$AX$3,1+$AX$3),IF($F334*IF($C334="売",1-$AX$3,1+$AX$3)&lt;=3000,1,IF($F334*IF($C334="売",1-$AX$3,1+$AX$3)&lt;=5000,5,IF($F334*IF($C334="売",1-$AX$3,1+$AX$3)&lt;=30000,10,IF($F334*IF($C334="売",1-$AX$3,1+$AX$3)&lt;=50000,50,IF($F334*IF($C334="売",1-$AX$3,1+$AX$3)&lt;=300000,100,500)))))),FLOOR($F334*IF($C334="売",1-$AX$3,1+$AX$3),IF($F334*IF($C334="売",1-$AX$3,1+$AX$3)&lt;=3000,1,IF($F334*IF($C334="売",1-$AX$3,1+$AX$3)&lt;=5000,5,IF($F334*IF($C334="売",1-$AX$3,1+$AX$3)&lt;=30000,10,IF($F334*IF($C334="売",1-$AX$3,1+$AX$3)&lt;=50000,50,IF($F334*IF($C334="売",1-$AX$3,1+$AX$3)&lt;=300000,100,500))))))))</f>
      </c>
      <c r="N334" s="599" t="str">
        <f>IF($F334="","",IF($C334="売",CEILING($F334*IF($C334="売",1+$AX$2,1-$AX$2),IF($F334*IF($C334="売",1+$AX$2,1-$AX$2)&lt;=3000,1,IF($F334*IF($C334="売",1+$AX$2,1-$AX$2)&lt;=5000,5,IF($F334*IF($C334="売",1+$AX$2,1-$AX$2)&lt;=30000,10,IF($F334*IF($C334="売",1+$AX$2,1-$AX$2)&lt;=50000,50,IF($F334*IF($C334="売",1+$AX$2,1-$AX$2)&lt;=300000,100,500)))))),FLOOR($F334*IF($C334="売",1+$AX$2,1-$AX$2),IF($F334*IF($C334="売",1+$AX$2,1-$AX$2)&lt;=3000,1,IF($F334*IF($C334="売",1+$AX$2,1-$AX$2)&lt;=5000,5,IF($F334*IF($C334="売",1+$AX$2,1-$AX$2)&lt;=30000,10,IF($F334*IF($C334="売",1+$AX$2,1-$AX$2)&lt;=50000,50,IF($F334*IF($C334="売",1+$AX$2,1-$AX$2)&lt;=300000,100,500))))))))</f>
      </c>
      <c r="O334" s="478" t="str">
        <f>IF(OR($B334="",$F334="",$H334=""),"",IF($S334="✅売却済","―決済済―",IF($C334="売",IF($H334&lt;=$M334,"🟢利確",IF(AND($R334&lt;&gt;"",$H334&gt;=$R334),"🟠TRAIL決済",IF($H334&gt;=$N334,"🔴損切",IF($W334&gt;=$AX$5,"⏱時間決済",IF($H334&gt;=$F334*(1+$AX$2*0.7),"⚠️損切接近","保持継続"))))),IF($H334&gt;=$M334,"🟢利確",IF(AND($R334&lt;&gt;"",$H334&lt;=$R334),"🟠TRAIL決済",IF($H334&lt;=$N334,"🔴損切",IF($W334&gt;=$AX$5,"⏱時間決済",IF($H334&lt;=$F334*(1-$AX$2*0.7),"⚠️損切接近","保持継続")))))))</f>
      </c>
      <c r="P334" s="445"/>
      <c r="Q334" s="445"/>
      <c r="R334" s="440" t="str">
        <f>IF(OR($F334="",$H334="",$N334=""),"",IF($S334="✅売却済","",IF($C334="売",IF($H334&gt;$F334*(1-$AX$2),$N334,CEILING(MIN($N334,IF($Q334="",$N334,$Q334*1.03)),IF($N334&lt;=3000,1,IF($N334&lt;=5000,5,IF($N334&lt;=30000,10,IF($N334&lt;=50000,50,IF($N334&lt;=300000,100,500))))))),IF($H334&lt;$F334*(1+$AX$2),$N334,FLOOR(MAX($N334,IF($P334="",$N334,$P334*0.97)),IF($N334&lt;=3000,1,IF($N334&lt;=5000,5,IF($N334&lt;=30000,10,IF($N334&lt;=50000,50,IF($N334&lt;=300000,100,500))))))))))</f>
      </c>
      <c r="S334" s="440" t="str">
        <f>IF(B334="","",IF(T334&lt;&gt;"","✅売却済",IF(OR(H334="",L334=""),"📌保有中",IF(L334&gt;=0.06,"🟢利確推奨",IF(L334&gt;=0.05,"🟡利確直近",IF(L334&gt;=0.045,"🔵トレーリング検討",IF(L334&gt;-0.03,"📌保有中",IF(L334&gt;-0.04,"⚠️損切注意","🔴損切り"))))))))</f>
        <v/>
      </c>
      <c r="T334" s="597"/>
      <c r="U334" s="599"/>
      <c r="V334" s="704" t="str">
        <f>IF(OR(F334="",G334="",U334=""),"",IF(C334="売",(F334-U334)*G334,(U334-F334)*G334))</f>
        <v/>
      </c>
      <c r="W334" s="440" t="str">
        <f>IF(OR($E334="",$B334=""),"",IF($T334&lt;&gt;"",$T334-$E334,TODAY()-$E334)+1)</f>
        <v/>
      </c>
      <c r="X334" s="440" t="str">
        <f>IF(OR($AH334="",$AH334="保有中"),"",$AH334)</f>
        <v/>
      </c>
      <c r="Y334">
        <f>IF($B334="","",IF(COUNTIFS($B$4:$B334,$B334,$C$4:$C334,$C334)&gt;1,"⛔重複"&amp;COUNTIFS($B$4:$B334,$B334,$C$4:$C334,$C334)&amp;"回目",""))</f>
      </c>
      <c r="AB334">
        <f>IF($F334="","",MAX(100,ROUNDDOWN($AX$4/($F334*$AX$2)/100,0)*100))</f>
      </c>
      <c r="AC334">
        <f>IF(OR($F334="",$G334="",$U334=""),"",ROUND($V334-($F334+$U334)*$G334*$AX$6-IF($C334="売",$F334*$G334*$AX$7*$W334/365,0),0))</f>
      </c>
      <c r="AD334" s="608"/>
      <c r="AE334" s="600" t="str">
        <f>IF($E334="","",WORKDAY($E334,12))</f>
        <v/>
      </c>
      <c r="AF334" s="600"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0"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0" t="str">
        <f>IF(OR($B334="",$M334=""),"",IF(AND(N($AF334)=0,N($AG334)=0),IF(AND(ISNUMBER($H334),$H334&gt;0,IF($C334="売",$H334&gt;=$N334,$H334&lt;=$N334)),"損切確定",IF(AND(ISNUMBER($H334),$H334&gt;0,IF($C334="売",$H334&lt;=$M334,$H334&gt;=$M334)),"利益確定",IF($AE334&lt;=TODAY(),"日数制限","保有中"))),IF(N($AG334)=0,"利益確定",IF(N($AF334)=0,"損切確定",IF($AG334&lt;=$AF334,"損切確定","利益確定")))))</f>
        <v/>
      </c>
      <c r="AI334" s="600" t="str" cm="1">
        <f t="array" ref="AI334">IFERROR(INDEX(始値!$E$6:$BT$305,MATCH(TEXT($B334,"0"),TEXT(銘柄管理!$B$6:$B$305,"0"),0),MATCH($AE334,始値!$E$3:$BT$3,0)),"")</f>
        <v/>
      </c>
      <c r="AJ334" s="608" t="str">
        <f>IF(OR($V334="",$F334="",$G334=""),"",$V334/($F334*$G334))</f>
        <v/>
      </c>
      <c r="AK334" s="600" t="str">
        <f>IF($V334="","",IF($V334&gt;0,"○勝",IF($V334&lt;0,"●負","△引分")))</f>
        <v/>
      </c>
    </row>
    <row r="335" spans="1:37" ht="17.25" customHeight="1">
      <c r="A335" s="622" t="str">
        <f>IF(B335="","",HYPERLINK("https://kabutan.jp/stock/?code="&amp;B335,"株探"))</f>
        <v/>
      </c>
      <c r="D335" s="440" t="str" cm="1">
        <f t="array" ref="D335">_xll.RssMarket(B335, "銘柄名称")</f>
        <v/>
      </c>
      <c r="E335" s="717"/>
      <c r="F335" s="6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IF(OR(F335="",G335="",H335=""),"",IF(C335="売",(F335-H335)*G335,(H335-F335)*G335))</f>
        <v/>
      </c>
      <c r="L335" s="709" t="str">
        <f>IF(OR(F335="",H335=""),"",IF(C335="売",(F335-H335)/F335,(H335-F335)/F335))</f>
        <v/>
      </c>
      <c r="M335" s="599" t="str">
        <f>IF($F335="","",IF($C335="売",CEILING($F335*IF($C335="売",1-$AX$3,1+$AX$3),IF($F335*IF($C335="売",1-$AX$3,1+$AX$3)&lt;=3000,1,IF($F335*IF($C335="売",1-$AX$3,1+$AX$3)&lt;=5000,5,IF($F335*IF($C335="売",1-$AX$3,1+$AX$3)&lt;=30000,10,IF($F335*IF($C335="売",1-$AX$3,1+$AX$3)&lt;=50000,50,IF($F335*IF($C335="売",1-$AX$3,1+$AX$3)&lt;=300000,100,500)))))),FLOOR($F335*IF($C335="売",1-$AX$3,1+$AX$3),IF($F335*IF($C335="売",1-$AX$3,1+$AX$3)&lt;=3000,1,IF($F335*IF($C335="売",1-$AX$3,1+$AX$3)&lt;=5000,5,IF($F335*IF($C335="売",1-$AX$3,1+$AX$3)&lt;=30000,10,IF($F335*IF($C335="売",1-$AX$3,1+$AX$3)&lt;=50000,50,IF($F335*IF($C335="売",1-$AX$3,1+$AX$3)&lt;=300000,100,500))))))))</f>
      </c>
      <c r="N335" s="599" t="str">
        <f>IF($F335="","",IF($C335="売",CEILING($F335*IF($C335="売",1+$AX$2,1-$AX$2),IF($F335*IF($C335="売",1+$AX$2,1-$AX$2)&lt;=3000,1,IF($F335*IF($C335="売",1+$AX$2,1-$AX$2)&lt;=5000,5,IF($F335*IF($C335="売",1+$AX$2,1-$AX$2)&lt;=30000,10,IF($F335*IF($C335="売",1+$AX$2,1-$AX$2)&lt;=50000,50,IF($F335*IF($C335="売",1+$AX$2,1-$AX$2)&lt;=300000,100,500)))))),FLOOR($F335*IF($C335="売",1+$AX$2,1-$AX$2),IF($F335*IF($C335="売",1+$AX$2,1-$AX$2)&lt;=3000,1,IF($F335*IF($C335="売",1+$AX$2,1-$AX$2)&lt;=5000,5,IF($F335*IF($C335="売",1+$AX$2,1-$AX$2)&lt;=30000,10,IF($F335*IF($C335="売",1+$AX$2,1-$AX$2)&lt;=50000,50,IF($F335*IF($C335="売",1+$AX$2,1-$AX$2)&lt;=300000,100,500))))))))</f>
      </c>
      <c r="O335" s="478" t="str">
        <f>IF(OR($B335="",$F335="",$H335=""),"",IF($S335="✅売却済","―決済済―",IF($C335="売",IF($H335&lt;=$M335,"🟢利確",IF(AND($R335&lt;&gt;"",$H335&gt;=$R335),"🟠TRAIL決済",IF($H335&gt;=$N335,"🔴損切",IF($W335&gt;=$AX$5,"⏱時間決済",IF($H335&gt;=$F335*(1+$AX$2*0.7),"⚠️損切接近","保持継続"))))),IF($H335&gt;=$M335,"🟢利確",IF(AND($R335&lt;&gt;"",$H335&lt;=$R335),"🟠TRAIL決済",IF($H335&lt;=$N335,"🔴損切",IF($W335&gt;=$AX$5,"⏱時間決済",IF($H335&lt;=$F335*(1-$AX$2*0.7),"⚠️損切接近","保持継続")))))))</f>
      </c>
      <c r="P335" s="445"/>
      <c r="Q335" s="445"/>
      <c r="R335" s="440" t="str">
        <f>IF(OR($F335="",$H335="",$N335=""),"",IF($S335="✅売却済","",IF($C335="売",IF($H335&gt;$F335*(1-$AX$2),$N335,CEILING(MIN($N335,IF($Q335="",$N335,$Q335*1.03)),IF($N335&lt;=3000,1,IF($N335&lt;=5000,5,IF($N335&lt;=30000,10,IF($N335&lt;=50000,50,IF($N335&lt;=300000,100,500))))))),IF($H335&lt;$F335*(1+$AX$2),$N335,FLOOR(MAX($N335,IF($P335="",$N335,$P335*0.97)),IF($N335&lt;=3000,1,IF($N335&lt;=5000,5,IF($N335&lt;=30000,10,IF($N335&lt;=50000,50,IF($N335&lt;=300000,100,500))))))))))</f>
      </c>
      <c r="S335" s="440" t="str">
        <f>IF(B335="","",IF(T335&lt;&gt;"","✅売却済",IF(OR(H335="",L335=""),"📌保有中",IF(L335&gt;=0.06,"🟢利確推奨",IF(L335&gt;=0.05,"🟡利確直近",IF(L335&gt;=0.045,"🔵トレーリング検討",IF(L335&gt;-0.03,"📌保有中",IF(L335&gt;-0.04,"⚠️損切注意","🔴損切り"))))))))</f>
        <v/>
      </c>
      <c r="T335" s="597"/>
      <c r="U335" s="599"/>
      <c r="V335" s="704" t="str">
        <f>IF(OR(F335="",G335="",U335=""),"",IF(C335="売",(F335-U335)*G335,(U335-F335)*G335))</f>
        <v/>
      </c>
      <c r="W335" s="440" t="str">
        <f>IF(OR($E335="",$B335=""),"",IF($T335&lt;&gt;"",$T335-$E335,TODAY()-$E335)+1)</f>
        <v/>
      </c>
      <c r="X335" s="440" t="str">
        <f>IF(OR($AH335="",$AH335="保有中"),"",$AH335)</f>
        <v/>
      </c>
      <c r="Y335">
        <f>IF($B335="","",IF(COUNTIFS($B$4:$B335,$B335,$C$4:$C335,$C335)&gt;1,"⛔重複"&amp;COUNTIFS($B$4:$B335,$B335,$C$4:$C335,$C335)&amp;"回目",""))</f>
      </c>
      <c r="AB335">
        <f>IF($F335="","",MAX(100,ROUNDDOWN($AX$4/($F335*$AX$2)/100,0)*100))</f>
      </c>
      <c r="AC335">
        <f>IF(OR($F335="",$G335="",$U335=""),"",ROUND($V335-($F335+$U335)*$G335*$AX$6-IF($C335="売",$F335*$G335*$AX$7*$W335/365,0),0))</f>
      </c>
      <c r="AD335" s="608"/>
      <c r="AE335" s="600" t="str">
        <f>IF($E335="","",WORKDAY($E335,12))</f>
        <v/>
      </c>
      <c r="AF335" s="600"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0"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0" t="str">
        <f>IF(OR($B335="",$M335=""),"",IF(AND(N($AF335)=0,N($AG335)=0),IF(AND(ISNUMBER($H335),$H335&gt;0,IF($C335="売",$H335&gt;=$N335,$H335&lt;=$N335)),"損切確定",IF(AND(ISNUMBER($H335),$H335&gt;0,IF($C335="売",$H335&lt;=$M335,$H335&gt;=$M335)),"利益確定",IF($AE335&lt;=TODAY(),"日数制限","保有中"))),IF(N($AG335)=0,"利益確定",IF(N($AF335)=0,"損切確定",IF($AG335&lt;=$AF335,"損切確定","利益確定")))))</f>
        <v/>
      </c>
      <c r="AI335" s="600" t="str" cm="1">
        <f t="array" ref="AI335">IFERROR(INDEX(始値!$E$6:$BT$305,MATCH(TEXT($B335,"0"),TEXT(銘柄管理!$B$6:$B$305,"0"),0),MATCH($AE335,始値!$E$3:$BT$3,0)),"")</f>
        <v/>
      </c>
      <c r="AJ335" s="608" t="str">
        <f>IF(OR($V335="",$F335="",$G335=""),"",$V335/($F335*$G335))</f>
        <v/>
      </c>
      <c r="AK335" s="600" t="str">
        <f>IF($V335="","",IF($V335&gt;0,"○勝",IF($V335&lt;0,"●負","△引分")))</f>
        <v/>
      </c>
    </row>
    <row r="336" spans="1:37" ht="17.25" customHeight="1">
      <c r="A336" s="622" t="str">
        <f>IF(B336="","",HYPERLINK("https://kabutan.jp/stock/?code="&amp;B336,"株探"))</f>
        <v/>
      </c>
      <c r="D336" s="440" t="str" cm="1">
        <f t="array" ref="D336">_xll.RssMarket(B336, "銘柄名称")</f>
        <v/>
      </c>
      <c r="E336" s="717"/>
      <c r="F336" s="6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IF(OR(F336="",G336="",H336=""),"",IF(C336="売",(F336-H336)*G336,(H336-F336)*G336))</f>
        <v/>
      </c>
      <c r="L336" s="709" t="str">
        <f>IF(OR(F336="",H336=""),"",IF(C336="売",(F336-H336)/F336,(H336-F336)/F336))</f>
        <v/>
      </c>
      <c r="M336" s="599" t="str">
        <f>IF($F336="","",IF($C336="売",CEILING($F336*IF($C336="売",1-$AX$3,1+$AX$3),IF($F336*IF($C336="売",1-$AX$3,1+$AX$3)&lt;=3000,1,IF($F336*IF($C336="売",1-$AX$3,1+$AX$3)&lt;=5000,5,IF($F336*IF($C336="売",1-$AX$3,1+$AX$3)&lt;=30000,10,IF($F336*IF($C336="売",1-$AX$3,1+$AX$3)&lt;=50000,50,IF($F336*IF($C336="売",1-$AX$3,1+$AX$3)&lt;=300000,100,500)))))),FLOOR($F336*IF($C336="売",1-$AX$3,1+$AX$3),IF($F336*IF($C336="売",1-$AX$3,1+$AX$3)&lt;=3000,1,IF($F336*IF($C336="売",1-$AX$3,1+$AX$3)&lt;=5000,5,IF($F336*IF($C336="売",1-$AX$3,1+$AX$3)&lt;=30000,10,IF($F336*IF($C336="売",1-$AX$3,1+$AX$3)&lt;=50000,50,IF($F336*IF($C336="売",1-$AX$3,1+$AX$3)&lt;=300000,100,500))))))))</f>
      </c>
      <c r="N336" s="599" t="str">
        <f>IF($F336="","",IF($C336="売",CEILING($F336*IF($C336="売",1+$AX$2,1-$AX$2),IF($F336*IF($C336="売",1+$AX$2,1-$AX$2)&lt;=3000,1,IF($F336*IF($C336="売",1+$AX$2,1-$AX$2)&lt;=5000,5,IF($F336*IF($C336="売",1+$AX$2,1-$AX$2)&lt;=30000,10,IF($F336*IF($C336="売",1+$AX$2,1-$AX$2)&lt;=50000,50,IF($F336*IF($C336="売",1+$AX$2,1-$AX$2)&lt;=300000,100,500)))))),FLOOR($F336*IF($C336="売",1+$AX$2,1-$AX$2),IF($F336*IF($C336="売",1+$AX$2,1-$AX$2)&lt;=3000,1,IF($F336*IF($C336="売",1+$AX$2,1-$AX$2)&lt;=5000,5,IF($F336*IF($C336="売",1+$AX$2,1-$AX$2)&lt;=30000,10,IF($F336*IF($C336="売",1+$AX$2,1-$AX$2)&lt;=50000,50,IF($F336*IF($C336="売",1+$AX$2,1-$AX$2)&lt;=300000,100,500))))))))</f>
      </c>
      <c r="O336" s="478" t="str">
        <f>IF(OR($B336="",$F336="",$H336=""),"",IF($S336="✅売却済","―決済済―",IF($C336="売",IF($H336&lt;=$M336,"🟢利確",IF(AND($R336&lt;&gt;"",$H336&gt;=$R336),"🟠TRAIL決済",IF($H336&gt;=$N336,"🔴損切",IF($W336&gt;=$AX$5,"⏱時間決済",IF($H336&gt;=$F336*(1+$AX$2*0.7),"⚠️損切接近","保持継続"))))),IF($H336&gt;=$M336,"🟢利確",IF(AND($R336&lt;&gt;"",$H336&lt;=$R336),"🟠TRAIL決済",IF($H336&lt;=$N336,"🔴損切",IF($W336&gt;=$AX$5,"⏱時間決済",IF($H336&lt;=$F336*(1-$AX$2*0.7),"⚠️損切接近","保持継続")))))))</f>
      </c>
      <c r="P336" s="445"/>
      <c r="Q336" s="445"/>
      <c r="R336" s="440" t="str">
        <f>IF(OR($F336="",$H336="",$N336=""),"",IF($S336="✅売却済","",IF($C336="売",IF($H336&gt;$F336*(1-$AX$2),$N336,CEILING(MIN($N336,IF($Q336="",$N336,$Q336*1.03)),IF($N336&lt;=3000,1,IF($N336&lt;=5000,5,IF($N336&lt;=30000,10,IF($N336&lt;=50000,50,IF($N336&lt;=300000,100,500))))))),IF($H336&lt;$F336*(1+$AX$2),$N336,FLOOR(MAX($N336,IF($P336="",$N336,$P336*0.97)),IF($N336&lt;=3000,1,IF($N336&lt;=5000,5,IF($N336&lt;=30000,10,IF($N336&lt;=50000,50,IF($N336&lt;=300000,100,500))))))))))</f>
      </c>
      <c r="S336" s="440" t="str">
        <f>IF(B336="","",IF(T336&lt;&gt;"","✅売却済",IF(OR(H336="",L336=""),"📌保有中",IF(L336&gt;=0.06,"🟢利確推奨",IF(L336&gt;=0.05,"🟡利確直近",IF(L336&gt;=0.045,"🔵トレーリング検討",IF(L336&gt;-0.03,"📌保有中",IF(L336&gt;-0.04,"⚠️損切注意","🔴損切り"))))))))</f>
        <v/>
      </c>
      <c r="T336" s="597"/>
      <c r="U336" s="599"/>
      <c r="V336" s="704" t="str">
        <f>IF(OR(F336="",G336="",U336=""),"",IF(C336="売",(F336-U336)*G336,(U336-F336)*G336))</f>
        <v/>
      </c>
      <c r="W336" s="440" t="str">
        <f>IF(OR($E336="",$B336=""),"",IF($T336&lt;&gt;"",$T336-$E336,TODAY()-$E336)+1)</f>
        <v/>
      </c>
      <c r="X336" s="440" t="str">
        <f>IF(OR($AH336="",$AH336="保有中"),"",$AH336)</f>
        <v/>
      </c>
      <c r="Y336">
        <f>IF($B336="","",IF(COUNTIFS($B$4:$B336,$B336,$C$4:$C336,$C336)&gt;1,"⛔重複"&amp;COUNTIFS($B$4:$B336,$B336,$C$4:$C336,$C336)&amp;"回目",""))</f>
      </c>
      <c r="AB336">
        <f>IF($F336="","",MAX(100,ROUNDDOWN($AX$4/($F336*$AX$2)/100,0)*100))</f>
      </c>
      <c r="AC336">
        <f>IF(OR($F336="",$G336="",$U336=""),"",ROUND($V336-($F336+$U336)*$G336*$AX$6-IF($C336="売",$F336*$G336*$AX$7*$W336/365,0),0))</f>
      </c>
      <c r="AD336" s="608"/>
      <c r="AE336" s="600" t="str">
        <f>IF($E336="","",WORKDAY($E336,12))</f>
        <v/>
      </c>
      <c r="AF336" s="600"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0"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0" t="str">
        <f>IF(OR($B336="",$M336=""),"",IF(AND(N($AF336)=0,N($AG336)=0),IF(AND(ISNUMBER($H336),$H336&gt;0,IF($C336="売",$H336&gt;=$N336,$H336&lt;=$N336)),"損切確定",IF(AND(ISNUMBER($H336),$H336&gt;0,IF($C336="売",$H336&lt;=$M336,$H336&gt;=$M336)),"利益確定",IF($AE336&lt;=TODAY(),"日数制限","保有中"))),IF(N($AG336)=0,"利益確定",IF(N($AF336)=0,"損切確定",IF($AG336&lt;=$AF336,"損切確定","利益確定")))))</f>
        <v/>
      </c>
      <c r="AI336" s="600" t="str" cm="1">
        <f t="array" ref="AI336">IFERROR(INDEX(始値!$E$6:$BT$305,MATCH(TEXT($B336,"0"),TEXT(銘柄管理!$B$6:$B$305,"0"),0),MATCH($AE336,始値!$E$3:$BT$3,0)),"")</f>
        <v/>
      </c>
      <c r="AJ336" s="608" t="str">
        <f>IF(OR($V336="",$F336="",$G336=""),"",$V336/($F336*$G336))</f>
        <v/>
      </c>
      <c r="AK336" s="600" t="str">
        <f>IF($V336="","",IF($V336&gt;0,"○勝",IF($V336&lt;0,"●負","△引分")))</f>
        <v/>
      </c>
    </row>
    <row r="337" spans="1:37" ht="17.25" customHeight="1">
      <c r="A337" s="622" t="str">
        <f>IF(B337="","",HYPERLINK("https://kabutan.jp/stock/?code="&amp;B337,"株探"))</f>
        <v/>
      </c>
      <c r="D337" s="440" t="str" cm="1">
        <f t="array" ref="D337">_xll.RssMarket(B337, "銘柄名称")</f>
        <v/>
      </c>
      <c r="E337" s="717"/>
      <c r="F337" s="6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IF(OR(F337="",G337="",H337=""),"",IF(C337="売",(F337-H337)*G337,(H337-F337)*G337))</f>
        <v/>
      </c>
      <c r="L337" s="709" t="str">
        <f>IF(OR(F337="",H337=""),"",IF(C337="売",(F337-H337)/F337,(H337-F337)/F337))</f>
        <v/>
      </c>
      <c r="M337" s="599" t="str">
        <f>IF($F337="","",IF($C337="売",CEILING($F337*IF($C337="売",1-$AX$3,1+$AX$3),IF($F337*IF($C337="売",1-$AX$3,1+$AX$3)&lt;=3000,1,IF($F337*IF($C337="売",1-$AX$3,1+$AX$3)&lt;=5000,5,IF($F337*IF($C337="売",1-$AX$3,1+$AX$3)&lt;=30000,10,IF($F337*IF($C337="売",1-$AX$3,1+$AX$3)&lt;=50000,50,IF($F337*IF($C337="売",1-$AX$3,1+$AX$3)&lt;=300000,100,500)))))),FLOOR($F337*IF($C337="売",1-$AX$3,1+$AX$3),IF($F337*IF($C337="売",1-$AX$3,1+$AX$3)&lt;=3000,1,IF($F337*IF($C337="売",1-$AX$3,1+$AX$3)&lt;=5000,5,IF($F337*IF($C337="売",1-$AX$3,1+$AX$3)&lt;=30000,10,IF($F337*IF($C337="売",1-$AX$3,1+$AX$3)&lt;=50000,50,IF($F337*IF($C337="売",1-$AX$3,1+$AX$3)&lt;=300000,100,500))))))))</f>
      </c>
      <c r="N337" s="599" t="str">
        <f>IF($F337="","",IF($C337="売",CEILING($F337*IF($C337="売",1+$AX$2,1-$AX$2),IF($F337*IF($C337="売",1+$AX$2,1-$AX$2)&lt;=3000,1,IF($F337*IF($C337="売",1+$AX$2,1-$AX$2)&lt;=5000,5,IF($F337*IF($C337="売",1+$AX$2,1-$AX$2)&lt;=30000,10,IF($F337*IF($C337="売",1+$AX$2,1-$AX$2)&lt;=50000,50,IF($F337*IF($C337="売",1+$AX$2,1-$AX$2)&lt;=300000,100,500)))))),FLOOR($F337*IF($C337="売",1+$AX$2,1-$AX$2),IF($F337*IF($C337="売",1+$AX$2,1-$AX$2)&lt;=3000,1,IF($F337*IF($C337="売",1+$AX$2,1-$AX$2)&lt;=5000,5,IF($F337*IF($C337="売",1+$AX$2,1-$AX$2)&lt;=30000,10,IF($F337*IF($C337="売",1+$AX$2,1-$AX$2)&lt;=50000,50,IF($F337*IF($C337="売",1+$AX$2,1-$AX$2)&lt;=300000,100,500))))))))</f>
      </c>
      <c r="O337" s="478" t="str">
        <f>IF(OR($B337="",$F337="",$H337=""),"",IF($S337="✅売却済","―決済済―",IF($C337="売",IF($H337&lt;=$M337,"🟢利確",IF(AND($R337&lt;&gt;"",$H337&gt;=$R337),"🟠TRAIL決済",IF($H337&gt;=$N337,"🔴損切",IF($W337&gt;=$AX$5,"⏱時間決済",IF($H337&gt;=$F337*(1+$AX$2*0.7),"⚠️損切接近","保持継続"))))),IF($H337&gt;=$M337,"🟢利確",IF(AND($R337&lt;&gt;"",$H337&lt;=$R337),"🟠TRAIL決済",IF($H337&lt;=$N337,"🔴損切",IF($W337&gt;=$AX$5,"⏱時間決済",IF($H337&lt;=$F337*(1-$AX$2*0.7),"⚠️損切接近","保持継続")))))))</f>
      </c>
      <c r="P337" s="445"/>
      <c r="Q337" s="445"/>
      <c r="R337" s="440" t="str">
        <f>IF(OR($F337="",$H337="",$N337=""),"",IF($S337="✅売却済","",IF($C337="売",IF($H337&gt;$F337*(1-$AX$2),$N337,CEILING(MIN($N337,IF($Q337="",$N337,$Q337*1.03)),IF($N337&lt;=3000,1,IF($N337&lt;=5000,5,IF($N337&lt;=30000,10,IF($N337&lt;=50000,50,IF($N337&lt;=300000,100,500))))))),IF($H337&lt;$F337*(1+$AX$2),$N337,FLOOR(MAX($N337,IF($P337="",$N337,$P337*0.97)),IF($N337&lt;=3000,1,IF($N337&lt;=5000,5,IF($N337&lt;=30000,10,IF($N337&lt;=50000,50,IF($N337&lt;=300000,100,500))))))))))</f>
      </c>
      <c r="S337" s="440" t="str">
        <f>IF(B337="","",IF(T337&lt;&gt;"","✅売却済",IF(OR(H337="",L337=""),"📌保有中",IF(L337&gt;=0.06,"🟢利確推奨",IF(L337&gt;=0.05,"🟡利確直近",IF(L337&gt;=0.045,"🔵トレーリング検討",IF(L337&gt;-0.03,"📌保有中",IF(L337&gt;-0.04,"⚠️損切注意","🔴損切り"))))))))</f>
        <v/>
      </c>
      <c r="T337" s="597"/>
      <c r="U337" s="599"/>
      <c r="V337" s="704" t="str">
        <f>IF(OR(F337="",G337="",U337=""),"",IF(C337="売",(F337-U337)*G337,(U337-F337)*G337))</f>
        <v/>
      </c>
      <c r="W337" s="440" t="str">
        <f>IF(OR($E337="",$B337=""),"",IF($T337&lt;&gt;"",$T337-$E337,TODAY()-$E337)+1)</f>
        <v/>
      </c>
      <c r="X337" s="440" t="str">
        <f>IF(OR($AH337="",$AH337="保有中"),"",$AH337)</f>
        <v/>
      </c>
      <c r="Y337">
        <f>IF($B337="","",IF(COUNTIFS($B$4:$B337,$B337,$C$4:$C337,$C337)&gt;1,"⛔重複"&amp;COUNTIFS($B$4:$B337,$B337,$C$4:$C337,$C337)&amp;"回目",""))</f>
      </c>
      <c r="AB337">
        <f>IF($F337="","",MAX(100,ROUNDDOWN($AX$4/($F337*$AX$2)/100,0)*100))</f>
      </c>
      <c r="AC337">
        <f>IF(OR($F337="",$G337="",$U337=""),"",ROUND($V337-($F337+$U337)*$G337*$AX$6-IF($C337="売",$F337*$G337*$AX$7*$W337/365,0),0))</f>
      </c>
      <c r="AD337" s="608"/>
      <c r="AE337" s="600" t="str">
        <f>IF($E337="","",WORKDAY($E337,12))</f>
        <v/>
      </c>
      <c r="AF337" s="600"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0"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0" t="str">
        <f>IF(OR($B337="",$M337=""),"",IF(AND(N($AF337)=0,N($AG337)=0),IF(AND(ISNUMBER($H337),$H337&gt;0,IF($C337="売",$H337&gt;=$N337,$H337&lt;=$N337)),"損切確定",IF(AND(ISNUMBER($H337),$H337&gt;0,IF($C337="売",$H337&lt;=$M337,$H337&gt;=$M337)),"利益確定",IF($AE337&lt;=TODAY(),"日数制限","保有中"))),IF(N($AG337)=0,"利益確定",IF(N($AF337)=0,"損切確定",IF($AG337&lt;=$AF337,"損切確定","利益確定")))))</f>
        <v/>
      </c>
      <c r="AI337" s="600" t="str" cm="1">
        <f t="array" ref="AI337">IFERROR(INDEX(始値!$E$6:$BT$305,MATCH(TEXT($B337,"0"),TEXT(銘柄管理!$B$6:$B$305,"0"),0),MATCH($AE337,始値!$E$3:$BT$3,0)),"")</f>
        <v/>
      </c>
      <c r="AJ337" s="608" t="str">
        <f>IF(OR($V337="",$F337="",$G337=""),"",$V337/($F337*$G337))</f>
        <v/>
      </c>
      <c r="AK337" s="600" t="str">
        <f>IF($V337="","",IF($V337&gt;0,"○勝",IF($V337&lt;0,"●負","△引分")))</f>
        <v/>
      </c>
    </row>
    <row r="338" spans="1:37" ht="17.25" customHeight="1">
      <c r="A338" s="622" t="str">
        <f>IF(B338="","",HYPERLINK("https://kabutan.jp/stock/?code="&amp;B338,"株探"))</f>
        <v/>
      </c>
      <c r="D338" s="440" t="str" cm="1">
        <f t="array" ref="D338">_xll.RssMarket(B338, "銘柄名称")</f>
        <v/>
      </c>
      <c r="E338" s="717"/>
      <c r="F338" s="6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IF(OR(F338="",G338="",H338=""),"",IF(C338="売",(F338-H338)*G338,(H338-F338)*G338))</f>
        <v/>
      </c>
      <c r="L338" s="709" t="str">
        <f>IF(OR(F338="",H338=""),"",IF(C338="売",(F338-H338)/F338,(H338-F338)/F338))</f>
        <v/>
      </c>
      <c r="M338" s="599" t="str">
        <f>IF($F338="","",IF($C338="売",CEILING($F338*IF($C338="売",1-$AX$3,1+$AX$3),IF($F338*IF($C338="売",1-$AX$3,1+$AX$3)&lt;=3000,1,IF($F338*IF($C338="売",1-$AX$3,1+$AX$3)&lt;=5000,5,IF($F338*IF($C338="売",1-$AX$3,1+$AX$3)&lt;=30000,10,IF($F338*IF($C338="売",1-$AX$3,1+$AX$3)&lt;=50000,50,IF($F338*IF($C338="売",1-$AX$3,1+$AX$3)&lt;=300000,100,500)))))),FLOOR($F338*IF($C338="売",1-$AX$3,1+$AX$3),IF($F338*IF($C338="売",1-$AX$3,1+$AX$3)&lt;=3000,1,IF($F338*IF($C338="売",1-$AX$3,1+$AX$3)&lt;=5000,5,IF($F338*IF($C338="売",1-$AX$3,1+$AX$3)&lt;=30000,10,IF($F338*IF($C338="売",1-$AX$3,1+$AX$3)&lt;=50000,50,IF($F338*IF($C338="売",1-$AX$3,1+$AX$3)&lt;=300000,100,500))))))))</f>
      </c>
      <c r="N338" s="599" t="str">
        <f>IF($F338="","",IF($C338="売",CEILING($F338*IF($C338="売",1+$AX$2,1-$AX$2),IF($F338*IF($C338="売",1+$AX$2,1-$AX$2)&lt;=3000,1,IF($F338*IF($C338="売",1+$AX$2,1-$AX$2)&lt;=5000,5,IF($F338*IF($C338="売",1+$AX$2,1-$AX$2)&lt;=30000,10,IF($F338*IF($C338="売",1+$AX$2,1-$AX$2)&lt;=50000,50,IF($F338*IF($C338="売",1+$AX$2,1-$AX$2)&lt;=300000,100,500)))))),FLOOR($F338*IF($C338="売",1+$AX$2,1-$AX$2),IF($F338*IF($C338="売",1+$AX$2,1-$AX$2)&lt;=3000,1,IF($F338*IF($C338="売",1+$AX$2,1-$AX$2)&lt;=5000,5,IF($F338*IF($C338="売",1+$AX$2,1-$AX$2)&lt;=30000,10,IF($F338*IF($C338="売",1+$AX$2,1-$AX$2)&lt;=50000,50,IF($F338*IF($C338="売",1+$AX$2,1-$AX$2)&lt;=300000,100,500))))))))</f>
      </c>
      <c r="O338" s="478" t="str">
        <f>IF(OR($B338="",$F338="",$H338=""),"",IF($S338="✅売却済","―決済済―",IF($C338="売",IF($H338&lt;=$M338,"🟢利確",IF(AND($R338&lt;&gt;"",$H338&gt;=$R338),"🟠TRAIL決済",IF($H338&gt;=$N338,"🔴損切",IF($W338&gt;=$AX$5,"⏱時間決済",IF($H338&gt;=$F338*(1+$AX$2*0.7),"⚠️損切接近","保持継続"))))),IF($H338&gt;=$M338,"🟢利確",IF(AND($R338&lt;&gt;"",$H338&lt;=$R338),"🟠TRAIL決済",IF($H338&lt;=$N338,"🔴損切",IF($W338&gt;=$AX$5,"⏱時間決済",IF($H338&lt;=$F338*(1-$AX$2*0.7),"⚠️損切接近","保持継続")))))))</f>
      </c>
      <c r="P338" s="445"/>
      <c r="Q338" s="445"/>
      <c r="R338" s="440" t="str">
        <f>IF(OR($F338="",$H338="",$N338=""),"",IF($S338="✅売却済","",IF($C338="売",IF($H338&gt;$F338*(1-$AX$2),$N338,CEILING(MIN($N338,IF($Q338="",$N338,$Q338*1.03)),IF($N338&lt;=3000,1,IF($N338&lt;=5000,5,IF($N338&lt;=30000,10,IF($N338&lt;=50000,50,IF($N338&lt;=300000,100,500))))))),IF($H338&lt;$F338*(1+$AX$2),$N338,FLOOR(MAX($N338,IF($P338="",$N338,$P338*0.97)),IF($N338&lt;=3000,1,IF($N338&lt;=5000,5,IF($N338&lt;=30000,10,IF($N338&lt;=50000,50,IF($N338&lt;=300000,100,500))))))))))</f>
      </c>
      <c r="S338" s="440" t="str">
        <f>IF(B338="","",IF(T338&lt;&gt;"","✅売却済",IF(OR(H338="",L338=""),"📌保有中",IF(L338&gt;=0.06,"🟢利確推奨",IF(L338&gt;=0.05,"🟡利確直近",IF(L338&gt;=0.045,"🔵トレーリング検討",IF(L338&gt;-0.03,"📌保有中",IF(L338&gt;-0.04,"⚠️損切注意","🔴損切り"))))))))</f>
        <v/>
      </c>
      <c r="T338" s="597"/>
      <c r="U338" s="599"/>
      <c r="V338" s="704" t="str">
        <f>IF(OR(F338="",G338="",U338=""),"",IF(C338="売",(F338-U338)*G338,(U338-F338)*G338))</f>
        <v/>
      </c>
      <c r="W338" s="440" t="str">
        <f>IF(OR($E338="",$B338=""),"",IF($T338&lt;&gt;"",$T338-$E338,TODAY()-$E338)+1)</f>
        <v/>
      </c>
      <c r="X338" s="440" t="str">
        <f>IF(OR($AH338="",$AH338="保有中"),"",$AH338)</f>
        <v/>
      </c>
      <c r="Y338">
        <f>IF($B338="","",IF(COUNTIFS($B$4:$B338,$B338,$C$4:$C338,$C338)&gt;1,"⛔重複"&amp;COUNTIFS($B$4:$B338,$B338,$C$4:$C338,$C338)&amp;"回目",""))</f>
      </c>
      <c r="AB338">
        <f>IF($F338="","",MAX(100,ROUNDDOWN($AX$4/($F338*$AX$2)/100,0)*100))</f>
      </c>
      <c r="AC338">
        <f>IF(OR($F338="",$G338="",$U338=""),"",ROUND($V338-($F338+$U338)*$G338*$AX$6-IF($C338="売",$F338*$G338*$AX$7*$W338/365,0),0))</f>
      </c>
      <c r="AD338" s="608"/>
      <c r="AE338" s="600" t="str">
        <f>IF($E338="","",WORKDAY($E338,12))</f>
        <v/>
      </c>
      <c r="AF338" s="600"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0"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0" t="str">
        <f>IF(OR($B338="",$M338=""),"",IF(AND(N($AF338)=0,N($AG338)=0),IF(AND(ISNUMBER($H338),$H338&gt;0,IF($C338="売",$H338&gt;=$N338,$H338&lt;=$N338)),"損切確定",IF(AND(ISNUMBER($H338),$H338&gt;0,IF($C338="売",$H338&lt;=$M338,$H338&gt;=$M338)),"利益確定",IF($AE338&lt;=TODAY(),"日数制限","保有中"))),IF(N($AG338)=0,"利益確定",IF(N($AF338)=0,"損切確定",IF($AG338&lt;=$AF338,"損切確定","利益確定")))))</f>
        <v/>
      </c>
      <c r="AI338" s="600" t="str" cm="1">
        <f t="array" ref="AI338">IFERROR(INDEX(始値!$E$6:$BT$305,MATCH(TEXT($B338,"0"),TEXT(銘柄管理!$B$6:$B$305,"0"),0),MATCH($AE338,始値!$E$3:$BT$3,0)),"")</f>
        <v/>
      </c>
      <c r="AJ338" s="608" t="str">
        <f>IF(OR($V338="",$F338="",$G338=""),"",$V338/($F338*$G338))</f>
        <v/>
      </c>
      <c r="AK338" s="600" t="str">
        <f>IF($V338="","",IF($V338&gt;0,"○勝",IF($V338&lt;0,"●負","△引分")))</f>
        <v/>
      </c>
    </row>
    <row r="339" spans="1:37" ht="17.25" customHeight="1">
      <c r="A339" s="622" t="str">
        <f>IF(B339="","",HYPERLINK("https://kabutan.jp/stock/?code="&amp;B339,"株探"))</f>
        <v/>
      </c>
      <c r="D339" s="440" t="str" cm="1">
        <f t="array" ref="D339">_xll.RssMarket(B339, "銘柄名称")</f>
        <v/>
      </c>
      <c r="E339" s="717"/>
      <c r="F339" s="6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IF(OR(F339="",G339="",H339=""),"",IF(C339="売",(F339-H339)*G339,(H339-F339)*G339))</f>
        <v/>
      </c>
      <c r="L339" s="709" t="str">
        <f>IF(OR(F339="",H339=""),"",IF(C339="売",(F339-H339)/F339,(H339-F339)/F339))</f>
        <v/>
      </c>
      <c r="M339" s="599" t="str">
        <f>IF($F339="","",IF($C339="売",CEILING($F339*IF($C339="売",1-$AX$3,1+$AX$3),IF($F339*IF($C339="売",1-$AX$3,1+$AX$3)&lt;=3000,1,IF($F339*IF($C339="売",1-$AX$3,1+$AX$3)&lt;=5000,5,IF($F339*IF($C339="売",1-$AX$3,1+$AX$3)&lt;=30000,10,IF($F339*IF($C339="売",1-$AX$3,1+$AX$3)&lt;=50000,50,IF($F339*IF($C339="売",1-$AX$3,1+$AX$3)&lt;=300000,100,500)))))),FLOOR($F339*IF($C339="売",1-$AX$3,1+$AX$3),IF($F339*IF($C339="売",1-$AX$3,1+$AX$3)&lt;=3000,1,IF($F339*IF($C339="売",1-$AX$3,1+$AX$3)&lt;=5000,5,IF($F339*IF($C339="売",1-$AX$3,1+$AX$3)&lt;=30000,10,IF($F339*IF($C339="売",1-$AX$3,1+$AX$3)&lt;=50000,50,IF($F339*IF($C339="売",1-$AX$3,1+$AX$3)&lt;=300000,100,500))))))))</f>
      </c>
      <c r="N339" s="599" t="str">
        <f>IF($F339="","",IF($C339="売",CEILING($F339*IF($C339="売",1+$AX$2,1-$AX$2),IF($F339*IF($C339="売",1+$AX$2,1-$AX$2)&lt;=3000,1,IF($F339*IF($C339="売",1+$AX$2,1-$AX$2)&lt;=5000,5,IF($F339*IF($C339="売",1+$AX$2,1-$AX$2)&lt;=30000,10,IF($F339*IF($C339="売",1+$AX$2,1-$AX$2)&lt;=50000,50,IF($F339*IF($C339="売",1+$AX$2,1-$AX$2)&lt;=300000,100,500)))))),FLOOR($F339*IF($C339="売",1+$AX$2,1-$AX$2),IF($F339*IF($C339="売",1+$AX$2,1-$AX$2)&lt;=3000,1,IF($F339*IF($C339="売",1+$AX$2,1-$AX$2)&lt;=5000,5,IF($F339*IF($C339="売",1+$AX$2,1-$AX$2)&lt;=30000,10,IF($F339*IF($C339="売",1+$AX$2,1-$AX$2)&lt;=50000,50,IF($F339*IF($C339="売",1+$AX$2,1-$AX$2)&lt;=300000,100,500))))))))</f>
      </c>
      <c r="O339" s="478" t="str">
        <f>IF(OR($B339="",$F339="",$H339=""),"",IF($S339="✅売却済","―決済済―",IF($C339="売",IF($H339&lt;=$M339,"🟢利確",IF(AND($R339&lt;&gt;"",$H339&gt;=$R339),"🟠TRAIL決済",IF($H339&gt;=$N339,"🔴損切",IF($W339&gt;=$AX$5,"⏱時間決済",IF($H339&gt;=$F339*(1+$AX$2*0.7),"⚠️損切接近","保持継続"))))),IF($H339&gt;=$M339,"🟢利確",IF(AND($R339&lt;&gt;"",$H339&lt;=$R339),"🟠TRAIL決済",IF($H339&lt;=$N339,"🔴損切",IF($W339&gt;=$AX$5,"⏱時間決済",IF($H339&lt;=$F339*(1-$AX$2*0.7),"⚠️損切接近","保持継続")))))))</f>
      </c>
      <c r="P339" s="445"/>
      <c r="Q339" s="445"/>
      <c r="R339" s="440" t="str">
        <f>IF(OR($F339="",$H339="",$N339=""),"",IF($S339="✅売却済","",IF($C339="売",IF($H339&gt;$F339*(1-$AX$2),$N339,CEILING(MIN($N339,IF($Q339="",$N339,$Q339*1.03)),IF($N339&lt;=3000,1,IF($N339&lt;=5000,5,IF($N339&lt;=30000,10,IF($N339&lt;=50000,50,IF($N339&lt;=300000,100,500))))))),IF($H339&lt;$F339*(1+$AX$2),$N339,FLOOR(MAX($N339,IF($P339="",$N339,$P339*0.97)),IF($N339&lt;=3000,1,IF($N339&lt;=5000,5,IF($N339&lt;=30000,10,IF($N339&lt;=50000,50,IF($N339&lt;=300000,100,500))))))))))</f>
      </c>
      <c r="S339" s="440" t="str">
        <f>IF(B339="","",IF(T339&lt;&gt;"","✅売却済",IF(OR(H339="",L339=""),"📌保有中",IF(L339&gt;=0.06,"🟢利確推奨",IF(L339&gt;=0.05,"🟡利確直近",IF(L339&gt;=0.045,"🔵トレーリング検討",IF(L339&gt;-0.03,"📌保有中",IF(L339&gt;-0.04,"⚠️損切注意","🔴損切り"))))))))</f>
        <v/>
      </c>
      <c r="T339" s="597"/>
      <c r="U339" s="599"/>
      <c r="V339" s="704" t="str">
        <f>IF(OR(F339="",G339="",U339=""),"",IF(C339="売",(F339-U339)*G339,(U339-F339)*G339))</f>
        <v/>
      </c>
      <c r="W339" s="440" t="str">
        <f>IF(OR($E339="",$B339=""),"",IF($T339&lt;&gt;"",$T339-$E339,TODAY()-$E339)+1)</f>
        <v/>
      </c>
      <c r="X339" s="440" t="str">
        <f>IF(OR($AH339="",$AH339="保有中"),"",$AH339)</f>
        <v/>
      </c>
      <c r="Y339">
        <f>IF($B339="","",IF(COUNTIFS($B$4:$B339,$B339,$C$4:$C339,$C339)&gt;1,"⛔重複"&amp;COUNTIFS($B$4:$B339,$B339,$C$4:$C339,$C339)&amp;"回目",""))</f>
      </c>
      <c r="AB339">
        <f>IF($F339="","",MAX(100,ROUNDDOWN($AX$4/($F339*$AX$2)/100,0)*100))</f>
      </c>
      <c r="AC339">
        <f>IF(OR($F339="",$G339="",$U339=""),"",ROUND($V339-($F339+$U339)*$G339*$AX$6-IF($C339="売",$F339*$G339*$AX$7*$W339/365,0),0))</f>
      </c>
      <c r="AD339" s="608"/>
      <c r="AE339" s="600" t="str">
        <f>IF($E339="","",WORKDAY($E339,12))</f>
        <v/>
      </c>
      <c r="AF339" s="600"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0"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0" t="str">
        <f>IF(OR($B339="",$M339=""),"",IF(AND(N($AF339)=0,N($AG339)=0),IF(AND(ISNUMBER($H339),$H339&gt;0,IF($C339="売",$H339&gt;=$N339,$H339&lt;=$N339)),"損切確定",IF(AND(ISNUMBER($H339),$H339&gt;0,IF($C339="売",$H339&lt;=$M339,$H339&gt;=$M339)),"利益確定",IF($AE339&lt;=TODAY(),"日数制限","保有中"))),IF(N($AG339)=0,"利益確定",IF(N($AF339)=0,"損切確定",IF($AG339&lt;=$AF339,"損切確定","利益確定")))))</f>
        <v/>
      </c>
      <c r="AI339" s="600" t="str" cm="1">
        <f t="array" ref="AI339">IFERROR(INDEX(始値!$E$6:$BT$305,MATCH(TEXT($B339,"0"),TEXT(銘柄管理!$B$6:$B$305,"0"),0),MATCH($AE339,始値!$E$3:$BT$3,0)),"")</f>
        <v/>
      </c>
      <c r="AJ339" s="608" t="str">
        <f>IF(OR($V339="",$F339="",$G339=""),"",$V339/($F339*$G339))</f>
        <v/>
      </c>
      <c r="AK339" s="600" t="str">
        <f>IF($V339="","",IF($V339&gt;0,"○勝",IF($V339&lt;0,"●負","△引分")))</f>
        <v/>
      </c>
    </row>
    <row r="340" spans="1:37" ht="17.25" customHeight="1">
      <c r="A340" s="622" t="str">
        <f>IF(B340="","",HYPERLINK("https://kabutan.jp/stock/?code="&amp;B340,"株探"))</f>
        <v/>
      </c>
      <c r="D340" s="440" t="str" cm="1">
        <f t="array" ref="D340">_xll.RssMarket(B340, "銘柄名称")</f>
        <v/>
      </c>
      <c r="E340" s="717"/>
      <c r="F340" s="6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IF(OR(F340="",G340="",H340=""),"",IF(C340="売",(F340-H340)*G340,(H340-F340)*G340))</f>
        <v/>
      </c>
      <c r="L340" s="709" t="str">
        <f>IF(OR(F340="",H340=""),"",IF(C340="売",(F340-H340)/F340,(H340-F340)/F340))</f>
        <v/>
      </c>
      <c r="M340" s="599" t="str">
        <f>IF($F340="","",IF($C340="売",CEILING($F340*IF($C340="売",1-$AX$3,1+$AX$3),IF($F340*IF($C340="売",1-$AX$3,1+$AX$3)&lt;=3000,1,IF($F340*IF($C340="売",1-$AX$3,1+$AX$3)&lt;=5000,5,IF($F340*IF($C340="売",1-$AX$3,1+$AX$3)&lt;=30000,10,IF($F340*IF($C340="売",1-$AX$3,1+$AX$3)&lt;=50000,50,IF($F340*IF($C340="売",1-$AX$3,1+$AX$3)&lt;=300000,100,500)))))),FLOOR($F340*IF($C340="売",1-$AX$3,1+$AX$3),IF($F340*IF($C340="売",1-$AX$3,1+$AX$3)&lt;=3000,1,IF($F340*IF($C340="売",1-$AX$3,1+$AX$3)&lt;=5000,5,IF($F340*IF($C340="売",1-$AX$3,1+$AX$3)&lt;=30000,10,IF($F340*IF($C340="売",1-$AX$3,1+$AX$3)&lt;=50000,50,IF($F340*IF($C340="売",1-$AX$3,1+$AX$3)&lt;=300000,100,500))))))))</f>
      </c>
      <c r="N340" s="599" t="str">
        <f>IF($F340="","",IF($C340="売",CEILING($F340*IF($C340="売",1+$AX$2,1-$AX$2),IF($F340*IF($C340="売",1+$AX$2,1-$AX$2)&lt;=3000,1,IF($F340*IF($C340="売",1+$AX$2,1-$AX$2)&lt;=5000,5,IF($F340*IF($C340="売",1+$AX$2,1-$AX$2)&lt;=30000,10,IF($F340*IF($C340="売",1+$AX$2,1-$AX$2)&lt;=50000,50,IF($F340*IF($C340="売",1+$AX$2,1-$AX$2)&lt;=300000,100,500)))))),FLOOR($F340*IF($C340="売",1+$AX$2,1-$AX$2),IF($F340*IF($C340="売",1+$AX$2,1-$AX$2)&lt;=3000,1,IF($F340*IF($C340="売",1+$AX$2,1-$AX$2)&lt;=5000,5,IF($F340*IF($C340="売",1+$AX$2,1-$AX$2)&lt;=30000,10,IF($F340*IF($C340="売",1+$AX$2,1-$AX$2)&lt;=50000,50,IF($F340*IF($C340="売",1+$AX$2,1-$AX$2)&lt;=300000,100,500))))))))</f>
      </c>
      <c r="O340" s="478" t="str">
        <f>IF(OR($B340="",$F340="",$H340=""),"",IF($S340="✅売却済","―決済済―",IF($C340="売",IF($H340&lt;=$M340,"🟢利確",IF(AND($R340&lt;&gt;"",$H340&gt;=$R340),"🟠TRAIL決済",IF($H340&gt;=$N340,"🔴損切",IF($W340&gt;=$AX$5,"⏱時間決済",IF($H340&gt;=$F340*(1+$AX$2*0.7),"⚠️損切接近","保持継続"))))),IF($H340&gt;=$M340,"🟢利確",IF(AND($R340&lt;&gt;"",$H340&lt;=$R340),"🟠TRAIL決済",IF($H340&lt;=$N340,"🔴損切",IF($W340&gt;=$AX$5,"⏱時間決済",IF($H340&lt;=$F340*(1-$AX$2*0.7),"⚠️損切接近","保持継続")))))))</f>
      </c>
      <c r="P340" s="445"/>
      <c r="Q340" s="445"/>
      <c r="R340" s="440" t="str">
        <f>IF(OR($F340="",$H340="",$N340=""),"",IF($S340="✅売却済","",IF($C340="売",IF($H340&gt;$F340*(1-$AX$2),$N340,CEILING(MIN($N340,IF($Q340="",$N340,$Q340*1.03)),IF($N340&lt;=3000,1,IF($N340&lt;=5000,5,IF($N340&lt;=30000,10,IF($N340&lt;=50000,50,IF($N340&lt;=300000,100,500))))))),IF($H340&lt;$F340*(1+$AX$2),$N340,FLOOR(MAX($N340,IF($P340="",$N340,$P340*0.97)),IF($N340&lt;=3000,1,IF($N340&lt;=5000,5,IF($N340&lt;=30000,10,IF($N340&lt;=50000,50,IF($N340&lt;=300000,100,500))))))))))</f>
      </c>
      <c r="S340" s="440" t="str">
        <f>IF(B340="","",IF(T340&lt;&gt;"","✅売却済",IF(OR(H340="",L340=""),"📌保有中",IF(L340&gt;=0.06,"🟢利確推奨",IF(L340&gt;=0.05,"🟡利確直近",IF(L340&gt;=0.045,"🔵トレーリング検討",IF(L340&gt;-0.03,"📌保有中",IF(L340&gt;-0.04,"⚠️損切注意","🔴損切り"))))))))</f>
        <v/>
      </c>
      <c r="T340" s="597"/>
      <c r="U340" s="599"/>
      <c r="V340" s="704" t="str">
        <f>IF(OR(F340="",G340="",U340=""),"",IF(C340="売",(F340-U340)*G340,(U340-F340)*G340))</f>
        <v/>
      </c>
      <c r="W340" s="440" t="str">
        <f>IF(OR($E340="",$B340=""),"",IF($T340&lt;&gt;"",$T340-$E340,TODAY()-$E340)+1)</f>
        <v/>
      </c>
      <c r="X340" s="440" t="str">
        <f>IF(OR($AH340="",$AH340="保有中"),"",$AH340)</f>
        <v/>
      </c>
      <c r="Y340">
        <f>IF($B340="","",IF(COUNTIFS($B$4:$B340,$B340,$C$4:$C340,$C340)&gt;1,"⛔重複"&amp;COUNTIFS($B$4:$B340,$B340,$C$4:$C340,$C340)&amp;"回目",""))</f>
      </c>
      <c r="AB340">
        <f>IF($F340="","",MAX(100,ROUNDDOWN($AX$4/($F340*$AX$2)/100,0)*100))</f>
      </c>
      <c r="AC340">
        <f>IF(OR($F340="",$G340="",$U340=""),"",ROUND($V340-($F340+$U340)*$G340*$AX$6-IF($C340="売",$F340*$G340*$AX$7*$W340/365,0),0))</f>
      </c>
      <c r="AD340" s="608"/>
      <c r="AE340" s="600" t="str">
        <f>IF($E340="","",WORKDAY($E340,12))</f>
        <v/>
      </c>
      <c r="AF340" s="600"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0"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0" t="str">
        <f>IF(OR($B340="",$M340=""),"",IF(AND(N($AF340)=0,N($AG340)=0),IF(AND(ISNUMBER($H340),$H340&gt;0,IF($C340="売",$H340&gt;=$N340,$H340&lt;=$N340)),"損切確定",IF(AND(ISNUMBER($H340),$H340&gt;0,IF($C340="売",$H340&lt;=$M340,$H340&gt;=$M340)),"利益確定",IF($AE340&lt;=TODAY(),"日数制限","保有中"))),IF(N($AG340)=0,"利益確定",IF(N($AF340)=0,"損切確定",IF($AG340&lt;=$AF340,"損切確定","利益確定")))))</f>
        <v/>
      </c>
      <c r="AI340" s="600" t="str" cm="1">
        <f t="array" ref="AI340">IFERROR(INDEX(始値!$E$6:$BT$305,MATCH(TEXT($B340,"0"),TEXT(銘柄管理!$B$6:$B$305,"0"),0),MATCH($AE340,始値!$E$3:$BT$3,0)),"")</f>
        <v/>
      </c>
      <c r="AJ340" s="608" t="str">
        <f>IF(OR($V340="",$F340="",$G340=""),"",$V340/($F340*$G340))</f>
        <v/>
      </c>
      <c r="AK340" s="600" t="str">
        <f>IF($V340="","",IF($V340&gt;0,"○勝",IF($V340&lt;0,"●負","△引分")))</f>
        <v/>
      </c>
    </row>
    <row r="341" spans="1:37" ht="17.25" customHeight="1">
      <c r="A341" s="622" t="str">
        <f>IF(B341="","",HYPERLINK("https://kabutan.jp/stock/?code="&amp;B341,"株探"))</f>
        <v/>
      </c>
      <c r="D341" s="440" t="str" cm="1">
        <f t="array" ref="D341">_xll.RssMarket(B341, "銘柄名称")</f>
        <v/>
      </c>
      <c r="E341" s="717"/>
      <c r="F341" s="6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IF(OR(F341="",G341="",H341=""),"",IF(C341="売",(F341-H341)*G341,(H341-F341)*G341))</f>
        <v/>
      </c>
      <c r="L341" s="709" t="str">
        <f>IF(OR(F341="",H341=""),"",IF(C341="売",(F341-H341)/F341,(H341-F341)/F341))</f>
        <v/>
      </c>
      <c r="M341" s="599" t="str">
        <f>IF($F341="","",IF($C341="売",CEILING($F341*IF($C341="売",1-$AX$3,1+$AX$3),IF($F341*IF($C341="売",1-$AX$3,1+$AX$3)&lt;=3000,1,IF($F341*IF($C341="売",1-$AX$3,1+$AX$3)&lt;=5000,5,IF($F341*IF($C341="売",1-$AX$3,1+$AX$3)&lt;=30000,10,IF($F341*IF($C341="売",1-$AX$3,1+$AX$3)&lt;=50000,50,IF($F341*IF($C341="売",1-$AX$3,1+$AX$3)&lt;=300000,100,500)))))),FLOOR($F341*IF($C341="売",1-$AX$3,1+$AX$3),IF($F341*IF($C341="売",1-$AX$3,1+$AX$3)&lt;=3000,1,IF($F341*IF($C341="売",1-$AX$3,1+$AX$3)&lt;=5000,5,IF($F341*IF($C341="売",1-$AX$3,1+$AX$3)&lt;=30000,10,IF($F341*IF($C341="売",1-$AX$3,1+$AX$3)&lt;=50000,50,IF($F341*IF($C341="売",1-$AX$3,1+$AX$3)&lt;=300000,100,500))))))))</f>
      </c>
      <c r="N341" s="599" t="str">
        <f>IF($F341="","",IF($C341="売",CEILING($F341*IF($C341="売",1+$AX$2,1-$AX$2),IF($F341*IF($C341="売",1+$AX$2,1-$AX$2)&lt;=3000,1,IF($F341*IF($C341="売",1+$AX$2,1-$AX$2)&lt;=5000,5,IF($F341*IF($C341="売",1+$AX$2,1-$AX$2)&lt;=30000,10,IF($F341*IF($C341="売",1+$AX$2,1-$AX$2)&lt;=50000,50,IF($F341*IF($C341="売",1+$AX$2,1-$AX$2)&lt;=300000,100,500)))))),FLOOR($F341*IF($C341="売",1+$AX$2,1-$AX$2),IF($F341*IF($C341="売",1+$AX$2,1-$AX$2)&lt;=3000,1,IF($F341*IF($C341="売",1+$AX$2,1-$AX$2)&lt;=5000,5,IF($F341*IF($C341="売",1+$AX$2,1-$AX$2)&lt;=30000,10,IF($F341*IF($C341="売",1+$AX$2,1-$AX$2)&lt;=50000,50,IF($F341*IF($C341="売",1+$AX$2,1-$AX$2)&lt;=300000,100,500))))))))</f>
      </c>
      <c r="O341" s="478" t="str">
        <f>IF(OR($B341="",$F341="",$H341=""),"",IF($S341="✅売却済","―決済済―",IF($C341="売",IF($H341&lt;=$M341,"🟢利確",IF(AND($R341&lt;&gt;"",$H341&gt;=$R341),"🟠TRAIL決済",IF($H341&gt;=$N341,"🔴損切",IF($W341&gt;=$AX$5,"⏱時間決済",IF($H341&gt;=$F341*(1+$AX$2*0.7),"⚠️損切接近","保持継続"))))),IF($H341&gt;=$M341,"🟢利確",IF(AND($R341&lt;&gt;"",$H341&lt;=$R341),"🟠TRAIL決済",IF($H341&lt;=$N341,"🔴損切",IF($W341&gt;=$AX$5,"⏱時間決済",IF($H341&lt;=$F341*(1-$AX$2*0.7),"⚠️損切接近","保持継続")))))))</f>
      </c>
      <c r="P341" s="445"/>
      <c r="Q341" s="445"/>
      <c r="R341" s="440" t="str">
        <f>IF(OR($F341="",$H341="",$N341=""),"",IF($S341="✅売却済","",IF($C341="売",IF($H341&gt;$F341*(1-$AX$2),$N341,CEILING(MIN($N341,IF($Q341="",$N341,$Q341*1.03)),IF($N341&lt;=3000,1,IF($N341&lt;=5000,5,IF($N341&lt;=30000,10,IF($N341&lt;=50000,50,IF($N341&lt;=300000,100,500))))))),IF($H341&lt;$F341*(1+$AX$2),$N341,FLOOR(MAX($N341,IF($P341="",$N341,$P341*0.97)),IF($N341&lt;=3000,1,IF($N341&lt;=5000,5,IF($N341&lt;=30000,10,IF($N341&lt;=50000,50,IF($N341&lt;=300000,100,500))))))))))</f>
      </c>
      <c r="S341" s="440" t="str">
        <f>IF(B341="","",IF(T341&lt;&gt;"","✅売却済",IF(OR(H341="",L341=""),"📌保有中",IF(L341&gt;=0.06,"🟢利確推奨",IF(L341&gt;=0.05,"🟡利確直近",IF(L341&gt;=0.045,"🔵トレーリング検討",IF(L341&gt;-0.03,"📌保有中",IF(L341&gt;-0.04,"⚠️損切注意","🔴損切り"))))))))</f>
        <v/>
      </c>
      <c r="T341" s="597"/>
      <c r="U341" s="599"/>
      <c r="V341" s="704" t="str">
        <f>IF(OR(F341="",G341="",U341=""),"",IF(C341="売",(F341-U341)*G341,(U341-F341)*G341))</f>
        <v/>
      </c>
      <c r="W341" s="440" t="str">
        <f>IF(OR($E341="",$B341=""),"",IF($T341&lt;&gt;"",$T341-$E341,TODAY()-$E341)+1)</f>
        <v/>
      </c>
      <c r="X341" s="440" t="str">
        <f>IF(OR($AH341="",$AH341="保有中"),"",$AH341)</f>
        <v/>
      </c>
      <c r="Y341">
        <f>IF($B341="","",IF(COUNTIFS($B$4:$B341,$B341,$C$4:$C341,$C341)&gt;1,"⛔重複"&amp;COUNTIFS($B$4:$B341,$B341,$C$4:$C341,$C341)&amp;"回目",""))</f>
      </c>
      <c r="AB341">
        <f>IF($F341="","",MAX(100,ROUNDDOWN($AX$4/($F341*$AX$2)/100,0)*100))</f>
      </c>
      <c r="AC341">
        <f>IF(OR($F341="",$G341="",$U341=""),"",ROUND($V341-($F341+$U341)*$G341*$AX$6-IF($C341="売",$F341*$G341*$AX$7*$W341/365,0),0))</f>
      </c>
      <c r="AD341" s="608"/>
      <c r="AE341" s="600" t="str">
        <f>IF($E341="","",WORKDAY($E341,12))</f>
        <v/>
      </c>
      <c r="AF341" s="600"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0"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0" t="str">
        <f>IF(OR($B341="",$M341=""),"",IF(AND(N($AF341)=0,N($AG341)=0),IF(AND(ISNUMBER($H341),$H341&gt;0,IF($C341="売",$H341&gt;=$N341,$H341&lt;=$N341)),"損切確定",IF(AND(ISNUMBER($H341),$H341&gt;0,IF($C341="売",$H341&lt;=$M341,$H341&gt;=$M341)),"利益確定",IF($AE341&lt;=TODAY(),"日数制限","保有中"))),IF(N($AG341)=0,"利益確定",IF(N($AF341)=0,"損切確定",IF($AG341&lt;=$AF341,"損切確定","利益確定")))))</f>
        <v/>
      </c>
      <c r="AI341" s="600" t="str" cm="1">
        <f t="array" ref="AI341">IFERROR(INDEX(始値!$E$6:$BT$305,MATCH(TEXT($B341,"0"),TEXT(銘柄管理!$B$6:$B$305,"0"),0),MATCH($AE341,始値!$E$3:$BT$3,0)),"")</f>
        <v/>
      </c>
      <c r="AJ341" s="608" t="str">
        <f>IF(OR($V341="",$F341="",$G341=""),"",$V341/($F341*$G341))</f>
        <v/>
      </c>
      <c r="AK341" s="600" t="str">
        <f>IF($V341="","",IF($V341&gt;0,"○勝",IF($V341&lt;0,"●負","△引分")))</f>
        <v/>
      </c>
    </row>
    <row r="342" spans="1:37" ht="17.25" customHeight="1">
      <c r="A342" s="622" t="str">
        <f>IF(B342="","",HYPERLINK("https://kabutan.jp/stock/?code="&amp;B342,"株探"))</f>
        <v/>
      </c>
      <c r="D342" s="440" t="str" cm="1">
        <f t="array" ref="D342">_xll.RssMarket(B342, "銘柄名称")</f>
        <v/>
      </c>
      <c r="E342" s="717"/>
      <c r="F342" s="6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IF(OR(F342="",G342="",H342=""),"",IF(C342="売",(F342-H342)*G342,(H342-F342)*G342))</f>
        <v/>
      </c>
      <c r="L342" s="709" t="str">
        <f>IF(OR(F342="",H342=""),"",IF(C342="売",(F342-H342)/F342,(H342-F342)/F342))</f>
        <v/>
      </c>
      <c r="M342" s="599" t="str">
        <f>IF($F342="","",IF($C342="売",CEILING($F342*IF($C342="売",1-$AX$3,1+$AX$3),IF($F342*IF($C342="売",1-$AX$3,1+$AX$3)&lt;=3000,1,IF($F342*IF($C342="売",1-$AX$3,1+$AX$3)&lt;=5000,5,IF($F342*IF($C342="売",1-$AX$3,1+$AX$3)&lt;=30000,10,IF($F342*IF($C342="売",1-$AX$3,1+$AX$3)&lt;=50000,50,IF($F342*IF($C342="売",1-$AX$3,1+$AX$3)&lt;=300000,100,500)))))),FLOOR($F342*IF($C342="売",1-$AX$3,1+$AX$3),IF($F342*IF($C342="売",1-$AX$3,1+$AX$3)&lt;=3000,1,IF($F342*IF($C342="売",1-$AX$3,1+$AX$3)&lt;=5000,5,IF($F342*IF($C342="売",1-$AX$3,1+$AX$3)&lt;=30000,10,IF($F342*IF($C342="売",1-$AX$3,1+$AX$3)&lt;=50000,50,IF($F342*IF($C342="売",1-$AX$3,1+$AX$3)&lt;=300000,100,500))))))))</f>
      </c>
      <c r="N342" s="599" t="str">
        <f>IF($F342="","",IF($C342="売",CEILING($F342*IF($C342="売",1+$AX$2,1-$AX$2),IF($F342*IF($C342="売",1+$AX$2,1-$AX$2)&lt;=3000,1,IF($F342*IF($C342="売",1+$AX$2,1-$AX$2)&lt;=5000,5,IF($F342*IF($C342="売",1+$AX$2,1-$AX$2)&lt;=30000,10,IF($F342*IF($C342="売",1+$AX$2,1-$AX$2)&lt;=50000,50,IF($F342*IF($C342="売",1+$AX$2,1-$AX$2)&lt;=300000,100,500)))))),FLOOR($F342*IF($C342="売",1+$AX$2,1-$AX$2),IF($F342*IF($C342="売",1+$AX$2,1-$AX$2)&lt;=3000,1,IF($F342*IF($C342="売",1+$AX$2,1-$AX$2)&lt;=5000,5,IF($F342*IF($C342="売",1+$AX$2,1-$AX$2)&lt;=30000,10,IF($F342*IF($C342="売",1+$AX$2,1-$AX$2)&lt;=50000,50,IF($F342*IF($C342="売",1+$AX$2,1-$AX$2)&lt;=300000,100,500))))))))</f>
      </c>
      <c r="O342" s="478" t="str">
        <f>IF(OR($B342="",$F342="",$H342=""),"",IF($S342="✅売却済","―決済済―",IF($C342="売",IF($H342&lt;=$M342,"🟢利確",IF(AND($R342&lt;&gt;"",$H342&gt;=$R342),"🟠TRAIL決済",IF($H342&gt;=$N342,"🔴損切",IF($W342&gt;=$AX$5,"⏱時間決済",IF($H342&gt;=$F342*(1+$AX$2*0.7),"⚠️損切接近","保持継続"))))),IF($H342&gt;=$M342,"🟢利確",IF(AND($R342&lt;&gt;"",$H342&lt;=$R342),"🟠TRAIL決済",IF($H342&lt;=$N342,"🔴損切",IF($W342&gt;=$AX$5,"⏱時間決済",IF($H342&lt;=$F342*(1-$AX$2*0.7),"⚠️損切接近","保持継続")))))))</f>
      </c>
      <c r="P342" s="445"/>
      <c r="Q342" s="445"/>
      <c r="R342" s="440" t="str">
        <f>IF(OR($F342="",$H342="",$N342=""),"",IF($S342="✅売却済","",IF($C342="売",IF($H342&gt;$F342*(1-$AX$2),$N342,CEILING(MIN($N342,IF($Q342="",$N342,$Q342*1.03)),IF($N342&lt;=3000,1,IF($N342&lt;=5000,5,IF($N342&lt;=30000,10,IF($N342&lt;=50000,50,IF($N342&lt;=300000,100,500))))))),IF($H342&lt;$F342*(1+$AX$2),$N342,FLOOR(MAX($N342,IF($P342="",$N342,$P342*0.97)),IF($N342&lt;=3000,1,IF($N342&lt;=5000,5,IF($N342&lt;=30000,10,IF($N342&lt;=50000,50,IF($N342&lt;=300000,100,500))))))))))</f>
      </c>
      <c r="S342" s="440" t="str">
        <f>IF(B342="","",IF(T342&lt;&gt;"","✅売却済",IF(OR(H342="",L342=""),"📌保有中",IF(L342&gt;=0.06,"🟢利確推奨",IF(L342&gt;=0.05,"🟡利確直近",IF(L342&gt;=0.045,"🔵トレーリング検討",IF(L342&gt;-0.03,"📌保有中",IF(L342&gt;-0.04,"⚠️損切注意","🔴損切り"))))))))</f>
        <v/>
      </c>
      <c r="T342" s="597"/>
      <c r="U342" s="599"/>
      <c r="V342" s="704" t="str">
        <f>IF(OR(F342="",G342="",U342=""),"",IF(C342="売",(F342-U342)*G342,(U342-F342)*G342))</f>
        <v/>
      </c>
      <c r="W342" s="440" t="str">
        <f>IF(OR($E342="",$B342=""),"",IF($T342&lt;&gt;"",$T342-$E342,TODAY()-$E342)+1)</f>
        <v/>
      </c>
      <c r="X342" s="440" t="str">
        <f>IF(OR($AH342="",$AH342="保有中"),"",$AH342)</f>
        <v/>
      </c>
      <c r="Y342">
        <f>IF($B342="","",IF(COUNTIFS($B$4:$B342,$B342,$C$4:$C342,$C342)&gt;1,"⛔重複"&amp;COUNTIFS($B$4:$B342,$B342,$C$4:$C342,$C342)&amp;"回目",""))</f>
      </c>
      <c r="AB342">
        <f>IF($F342="","",MAX(100,ROUNDDOWN($AX$4/($F342*$AX$2)/100,0)*100))</f>
      </c>
      <c r="AC342">
        <f>IF(OR($F342="",$G342="",$U342=""),"",ROUND($V342-($F342+$U342)*$G342*$AX$6-IF($C342="売",$F342*$G342*$AX$7*$W342/365,0),0))</f>
      </c>
      <c r="AD342" s="608"/>
      <c r="AE342" s="600" t="str">
        <f>IF($E342="","",WORKDAY($E342,12))</f>
        <v/>
      </c>
      <c r="AF342" s="600"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0"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0" t="str">
        <f>IF(OR($B342="",$M342=""),"",IF(AND(N($AF342)=0,N($AG342)=0),IF(AND(ISNUMBER($H342),$H342&gt;0,IF($C342="売",$H342&gt;=$N342,$H342&lt;=$N342)),"損切確定",IF(AND(ISNUMBER($H342),$H342&gt;0,IF($C342="売",$H342&lt;=$M342,$H342&gt;=$M342)),"利益確定",IF($AE342&lt;=TODAY(),"日数制限","保有中"))),IF(N($AG342)=0,"利益確定",IF(N($AF342)=0,"損切確定",IF($AG342&lt;=$AF342,"損切確定","利益確定")))))</f>
        <v/>
      </c>
      <c r="AI342" s="600" t="str" cm="1">
        <f t="array" ref="AI342">IFERROR(INDEX(始値!$E$6:$BT$305,MATCH(TEXT($B342,"0"),TEXT(銘柄管理!$B$6:$B$305,"0"),0),MATCH($AE342,始値!$E$3:$BT$3,0)),"")</f>
        <v/>
      </c>
      <c r="AJ342" s="608" t="str">
        <f>IF(OR($V342="",$F342="",$G342=""),"",$V342/($F342*$G342))</f>
        <v/>
      </c>
      <c r="AK342" s="600" t="str">
        <f>IF($V342="","",IF($V342&gt;0,"○勝",IF($V342&lt;0,"●負","△引分")))</f>
        <v/>
      </c>
    </row>
    <row r="343" spans="1:37" ht="17.25" customHeight="1">
      <c r="A343" s="622" t="str">
        <f>IF(B343="","",HYPERLINK("https://kabutan.jp/stock/?code="&amp;B343,"株探"))</f>
        <v/>
      </c>
      <c r="D343" s="440" t="str" cm="1">
        <f t="array" ref="D343">_xll.RssMarket(B343, "銘柄名称")</f>
        <v/>
      </c>
      <c r="E343" s="717"/>
      <c r="F343" s="6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IF(OR(F343="",G343="",H343=""),"",IF(C343="売",(F343-H343)*G343,(H343-F343)*G343))</f>
        <v/>
      </c>
      <c r="L343" s="709" t="str">
        <f>IF(OR(F343="",H343=""),"",IF(C343="売",(F343-H343)/F343,(H343-F343)/F343))</f>
        <v/>
      </c>
      <c r="M343" s="599" t="str">
        <f>IF($F343="","",IF($C343="売",CEILING($F343*IF($C343="売",1-$AX$3,1+$AX$3),IF($F343*IF($C343="売",1-$AX$3,1+$AX$3)&lt;=3000,1,IF($F343*IF($C343="売",1-$AX$3,1+$AX$3)&lt;=5000,5,IF($F343*IF($C343="売",1-$AX$3,1+$AX$3)&lt;=30000,10,IF($F343*IF($C343="売",1-$AX$3,1+$AX$3)&lt;=50000,50,IF($F343*IF($C343="売",1-$AX$3,1+$AX$3)&lt;=300000,100,500)))))),FLOOR($F343*IF($C343="売",1-$AX$3,1+$AX$3),IF($F343*IF($C343="売",1-$AX$3,1+$AX$3)&lt;=3000,1,IF($F343*IF($C343="売",1-$AX$3,1+$AX$3)&lt;=5000,5,IF($F343*IF($C343="売",1-$AX$3,1+$AX$3)&lt;=30000,10,IF($F343*IF($C343="売",1-$AX$3,1+$AX$3)&lt;=50000,50,IF($F343*IF($C343="売",1-$AX$3,1+$AX$3)&lt;=300000,100,500))))))))</f>
      </c>
      <c r="N343" s="599" t="str">
        <f>IF($F343="","",IF($C343="売",CEILING($F343*IF($C343="売",1+$AX$2,1-$AX$2),IF($F343*IF($C343="売",1+$AX$2,1-$AX$2)&lt;=3000,1,IF($F343*IF($C343="売",1+$AX$2,1-$AX$2)&lt;=5000,5,IF($F343*IF($C343="売",1+$AX$2,1-$AX$2)&lt;=30000,10,IF($F343*IF($C343="売",1+$AX$2,1-$AX$2)&lt;=50000,50,IF($F343*IF($C343="売",1+$AX$2,1-$AX$2)&lt;=300000,100,500)))))),FLOOR($F343*IF($C343="売",1+$AX$2,1-$AX$2),IF($F343*IF($C343="売",1+$AX$2,1-$AX$2)&lt;=3000,1,IF($F343*IF($C343="売",1+$AX$2,1-$AX$2)&lt;=5000,5,IF($F343*IF($C343="売",1+$AX$2,1-$AX$2)&lt;=30000,10,IF($F343*IF($C343="売",1+$AX$2,1-$AX$2)&lt;=50000,50,IF($F343*IF($C343="売",1+$AX$2,1-$AX$2)&lt;=300000,100,500))))))))</f>
      </c>
      <c r="O343" s="478" t="str">
        <f>IF(OR($B343="",$F343="",$H343=""),"",IF($S343="✅売却済","―決済済―",IF($C343="売",IF($H343&lt;=$M343,"🟢利確",IF(AND($R343&lt;&gt;"",$H343&gt;=$R343),"🟠TRAIL決済",IF($H343&gt;=$N343,"🔴損切",IF($W343&gt;=$AX$5,"⏱時間決済",IF($H343&gt;=$F343*(1+$AX$2*0.7),"⚠️損切接近","保持継続"))))),IF($H343&gt;=$M343,"🟢利確",IF(AND($R343&lt;&gt;"",$H343&lt;=$R343),"🟠TRAIL決済",IF($H343&lt;=$N343,"🔴損切",IF($W343&gt;=$AX$5,"⏱時間決済",IF($H343&lt;=$F343*(1-$AX$2*0.7),"⚠️損切接近","保持継続")))))))</f>
      </c>
      <c r="P343" s="445"/>
      <c r="Q343" s="445"/>
      <c r="R343" s="440" t="str">
        <f>IF(OR($F343="",$H343="",$N343=""),"",IF($S343="✅売却済","",IF($C343="売",IF($H343&gt;$F343*(1-$AX$2),$N343,CEILING(MIN($N343,IF($Q343="",$N343,$Q343*1.03)),IF($N343&lt;=3000,1,IF($N343&lt;=5000,5,IF($N343&lt;=30000,10,IF($N343&lt;=50000,50,IF($N343&lt;=300000,100,500))))))),IF($H343&lt;$F343*(1+$AX$2),$N343,FLOOR(MAX($N343,IF($P343="",$N343,$P343*0.97)),IF($N343&lt;=3000,1,IF($N343&lt;=5000,5,IF($N343&lt;=30000,10,IF($N343&lt;=50000,50,IF($N343&lt;=300000,100,500))))))))))</f>
      </c>
      <c r="S343" s="440" t="str">
        <f>IF(B343="","",IF(T343&lt;&gt;"","✅売却済",IF(OR(H343="",L343=""),"📌保有中",IF(L343&gt;=0.06,"🟢利確推奨",IF(L343&gt;=0.05,"🟡利確直近",IF(L343&gt;=0.045,"🔵トレーリング検討",IF(L343&gt;-0.03,"📌保有中",IF(L343&gt;-0.04,"⚠️損切注意","🔴損切り"))))))))</f>
        <v/>
      </c>
      <c r="T343" s="597"/>
      <c r="U343" s="599"/>
      <c r="V343" s="704" t="str">
        <f>IF(OR(F343="",G343="",U343=""),"",IF(C343="売",(F343-U343)*G343,(U343-F343)*G343))</f>
        <v/>
      </c>
      <c r="W343" s="440" t="str">
        <f>IF(OR($E343="",$B343=""),"",IF($T343&lt;&gt;"",$T343-$E343,TODAY()-$E343)+1)</f>
        <v/>
      </c>
      <c r="X343" s="440" t="str">
        <f>IF(OR($AH343="",$AH343="保有中"),"",$AH343)</f>
        <v/>
      </c>
      <c r="Y343">
        <f>IF($B343="","",IF(COUNTIFS($B$4:$B343,$B343,$C$4:$C343,$C343)&gt;1,"⛔重複"&amp;COUNTIFS($B$4:$B343,$B343,$C$4:$C343,$C343)&amp;"回目",""))</f>
      </c>
      <c r="AB343">
        <f>IF($F343="","",MAX(100,ROUNDDOWN($AX$4/($F343*$AX$2)/100,0)*100))</f>
      </c>
      <c r="AC343">
        <f>IF(OR($F343="",$G343="",$U343=""),"",ROUND($V343-($F343+$U343)*$G343*$AX$6-IF($C343="売",$F343*$G343*$AX$7*$W343/365,0),0))</f>
      </c>
      <c r="AD343" s="608"/>
      <c r="AE343" s="600" t="str">
        <f>IF($E343="","",WORKDAY($E343,12))</f>
        <v/>
      </c>
      <c r="AF343" s="600"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0"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0" t="str">
        <f>IF(OR($B343="",$M343=""),"",IF(AND(N($AF343)=0,N($AG343)=0),IF(AND(ISNUMBER($H343),$H343&gt;0,IF($C343="売",$H343&gt;=$N343,$H343&lt;=$N343)),"損切確定",IF(AND(ISNUMBER($H343),$H343&gt;0,IF($C343="売",$H343&lt;=$M343,$H343&gt;=$M343)),"利益確定",IF($AE343&lt;=TODAY(),"日数制限","保有中"))),IF(N($AG343)=0,"利益確定",IF(N($AF343)=0,"損切確定",IF($AG343&lt;=$AF343,"損切確定","利益確定")))))</f>
        <v/>
      </c>
      <c r="AI343" s="600" t="str" cm="1">
        <f t="array" ref="AI343">IFERROR(INDEX(始値!$E$6:$BT$305,MATCH(TEXT($B343,"0"),TEXT(銘柄管理!$B$6:$B$305,"0"),0),MATCH($AE343,始値!$E$3:$BT$3,0)),"")</f>
        <v/>
      </c>
      <c r="AJ343" s="608" t="str">
        <f>IF(OR($V343="",$F343="",$G343=""),"",$V343/($F343*$G343))</f>
        <v/>
      </c>
      <c r="AK343" s="600" t="str">
        <f>IF($V343="","",IF($V343&gt;0,"○勝",IF($V343&lt;0,"●負","△引分")))</f>
        <v/>
      </c>
    </row>
    <row r="344" spans="1:37" ht="17.25" customHeight="1">
      <c r="A344" s="622" t="str">
        <f>IF(B344="","",HYPERLINK("https://kabutan.jp/stock/?code="&amp;B344,"株探"))</f>
        <v/>
      </c>
      <c r="D344" s="440" t="str" cm="1">
        <f t="array" ref="D344">_xll.RssMarket(B344, "銘柄名称")</f>
        <v/>
      </c>
      <c r="E344" s="717"/>
      <c r="F344" s="6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IF(OR(F344="",G344="",H344=""),"",IF(C344="売",(F344-H344)*G344,(H344-F344)*G344))</f>
        <v/>
      </c>
      <c r="L344" s="709" t="str">
        <f>IF(OR(F344="",H344=""),"",IF(C344="売",(F344-H344)/F344,(H344-F344)/F344))</f>
        <v/>
      </c>
      <c r="M344" s="599" t="str">
        <f>IF($F344="","",IF($C344="売",CEILING($F344*IF($C344="売",1-$AX$3,1+$AX$3),IF($F344*IF($C344="売",1-$AX$3,1+$AX$3)&lt;=3000,1,IF($F344*IF($C344="売",1-$AX$3,1+$AX$3)&lt;=5000,5,IF($F344*IF($C344="売",1-$AX$3,1+$AX$3)&lt;=30000,10,IF($F344*IF($C344="売",1-$AX$3,1+$AX$3)&lt;=50000,50,IF($F344*IF($C344="売",1-$AX$3,1+$AX$3)&lt;=300000,100,500)))))),FLOOR($F344*IF($C344="売",1-$AX$3,1+$AX$3),IF($F344*IF($C344="売",1-$AX$3,1+$AX$3)&lt;=3000,1,IF($F344*IF($C344="売",1-$AX$3,1+$AX$3)&lt;=5000,5,IF($F344*IF($C344="売",1-$AX$3,1+$AX$3)&lt;=30000,10,IF($F344*IF($C344="売",1-$AX$3,1+$AX$3)&lt;=50000,50,IF($F344*IF($C344="売",1-$AX$3,1+$AX$3)&lt;=300000,100,500))))))))</f>
      </c>
      <c r="N344" s="599" t="str">
        <f>IF($F344="","",IF($C344="売",CEILING($F344*IF($C344="売",1+$AX$2,1-$AX$2),IF($F344*IF($C344="売",1+$AX$2,1-$AX$2)&lt;=3000,1,IF($F344*IF($C344="売",1+$AX$2,1-$AX$2)&lt;=5000,5,IF($F344*IF($C344="売",1+$AX$2,1-$AX$2)&lt;=30000,10,IF($F344*IF($C344="売",1+$AX$2,1-$AX$2)&lt;=50000,50,IF($F344*IF($C344="売",1+$AX$2,1-$AX$2)&lt;=300000,100,500)))))),FLOOR($F344*IF($C344="売",1+$AX$2,1-$AX$2),IF($F344*IF($C344="売",1+$AX$2,1-$AX$2)&lt;=3000,1,IF($F344*IF($C344="売",1+$AX$2,1-$AX$2)&lt;=5000,5,IF($F344*IF($C344="売",1+$AX$2,1-$AX$2)&lt;=30000,10,IF($F344*IF($C344="売",1+$AX$2,1-$AX$2)&lt;=50000,50,IF($F344*IF($C344="売",1+$AX$2,1-$AX$2)&lt;=300000,100,500))))))))</f>
      </c>
      <c r="O344" s="478" t="str">
        <f>IF(OR($B344="",$F344="",$H344=""),"",IF($S344="✅売却済","―決済済―",IF($C344="売",IF($H344&lt;=$M344,"🟢利確",IF(AND($R344&lt;&gt;"",$H344&gt;=$R344),"🟠TRAIL決済",IF($H344&gt;=$N344,"🔴損切",IF($W344&gt;=$AX$5,"⏱時間決済",IF($H344&gt;=$F344*(1+$AX$2*0.7),"⚠️損切接近","保持継続"))))),IF($H344&gt;=$M344,"🟢利確",IF(AND($R344&lt;&gt;"",$H344&lt;=$R344),"🟠TRAIL決済",IF($H344&lt;=$N344,"🔴損切",IF($W344&gt;=$AX$5,"⏱時間決済",IF($H344&lt;=$F344*(1-$AX$2*0.7),"⚠️損切接近","保持継続")))))))</f>
      </c>
      <c r="P344" s="445"/>
      <c r="R344" s="440" t="str">
        <f>IF(OR($F344="",$H344="",$N344=""),"",IF($S344="✅売却済","",IF($C344="売",IF($H344&gt;$F344*(1-$AX$2),$N344,CEILING(MIN($N344,IF($Q344="",$N344,$Q344*1.03)),IF($N344&lt;=3000,1,IF($N344&lt;=5000,5,IF($N344&lt;=30000,10,IF($N344&lt;=50000,50,IF($N344&lt;=300000,100,500))))))),IF($H344&lt;$F344*(1+$AX$2),$N344,FLOOR(MAX($N344,IF($P344="",$N344,$P344*0.97)),IF($N344&lt;=3000,1,IF($N344&lt;=5000,5,IF($N344&lt;=30000,10,IF($N344&lt;=50000,50,IF($N344&lt;=300000,100,500))))))))))</f>
      </c>
      <c r="S344" s="440" t="str">
        <f>IF(B344="","",IF(T344&lt;&gt;"","✅売却済",IF(OR(H344="",L344=""),"📌保有中",IF(L344&gt;=0.06,"🟢利確推奨",IF(L344&gt;=0.05,"🟡利確直近",IF(L344&gt;=0.045,"🔵トレーリング検討",IF(L344&gt;-0.03,"📌保有中",IF(L344&gt;-0.04,"⚠️損切注意","🔴損切り"))))))))</f>
        <v/>
      </c>
      <c r="T344" s="597"/>
      <c r="U344" s="599"/>
      <c r="V344" s="704" t="str">
        <f>IF(OR(F344="",G344="",U344=""),"",IF(C344="売",(F344-U344)*G344,(U344-F344)*G344))</f>
        <v/>
      </c>
      <c r="W344" s="440" t="str">
        <f>IF(OR($E344="",$B344=""),"",IF($T344&lt;&gt;"",$T344-$E344,TODAY()-$E344)+1)</f>
        <v/>
      </c>
      <c r="X344" s="440" t="str">
        <f>IF(OR($AH344="",$AH344="保有中"),"",$AH344)</f>
        <v/>
      </c>
      <c r="Y344">
        <f>IF($B344="","",IF(COUNTIFS($B$4:$B344,$B344,$C$4:$C344,$C344)&gt;1,"⛔重複"&amp;COUNTIFS($B$4:$B344,$B344,$C$4:$C344,$C344)&amp;"回目",""))</f>
      </c>
      <c r="AB344">
        <f>IF($F344="","",MAX(100,ROUNDDOWN($AX$4/($F344*$AX$2)/100,0)*100))</f>
      </c>
      <c r="AC344">
        <f>IF(OR($F344="",$G344="",$U344=""),"",ROUND($V344-($F344+$U344)*$G344*$AX$6-IF($C344="売",$F344*$G344*$AX$7*$W344/365,0),0))</f>
      </c>
      <c r="AD344" s="608"/>
      <c r="AE344" s="600" t="str">
        <f>IF($E344="","",WORKDAY($E344,12))</f>
        <v/>
      </c>
      <c r="AF344" s="600"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0"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0" t="str">
        <f>IF(OR($B344="",$M344=""),"",IF(AND(N($AF344)=0,N($AG344)=0),IF(AND(ISNUMBER($H344),$H344&gt;0,IF($C344="売",$H344&gt;=$N344,$H344&lt;=$N344)),"損切確定",IF(AND(ISNUMBER($H344),$H344&gt;0,IF($C344="売",$H344&lt;=$M344,$H344&gt;=$M344)),"利益確定",IF($AE344&lt;=TODAY(),"日数制限","保有中"))),IF(N($AG344)=0,"利益確定",IF(N($AF344)=0,"損切確定",IF($AG344&lt;=$AF344,"損切確定","利益確定")))))</f>
        <v/>
      </c>
      <c r="AI344" s="600" t="str" cm="1">
        <f t="array" ref="AI344">IFERROR(INDEX(始値!$E$6:$BT$305,MATCH(TEXT($B344,"0"),TEXT(銘柄管理!$B$6:$B$305,"0"),0),MATCH($AE344,始値!$E$3:$BT$3,0)),"")</f>
        <v/>
      </c>
      <c r="AJ344" s="608" t="str">
        <f>IF(OR($V344="",$F344="",$G344=""),"",$V344/($F344*$G344))</f>
        <v/>
      </c>
      <c r="AK344" s="600" t="str">
        <f>IF($V344="","",IF($V344&gt;0,"○勝",IF($V344&lt;0,"●負","△引分")))</f>
        <v/>
      </c>
    </row>
    <row r="345" spans="1:37" ht="17.25" customHeight="1">
      <c r="A345" s="622" t="str">
        <f>IF(B345="","",HYPERLINK("https://kabutan.jp/stock/?code="&amp;B345,"株探"))</f>
        <v/>
      </c>
      <c r="D345" s="440" t="str" cm="1">
        <f t="array" ref="D345">_xll.RssMarket(B345, "銘柄名称")</f>
        <v/>
      </c>
      <c r="E345" s="717"/>
      <c r="F345" s="6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IF(OR(F345="",G345="",H345=""),"",IF(C345="売",(F345-H345)*G345,(H345-F345)*G345))</f>
        <v/>
      </c>
      <c r="L345" s="709" t="str">
        <f>IF(OR(F345="",H345=""),"",IF(C345="売",(F345-H345)/F345,(H345-F345)/F345))</f>
        <v/>
      </c>
      <c r="M345" s="599" t="str">
        <f>IF($F345="","",IF($C345="売",CEILING($F345*IF($C345="売",1-$AX$3,1+$AX$3),IF($F345*IF($C345="売",1-$AX$3,1+$AX$3)&lt;=3000,1,IF($F345*IF($C345="売",1-$AX$3,1+$AX$3)&lt;=5000,5,IF($F345*IF($C345="売",1-$AX$3,1+$AX$3)&lt;=30000,10,IF($F345*IF($C345="売",1-$AX$3,1+$AX$3)&lt;=50000,50,IF($F345*IF($C345="売",1-$AX$3,1+$AX$3)&lt;=300000,100,500)))))),FLOOR($F345*IF($C345="売",1-$AX$3,1+$AX$3),IF($F345*IF($C345="売",1-$AX$3,1+$AX$3)&lt;=3000,1,IF($F345*IF($C345="売",1-$AX$3,1+$AX$3)&lt;=5000,5,IF($F345*IF($C345="売",1-$AX$3,1+$AX$3)&lt;=30000,10,IF($F345*IF($C345="売",1-$AX$3,1+$AX$3)&lt;=50000,50,IF($F345*IF($C345="売",1-$AX$3,1+$AX$3)&lt;=300000,100,500))))))))</f>
      </c>
      <c r="N345" s="599" t="str">
        <f>IF($F345="","",IF($C345="売",CEILING($F345*IF($C345="売",1+$AX$2,1-$AX$2),IF($F345*IF($C345="売",1+$AX$2,1-$AX$2)&lt;=3000,1,IF($F345*IF($C345="売",1+$AX$2,1-$AX$2)&lt;=5000,5,IF($F345*IF($C345="売",1+$AX$2,1-$AX$2)&lt;=30000,10,IF($F345*IF($C345="売",1+$AX$2,1-$AX$2)&lt;=50000,50,IF($F345*IF($C345="売",1+$AX$2,1-$AX$2)&lt;=300000,100,500)))))),FLOOR($F345*IF($C345="売",1+$AX$2,1-$AX$2),IF($F345*IF($C345="売",1+$AX$2,1-$AX$2)&lt;=3000,1,IF($F345*IF($C345="売",1+$AX$2,1-$AX$2)&lt;=5000,5,IF($F345*IF($C345="売",1+$AX$2,1-$AX$2)&lt;=30000,10,IF($F345*IF($C345="売",1+$AX$2,1-$AX$2)&lt;=50000,50,IF($F345*IF($C345="売",1+$AX$2,1-$AX$2)&lt;=300000,100,500))))))))</f>
      </c>
      <c r="O345" s="478" t="str">
        <f>IF(OR($B345="",$F345="",$H345=""),"",IF($S345="✅売却済","―決済済―",IF($C345="売",IF($H345&lt;=$M345,"🟢利確",IF(AND($R345&lt;&gt;"",$H345&gt;=$R345),"🟠TRAIL決済",IF($H345&gt;=$N345,"🔴損切",IF($W345&gt;=$AX$5,"⏱時間決済",IF($H345&gt;=$F345*(1+$AX$2*0.7),"⚠️損切接近","保持継続"))))),IF($H345&gt;=$M345,"🟢利確",IF(AND($R345&lt;&gt;"",$H345&lt;=$R345),"🟠TRAIL決済",IF($H345&lt;=$N345,"🔴損切",IF($W345&gt;=$AX$5,"⏱時間決済",IF($H345&lt;=$F345*(1-$AX$2*0.7),"⚠️損切接近","保持継続")))))))</f>
      </c>
      <c r="P345" s="445"/>
      <c r="R345" s="440" t="str">
        <f>IF(OR($F345="",$H345="",$N345=""),"",IF($S345="✅売却済","",IF($C345="売",IF($H345&gt;$F345*(1-$AX$2),$N345,CEILING(MIN($N345,IF($Q345="",$N345,$Q345*1.03)),IF($N345&lt;=3000,1,IF($N345&lt;=5000,5,IF($N345&lt;=30000,10,IF($N345&lt;=50000,50,IF($N345&lt;=300000,100,500))))))),IF($H345&lt;$F345*(1+$AX$2),$N345,FLOOR(MAX($N345,IF($P345="",$N345,$P345*0.97)),IF($N345&lt;=3000,1,IF($N345&lt;=5000,5,IF($N345&lt;=30000,10,IF($N345&lt;=50000,50,IF($N345&lt;=300000,100,500))))))))))</f>
      </c>
      <c r="S345" s="440" t="str">
        <f>IF(B345="","",IF(T345&lt;&gt;"","✅売却済",IF(OR(H345="",L345=""),"📌保有中",IF(L345&gt;=0.06,"🟢利確推奨",IF(L345&gt;=0.05,"🟡利確直近",IF(L345&gt;=0.045,"🔵トレーリング検討",IF(L345&gt;-0.03,"📌保有中",IF(L345&gt;-0.04,"⚠️損切注意","🔴損切り"))))))))</f>
        <v/>
      </c>
      <c r="T345" s="597"/>
      <c r="U345" s="599"/>
      <c r="V345" s="704" t="str">
        <f>IF(OR(F345="",G345="",U345=""),"",IF(C345="売",(F345-U345)*G345,(U345-F345)*G345))</f>
        <v/>
      </c>
      <c r="W345" s="440" t="str">
        <f>IF(OR($E345="",$B345=""),"",IF($T345&lt;&gt;"",$T345-$E345,TODAY()-$E345)+1)</f>
        <v/>
      </c>
      <c r="X345" s="440" t="str">
        <f>IF(OR($AH345="",$AH345="保有中"),"",$AH345)</f>
        <v/>
      </c>
      <c r="Y345">
        <f>IF($B345="","",IF(COUNTIFS($B$4:$B345,$B345,$C$4:$C345,$C345)&gt;1,"⛔重複"&amp;COUNTIFS($B$4:$B345,$B345,$C$4:$C345,$C345)&amp;"回目",""))</f>
      </c>
      <c r="AB345">
        <f>IF($F345="","",MAX(100,ROUNDDOWN($AX$4/($F345*$AX$2)/100,0)*100))</f>
      </c>
      <c r="AC345">
        <f>IF(OR($F345="",$G345="",$U345=""),"",ROUND($V345-($F345+$U345)*$G345*$AX$6-IF($C345="売",$F345*$G345*$AX$7*$W345/365,0),0))</f>
      </c>
      <c r="AD345" s="608"/>
      <c r="AE345" s="600" t="str">
        <f>IF($E345="","",WORKDAY($E345,12))</f>
        <v/>
      </c>
      <c r="AF345" s="600"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0"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0" t="str">
        <f>IF(OR($B345="",$M345=""),"",IF(AND(N($AF345)=0,N($AG345)=0),IF(AND(ISNUMBER($H345),$H345&gt;0,IF($C345="売",$H345&gt;=$N345,$H345&lt;=$N345)),"損切確定",IF(AND(ISNUMBER($H345),$H345&gt;0,IF($C345="売",$H345&lt;=$M345,$H345&gt;=$M345)),"利益確定",IF($AE345&lt;=TODAY(),"日数制限","保有中"))),IF(N($AG345)=0,"利益確定",IF(N($AF345)=0,"損切確定",IF($AG345&lt;=$AF345,"損切確定","利益確定")))))</f>
        <v/>
      </c>
      <c r="AI345" s="600" t="str" cm="1">
        <f t="array" ref="AI345">IFERROR(INDEX(始値!$E$6:$BT$305,MATCH(TEXT($B345,"0"),TEXT(銘柄管理!$B$6:$B$305,"0"),0),MATCH($AE345,始値!$E$3:$BT$3,0)),"")</f>
        <v/>
      </c>
      <c r="AJ345" s="608" t="str">
        <f>IF(OR($V345="",$F345="",$G345=""),"",$V345/($F345*$G345))</f>
        <v/>
      </c>
      <c r="AK345" s="600" t="str">
        <f>IF($V345="","",IF($V345&gt;0,"○勝",IF($V345&lt;0,"●負","△引分")))</f>
        <v/>
      </c>
    </row>
    <row r="346" spans="1:37" ht="17.25" customHeight="1">
      <c r="A346" s="622" t="str">
        <f>IF(B346="","",HYPERLINK("https://kabutan.jp/stock/?code="&amp;B346,"株探"))</f>
        <v/>
      </c>
      <c r="D346" s="440" t="str" cm="1">
        <f t="array" ref="D346">_xll.RssMarket(B346, "銘柄名称")</f>
        <v/>
      </c>
      <c r="E346" s="717"/>
      <c r="F346" s="6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IF(OR(F346="",G346="",H346=""),"",IF(C346="売",(F346-H346)*G346,(H346-F346)*G346))</f>
        <v/>
      </c>
      <c r="L346" s="709" t="str">
        <f>IF(OR(F346="",H346=""),"",IF(C346="売",(F346-H346)/F346,(H346-F346)/F346))</f>
        <v/>
      </c>
      <c r="M346" s="599" t="str">
        <f>IF($F346="","",IF($C346="売",CEILING($F346*IF($C346="売",1-$AX$3,1+$AX$3),IF($F346*IF($C346="売",1-$AX$3,1+$AX$3)&lt;=3000,1,IF($F346*IF($C346="売",1-$AX$3,1+$AX$3)&lt;=5000,5,IF($F346*IF($C346="売",1-$AX$3,1+$AX$3)&lt;=30000,10,IF($F346*IF($C346="売",1-$AX$3,1+$AX$3)&lt;=50000,50,IF($F346*IF($C346="売",1-$AX$3,1+$AX$3)&lt;=300000,100,500)))))),FLOOR($F346*IF($C346="売",1-$AX$3,1+$AX$3),IF($F346*IF($C346="売",1-$AX$3,1+$AX$3)&lt;=3000,1,IF($F346*IF($C346="売",1-$AX$3,1+$AX$3)&lt;=5000,5,IF($F346*IF($C346="売",1-$AX$3,1+$AX$3)&lt;=30000,10,IF($F346*IF($C346="売",1-$AX$3,1+$AX$3)&lt;=50000,50,IF($F346*IF($C346="売",1-$AX$3,1+$AX$3)&lt;=300000,100,500))))))))</f>
      </c>
      <c r="N346" s="599" t="str">
        <f>IF($F346="","",IF($C346="売",CEILING($F346*IF($C346="売",1+$AX$2,1-$AX$2),IF($F346*IF($C346="売",1+$AX$2,1-$AX$2)&lt;=3000,1,IF($F346*IF($C346="売",1+$AX$2,1-$AX$2)&lt;=5000,5,IF($F346*IF($C346="売",1+$AX$2,1-$AX$2)&lt;=30000,10,IF($F346*IF($C346="売",1+$AX$2,1-$AX$2)&lt;=50000,50,IF($F346*IF($C346="売",1+$AX$2,1-$AX$2)&lt;=300000,100,500)))))),FLOOR($F346*IF($C346="売",1+$AX$2,1-$AX$2),IF($F346*IF($C346="売",1+$AX$2,1-$AX$2)&lt;=3000,1,IF($F346*IF($C346="売",1+$AX$2,1-$AX$2)&lt;=5000,5,IF($F346*IF($C346="売",1+$AX$2,1-$AX$2)&lt;=30000,10,IF($F346*IF($C346="売",1+$AX$2,1-$AX$2)&lt;=50000,50,IF($F346*IF($C346="売",1+$AX$2,1-$AX$2)&lt;=300000,100,500))))))))</f>
      </c>
      <c r="O346" s="478" t="str">
        <f>IF(OR($B346="",$F346="",$H346=""),"",IF($S346="✅売却済","―決済済―",IF($C346="売",IF($H346&lt;=$M346,"🟢利確",IF(AND($R346&lt;&gt;"",$H346&gt;=$R346),"🟠TRAIL決済",IF($H346&gt;=$N346,"🔴損切",IF($W346&gt;=$AX$5,"⏱時間決済",IF($H346&gt;=$F346*(1+$AX$2*0.7),"⚠️損切接近","保持継続"))))),IF($H346&gt;=$M346,"🟢利確",IF(AND($R346&lt;&gt;"",$H346&lt;=$R346),"🟠TRAIL決済",IF($H346&lt;=$N346,"🔴損切",IF($W346&gt;=$AX$5,"⏱時間決済",IF($H346&lt;=$F346*(1-$AX$2*0.7),"⚠️損切接近","保持継続")))))))</f>
      </c>
      <c r="P346" s="445"/>
      <c r="R346" s="440" t="str">
        <f>IF(OR($F346="",$H346="",$N346=""),"",IF($S346="✅売却済","",IF($C346="売",IF($H346&gt;$F346*(1-$AX$2),$N346,CEILING(MIN($N346,IF($Q346="",$N346,$Q346*1.03)),IF($N346&lt;=3000,1,IF($N346&lt;=5000,5,IF($N346&lt;=30000,10,IF($N346&lt;=50000,50,IF($N346&lt;=300000,100,500))))))),IF($H346&lt;$F346*(1+$AX$2),$N346,FLOOR(MAX($N346,IF($P346="",$N346,$P346*0.97)),IF($N346&lt;=3000,1,IF($N346&lt;=5000,5,IF($N346&lt;=30000,10,IF($N346&lt;=50000,50,IF($N346&lt;=300000,100,500))))))))))</f>
      </c>
      <c r="S346" s="440" t="str">
        <f>IF(B346="","",IF(T346&lt;&gt;"","✅売却済",IF(OR(H346="",L346=""),"📌保有中",IF(L346&gt;=0.06,"🟢利確推奨",IF(L346&gt;=0.05,"🟡利確直近",IF(L346&gt;=0.045,"🔵トレーリング検討",IF(L346&gt;-0.03,"📌保有中",IF(L346&gt;-0.04,"⚠️損切注意","🔴損切り"))))))))</f>
        <v/>
      </c>
      <c r="T346" s="597"/>
      <c r="U346" s="599"/>
      <c r="V346" s="704" t="str">
        <f>IF(OR(F346="",G346="",U346=""),"",IF(C346="売",(F346-U346)*G346,(U346-F346)*G346))</f>
        <v/>
      </c>
      <c r="W346" s="440" t="str">
        <f>IF(OR($E346="",$B346=""),"",IF($T346&lt;&gt;"",$T346-$E346,TODAY()-$E346)+1)</f>
        <v/>
      </c>
      <c r="X346" s="440" t="str">
        <f>IF(OR($AH346="",$AH346="保有中"),"",$AH346)</f>
        <v/>
      </c>
      <c r="Y346">
        <f>IF($B346="","",IF(COUNTIFS($B$4:$B346,$B346,$C$4:$C346,$C346)&gt;1,"⛔重複"&amp;COUNTIFS($B$4:$B346,$B346,$C$4:$C346,$C346)&amp;"回目",""))</f>
      </c>
      <c r="AB346">
        <f>IF($F346="","",MAX(100,ROUNDDOWN($AX$4/($F346*$AX$2)/100,0)*100))</f>
      </c>
      <c r="AC346">
        <f>IF(OR($F346="",$G346="",$U346=""),"",ROUND($V346-($F346+$U346)*$G346*$AX$6-IF($C346="売",$F346*$G346*$AX$7*$W346/365,0),0))</f>
      </c>
      <c r="AD346" s="608"/>
      <c r="AE346" s="600" t="str">
        <f>IF($E346="","",WORKDAY($E346,12))</f>
        <v/>
      </c>
      <c r="AF346" s="600"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0"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0" t="str">
        <f>IF(OR($B346="",$M346=""),"",IF(AND(N($AF346)=0,N($AG346)=0),IF(AND(ISNUMBER($H346),$H346&gt;0,IF($C346="売",$H346&gt;=$N346,$H346&lt;=$N346)),"損切確定",IF(AND(ISNUMBER($H346),$H346&gt;0,IF($C346="売",$H346&lt;=$M346,$H346&gt;=$M346)),"利益確定",IF($AE346&lt;=TODAY(),"日数制限","保有中"))),IF(N($AG346)=0,"利益確定",IF(N($AF346)=0,"損切確定",IF($AG346&lt;=$AF346,"損切確定","利益確定")))))</f>
        <v/>
      </c>
      <c r="AI346" s="600" t="str" cm="1">
        <f t="array" ref="AI346">IFERROR(INDEX(始値!$E$6:$BT$305,MATCH(TEXT($B346,"0"),TEXT(銘柄管理!$B$6:$B$305,"0"),0),MATCH($AE346,始値!$E$3:$BT$3,0)),"")</f>
        <v/>
      </c>
      <c r="AJ346" s="608" t="str">
        <f>IF(OR($V346="",$F346="",$G346=""),"",$V346/($F346*$G346))</f>
        <v/>
      </c>
      <c r="AK346" s="600" t="str">
        <f>IF($V346="","",IF($V346&gt;0,"○勝",IF($V346&lt;0,"●負","△引分")))</f>
        <v/>
      </c>
    </row>
    <row r="347" spans="1:37" ht="17.25" customHeight="1">
      <c r="A347" s="622" t="str">
        <f>IF(B347="","",HYPERLINK("https://kabutan.jp/stock/?code="&amp;B347,"株探"))</f>
        <v/>
      </c>
      <c r="D347" s="440" t="str" cm="1">
        <f t="array" ref="D347">_xll.RssMarket(B347, "銘柄名称")</f>
        <v/>
      </c>
      <c r="E347" s="717"/>
      <c r="F347" s="6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IF(OR(F347="",G347="",H347=""),"",IF(C347="売",(F347-H347)*G347,(H347-F347)*G347))</f>
        <v/>
      </c>
      <c r="L347" s="709" t="str">
        <f>IF(OR(F347="",H347=""),"",IF(C347="売",(F347-H347)/F347,(H347-F347)/F347))</f>
        <v/>
      </c>
      <c r="M347" s="599" t="str">
        <f>IF($F347="","",IF($C347="売",CEILING($F347*IF($C347="売",1-$AX$3,1+$AX$3),IF($F347*IF($C347="売",1-$AX$3,1+$AX$3)&lt;=3000,1,IF($F347*IF($C347="売",1-$AX$3,1+$AX$3)&lt;=5000,5,IF($F347*IF($C347="売",1-$AX$3,1+$AX$3)&lt;=30000,10,IF($F347*IF($C347="売",1-$AX$3,1+$AX$3)&lt;=50000,50,IF($F347*IF($C347="売",1-$AX$3,1+$AX$3)&lt;=300000,100,500)))))),FLOOR($F347*IF($C347="売",1-$AX$3,1+$AX$3),IF($F347*IF($C347="売",1-$AX$3,1+$AX$3)&lt;=3000,1,IF($F347*IF($C347="売",1-$AX$3,1+$AX$3)&lt;=5000,5,IF($F347*IF($C347="売",1-$AX$3,1+$AX$3)&lt;=30000,10,IF($F347*IF($C347="売",1-$AX$3,1+$AX$3)&lt;=50000,50,IF($F347*IF($C347="売",1-$AX$3,1+$AX$3)&lt;=300000,100,500))))))))</f>
      </c>
      <c r="N347" s="599" t="str">
        <f>IF($F347="","",IF($C347="売",CEILING($F347*IF($C347="売",1+$AX$2,1-$AX$2),IF($F347*IF($C347="売",1+$AX$2,1-$AX$2)&lt;=3000,1,IF($F347*IF($C347="売",1+$AX$2,1-$AX$2)&lt;=5000,5,IF($F347*IF($C347="売",1+$AX$2,1-$AX$2)&lt;=30000,10,IF($F347*IF($C347="売",1+$AX$2,1-$AX$2)&lt;=50000,50,IF($F347*IF($C347="売",1+$AX$2,1-$AX$2)&lt;=300000,100,500)))))),FLOOR($F347*IF($C347="売",1+$AX$2,1-$AX$2),IF($F347*IF($C347="売",1+$AX$2,1-$AX$2)&lt;=3000,1,IF($F347*IF($C347="売",1+$AX$2,1-$AX$2)&lt;=5000,5,IF($F347*IF($C347="売",1+$AX$2,1-$AX$2)&lt;=30000,10,IF($F347*IF($C347="売",1+$AX$2,1-$AX$2)&lt;=50000,50,IF($F347*IF($C347="売",1+$AX$2,1-$AX$2)&lt;=300000,100,500))))))))</f>
      </c>
      <c r="O347" s="478" t="str">
        <f>IF(OR($B347="",$F347="",$H347=""),"",IF($S347="✅売却済","―決済済―",IF($C347="売",IF($H347&lt;=$M347,"🟢利確",IF(AND($R347&lt;&gt;"",$H347&gt;=$R347),"🟠TRAIL決済",IF($H347&gt;=$N347,"🔴損切",IF($W347&gt;=$AX$5,"⏱時間決済",IF($H347&gt;=$F347*(1+$AX$2*0.7),"⚠️損切接近","保持継続"))))),IF($H347&gt;=$M347,"🟢利確",IF(AND($R347&lt;&gt;"",$H347&lt;=$R347),"🟠TRAIL決済",IF($H347&lt;=$N347,"🔴損切",IF($W347&gt;=$AX$5,"⏱時間決済",IF($H347&lt;=$F347*(1-$AX$2*0.7),"⚠️損切接近","保持継続")))))))</f>
      </c>
      <c r="P347" s="445"/>
      <c r="R347" s="440" t="str">
        <f>IF(OR($F347="",$H347="",$N347=""),"",IF($S347="✅売却済","",IF($C347="売",IF($H347&gt;$F347*(1-$AX$2),$N347,CEILING(MIN($N347,IF($Q347="",$N347,$Q347*1.03)),IF($N347&lt;=3000,1,IF($N347&lt;=5000,5,IF($N347&lt;=30000,10,IF($N347&lt;=50000,50,IF($N347&lt;=300000,100,500))))))),IF($H347&lt;$F347*(1+$AX$2),$N347,FLOOR(MAX($N347,IF($P347="",$N347,$P347*0.97)),IF($N347&lt;=3000,1,IF($N347&lt;=5000,5,IF($N347&lt;=30000,10,IF($N347&lt;=50000,50,IF($N347&lt;=300000,100,500))))))))))</f>
      </c>
      <c r="S347" s="440" t="str">
        <f>IF(B347="","",IF(T347&lt;&gt;"","✅売却済",IF(OR(H347="",L347=""),"📌保有中",IF(L347&gt;=0.06,"🟢利確推奨",IF(L347&gt;=0.05,"🟡利確直近",IF(L347&gt;=0.045,"🔵トレーリング検討",IF(L347&gt;-0.03,"📌保有中",IF(L347&gt;-0.04,"⚠️損切注意","🔴損切り"))))))))</f>
        <v/>
      </c>
      <c r="T347" s="597"/>
      <c r="U347" s="599"/>
      <c r="V347" s="704" t="str">
        <f>IF(OR(F347="",G347="",U347=""),"",IF(C347="売",(F347-U347)*G347,(U347-F347)*G347))</f>
        <v/>
      </c>
      <c r="W347" s="440" t="str">
        <f>IF(OR($E347="",$B347=""),"",IF($T347&lt;&gt;"",$T347-$E347,TODAY()-$E347)+1)</f>
        <v/>
      </c>
      <c r="X347" s="440" t="str">
        <f>IF(OR($AH347="",$AH347="保有中"),"",$AH347)</f>
        <v/>
      </c>
      <c r="Y347">
        <f>IF($B347="","",IF(COUNTIFS($B$4:$B347,$B347,$C$4:$C347,$C347)&gt;1,"⛔重複"&amp;COUNTIFS($B$4:$B347,$B347,$C$4:$C347,$C347)&amp;"回目",""))</f>
      </c>
      <c r="AB347">
        <f>IF($F347="","",MAX(100,ROUNDDOWN($AX$4/($F347*$AX$2)/100,0)*100))</f>
      </c>
      <c r="AC347">
        <f>IF(OR($F347="",$G347="",$U347=""),"",ROUND($V347-($F347+$U347)*$G347*$AX$6-IF($C347="売",$F347*$G347*$AX$7*$W347/365,0),0))</f>
      </c>
      <c r="AD347" s="608"/>
      <c r="AE347" s="600" t="str">
        <f>IF($E347="","",WORKDAY($E347,12))</f>
        <v/>
      </c>
      <c r="AF347" s="600"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0"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0" t="str">
        <f>IF(OR($B347="",$M347=""),"",IF(AND(N($AF347)=0,N($AG347)=0),IF(AND(ISNUMBER($H347),$H347&gt;0,IF($C347="売",$H347&gt;=$N347,$H347&lt;=$N347)),"損切確定",IF(AND(ISNUMBER($H347),$H347&gt;0,IF($C347="売",$H347&lt;=$M347,$H347&gt;=$M347)),"利益確定",IF($AE347&lt;=TODAY(),"日数制限","保有中"))),IF(N($AG347)=0,"利益確定",IF(N($AF347)=0,"損切確定",IF($AG347&lt;=$AF347,"損切確定","利益確定")))))</f>
        <v/>
      </c>
      <c r="AI347" s="600" t="str" cm="1">
        <f t="array" ref="AI347">IFERROR(INDEX(始値!$E$6:$BT$305,MATCH(TEXT($B347,"0"),TEXT(銘柄管理!$B$6:$B$305,"0"),0),MATCH($AE347,始値!$E$3:$BT$3,0)),"")</f>
        <v/>
      </c>
      <c r="AJ347" s="608" t="str">
        <f>IF(OR($V347="",$F347="",$G347=""),"",$V347/($F347*$G347))</f>
        <v/>
      </c>
      <c r="AK347" s="600" t="str">
        <f>IF($V347="","",IF($V347&gt;0,"○勝",IF($V347&lt;0,"●負","△引分")))</f>
        <v/>
      </c>
    </row>
    <row r="348" spans="1:37" ht="17.25" customHeight="1">
      <c r="A348" s="622" t="str">
        <f>IF(B348="","",HYPERLINK("https://kabutan.jp/stock/?code="&amp;B348,"株探"))</f>
        <v/>
      </c>
      <c r="D348" s="440" t="str" cm="1">
        <f t="array" ref="D348">_xll.RssMarket(B348, "銘柄名称")</f>
        <v/>
      </c>
      <c r="E348" s="717"/>
      <c r="F348" s="6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IF(OR(F348="",G348="",H348=""),"",IF(C348="売",(F348-H348)*G348,(H348-F348)*G348))</f>
        <v/>
      </c>
      <c r="L348" s="709" t="str">
        <f>IF(OR(F348="",H348=""),"",IF(C348="売",(F348-H348)/F348,(H348-F348)/F348))</f>
        <v/>
      </c>
      <c r="M348" s="599" t="str">
        <f>IF($F348="","",IF($C348="売",CEILING($F348*IF($C348="売",1-$AX$3,1+$AX$3),IF($F348*IF($C348="売",1-$AX$3,1+$AX$3)&lt;=3000,1,IF($F348*IF($C348="売",1-$AX$3,1+$AX$3)&lt;=5000,5,IF($F348*IF($C348="売",1-$AX$3,1+$AX$3)&lt;=30000,10,IF($F348*IF($C348="売",1-$AX$3,1+$AX$3)&lt;=50000,50,IF($F348*IF($C348="売",1-$AX$3,1+$AX$3)&lt;=300000,100,500)))))),FLOOR($F348*IF($C348="売",1-$AX$3,1+$AX$3),IF($F348*IF($C348="売",1-$AX$3,1+$AX$3)&lt;=3000,1,IF($F348*IF($C348="売",1-$AX$3,1+$AX$3)&lt;=5000,5,IF($F348*IF($C348="売",1-$AX$3,1+$AX$3)&lt;=30000,10,IF($F348*IF($C348="売",1-$AX$3,1+$AX$3)&lt;=50000,50,IF($F348*IF($C348="売",1-$AX$3,1+$AX$3)&lt;=300000,100,500))))))))</f>
      </c>
      <c r="N348" s="599" t="str">
        <f>IF($F348="","",IF($C348="売",CEILING($F348*IF($C348="売",1+$AX$2,1-$AX$2),IF($F348*IF($C348="売",1+$AX$2,1-$AX$2)&lt;=3000,1,IF($F348*IF($C348="売",1+$AX$2,1-$AX$2)&lt;=5000,5,IF($F348*IF($C348="売",1+$AX$2,1-$AX$2)&lt;=30000,10,IF($F348*IF($C348="売",1+$AX$2,1-$AX$2)&lt;=50000,50,IF($F348*IF($C348="売",1+$AX$2,1-$AX$2)&lt;=300000,100,500)))))),FLOOR($F348*IF($C348="売",1+$AX$2,1-$AX$2),IF($F348*IF($C348="売",1+$AX$2,1-$AX$2)&lt;=3000,1,IF($F348*IF($C348="売",1+$AX$2,1-$AX$2)&lt;=5000,5,IF($F348*IF($C348="売",1+$AX$2,1-$AX$2)&lt;=30000,10,IF($F348*IF($C348="売",1+$AX$2,1-$AX$2)&lt;=50000,50,IF($F348*IF($C348="売",1+$AX$2,1-$AX$2)&lt;=300000,100,500))))))))</f>
      </c>
      <c r="O348" s="478" t="str">
        <f>IF(OR($B348="",$F348="",$H348=""),"",IF($S348="✅売却済","―決済済―",IF($C348="売",IF($H348&lt;=$M348,"🟢利確",IF(AND($R348&lt;&gt;"",$H348&gt;=$R348),"🟠TRAIL決済",IF($H348&gt;=$N348,"🔴損切",IF($W348&gt;=$AX$5,"⏱時間決済",IF($H348&gt;=$F348*(1+$AX$2*0.7),"⚠️損切接近","保持継続"))))),IF($H348&gt;=$M348,"🟢利確",IF(AND($R348&lt;&gt;"",$H348&lt;=$R348),"🟠TRAIL決済",IF($H348&lt;=$N348,"🔴損切",IF($W348&gt;=$AX$5,"⏱時間決済",IF($H348&lt;=$F348*(1-$AX$2*0.7),"⚠️損切接近","保持継続")))))))</f>
      </c>
      <c r="P348" s="445"/>
      <c r="R348" s="440" t="str">
        <f>IF(OR($F348="",$H348="",$N348=""),"",IF($S348="✅売却済","",IF($C348="売",IF($H348&gt;$F348*(1-$AX$2),$N348,CEILING(MIN($N348,IF($Q348="",$N348,$Q348*1.03)),IF($N348&lt;=3000,1,IF($N348&lt;=5000,5,IF($N348&lt;=30000,10,IF($N348&lt;=50000,50,IF($N348&lt;=300000,100,500))))))),IF($H348&lt;$F348*(1+$AX$2),$N348,FLOOR(MAX($N348,IF($P348="",$N348,$P348*0.97)),IF($N348&lt;=3000,1,IF($N348&lt;=5000,5,IF($N348&lt;=30000,10,IF($N348&lt;=50000,50,IF($N348&lt;=300000,100,500))))))))))</f>
      </c>
      <c r="S348" s="440" t="str">
        <f>IF(B348="","",IF(T348&lt;&gt;"","✅売却済",IF(OR(H348="",L348=""),"📌保有中",IF(L348&gt;=0.06,"🟢利確推奨",IF(L348&gt;=0.05,"🟡利確直近",IF(L348&gt;=0.045,"🔵トレーリング検討",IF(L348&gt;-0.03,"📌保有中",IF(L348&gt;-0.04,"⚠️損切注意","🔴損切り"))))))))</f>
        <v/>
      </c>
      <c r="T348" s="597"/>
      <c r="U348" s="599"/>
      <c r="V348" s="704" t="str">
        <f>IF(OR(F348="",G348="",U348=""),"",IF(C348="売",(F348-U348)*G348,(U348-F348)*G348))</f>
        <v/>
      </c>
      <c r="W348" s="440" t="str">
        <f>IF(OR($E348="",$B348=""),"",IF($T348&lt;&gt;"",$T348-$E348,TODAY()-$E348)+1)</f>
        <v/>
      </c>
      <c r="X348" s="440" t="str">
        <f>IF(OR($AH348="",$AH348="保有中"),"",$AH348)</f>
        <v/>
      </c>
      <c r="Y348">
        <f>IF($B348="","",IF(COUNTIFS($B$4:$B348,$B348,$C$4:$C348,$C348)&gt;1,"⛔重複"&amp;COUNTIFS($B$4:$B348,$B348,$C$4:$C348,$C348)&amp;"回目",""))</f>
      </c>
      <c r="AB348">
        <f>IF($F348="","",MAX(100,ROUNDDOWN($AX$4/($F348*$AX$2)/100,0)*100))</f>
      </c>
      <c r="AC348">
        <f>IF(OR($F348="",$G348="",$U348=""),"",ROUND($V348-($F348+$U348)*$G348*$AX$6-IF($C348="売",$F348*$G348*$AX$7*$W348/365,0),0))</f>
      </c>
      <c r="AD348" s="608"/>
      <c r="AE348" s="600" t="str">
        <f>IF($E348="","",WORKDAY($E348,12))</f>
        <v/>
      </c>
      <c r="AF348" s="600"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0"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0" t="str">
        <f>IF(OR($B348="",$M348=""),"",IF(AND(N($AF348)=0,N($AG348)=0),IF(AND(ISNUMBER($H348),$H348&gt;0,IF($C348="売",$H348&gt;=$N348,$H348&lt;=$N348)),"損切確定",IF(AND(ISNUMBER($H348),$H348&gt;0,IF($C348="売",$H348&lt;=$M348,$H348&gt;=$M348)),"利益確定",IF($AE348&lt;=TODAY(),"日数制限","保有中"))),IF(N($AG348)=0,"利益確定",IF(N($AF348)=0,"損切確定",IF($AG348&lt;=$AF348,"損切確定","利益確定")))))</f>
        <v/>
      </c>
      <c r="AI348" s="600" t="str" cm="1">
        <f t="array" ref="AI348">IFERROR(INDEX(始値!$E$6:$BT$305,MATCH(TEXT($B348,"0"),TEXT(銘柄管理!$B$6:$B$305,"0"),0),MATCH($AE348,始値!$E$3:$BT$3,0)),"")</f>
        <v/>
      </c>
      <c r="AJ348" s="608" t="str">
        <f>IF(OR($V348="",$F348="",$G348=""),"",$V348/($F348*$G348))</f>
        <v/>
      </c>
      <c r="AK348" s="600" t="str">
        <f>IF($V348="","",IF($V348&gt;0,"○勝",IF($V348&lt;0,"●負","△引分")))</f>
        <v/>
      </c>
    </row>
    <row r="349" spans="1:37" ht="17.25" customHeight="1">
      <c r="A349" s="622" t="str">
        <f>IF(B349="","",HYPERLINK("https://kabutan.jp/stock/?code="&amp;B349,"株探"))</f>
        <v/>
      </c>
      <c r="D349" s="440" t="str" cm="1">
        <f t="array" ref="D349">_xll.RssMarket(B349, "銘柄名称")</f>
        <v/>
      </c>
      <c r="E349" s="717"/>
      <c r="F349" s="6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IF(OR(F349="",G349="",H349=""),"",IF(C349="売",(F349-H349)*G349,(H349-F349)*G349))</f>
        <v/>
      </c>
      <c r="L349" s="709" t="str">
        <f>IF(OR(F349="",H349=""),"",IF(C349="売",(F349-H349)/F349,(H349-F349)/F349))</f>
        <v/>
      </c>
      <c r="M349" s="599" t="str">
        <f>IF($F349="","",IF($C349="売",CEILING($F349*IF($C349="売",1-$AX$3,1+$AX$3),IF($F349*IF($C349="売",1-$AX$3,1+$AX$3)&lt;=3000,1,IF($F349*IF($C349="売",1-$AX$3,1+$AX$3)&lt;=5000,5,IF($F349*IF($C349="売",1-$AX$3,1+$AX$3)&lt;=30000,10,IF($F349*IF($C349="売",1-$AX$3,1+$AX$3)&lt;=50000,50,IF($F349*IF($C349="売",1-$AX$3,1+$AX$3)&lt;=300000,100,500)))))),FLOOR($F349*IF($C349="売",1-$AX$3,1+$AX$3),IF($F349*IF($C349="売",1-$AX$3,1+$AX$3)&lt;=3000,1,IF($F349*IF($C349="売",1-$AX$3,1+$AX$3)&lt;=5000,5,IF($F349*IF($C349="売",1-$AX$3,1+$AX$3)&lt;=30000,10,IF($F349*IF($C349="売",1-$AX$3,1+$AX$3)&lt;=50000,50,IF($F349*IF($C349="売",1-$AX$3,1+$AX$3)&lt;=300000,100,500))))))))</f>
      </c>
      <c r="N349" s="599" t="str">
        <f>IF($F349="","",IF($C349="売",CEILING($F349*IF($C349="売",1+$AX$2,1-$AX$2),IF($F349*IF($C349="売",1+$AX$2,1-$AX$2)&lt;=3000,1,IF($F349*IF($C349="売",1+$AX$2,1-$AX$2)&lt;=5000,5,IF($F349*IF($C349="売",1+$AX$2,1-$AX$2)&lt;=30000,10,IF($F349*IF($C349="売",1+$AX$2,1-$AX$2)&lt;=50000,50,IF($F349*IF($C349="売",1+$AX$2,1-$AX$2)&lt;=300000,100,500)))))),FLOOR($F349*IF($C349="売",1+$AX$2,1-$AX$2),IF($F349*IF($C349="売",1+$AX$2,1-$AX$2)&lt;=3000,1,IF($F349*IF($C349="売",1+$AX$2,1-$AX$2)&lt;=5000,5,IF($F349*IF($C349="売",1+$AX$2,1-$AX$2)&lt;=30000,10,IF($F349*IF($C349="売",1+$AX$2,1-$AX$2)&lt;=50000,50,IF($F349*IF($C349="売",1+$AX$2,1-$AX$2)&lt;=300000,100,500))))))))</f>
      </c>
      <c r="O349" s="478" t="str">
        <f>IF(OR($B349="",$F349="",$H349=""),"",IF($S349="✅売却済","―決済済―",IF($C349="売",IF($H349&lt;=$M349,"🟢利確",IF(AND($R349&lt;&gt;"",$H349&gt;=$R349),"🟠TRAIL決済",IF($H349&gt;=$N349,"🔴損切",IF($W349&gt;=$AX$5,"⏱時間決済",IF($H349&gt;=$F349*(1+$AX$2*0.7),"⚠️損切接近","保持継続"))))),IF($H349&gt;=$M349,"🟢利確",IF(AND($R349&lt;&gt;"",$H349&lt;=$R349),"🟠TRAIL決済",IF($H349&lt;=$N349,"🔴損切",IF($W349&gt;=$AX$5,"⏱時間決済",IF($H349&lt;=$F349*(1-$AX$2*0.7),"⚠️損切接近","保持継続")))))))</f>
      </c>
      <c r="P349" s="445"/>
      <c r="R349" s="440" t="str">
        <f>IF(OR($F349="",$H349="",$N349=""),"",IF($S349="✅売却済","",IF($C349="売",IF($H349&gt;$F349*(1-$AX$2),$N349,CEILING(MIN($N349,IF($Q349="",$N349,$Q349*1.03)),IF($N349&lt;=3000,1,IF($N349&lt;=5000,5,IF($N349&lt;=30000,10,IF($N349&lt;=50000,50,IF($N349&lt;=300000,100,500))))))),IF($H349&lt;$F349*(1+$AX$2),$N349,FLOOR(MAX($N349,IF($P349="",$N349,$P349*0.97)),IF($N349&lt;=3000,1,IF($N349&lt;=5000,5,IF($N349&lt;=30000,10,IF($N349&lt;=50000,50,IF($N349&lt;=300000,100,500))))))))))</f>
      </c>
      <c r="S349" s="440" t="str">
        <f>IF(B349="","",IF(T349&lt;&gt;"","✅売却済",IF(OR(H349="",L349=""),"📌保有中",IF(L349&gt;=0.06,"🟢利確推奨",IF(L349&gt;=0.05,"🟡利確直近",IF(L349&gt;=0.045,"🔵トレーリング検討",IF(L349&gt;-0.03,"📌保有中",IF(L349&gt;-0.04,"⚠️損切注意","🔴損切り"))))))))</f>
        <v/>
      </c>
      <c r="T349" s="597"/>
      <c r="U349" s="599"/>
      <c r="V349" s="704" t="str">
        <f>IF(OR(F349="",G349="",U349=""),"",IF(C349="売",(F349-U349)*G349,(U349-F349)*G349))</f>
        <v/>
      </c>
      <c r="W349" s="440" t="str">
        <f>IF(OR($E349="",$B349=""),"",IF($T349&lt;&gt;"",$T349-$E349,TODAY()-$E349)+1)</f>
        <v/>
      </c>
      <c r="X349" s="440" t="str">
        <f>IF(OR($AH349="",$AH349="保有中"),"",$AH349)</f>
        <v/>
      </c>
      <c r="Y349">
        <f>IF($B349="","",IF(COUNTIFS($B$4:$B349,$B349,$C$4:$C349,$C349)&gt;1,"⛔重複"&amp;COUNTIFS($B$4:$B349,$B349,$C$4:$C349,$C349)&amp;"回目",""))</f>
      </c>
      <c r="AB349">
        <f>IF($F349="","",MAX(100,ROUNDDOWN($AX$4/($F349*$AX$2)/100,0)*100))</f>
      </c>
      <c r="AC349">
        <f>IF(OR($F349="",$G349="",$U349=""),"",ROUND($V349-($F349+$U349)*$G349*$AX$6-IF($C349="売",$F349*$G349*$AX$7*$W349/365,0),0))</f>
      </c>
      <c r="AD349" s="608"/>
      <c r="AE349" s="600" t="str">
        <f>IF($E349="","",WORKDAY($E349,12))</f>
        <v/>
      </c>
      <c r="AF349" s="600"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0"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0" t="str">
        <f>IF(OR($B349="",$M349=""),"",IF(AND(N($AF349)=0,N($AG349)=0),IF(AND(ISNUMBER($H349),$H349&gt;0,IF($C349="売",$H349&gt;=$N349,$H349&lt;=$N349)),"損切確定",IF(AND(ISNUMBER($H349),$H349&gt;0,IF($C349="売",$H349&lt;=$M349,$H349&gt;=$M349)),"利益確定",IF($AE349&lt;=TODAY(),"日数制限","保有中"))),IF(N($AG349)=0,"利益確定",IF(N($AF349)=0,"損切確定",IF($AG349&lt;=$AF349,"損切確定","利益確定")))))</f>
        <v/>
      </c>
      <c r="AI349" s="600" t="str" cm="1">
        <f t="array" ref="AI349">IFERROR(INDEX(始値!$E$6:$BT$305,MATCH(TEXT($B349,"0"),TEXT(銘柄管理!$B$6:$B$305,"0"),0),MATCH($AE349,始値!$E$3:$BT$3,0)),"")</f>
        <v/>
      </c>
      <c r="AJ349" s="608" t="str">
        <f>IF(OR($V349="",$F349="",$G349=""),"",$V349/($F349*$G349))</f>
        <v/>
      </c>
      <c r="AK349" s="600" t="str">
        <f>IF($V349="","",IF($V349&gt;0,"○勝",IF($V349&lt;0,"●負","△引分")))</f>
        <v/>
      </c>
    </row>
    <row r="350" spans="1:37" ht="17.25" customHeight="1">
      <c r="A350" s="622" t="str">
        <f>IF(B350="","",HYPERLINK("https://kabutan.jp/stock/?code="&amp;B350,"株探"))</f>
        <v/>
      </c>
      <c r="D350" s="440" t="str" cm="1">
        <f t="array" ref="D350">_xll.RssMarket(B350, "銘柄名称")</f>
        <v/>
      </c>
      <c r="E350" s="717"/>
      <c r="F350" s="6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IF(OR(F350="",G350="",H350=""),"",IF(C350="売",(F350-H350)*G350,(H350-F350)*G350))</f>
        <v/>
      </c>
      <c r="L350" s="709" t="str">
        <f>IF(OR(F350="",H350=""),"",IF(C350="売",(F350-H350)/F350,(H350-F350)/F350))</f>
        <v/>
      </c>
      <c r="M350" s="599" t="str">
        <f>IF($F350="","",IF($C350="売",CEILING($F350*IF($C350="売",1-$AX$3,1+$AX$3),IF($F350*IF($C350="売",1-$AX$3,1+$AX$3)&lt;=3000,1,IF($F350*IF($C350="売",1-$AX$3,1+$AX$3)&lt;=5000,5,IF($F350*IF($C350="売",1-$AX$3,1+$AX$3)&lt;=30000,10,IF($F350*IF($C350="売",1-$AX$3,1+$AX$3)&lt;=50000,50,IF($F350*IF($C350="売",1-$AX$3,1+$AX$3)&lt;=300000,100,500)))))),FLOOR($F350*IF($C350="売",1-$AX$3,1+$AX$3),IF($F350*IF($C350="売",1-$AX$3,1+$AX$3)&lt;=3000,1,IF($F350*IF($C350="売",1-$AX$3,1+$AX$3)&lt;=5000,5,IF($F350*IF($C350="売",1-$AX$3,1+$AX$3)&lt;=30000,10,IF($F350*IF($C350="売",1-$AX$3,1+$AX$3)&lt;=50000,50,IF($F350*IF($C350="売",1-$AX$3,1+$AX$3)&lt;=300000,100,500))))))))</f>
      </c>
      <c r="N350" s="599" t="str">
        <f>IF($F350="","",IF($C350="売",CEILING($F350*IF($C350="売",1+$AX$2,1-$AX$2),IF($F350*IF($C350="売",1+$AX$2,1-$AX$2)&lt;=3000,1,IF($F350*IF($C350="売",1+$AX$2,1-$AX$2)&lt;=5000,5,IF($F350*IF($C350="売",1+$AX$2,1-$AX$2)&lt;=30000,10,IF($F350*IF($C350="売",1+$AX$2,1-$AX$2)&lt;=50000,50,IF($F350*IF($C350="売",1+$AX$2,1-$AX$2)&lt;=300000,100,500)))))),FLOOR($F350*IF($C350="売",1+$AX$2,1-$AX$2),IF($F350*IF($C350="売",1+$AX$2,1-$AX$2)&lt;=3000,1,IF($F350*IF($C350="売",1+$AX$2,1-$AX$2)&lt;=5000,5,IF($F350*IF($C350="売",1+$AX$2,1-$AX$2)&lt;=30000,10,IF($F350*IF($C350="売",1+$AX$2,1-$AX$2)&lt;=50000,50,IF($F350*IF($C350="売",1+$AX$2,1-$AX$2)&lt;=300000,100,500))))))))</f>
      </c>
      <c r="O350" s="478" t="str">
        <f>IF(OR($B350="",$F350="",$H350=""),"",IF($S350="✅売却済","―決済済―",IF($C350="売",IF($H350&lt;=$M350,"🟢利確",IF(AND($R350&lt;&gt;"",$H350&gt;=$R350),"🟠TRAIL決済",IF($H350&gt;=$N350,"🔴損切",IF($W350&gt;=$AX$5,"⏱時間決済",IF($H350&gt;=$F350*(1+$AX$2*0.7),"⚠️損切接近","保持継続"))))),IF($H350&gt;=$M350,"🟢利確",IF(AND($R350&lt;&gt;"",$H350&lt;=$R350),"🟠TRAIL決済",IF($H350&lt;=$N350,"🔴損切",IF($W350&gt;=$AX$5,"⏱時間決済",IF($H350&lt;=$F350*(1-$AX$2*0.7),"⚠️損切接近","保持継続")))))))</f>
      </c>
      <c r="P350" s="445"/>
      <c r="R350" s="440" t="str">
        <f>IF(OR($F350="",$H350="",$N350=""),"",IF($S350="✅売却済","",IF($C350="売",IF($H350&gt;$F350*(1-$AX$2),$N350,CEILING(MIN($N350,IF($Q350="",$N350,$Q350*1.03)),IF($N350&lt;=3000,1,IF($N350&lt;=5000,5,IF($N350&lt;=30000,10,IF($N350&lt;=50000,50,IF($N350&lt;=300000,100,500))))))),IF($H350&lt;$F350*(1+$AX$2),$N350,FLOOR(MAX($N350,IF($P350="",$N350,$P350*0.97)),IF($N350&lt;=3000,1,IF($N350&lt;=5000,5,IF($N350&lt;=30000,10,IF($N350&lt;=50000,50,IF($N350&lt;=300000,100,500))))))))))</f>
      </c>
      <c r="S350" s="440" t="str">
        <f>IF(B350="","",IF(T350&lt;&gt;"","✅売却済",IF(OR(H350="",L350=""),"📌保有中",IF(L350&gt;=0.06,"🟢利確推奨",IF(L350&gt;=0.05,"🟡利確直近",IF(L350&gt;=0.045,"🔵トレーリング検討",IF(L350&gt;-0.03,"📌保有中",IF(L350&gt;-0.04,"⚠️損切注意","🔴損切り"))))))))</f>
        <v/>
      </c>
      <c r="T350" s="597"/>
      <c r="U350" s="599"/>
      <c r="V350" s="704" t="str">
        <f>IF(OR(F350="",G350="",U350=""),"",IF(C350="売",(F350-U350)*G350,(U350-F350)*G350))</f>
        <v/>
      </c>
      <c r="W350" s="440" t="str">
        <f>IF(OR($E350="",$B350=""),"",IF($T350&lt;&gt;"",$T350-$E350,TODAY()-$E350)+1)</f>
        <v/>
      </c>
      <c r="X350" s="440" t="str">
        <f>IF(OR($AH350="",$AH350="保有中"),"",$AH350)</f>
        <v/>
      </c>
      <c r="Y350">
        <f>IF($B350="","",IF(COUNTIFS($B$4:$B350,$B350,$C$4:$C350,$C350)&gt;1,"⛔重複"&amp;COUNTIFS($B$4:$B350,$B350,$C$4:$C350,$C350)&amp;"回目",""))</f>
      </c>
      <c r="AB350">
        <f>IF($F350="","",MAX(100,ROUNDDOWN($AX$4/($F350*$AX$2)/100,0)*100))</f>
      </c>
      <c r="AC350">
        <f>IF(OR($F350="",$G350="",$U350=""),"",ROUND($V350-($F350+$U350)*$G350*$AX$6-IF($C350="売",$F350*$G350*$AX$7*$W350/365,0),0))</f>
      </c>
      <c r="AD350" s="608"/>
      <c r="AE350" s="600" t="str">
        <f>IF($E350="","",WORKDAY($E350,12))</f>
        <v/>
      </c>
      <c r="AF350" s="600"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0"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0" t="str">
        <f>IF(OR($B350="",$M350=""),"",IF(AND(N($AF350)=0,N($AG350)=0),IF(AND(ISNUMBER($H350),$H350&gt;0,IF($C350="売",$H350&gt;=$N350,$H350&lt;=$N350)),"損切確定",IF(AND(ISNUMBER($H350),$H350&gt;0,IF($C350="売",$H350&lt;=$M350,$H350&gt;=$M350)),"利益確定",IF($AE350&lt;=TODAY(),"日数制限","保有中"))),IF(N($AG350)=0,"利益確定",IF(N($AF350)=0,"損切確定",IF($AG350&lt;=$AF350,"損切確定","利益確定")))))</f>
        <v/>
      </c>
      <c r="AI350" s="600" t="str" cm="1">
        <f t="array" ref="AI350">IFERROR(INDEX(始値!$E$6:$BT$305,MATCH(TEXT($B350,"0"),TEXT(銘柄管理!$B$6:$B$305,"0"),0),MATCH($AE350,始値!$E$3:$BT$3,0)),"")</f>
        <v/>
      </c>
      <c r="AJ350" s="608" t="str">
        <f>IF(OR($V350="",$F350="",$G350=""),"",$V350/($F350*$G350))</f>
        <v/>
      </c>
      <c r="AK350" s="600" t="str">
        <f>IF($V350="","",IF($V350&gt;0,"○勝",IF($V350&lt;0,"●負","△引分")))</f>
        <v/>
      </c>
    </row>
    <row r="351" spans="1:37" ht="17.25" customHeight="1">
      <c r="A351" s="622" t="str">
        <f>IF(B351="","",HYPERLINK("https://kabutan.jp/stock/?code="&amp;B351,"株探"))</f>
        <v/>
      </c>
      <c r="D351" s="440" t="str" cm="1">
        <f t="array" ref="D351">_xll.RssMarket(B351, "銘柄名称")</f>
        <v/>
      </c>
      <c r="E351" s="717"/>
      <c r="F351" s="6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IF(OR(F351="",G351="",H351=""),"",IF(C351="売",(F351-H351)*G351,(H351-F351)*G351))</f>
        <v/>
      </c>
      <c r="L351" s="709" t="str">
        <f>IF(OR(F351="",H351=""),"",IF(C351="売",(F351-H351)/F351,(H351-F351)/F351))</f>
        <v/>
      </c>
      <c r="M351" s="599" t="str">
        <f>IF($F351="","",IF($C351="売",CEILING($F351*IF($C351="売",1-$AX$3,1+$AX$3),IF($F351*IF($C351="売",1-$AX$3,1+$AX$3)&lt;=3000,1,IF($F351*IF($C351="売",1-$AX$3,1+$AX$3)&lt;=5000,5,IF($F351*IF($C351="売",1-$AX$3,1+$AX$3)&lt;=30000,10,IF($F351*IF($C351="売",1-$AX$3,1+$AX$3)&lt;=50000,50,IF($F351*IF($C351="売",1-$AX$3,1+$AX$3)&lt;=300000,100,500)))))),FLOOR($F351*IF($C351="売",1-$AX$3,1+$AX$3),IF($F351*IF($C351="売",1-$AX$3,1+$AX$3)&lt;=3000,1,IF($F351*IF($C351="売",1-$AX$3,1+$AX$3)&lt;=5000,5,IF($F351*IF($C351="売",1-$AX$3,1+$AX$3)&lt;=30000,10,IF($F351*IF($C351="売",1-$AX$3,1+$AX$3)&lt;=50000,50,IF($F351*IF($C351="売",1-$AX$3,1+$AX$3)&lt;=300000,100,500))))))))</f>
      </c>
      <c r="N351" s="599" t="str">
        <f>IF($F351="","",IF($C351="売",CEILING($F351*IF($C351="売",1+$AX$2,1-$AX$2),IF($F351*IF($C351="売",1+$AX$2,1-$AX$2)&lt;=3000,1,IF($F351*IF($C351="売",1+$AX$2,1-$AX$2)&lt;=5000,5,IF($F351*IF($C351="売",1+$AX$2,1-$AX$2)&lt;=30000,10,IF($F351*IF($C351="売",1+$AX$2,1-$AX$2)&lt;=50000,50,IF($F351*IF($C351="売",1+$AX$2,1-$AX$2)&lt;=300000,100,500)))))),FLOOR($F351*IF($C351="売",1+$AX$2,1-$AX$2),IF($F351*IF($C351="売",1+$AX$2,1-$AX$2)&lt;=3000,1,IF($F351*IF($C351="売",1+$AX$2,1-$AX$2)&lt;=5000,5,IF($F351*IF($C351="売",1+$AX$2,1-$AX$2)&lt;=30000,10,IF($F351*IF($C351="売",1+$AX$2,1-$AX$2)&lt;=50000,50,IF($F351*IF($C351="売",1+$AX$2,1-$AX$2)&lt;=300000,100,500))))))))</f>
      </c>
      <c r="O351" s="478" t="str">
        <f>IF(OR($B351="",$F351="",$H351=""),"",IF($S351="✅売却済","―決済済―",IF($C351="売",IF($H351&lt;=$M351,"🟢利確",IF(AND($R351&lt;&gt;"",$H351&gt;=$R351),"🟠TRAIL決済",IF($H351&gt;=$N351,"🔴損切",IF($W351&gt;=$AX$5,"⏱時間決済",IF($H351&gt;=$F351*(1+$AX$2*0.7),"⚠️損切接近","保持継続"))))),IF($H351&gt;=$M351,"🟢利確",IF(AND($R351&lt;&gt;"",$H351&lt;=$R351),"🟠TRAIL決済",IF($H351&lt;=$N351,"🔴損切",IF($W351&gt;=$AX$5,"⏱時間決済",IF($H351&lt;=$F351*(1-$AX$2*0.7),"⚠️損切接近","保持継続")))))))</f>
      </c>
      <c r="P351" s="445"/>
      <c r="R351" s="440" t="str">
        <f>IF(OR($F351="",$H351="",$N351=""),"",IF($S351="✅売却済","",IF($C351="売",IF($H351&gt;$F351*(1-$AX$2),$N351,CEILING(MIN($N351,IF($Q351="",$N351,$Q351*1.03)),IF($N351&lt;=3000,1,IF($N351&lt;=5000,5,IF($N351&lt;=30000,10,IF($N351&lt;=50000,50,IF($N351&lt;=300000,100,500))))))),IF($H351&lt;$F351*(1+$AX$2),$N351,FLOOR(MAX($N351,IF($P351="",$N351,$P351*0.97)),IF($N351&lt;=3000,1,IF($N351&lt;=5000,5,IF($N351&lt;=30000,10,IF($N351&lt;=50000,50,IF($N351&lt;=300000,100,500))))))))))</f>
      </c>
      <c r="S351" s="440" t="str">
        <f>IF(B351="","",IF(T351&lt;&gt;"","✅売却済",IF(OR(H351="",L351=""),"📌保有中",IF(L351&gt;=0.06,"🟢利確推奨",IF(L351&gt;=0.05,"🟡利確直近",IF(L351&gt;=0.045,"🔵トレーリング検討",IF(L351&gt;-0.03,"📌保有中",IF(L351&gt;-0.04,"⚠️損切注意","🔴損切り"))))))))</f>
        <v/>
      </c>
      <c r="T351" s="597"/>
      <c r="U351" s="599"/>
      <c r="V351" s="704" t="str">
        <f>IF(OR(F351="",G351="",U351=""),"",IF(C351="売",(F351-U351)*G351,(U351-F351)*G351))</f>
        <v/>
      </c>
      <c r="W351" s="440" t="str">
        <f>IF(OR($E351="",$B351=""),"",IF($T351&lt;&gt;"",$T351-$E351,TODAY()-$E351)+1)</f>
        <v/>
      </c>
      <c r="X351" s="440" t="str">
        <f>IF(OR($AH351="",$AH351="保有中"),"",$AH351)</f>
        <v/>
      </c>
      <c r="Y351">
        <f>IF($B351="","",IF(COUNTIFS($B$4:$B351,$B351,$C$4:$C351,$C351)&gt;1,"⛔重複"&amp;COUNTIFS($B$4:$B351,$B351,$C$4:$C351,$C351)&amp;"回目",""))</f>
      </c>
      <c r="AB351">
        <f>IF($F351="","",MAX(100,ROUNDDOWN($AX$4/($F351*$AX$2)/100,0)*100))</f>
      </c>
      <c r="AC351">
        <f>IF(OR($F351="",$G351="",$U351=""),"",ROUND($V351-($F351+$U351)*$G351*$AX$6-IF($C351="売",$F351*$G351*$AX$7*$W351/365,0),0))</f>
      </c>
      <c r="AD351" s="608"/>
      <c r="AE351" s="600" t="str">
        <f>IF($E351="","",WORKDAY($E351,12))</f>
        <v/>
      </c>
      <c r="AF351" s="600"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0"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0" t="str">
        <f>IF(OR($B351="",$M351=""),"",IF(AND(N($AF351)=0,N($AG351)=0),IF(AND(ISNUMBER($H351),$H351&gt;0,IF($C351="売",$H351&gt;=$N351,$H351&lt;=$N351)),"損切確定",IF(AND(ISNUMBER($H351),$H351&gt;0,IF($C351="売",$H351&lt;=$M351,$H351&gt;=$M351)),"利益確定",IF($AE351&lt;=TODAY(),"日数制限","保有中"))),IF(N($AG351)=0,"利益確定",IF(N($AF351)=0,"損切確定",IF($AG351&lt;=$AF351,"損切確定","利益確定")))))</f>
        <v/>
      </c>
      <c r="AI351" s="600" t="str" cm="1">
        <f t="array" ref="AI351">IFERROR(INDEX(始値!$E$6:$BT$305,MATCH(TEXT($B351,"0"),TEXT(銘柄管理!$B$6:$B$305,"0"),0),MATCH($AE351,始値!$E$3:$BT$3,0)),"")</f>
        <v/>
      </c>
      <c r="AJ351" s="608" t="str">
        <f>IF(OR($V351="",$F351="",$G351=""),"",$V351/($F351*$G351))</f>
        <v/>
      </c>
      <c r="AK351" s="600" t="str">
        <f>IF($V351="","",IF($V351&gt;0,"○勝",IF($V351&lt;0,"●負","△引分")))</f>
        <v/>
      </c>
    </row>
    <row r="352" spans="1:37" ht="17.25" customHeight="1">
      <c r="A352" s="622" t="str">
        <f>IF(B352="","",HYPERLINK("https://kabutan.jp/stock/?code="&amp;B352,"株探"))</f>
        <v/>
      </c>
      <c r="D352" s="440" t="str" cm="1">
        <f t="array" ref="D352">_xll.RssMarket(B352, "銘柄名称")</f>
        <v/>
      </c>
      <c r="E352" s="717"/>
      <c r="F352" s="6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IF(OR(F352="",G352="",H352=""),"",IF(C352="売",(F352-H352)*G352,(H352-F352)*G352))</f>
        <v/>
      </c>
      <c r="L352" s="709" t="str">
        <f>IF(OR(F352="",H352=""),"",IF(C352="売",(F352-H352)/F352,(H352-F352)/F352))</f>
        <v/>
      </c>
      <c r="M352" s="599" t="str">
        <f>IF($F352="","",IF($C352="売",CEILING($F352*IF($C352="売",1-$AX$3,1+$AX$3),IF($F352*IF($C352="売",1-$AX$3,1+$AX$3)&lt;=3000,1,IF($F352*IF($C352="売",1-$AX$3,1+$AX$3)&lt;=5000,5,IF($F352*IF($C352="売",1-$AX$3,1+$AX$3)&lt;=30000,10,IF($F352*IF($C352="売",1-$AX$3,1+$AX$3)&lt;=50000,50,IF($F352*IF($C352="売",1-$AX$3,1+$AX$3)&lt;=300000,100,500)))))),FLOOR($F352*IF($C352="売",1-$AX$3,1+$AX$3),IF($F352*IF($C352="売",1-$AX$3,1+$AX$3)&lt;=3000,1,IF($F352*IF($C352="売",1-$AX$3,1+$AX$3)&lt;=5000,5,IF($F352*IF($C352="売",1-$AX$3,1+$AX$3)&lt;=30000,10,IF($F352*IF($C352="売",1-$AX$3,1+$AX$3)&lt;=50000,50,IF($F352*IF($C352="売",1-$AX$3,1+$AX$3)&lt;=300000,100,500))))))))</f>
      </c>
      <c r="N352" s="599" t="str">
        <f>IF($F352="","",IF($C352="売",CEILING($F352*IF($C352="売",1+$AX$2,1-$AX$2),IF($F352*IF($C352="売",1+$AX$2,1-$AX$2)&lt;=3000,1,IF($F352*IF($C352="売",1+$AX$2,1-$AX$2)&lt;=5000,5,IF($F352*IF($C352="売",1+$AX$2,1-$AX$2)&lt;=30000,10,IF($F352*IF($C352="売",1+$AX$2,1-$AX$2)&lt;=50000,50,IF($F352*IF($C352="売",1+$AX$2,1-$AX$2)&lt;=300000,100,500)))))),FLOOR($F352*IF($C352="売",1+$AX$2,1-$AX$2),IF($F352*IF($C352="売",1+$AX$2,1-$AX$2)&lt;=3000,1,IF($F352*IF($C352="売",1+$AX$2,1-$AX$2)&lt;=5000,5,IF($F352*IF($C352="売",1+$AX$2,1-$AX$2)&lt;=30000,10,IF($F352*IF($C352="売",1+$AX$2,1-$AX$2)&lt;=50000,50,IF($F352*IF($C352="売",1+$AX$2,1-$AX$2)&lt;=300000,100,500))))))))</f>
      </c>
      <c r="O352" s="478" t="str">
        <f>IF(OR($B352="",$F352="",$H352=""),"",IF($S352="✅売却済","―決済済―",IF($C352="売",IF($H352&lt;=$M352,"🟢利確",IF(AND($R352&lt;&gt;"",$H352&gt;=$R352),"🟠TRAIL決済",IF($H352&gt;=$N352,"🔴損切",IF($W352&gt;=$AX$5,"⏱時間決済",IF($H352&gt;=$F352*(1+$AX$2*0.7),"⚠️損切接近","保持継続"))))),IF($H352&gt;=$M352,"🟢利確",IF(AND($R352&lt;&gt;"",$H352&lt;=$R352),"🟠TRAIL決済",IF($H352&lt;=$N352,"🔴損切",IF($W352&gt;=$AX$5,"⏱時間決済",IF($H352&lt;=$F352*(1-$AX$2*0.7),"⚠️損切接近","保持継続")))))))</f>
      </c>
      <c r="P352" s="445"/>
      <c r="R352" s="440" t="str">
        <f>IF(OR($F352="",$H352="",$N352=""),"",IF($S352="✅売却済","",IF($C352="売",IF($H352&gt;$F352*(1-$AX$2),$N352,CEILING(MIN($N352,IF($Q352="",$N352,$Q352*1.03)),IF($N352&lt;=3000,1,IF($N352&lt;=5000,5,IF($N352&lt;=30000,10,IF($N352&lt;=50000,50,IF($N352&lt;=300000,100,500))))))),IF($H352&lt;$F352*(1+$AX$2),$N352,FLOOR(MAX($N352,IF($P352="",$N352,$P352*0.97)),IF($N352&lt;=3000,1,IF($N352&lt;=5000,5,IF($N352&lt;=30000,10,IF($N352&lt;=50000,50,IF($N352&lt;=300000,100,500))))))))))</f>
      </c>
      <c r="S352" s="440" t="str">
        <f>IF(B352="","",IF(T352&lt;&gt;"","✅売却済",IF(OR(H352="",L352=""),"📌保有中",IF(L352&gt;=0.06,"🟢利確推奨",IF(L352&gt;=0.05,"🟡利確直近",IF(L352&gt;=0.045,"🔵トレーリング検討",IF(L352&gt;-0.03,"📌保有中",IF(L352&gt;-0.04,"⚠️損切注意","🔴損切り"))))))))</f>
        <v/>
      </c>
      <c r="T352" s="597"/>
      <c r="U352" s="599"/>
      <c r="V352" s="704" t="str">
        <f>IF(OR(F352="",G352="",U352=""),"",IF(C352="売",(F352-U352)*G352,(U352-F352)*G352))</f>
        <v/>
      </c>
      <c r="W352" s="440" t="str">
        <f>IF(OR($E352="",$B352=""),"",IF($T352&lt;&gt;"",$T352-$E352,TODAY()-$E352)+1)</f>
        <v/>
      </c>
      <c r="X352" s="440" t="str">
        <f>IF(OR($AH352="",$AH352="保有中"),"",$AH352)</f>
        <v/>
      </c>
      <c r="Y352">
        <f>IF($B352="","",IF(COUNTIFS($B$4:$B352,$B352,$C$4:$C352,$C352)&gt;1,"⛔重複"&amp;COUNTIFS($B$4:$B352,$B352,$C$4:$C352,$C352)&amp;"回目",""))</f>
      </c>
      <c r="AB352">
        <f>IF($F352="","",MAX(100,ROUNDDOWN($AX$4/($F352*$AX$2)/100,0)*100))</f>
      </c>
      <c r="AC352">
        <f>IF(OR($F352="",$G352="",$U352=""),"",ROUND($V352-($F352+$U352)*$G352*$AX$6-IF($C352="売",$F352*$G352*$AX$7*$W352/365,0),0))</f>
      </c>
      <c r="AD352" s="608"/>
      <c r="AE352" s="600" t="str">
        <f>IF($E352="","",WORKDAY($E352,12))</f>
        <v/>
      </c>
      <c r="AF352" s="600"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0"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0" t="str">
        <f>IF(OR($B352="",$M352=""),"",IF(AND(N($AF352)=0,N($AG352)=0),IF(AND(ISNUMBER($H352),$H352&gt;0,IF($C352="売",$H352&gt;=$N352,$H352&lt;=$N352)),"損切確定",IF(AND(ISNUMBER($H352),$H352&gt;0,IF($C352="売",$H352&lt;=$M352,$H352&gt;=$M352)),"利益確定",IF($AE352&lt;=TODAY(),"日数制限","保有中"))),IF(N($AG352)=0,"利益確定",IF(N($AF352)=0,"損切確定",IF($AG352&lt;=$AF352,"損切確定","利益確定")))))</f>
        <v/>
      </c>
      <c r="AI352" s="600" t="str" cm="1">
        <f t="array" ref="AI352">IFERROR(INDEX(始値!$E$6:$BT$305,MATCH(TEXT($B352,"0"),TEXT(銘柄管理!$B$6:$B$305,"0"),0),MATCH($AE352,始値!$E$3:$BT$3,0)),"")</f>
        <v/>
      </c>
      <c r="AJ352" s="608" t="str">
        <f>IF(OR($V352="",$F352="",$G352=""),"",$V352/($F352*$G352))</f>
        <v/>
      </c>
      <c r="AK352" s="600" t="str">
        <f>IF($V352="","",IF($V352&gt;0,"○勝",IF($V352&lt;0,"●負","△引分")))</f>
        <v/>
      </c>
    </row>
    <row r="353" spans="1:37" ht="17.25" customHeight="1">
      <c r="A353" s="622" t="str">
        <f>IF(B353="","",HYPERLINK("https://kabutan.jp/stock/?code="&amp;B353,"株探"))</f>
        <v/>
      </c>
      <c r="D353" s="440" t="str" cm="1">
        <f t="array" ref="D353">_xll.RssMarket(B353, "銘柄名称")</f>
        <v/>
      </c>
      <c r="E353" s="717"/>
      <c r="F353" s="6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IF(OR(F353="",G353="",H353=""),"",IF(C353="売",(F353-H353)*G353,(H353-F353)*G353))</f>
        <v/>
      </c>
      <c r="L353" s="709" t="str">
        <f>IF(OR(F353="",H353=""),"",IF(C353="売",(F353-H353)/F353,(H353-F353)/F353))</f>
        <v/>
      </c>
      <c r="M353" s="599" t="str">
        <f>IF($F353="","",IF($C353="売",CEILING($F353*IF($C353="売",1-$AX$3,1+$AX$3),IF($F353*IF($C353="売",1-$AX$3,1+$AX$3)&lt;=3000,1,IF($F353*IF($C353="売",1-$AX$3,1+$AX$3)&lt;=5000,5,IF($F353*IF($C353="売",1-$AX$3,1+$AX$3)&lt;=30000,10,IF($F353*IF($C353="売",1-$AX$3,1+$AX$3)&lt;=50000,50,IF($F353*IF($C353="売",1-$AX$3,1+$AX$3)&lt;=300000,100,500)))))),FLOOR($F353*IF($C353="売",1-$AX$3,1+$AX$3),IF($F353*IF($C353="売",1-$AX$3,1+$AX$3)&lt;=3000,1,IF($F353*IF($C353="売",1-$AX$3,1+$AX$3)&lt;=5000,5,IF($F353*IF($C353="売",1-$AX$3,1+$AX$3)&lt;=30000,10,IF($F353*IF($C353="売",1-$AX$3,1+$AX$3)&lt;=50000,50,IF($F353*IF($C353="売",1-$AX$3,1+$AX$3)&lt;=300000,100,500))))))))</f>
      </c>
      <c r="N353" s="599" t="str">
        <f>IF($F353="","",IF($C353="売",CEILING($F353*IF($C353="売",1+$AX$2,1-$AX$2),IF($F353*IF($C353="売",1+$AX$2,1-$AX$2)&lt;=3000,1,IF($F353*IF($C353="売",1+$AX$2,1-$AX$2)&lt;=5000,5,IF($F353*IF($C353="売",1+$AX$2,1-$AX$2)&lt;=30000,10,IF($F353*IF($C353="売",1+$AX$2,1-$AX$2)&lt;=50000,50,IF($F353*IF($C353="売",1+$AX$2,1-$AX$2)&lt;=300000,100,500)))))),FLOOR($F353*IF($C353="売",1+$AX$2,1-$AX$2),IF($F353*IF($C353="売",1+$AX$2,1-$AX$2)&lt;=3000,1,IF($F353*IF($C353="売",1+$AX$2,1-$AX$2)&lt;=5000,5,IF($F353*IF($C353="売",1+$AX$2,1-$AX$2)&lt;=30000,10,IF($F353*IF($C353="売",1+$AX$2,1-$AX$2)&lt;=50000,50,IF($F353*IF($C353="売",1+$AX$2,1-$AX$2)&lt;=300000,100,500))))))))</f>
      </c>
      <c r="O353" s="478" t="str">
        <f>IF(OR($B353="",$F353="",$H353=""),"",IF($S353="✅売却済","―決済済―",IF($C353="売",IF($H353&lt;=$M353,"🟢利確",IF(AND($R353&lt;&gt;"",$H353&gt;=$R353),"🟠TRAIL決済",IF($H353&gt;=$N353,"🔴損切",IF($W353&gt;=$AX$5,"⏱時間決済",IF($H353&gt;=$F353*(1+$AX$2*0.7),"⚠️損切接近","保持継続"))))),IF($H353&gt;=$M353,"🟢利確",IF(AND($R353&lt;&gt;"",$H353&lt;=$R353),"🟠TRAIL決済",IF($H353&lt;=$N353,"🔴損切",IF($W353&gt;=$AX$5,"⏱時間決済",IF($H353&lt;=$F353*(1-$AX$2*0.7),"⚠️損切接近","保持継続")))))))</f>
      </c>
      <c r="P353" s="445"/>
      <c r="R353" s="440" t="str">
        <f>IF(OR($F353="",$H353="",$N353=""),"",IF($S353="✅売却済","",IF($C353="売",IF($H353&gt;$F353*(1-$AX$2),$N353,CEILING(MIN($N353,IF($Q353="",$N353,$Q353*1.03)),IF($N353&lt;=3000,1,IF($N353&lt;=5000,5,IF($N353&lt;=30000,10,IF($N353&lt;=50000,50,IF($N353&lt;=300000,100,500))))))),IF($H353&lt;$F353*(1+$AX$2),$N353,FLOOR(MAX($N353,IF($P353="",$N353,$P353*0.97)),IF($N353&lt;=3000,1,IF($N353&lt;=5000,5,IF($N353&lt;=30000,10,IF($N353&lt;=50000,50,IF($N353&lt;=300000,100,500))))))))))</f>
      </c>
      <c r="S353" s="440" t="str">
        <f>IF(B353="","",IF(T353&lt;&gt;"","✅売却済",IF(OR(H353="",L353=""),"📌保有中",IF(L353&gt;=0.06,"🟢利確推奨",IF(L353&gt;=0.05,"🟡利確直近",IF(L353&gt;=0.045,"🔵トレーリング検討",IF(L353&gt;-0.03,"📌保有中",IF(L353&gt;-0.04,"⚠️損切注意","🔴損切り"))))))))</f>
        <v/>
      </c>
      <c r="T353" s="597"/>
      <c r="U353" s="599"/>
      <c r="V353" s="704" t="str">
        <f>IF(OR(F353="",G353="",U353=""),"",IF(C353="売",(F353-U353)*G353,(U353-F353)*G353))</f>
        <v/>
      </c>
      <c r="W353" s="440" t="str">
        <f>IF(OR($E353="",$B353=""),"",IF($T353&lt;&gt;"",$T353-$E353,TODAY()-$E353)+1)</f>
        <v/>
      </c>
      <c r="X353" s="440" t="str">
        <f>IF(OR($AH353="",$AH353="保有中"),"",$AH353)</f>
        <v/>
      </c>
      <c r="Y353">
        <f>IF($B353="","",IF(COUNTIFS($B$4:$B353,$B353,$C$4:$C353,$C353)&gt;1,"⛔重複"&amp;COUNTIFS($B$4:$B353,$B353,$C$4:$C353,$C353)&amp;"回目",""))</f>
      </c>
      <c r="AB353">
        <f>IF($F353="","",MAX(100,ROUNDDOWN($AX$4/($F353*$AX$2)/100,0)*100))</f>
      </c>
      <c r="AC353">
        <f>IF(OR($F353="",$G353="",$U353=""),"",ROUND($V353-($F353+$U353)*$G353*$AX$6-IF($C353="売",$F353*$G353*$AX$7*$W353/365,0),0))</f>
      </c>
      <c r="AD353" s="608"/>
      <c r="AE353" s="600" t="str">
        <f>IF($E353="","",WORKDAY($E353,12))</f>
        <v/>
      </c>
      <c r="AF353" s="600"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0"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0" t="str">
        <f>IF(OR($B353="",$M353=""),"",IF(AND(N($AF353)=0,N($AG353)=0),IF(AND(ISNUMBER($H353),$H353&gt;0,IF($C353="売",$H353&gt;=$N353,$H353&lt;=$N353)),"損切確定",IF(AND(ISNUMBER($H353),$H353&gt;0,IF($C353="売",$H353&lt;=$M353,$H353&gt;=$M353)),"利益確定",IF($AE353&lt;=TODAY(),"日数制限","保有中"))),IF(N($AG353)=0,"利益確定",IF(N($AF353)=0,"損切確定",IF($AG353&lt;=$AF353,"損切確定","利益確定")))))</f>
        <v/>
      </c>
      <c r="AI353" s="600" t="str" cm="1">
        <f t="array" ref="AI353">IFERROR(INDEX(始値!$E$6:$BT$305,MATCH(TEXT($B353,"0"),TEXT(銘柄管理!$B$6:$B$305,"0"),0),MATCH($AE353,始値!$E$3:$BT$3,0)),"")</f>
        <v/>
      </c>
      <c r="AJ353" s="608" t="str">
        <f>IF(OR($V353="",$F353="",$G353=""),"",$V353/($F353*$G353))</f>
        <v/>
      </c>
      <c r="AK353" s="600" t="str">
        <f>IF($V353="","",IF($V353&gt;0,"○勝",IF($V353&lt;0,"●負","△引分")))</f>
        <v/>
      </c>
    </row>
    <row r="354" spans="1:37" ht="17.25" customHeight="1">
      <c r="A354" s="622" t="str">
        <f>IF(B354="","",HYPERLINK("https://kabutan.jp/stock/?code="&amp;B354,"株探"))</f>
        <v/>
      </c>
      <c r="D354" s="440" t="str" cm="1">
        <f t="array" ref="D354">_xll.RssMarket(B354, "銘柄名称")</f>
        <v/>
      </c>
      <c r="E354" s="717"/>
      <c r="F354" s="6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IF(OR(F354="",G354="",H354=""),"",IF(C354="売",(F354-H354)*G354,(H354-F354)*G354))</f>
        <v/>
      </c>
      <c r="L354" s="709" t="str">
        <f>IF(OR(F354="",H354=""),"",IF(C354="売",(F354-H354)/F354,(H354-F354)/F354))</f>
        <v/>
      </c>
      <c r="M354" s="599" t="str">
        <f>IF($F354="","",IF($C354="売",CEILING($F354*IF($C354="売",1-$AX$3,1+$AX$3),IF($F354*IF($C354="売",1-$AX$3,1+$AX$3)&lt;=3000,1,IF($F354*IF($C354="売",1-$AX$3,1+$AX$3)&lt;=5000,5,IF($F354*IF($C354="売",1-$AX$3,1+$AX$3)&lt;=30000,10,IF($F354*IF($C354="売",1-$AX$3,1+$AX$3)&lt;=50000,50,IF($F354*IF($C354="売",1-$AX$3,1+$AX$3)&lt;=300000,100,500)))))),FLOOR($F354*IF($C354="売",1-$AX$3,1+$AX$3),IF($F354*IF($C354="売",1-$AX$3,1+$AX$3)&lt;=3000,1,IF($F354*IF($C354="売",1-$AX$3,1+$AX$3)&lt;=5000,5,IF($F354*IF($C354="売",1-$AX$3,1+$AX$3)&lt;=30000,10,IF($F354*IF($C354="売",1-$AX$3,1+$AX$3)&lt;=50000,50,IF($F354*IF($C354="売",1-$AX$3,1+$AX$3)&lt;=300000,100,500))))))))</f>
      </c>
      <c r="N354" s="599" t="str">
        <f>IF($F354="","",IF($C354="売",CEILING($F354*IF($C354="売",1+$AX$2,1-$AX$2),IF($F354*IF($C354="売",1+$AX$2,1-$AX$2)&lt;=3000,1,IF($F354*IF($C354="売",1+$AX$2,1-$AX$2)&lt;=5000,5,IF($F354*IF($C354="売",1+$AX$2,1-$AX$2)&lt;=30000,10,IF($F354*IF($C354="売",1+$AX$2,1-$AX$2)&lt;=50000,50,IF($F354*IF($C354="売",1+$AX$2,1-$AX$2)&lt;=300000,100,500)))))),FLOOR($F354*IF($C354="売",1+$AX$2,1-$AX$2),IF($F354*IF($C354="売",1+$AX$2,1-$AX$2)&lt;=3000,1,IF($F354*IF($C354="売",1+$AX$2,1-$AX$2)&lt;=5000,5,IF($F354*IF($C354="売",1+$AX$2,1-$AX$2)&lt;=30000,10,IF($F354*IF($C354="売",1+$AX$2,1-$AX$2)&lt;=50000,50,IF($F354*IF($C354="売",1+$AX$2,1-$AX$2)&lt;=300000,100,500))))))))</f>
      </c>
      <c r="O354" s="478" t="str">
        <f>IF(OR($B354="",$F354="",$H354=""),"",IF($S354="✅売却済","―決済済―",IF($C354="売",IF($H354&lt;=$M354,"🟢利確",IF(AND($R354&lt;&gt;"",$H354&gt;=$R354),"🟠TRAIL決済",IF($H354&gt;=$N354,"🔴損切",IF($W354&gt;=$AX$5,"⏱時間決済",IF($H354&gt;=$F354*(1+$AX$2*0.7),"⚠️損切接近","保持継続"))))),IF($H354&gt;=$M354,"🟢利確",IF(AND($R354&lt;&gt;"",$H354&lt;=$R354),"🟠TRAIL決済",IF($H354&lt;=$N354,"🔴損切",IF($W354&gt;=$AX$5,"⏱時間決済",IF($H354&lt;=$F354*(1-$AX$2*0.7),"⚠️損切接近","保持継続")))))))</f>
      </c>
      <c r="P354" s="445"/>
      <c r="R354" s="440" t="str">
        <f>IF(OR($F354="",$H354="",$N354=""),"",IF($S354="✅売却済","",IF($C354="売",IF($H354&gt;$F354*(1-$AX$2),$N354,CEILING(MIN($N354,IF($Q354="",$N354,$Q354*1.03)),IF($N354&lt;=3000,1,IF($N354&lt;=5000,5,IF($N354&lt;=30000,10,IF($N354&lt;=50000,50,IF($N354&lt;=300000,100,500))))))),IF($H354&lt;$F354*(1+$AX$2),$N354,FLOOR(MAX($N354,IF($P354="",$N354,$P354*0.97)),IF($N354&lt;=3000,1,IF($N354&lt;=5000,5,IF($N354&lt;=30000,10,IF($N354&lt;=50000,50,IF($N354&lt;=300000,100,500))))))))))</f>
      </c>
      <c r="S354" s="440" t="str">
        <f>IF(B354="","",IF(T354&lt;&gt;"","✅売却済",IF(OR(H354="",L354=""),"📌保有中",IF(L354&gt;=0.06,"🟢利確推奨",IF(L354&gt;=0.05,"🟡利確直近",IF(L354&gt;=0.045,"🔵トレーリング検討",IF(L354&gt;-0.03,"📌保有中",IF(L354&gt;-0.04,"⚠️損切注意","🔴損切り"))))))))</f>
        <v/>
      </c>
      <c r="T354" s="597"/>
      <c r="U354" s="599"/>
      <c r="V354" s="704" t="str">
        <f>IF(OR(F354="",G354="",U354=""),"",IF(C354="売",(F354-U354)*G354,(U354-F354)*G354))</f>
        <v/>
      </c>
      <c r="W354" s="440" t="str">
        <f>IF(OR($E354="",$B354=""),"",IF($T354&lt;&gt;"",$T354-$E354,TODAY()-$E354)+1)</f>
        <v/>
      </c>
      <c r="X354" s="440" t="str">
        <f>IF(OR($AH354="",$AH354="保有中"),"",$AH354)</f>
        <v/>
      </c>
      <c r="Y354">
        <f>IF($B354="","",IF(COUNTIFS($B$4:$B354,$B354,$C$4:$C354,$C354)&gt;1,"⛔重複"&amp;COUNTIFS($B$4:$B354,$B354,$C$4:$C354,$C354)&amp;"回目",""))</f>
      </c>
      <c r="AB354">
        <f>IF($F354="","",MAX(100,ROUNDDOWN($AX$4/($F354*$AX$2)/100,0)*100))</f>
      </c>
      <c r="AC354">
        <f>IF(OR($F354="",$G354="",$U354=""),"",ROUND($V354-($F354+$U354)*$G354*$AX$6-IF($C354="売",$F354*$G354*$AX$7*$W354/365,0),0))</f>
      </c>
      <c r="AD354" s="608"/>
      <c r="AE354" s="600" t="str">
        <f>IF($E354="","",WORKDAY($E354,12))</f>
        <v/>
      </c>
      <c r="AF354" s="600"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0"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0" t="str">
        <f>IF(OR($B354="",$M354=""),"",IF(AND(N($AF354)=0,N($AG354)=0),IF(AND(ISNUMBER($H354),$H354&gt;0,IF($C354="売",$H354&gt;=$N354,$H354&lt;=$N354)),"損切確定",IF(AND(ISNUMBER($H354),$H354&gt;0,IF($C354="売",$H354&lt;=$M354,$H354&gt;=$M354)),"利益確定",IF($AE354&lt;=TODAY(),"日数制限","保有中"))),IF(N($AG354)=0,"利益確定",IF(N($AF354)=0,"損切確定",IF($AG354&lt;=$AF354,"損切確定","利益確定")))))</f>
        <v/>
      </c>
      <c r="AI354" s="600" t="str" cm="1">
        <f t="array" ref="AI354">IFERROR(INDEX(始値!$E$6:$BT$305,MATCH(TEXT($B354,"0"),TEXT(銘柄管理!$B$6:$B$305,"0"),0),MATCH($AE354,始値!$E$3:$BT$3,0)),"")</f>
        <v/>
      </c>
      <c r="AJ354" s="608" t="str">
        <f>IF(OR($V354="",$F354="",$G354=""),"",$V354/($F354*$G354))</f>
        <v/>
      </c>
      <c r="AK354" s="600" t="str">
        <f>IF($V354="","",IF($V354&gt;0,"○勝",IF($V354&lt;0,"●負","△引分")))</f>
        <v/>
      </c>
    </row>
    <row r="355" spans="1:37" ht="17.25" customHeight="1">
      <c r="A355" s="622" t="str">
        <f>IF(B355="","",HYPERLINK("https://kabutan.jp/stock/?code="&amp;B355,"株探"))</f>
        <v/>
      </c>
      <c r="D355" s="440" t="str" cm="1">
        <f t="array" ref="D355">_xll.RssMarket(B355, "銘柄名称")</f>
        <v/>
      </c>
      <c r="E355" s="717"/>
      <c r="F355" s="6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IF(OR(F355="",G355="",H355=""),"",IF(C355="売",(F355-H355)*G355,(H355-F355)*G355))</f>
        <v/>
      </c>
      <c r="L355" s="709" t="str">
        <f>IF(OR(F355="",H355=""),"",IF(C355="売",(F355-H355)/F355,(H355-F355)/F355))</f>
        <v/>
      </c>
      <c r="M355" s="599" t="str">
        <f>IF($F355="","",IF($C355="売",CEILING($F355*IF($C355="売",1-$AX$3,1+$AX$3),IF($F355*IF($C355="売",1-$AX$3,1+$AX$3)&lt;=3000,1,IF($F355*IF($C355="売",1-$AX$3,1+$AX$3)&lt;=5000,5,IF($F355*IF($C355="売",1-$AX$3,1+$AX$3)&lt;=30000,10,IF($F355*IF($C355="売",1-$AX$3,1+$AX$3)&lt;=50000,50,IF($F355*IF($C355="売",1-$AX$3,1+$AX$3)&lt;=300000,100,500)))))),FLOOR($F355*IF($C355="売",1-$AX$3,1+$AX$3),IF($F355*IF($C355="売",1-$AX$3,1+$AX$3)&lt;=3000,1,IF($F355*IF($C355="売",1-$AX$3,1+$AX$3)&lt;=5000,5,IF($F355*IF($C355="売",1-$AX$3,1+$AX$3)&lt;=30000,10,IF($F355*IF($C355="売",1-$AX$3,1+$AX$3)&lt;=50000,50,IF($F355*IF($C355="売",1-$AX$3,1+$AX$3)&lt;=300000,100,500))))))))</f>
      </c>
      <c r="N355" s="599" t="str">
        <f>IF($F355="","",IF($C355="売",CEILING($F355*IF($C355="売",1+$AX$2,1-$AX$2),IF($F355*IF($C355="売",1+$AX$2,1-$AX$2)&lt;=3000,1,IF($F355*IF($C355="売",1+$AX$2,1-$AX$2)&lt;=5000,5,IF($F355*IF($C355="売",1+$AX$2,1-$AX$2)&lt;=30000,10,IF($F355*IF($C355="売",1+$AX$2,1-$AX$2)&lt;=50000,50,IF($F355*IF($C355="売",1+$AX$2,1-$AX$2)&lt;=300000,100,500)))))),FLOOR($F355*IF($C355="売",1+$AX$2,1-$AX$2),IF($F355*IF($C355="売",1+$AX$2,1-$AX$2)&lt;=3000,1,IF($F355*IF($C355="売",1+$AX$2,1-$AX$2)&lt;=5000,5,IF($F355*IF($C355="売",1+$AX$2,1-$AX$2)&lt;=30000,10,IF($F355*IF($C355="売",1+$AX$2,1-$AX$2)&lt;=50000,50,IF($F355*IF($C355="売",1+$AX$2,1-$AX$2)&lt;=300000,100,500))))))))</f>
      </c>
      <c r="O355" s="478" t="str">
        <f>IF(OR($B355="",$F355="",$H355=""),"",IF($S355="✅売却済","―決済済―",IF($C355="売",IF($H355&lt;=$M355,"🟢利確",IF(AND($R355&lt;&gt;"",$H355&gt;=$R355),"🟠TRAIL決済",IF($H355&gt;=$N355,"🔴損切",IF($W355&gt;=$AX$5,"⏱時間決済",IF($H355&gt;=$F355*(1+$AX$2*0.7),"⚠️損切接近","保持継続"))))),IF($H355&gt;=$M355,"🟢利確",IF(AND($R355&lt;&gt;"",$H355&lt;=$R355),"🟠TRAIL決済",IF($H355&lt;=$N355,"🔴損切",IF($W355&gt;=$AX$5,"⏱時間決済",IF($H355&lt;=$F355*(1-$AX$2*0.7),"⚠️損切接近","保持継続")))))))</f>
      </c>
      <c r="P355" s="445"/>
      <c r="R355" s="440" t="str">
        <f>IF(OR($F355="",$H355="",$N355=""),"",IF($S355="✅売却済","",IF($C355="売",IF($H355&gt;$F355*(1-$AX$2),$N355,CEILING(MIN($N355,IF($Q355="",$N355,$Q355*1.03)),IF($N355&lt;=3000,1,IF($N355&lt;=5000,5,IF($N355&lt;=30000,10,IF($N355&lt;=50000,50,IF($N355&lt;=300000,100,500))))))),IF($H355&lt;$F355*(1+$AX$2),$N355,FLOOR(MAX($N355,IF($P355="",$N355,$P355*0.97)),IF($N355&lt;=3000,1,IF($N355&lt;=5000,5,IF($N355&lt;=30000,10,IF($N355&lt;=50000,50,IF($N355&lt;=300000,100,500))))))))))</f>
      </c>
      <c r="S355" s="440" t="str">
        <f>IF(B355="","",IF(T355&lt;&gt;"","✅売却済",IF(OR(H355="",L355=""),"📌保有中",IF(L355&gt;=0.06,"🟢利確推奨",IF(L355&gt;=0.05,"🟡利確直近",IF(L355&gt;=0.045,"🔵トレーリング検討",IF(L355&gt;-0.03,"📌保有中",IF(L355&gt;-0.04,"⚠️損切注意","🔴損切り"))))))))</f>
        <v/>
      </c>
      <c r="T355" s="597"/>
      <c r="U355" s="599"/>
      <c r="V355" s="704" t="str">
        <f>IF(OR(F355="",G355="",U355=""),"",IF(C355="売",(F355-U355)*G355,(U355-F355)*G355))</f>
        <v/>
      </c>
      <c r="W355" s="440" t="str">
        <f>IF(OR($E355="",$B355=""),"",IF($T355&lt;&gt;"",$T355-$E355,TODAY()-$E355)+1)</f>
        <v/>
      </c>
      <c r="X355" s="440" t="str">
        <f>IF(OR($AH355="",$AH355="保有中"),"",$AH355)</f>
        <v/>
      </c>
      <c r="Y355">
        <f>IF($B355="","",IF(COUNTIFS($B$4:$B355,$B355,$C$4:$C355,$C355)&gt;1,"⛔重複"&amp;COUNTIFS($B$4:$B355,$B355,$C$4:$C355,$C355)&amp;"回目",""))</f>
      </c>
      <c r="AB355">
        <f>IF($F355="","",MAX(100,ROUNDDOWN($AX$4/($F355*$AX$2)/100,0)*100))</f>
      </c>
      <c r="AC355">
        <f>IF(OR($F355="",$G355="",$U355=""),"",ROUND($V355-($F355+$U355)*$G355*$AX$6-IF($C355="売",$F355*$G355*$AX$7*$W355/365,0),0))</f>
      </c>
      <c r="AD355" s="608"/>
      <c r="AE355" s="600" t="str">
        <f>IF($E355="","",WORKDAY($E355,12))</f>
        <v/>
      </c>
      <c r="AF355" s="600"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0"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0" t="str">
        <f>IF(OR($B355="",$M355=""),"",IF(AND(N($AF355)=0,N($AG355)=0),IF(AND(ISNUMBER($H355),$H355&gt;0,IF($C355="売",$H355&gt;=$N355,$H355&lt;=$N355)),"損切確定",IF(AND(ISNUMBER($H355),$H355&gt;0,IF($C355="売",$H355&lt;=$M355,$H355&gt;=$M355)),"利益確定",IF($AE355&lt;=TODAY(),"日数制限","保有中"))),IF(N($AG355)=0,"利益確定",IF(N($AF355)=0,"損切確定",IF($AG355&lt;=$AF355,"損切確定","利益確定")))))</f>
        <v/>
      </c>
      <c r="AI355" s="600" t="str" cm="1">
        <f t="array" ref="AI355">IFERROR(INDEX(始値!$E$6:$BT$305,MATCH(TEXT($B355,"0"),TEXT(銘柄管理!$B$6:$B$305,"0"),0),MATCH($AE355,始値!$E$3:$BT$3,0)),"")</f>
        <v/>
      </c>
      <c r="AJ355" s="608" t="str">
        <f>IF(OR($V355="",$F355="",$G355=""),"",$V355/($F355*$G355))</f>
        <v/>
      </c>
      <c r="AK355" s="600" t="str">
        <f>IF($V355="","",IF($V355&gt;0,"○勝",IF($V355&lt;0,"●負","△引分")))</f>
        <v/>
      </c>
    </row>
    <row r="356" spans="1:37" ht="17.25" customHeight="1">
      <c r="A356" s="622" t="str">
        <f>IF(B356="","",HYPERLINK("https://kabutan.jp/stock/?code="&amp;B356,"株探"))</f>
        <v/>
      </c>
      <c r="D356" s="440" t="str" cm="1">
        <f t="array" ref="D356">_xll.RssMarket(B356, "銘柄名称")</f>
        <v/>
      </c>
      <c r="E356" s="717"/>
      <c r="F356" s="6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IF(OR(F356="",G356="",H356=""),"",IF(C356="売",(F356-H356)*G356,(H356-F356)*G356))</f>
        <v/>
      </c>
      <c r="L356" s="709" t="str">
        <f>IF(OR(F356="",H356=""),"",IF(C356="売",(F356-H356)/F356,(H356-F356)/F356))</f>
        <v/>
      </c>
      <c r="M356" s="599" t="str">
        <f>IF($F356="","",IF($C356="売",CEILING($F356*IF($C356="売",1-$AX$3,1+$AX$3),IF($F356*IF($C356="売",1-$AX$3,1+$AX$3)&lt;=3000,1,IF($F356*IF($C356="売",1-$AX$3,1+$AX$3)&lt;=5000,5,IF($F356*IF($C356="売",1-$AX$3,1+$AX$3)&lt;=30000,10,IF($F356*IF($C356="売",1-$AX$3,1+$AX$3)&lt;=50000,50,IF($F356*IF($C356="売",1-$AX$3,1+$AX$3)&lt;=300000,100,500)))))),FLOOR($F356*IF($C356="売",1-$AX$3,1+$AX$3),IF($F356*IF($C356="売",1-$AX$3,1+$AX$3)&lt;=3000,1,IF($F356*IF($C356="売",1-$AX$3,1+$AX$3)&lt;=5000,5,IF($F356*IF($C356="売",1-$AX$3,1+$AX$3)&lt;=30000,10,IF($F356*IF($C356="売",1-$AX$3,1+$AX$3)&lt;=50000,50,IF($F356*IF($C356="売",1-$AX$3,1+$AX$3)&lt;=300000,100,500))))))))</f>
      </c>
      <c r="N356" s="599" t="str">
        <f>IF($F356="","",IF($C356="売",CEILING($F356*IF($C356="売",1+$AX$2,1-$AX$2),IF($F356*IF($C356="売",1+$AX$2,1-$AX$2)&lt;=3000,1,IF($F356*IF($C356="売",1+$AX$2,1-$AX$2)&lt;=5000,5,IF($F356*IF($C356="売",1+$AX$2,1-$AX$2)&lt;=30000,10,IF($F356*IF($C356="売",1+$AX$2,1-$AX$2)&lt;=50000,50,IF($F356*IF($C356="売",1+$AX$2,1-$AX$2)&lt;=300000,100,500)))))),FLOOR($F356*IF($C356="売",1+$AX$2,1-$AX$2),IF($F356*IF($C356="売",1+$AX$2,1-$AX$2)&lt;=3000,1,IF($F356*IF($C356="売",1+$AX$2,1-$AX$2)&lt;=5000,5,IF($F356*IF($C356="売",1+$AX$2,1-$AX$2)&lt;=30000,10,IF($F356*IF($C356="売",1+$AX$2,1-$AX$2)&lt;=50000,50,IF($F356*IF($C356="売",1+$AX$2,1-$AX$2)&lt;=300000,100,500))))))))</f>
      </c>
      <c r="O356" s="478" t="str">
        <f>IF(OR($B356="",$F356="",$H356=""),"",IF($S356="✅売却済","―決済済―",IF($C356="売",IF($H356&lt;=$M356,"🟢利確",IF(AND($R356&lt;&gt;"",$H356&gt;=$R356),"🟠TRAIL決済",IF($H356&gt;=$N356,"🔴損切",IF($W356&gt;=$AX$5,"⏱時間決済",IF($H356&gt;=$F356*(1+$AX$2*0.7),"⚠️損切接近","保持継続"))))),IF($H356&gt;=$M356,"🟢利確",IF(AND($R356&lt;&gt;"",$H356&lt;=$R356),"🟠TRAIL決済",IF($H356&lt;=$N356,"🔴損切",IF($W356&gt;=$AX$5,"⏱時間決済",IF($H356&lt;=$F356*(1-$AX$2*0.7),"⚠️損切接近","保持継続")))))))</f>
      </c>
      <c r="P356" s="445"/>
      <c r="R356" s="440" t="str">
        <f>IF(OR($F356="",$H356="",$N356=""),"",IF($S356="✅売却済","",IF($C356="売",IF($H356&gt;$F356*(1-$AX$2),$N356,CEILING(MIN($N356,IF($Q356="",$N356,$Q356*1.03)),IF($N356&lt;=3000,1,IF($N356&lt;=5000,5,IF($N356&lt;=30000,10,IF($N356&lt;=50000,50,IF($N356&lt;=300000,100,500))))))),IF($H356&lt;$F356*(1+$AX$2),$N356,FLOOR(MAX($N356,IF($P356="",$N356,$P356*0.97)),IF($N356&lt;=3000,1,IF($N356&lt;=5000,5,IF($N356&lt;=30000,10,IF($N356&lt;=50000,50,IF($N356&lt;=300000,100,500))))))))))</f>
      </c>
      <c r="S356" s="440" t="str">
        <f>IF(B356="","",IF(T356&lt;&gt;"","✅売却済",IF(OR(H356="",L356=""),"📌保有中",IF(L356&gt;=0.06,"🟢利確推奨",IF(L356&gt;=0.05,"🟡利確直近",IF(L356&gt;=0.045,"🔵トレーリング検討",IF(L356&gt;-0.03,"📌保有中",IF(L356&gt;-0.04,"⚠️損切注意","🔴損切り"))))))))</f>
        <v/>
      </c>
      <c r="T356" s="597"/>
      <c r="U356" s="599"/>
      <c r="V356" s="704" t="str">
        <f>IF(OR(F356="",G356="",U356=""),"",IF(C356="売",(F356-U356)*G356,(U356-F356)*G356))</f>
        <v/>
      </c>
      <c r="W356" s="440" t="str">
        <f>IF(OR($E356="",$B356=""),"",IF($T356&lt;&gt;"",$T356-$E356,TODAY()-$E356)+1)</f>
        <v/>
      </c>
      <c r="X356" s="440" t="str">
        <f>IF(OR($AH356="",$AH356="保有中"),"",$AH356)</f>
        <v/>
      </c>
      <c r="Y356">
        <f>IF($B356="","",IF(COUNTIFS($B$4:$B356,$B356,$C$4:$C356,$C356)&gt;1,"⛔重複"&amp;COUNTIFS($B$4:$B356,$B356,$C$4:$C356,$C356)&amp;"回目",""))</f>
      </c>
      <c r="AB356">
        <f>IF($F356="","",MAX(100,ROUNDDOWN($AX$4/($F356*$AX$2)/100,0)*100))</f>
      </c>
      <c r="AC356">
        <f>IF(OR($F356="",$G356="",$U356=""),"",ROUND($V356-($F356+$U356)*$G356*$AX$6-IF($C356="売",$F356*$G356*$AX$7*$W356/365,0),0))</f>
      </c>
      <c r="AD356" s="608"/>
      <c r="AE356" s="600" t="str">
        <f>IF($E356="","",WORKDAY($E356,12))</f>
        <v/>
      </c>
      <c r="AF356" s="600"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0"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0" t="str">
        <f>IF(OR($B356="",$M356=""),"",IF(AND(N($AF356)=0,N($AG356)=0),IF(AND(ISNUMBER($H356),$H356&gt;0,IF($C356="売",$H356&gt;=$N356,$H356&lt;=$N356)),"損切確定",IF(AND(ISNUMBER($H356),$H356&gt;0,IF($C356="売",$H356&lt;=$M356,$H356&gt;=$M356)),"利益確定",IF($AE356&lt;=TODAY(),"日数制限","保有中"))),IF(N($AG356)=0,"利益確定",IF(N($AF356)=0,"損切確定",IF($AG356&lt;=$AF356,"損切確定","利益確定")))))</f>
        <v/>
      </c>
      <c r="AI356" s="600" t="str" cm="1">
        <f t="array" ref="AI356">IFERROR(INDEX(始値!$E$6:$BT$305,MATCH(TEXT($B356,"0"),TEXT(銘柄管理!$B$6:$B$305,"0"),0),MATCH($AE356,始値!$E$3:$BT$3,0)),"")</f>
        <v/>
      </c>
      <c r="AJ356" s="608" t="str">
        <f>IF(OR($V356="",$F356="",$G356=""),"",$V356/($F356*$G356))</f>
        <v/>
      </c>
      <c r="AK356" s="600" t="str">
        <f>IF($V356="","",IF($V356&gt;0,"○勝",IF($V356&lt;0,"●負","△引分")))</f>
        <v/>
      </c>
    </row>
    <row r="357" spans="1:37" ht="17.25" customHeight="1">
      <c r="A357" s="622" t="str">
        <f>IF(B357="","",HYPERLINK("https://kabutan.jp/stock/?code="&amp;B357,"株探"))</f>
        <v/>
      </c>
      <c r="D357" s="440" t="str" cm="1">
        <f t="array" ref="D357">_xll.RssMarket(B357, "銘柄名称")</f>
        <v/>
      </c>
      <c r="E357" s="717"/>
      <c r="F357" s="6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IF(OR(F357="",G357="",H357=""),"",IF(C357="売",(F357-H357)*G357,(H357-F357)*G357))</f>
        <v/>
      </c>
      <c r="L357" s="709" t="str">
        <f>IF(OR(F357="",H357=""),"",IF(C357="売",(F357-H357)/F357,(H357-F357)/F357))</f>
        <v/>
      </c>
      <c r="M357" s="599" t="str">
        <f>IF($F357="","",IF($C357="売",CEILING($F357*IF($C357="売",1-$AX$3,1+$AX$3),IF($F357*IF($C357="売",1-$AX$3,1+$AX$3)&lt;=3000,1,IF($F357*IF($C357="売",1-$AX$3,1+$AX$3)&lt;=5000,5,IF($F357*IF($C357="売",1-$AX$3,1+$AX$3)&lt;=30000,10,IF($F357*IF($C357="売",1-$AX$3,1+$AX$3)&lt;=50000,50,IF($F357*IF($C357="売",1-$AX$3,1+$AX$3)&lt;=300000,100,500)))))),FLOOR($F357*IF($C357="売",1-$AX$3,1+$AX$3),IF($F357*IF($C357="売",1-$AX$3,1+$AX$3)&lt;=3000,1,IF($F357*IF($C357="売",1-$AX$3,1+$AX$3)&lt;=5000,5,IF($F357*IF($C357="売",1-$AX$3,1+$AX$3)&lt;=30000,10,IF($F357*IF($C357="売",1-$AX$3,1+$AX$3)&lt;=50000,50,IF($F357*IF($C357="売",1-$AX$3,1+$AX$3)&lt;=300000,100,500))))))))</f>
      </c>
      <c r="N357" s="599" t="str">
        <f>IF($F357="","",IF($C357="売",CEILING($F357*IF($C357="売",1+$AX$2,1-$AX$2),IF($F357*IF($C357="売",1+$AX$2,1-$AX$2)&lt;=3000,1,IF($F357*IF($C357="売",1+$AX$2,1-$AX$2)&lt;=5000,5,IF($F357*IF($C357="売",1+$AX$2,1-$AX$2)&lt;=30000,10,IF($F357*IF($C357="売",1+$AX$2,1-$AX$2)&lt;=50000,50,IF($F357*IF($C357="売",1+$AX$2,1-$AX$2)&lt;=300000,100,500)))))),FLOOR($F357*IF($C357="売",1+$AX$2,1-$AX$2),IF($F357*IF($C357="売",1+$AX$2,1-$AX$2)&lt;=3000,1,IF($F357*IF($C357="売",1+$AX$2,1-$AX$2)&lt;=5000,5,IF($F357*IF($C357="売",1+$AX$2,1-$AX$2)&lt;=30000,10,IF($F357*IF($C357="売",1+$AX$2,1-$AX$2)&lt;=50000,50,IF($F357*IF($C357="売",1+$AX$2,1-$AX$2)&lt;=300000,100,500))))))))</f>
      </c>
      <c r="O357" s="478" t="str">
        <f>IF(OR($B357="",$F357="",$H357=""),"",IF($S357="✅売却済","―決済済―",IF($C357="売",IF($H357&lt;=$M357,"🟢利確",IF(AND($R357&lt;&gt;"",$H357&gt;=$R357),"🟠TRAIL決済",IF($H357&gt;=$N357,"🔴損切",IF($W357&gt;=$AX$5,"⏱時間決済",IF($H357&gt;=$F357*(1+$AX$2*0.7),"⚠️損切接近","保持継続"))))),IF($H357&gt;=$M357,"🟢利確",IF(AND($R357&lt;&gt;"",$H357&lt;=$R357),"🟠TRAIL決済",IF($H357&lt;=$N357,"🔴損切",IF($W357&gt;=$AX$5,"⏱時間決済",IF($H357&lt;=$F357*(1-$AX$2*0.7),"⚠️損切接近","保持継続")))))))</f>
      </c>
      <c r="P357" s="445"/>
      <c r="R357" s="440" t="str">
        <f>IF(OR($F357="",$H357="",$N357=""),"",IF($S357="✅売却済","",IF($C357="売",IF($H357&gt;$F357*(1-$AX$2),$N357,CEILING(MIN($N357,IF($Q357="",$N357,$Q357*1.03)),IF($N357&lt;=3000,1,IF($N357&lt;=5000,5,IF($N357&lt;=30000,10,IF($N357&lt;=50000,50,IF($N357&lt;=300000,100,500))))))),IF($H357&lt;$F357*(1+$AX$2),$N357,FLOOR(MAX($N357,IF($P357="",$N357,$P357*0.97)),IF($N357&lt;=3000,1,IF($N357&lt;=5000,5,IF($N357&lt;=30000,10,IF($N357&lt;=50000,50,IF($N357&lt;=300000,100,500))))))))))</f>
      </c>
      <c r="S357" s="440" t="str">
        <f>IF(B357="","",IF(T357&lt;&gt;"","✅売却済",IF(OR(H357="",L357=""),"📌保有中",IF(L357&gt;=0.06,"🟢利確推奨",IF(L357&gt;=0.05,"🟡利確直近",IF(L357&gt;=0.045,"🔵トレーリング検討",IF(L357&gt;-0.03,"📌保有中",IF(L357&gt;-0.04,"⚠️損切注意","🔴損切り"))))))))</f>
        <v/>
      </c>
      <c r="T357" s="597"/>
      <c r="U357" s="599"/>
      <c r="V357" s="704" t="str">
        <f>IF(OR(F357="",G357="",U357=""),"",IF(C357="売",(F357-U357)*G357,(U357-F357)*G357))</f>
        <v/>
      </c>
      <c r="W357" s="440" t="str">
        <f>IF(OR($E357="",$B357=""),"",IF($T357&lt;&gt;"",$T357-$E357,TODAY()-$E357)+1)</f>
        <v/>
      </c>
      <c r="X357" s="440" t="str">
        <f>IF(OR($AH357="",$AH357="保有中"),"",$AH357)</f>
        <v/>
      </c>
      <c r="Y357">
        <f>IF($B357="","",IF(COUNTIFS($B$4:$B357,$B357,$C$4:$C357,$C357)&gt;1,"⛔重複"&amp;COUNTIFS($B$4:$B357,$B357,$C$4:$C357,$C357)&amp;"回目",""))</f>
      </c>
      <c r="AB357">
        <f>IF($F357="","",MAX(100,ROUNDDOWN($AX$4/($F357*$AX$2)/100,0)*100))</f>
      </c>
      <c r="AC357">
        <f>IF(OR($F357="",$G357="",$U357=""),"",ROUND($V357-($F357+$U357)*$G357*$AX$6-IF($C357="売",$F357*$G357*$AX$7*$W357/365,0),0))</f>
      </c>
      <c r="AD357" s="608"/>
      <c r="AE357" s="600" t="str">
        <f>IF($E357="","",WORKDAY($E357,12))</f>
        <v/>
      </c>
      <c r="AF357" s="600"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0"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0" t="str">
        <f>IF(OR($B357="",$M357=""),"",IF(AND(N($AF357)=0,N($AG357)=0),IF(AND(ISNUMBER($H357),$H357&gt;0,IF($C357="売",$H357&gt;=$N357,$H357&lt;=$N357)),"損切確定",IF(AND(ISNUMBER($H357),$H357&gt;0,IF($C357="売",$H357&lt;=$M357,$H357&gt;=$M357)),"利益確定",IF($AE357&lt;=TODAY(),"日数制限","保有中"))),IF(N($AG357)=0,"利益確定",IF(N($AF357)=0,"損切確定",IF($AG357&lt;=$AF357,"損切確定","利益確定")))))</f>
        <v/>
      </c>
      <c r="AI357" s="600" t="str" cm="1">
        <f t="array" ref="AI357">IFERROR(INDEX(始値!$E$6:$BT$305,MATCH(TEXT($B357,"0"),TEXT(銘柄管理!$B$6:$B$305,"0"),0),MATCH($AE357,始値!$E$3:$BT$3,0)),"")</f>
        <v/>
      </c>
      <c r="AJ357" s="608" t="str">
        <f>IF(OR($V357="",$F357="",$G357=""),"",$V357/($F357*$G357))</f>
        <v/>
      </c>
      <c r="AK357" s="600" t="str">
        <f>IF($V357="","",IF($V357&gt;0,"○勝",IF($V357&lt;0,"●負","△引分")))</f>
        <v/>
      </c>
    </row>
    <row r="358" spans="1:37" ht="17.25" customHeight="1">
      <c r="A358" s="622" t="str">
        <f>IF(B358="","",HYPERLINK("https://kabutan.jp/stock/?code="&amp;B358,"株探"))</f>
        <v/>
      </c>
      <c r="D358" s="440" t="str" cm="1">
        <f t="array" ref="D358">_xll.RssMarket(B358, "銘柄名称")</f>
        <v/>
      </c>
      <c r="E358" s="717"/>
      <c r="F358" s="6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IF(OR(F358="",G358="",H358=""),"",IF(C358="売",(F358-H358)*G358,(H358-F358)*G358))</f>
        <v/>
      </c>
      <c r="L358" s="709" t="str">
        <f>IF(OR(F358="",H358=""),"",IF(C358="売",(F358-H358)/F358,(H358-F358)/F358))</f>
        <v/>
      </c>
      <c r="M358" s="599" t="str">
        <f>IF($F358="","",IF($C358="売",CEILING($F358*IF($C358="売",1-$AX$3,1+$AX$3),IF($F358*IF($C358="売",1-$AX$3,1+$AX$3)&lt;=3000,1,IF($F358*IF($C358="売",1-$AX$3,1+$AX$3)&lt;=5000,5,IF($F358*IF($C358="売",1-$AX$3,1+$AX$3)&lt;=30000,10,IF($F358*IF($C358="売",1-$AX$3,1+$AX$3)&lt;=50000,50,IF($F358*IF($C358="売",1-$AX$3,1+$AX$3)&lt;=300000,100,500)))))),FLOOR($F358*IF($C358="売",1-$AX$3,1+$AX$3),IF($F358*IF($C358="売",1-$AX$3,1+$AX$3)&lt;=3000,1,IF($F358*IF($C358="売",1-$AX$3,1+$AX$3)&lt;=5000,5,IF($F358*IF($C358="売",1-$AX$3,1+$AX$3)&lt;=30000,10,IF($F358*IF($C358="売",1-$AX$3,1+$AX$3)&lt;=50000,50,IF($F358*IF($C358="売",1-$AX$3,1+$AX$3)&lt;=300000,100,500))))))))</f>
      </c>
      <c r="N358" s="599" t="str">
        <f>IF($F358="","",IF($C358="売",CEILING($F358*IF($C358="売",1+$AX$2,1-$AX$2),IF($F358*IF($C358="売",1+$AX$2,1-$AX$2)&lt;=3000,1,IF($F358*IF($C358="売",1+$AX$2,1-$AX$2)&lt;=5000,5,IF($F358*IF($C358="売",1+$AX$2,1-$AX$2)&lt;=30000,10,IF($F358*IF($C358="売",1+$AX$2,1-$AX$2)&lt;=50000,50,IF($F358*IF($C358="売",1+$AX$2,1-$AX$2)&lt;=300000,100,500)))))),FLOOR($F358*IF($C358="売",1+$AX$2,1-$AX$2),IF($F358*IF($C358="売",1+$AX$2,1-$AX$2)&lt;=3000,1,IF($F358*IF($C358="売",1+$AX$2,1-$AX$2)&lt;=5000,5,IF($F358*IF($C358="売",1+$AX$2,1-$AX$2)&lt;=30000,10,IF($F358*IF($C358="売",1+$AX$2,1-$AX$2)&lt;=50000,50,IF($F358*IF($C358="売",1+$AX$2,1-$AX$2)&lt;=300000,100,500))))))))</f>
      </c>
      <c r="O358" s="478" t="str">
        <f>IF(OR($B358="",$F358="",$H358=""),"",IF($S358="✅売却済","―決済済―",IF($C358="売",IF($H358&lt;=$M358,"🟢利確",IF(AND($R358&lt;&gt;"",$H358&gt;=$R358),"🟠TRAIL決済",IF($H358&gt;=$N358,"🔴損切",IF($W358&gt;=$AX$5,"⏱時間決済",IF($H358&gt;=$F358*(1+$AX$2*0.7),"⚠️損切接近","保持継続"))))),IF($H358&gt;=$M358,"🟢利確",IF(AND($R358&lt;&gt;"",$H358&lt;=$R358),"🟠TRAIL決済",IF($H358&lt;=$N358,"🔴損切",IF($W358&gt;=$AX$5,"⏱時間決済",IF($H358&lt;=$F358*(1-$AX$2*0.7),"⚠️損切接近","保持継続")))))))</f>
      </c>
      <c r="P358" s="445"/>
      <c r="R358" s="440" t="str">
        <f>IF(OR($F358="",$H358="",$N358=""),"",IF($S358="✅売却済","",IF($C358="売",IF($H358&gt;$F358*(1-$AX$2),$N358,CEILING(MIN($N358,IF($Q358="",$N358,$Q358*1.03)),IF($N358&lt;=3000,1,IF($N358&lt;=5000,5,IF($N358&lt;=30000,10,IF($N358&lt;=50000,50,IF($N358&lt;=300000,100,500))))))),IF($H358&lt;$F358*(1+$AX$2),$N358,FLOOR(MAX($N358,IF($P358="",$N358,$P358*0.97)),IF($N358&lt;=3000,1,IF($N358&lt;=5000,5,IF($N358&lt;=30000,10,IF($N358&lt;=50000,50,IF($N358&lt;=300000,100,500))))))))))</f>
      </c>
      <c r="S358" s="440" t="str">
        <f>IF(B358="","",IF(T358&lt;&gt;"","✅売却済",IF(OR(H358="",L358=""),"📌保有中",IF(L358&gt;=0.06,"🟢利確推奨",IF(L358&gt;=0.05,"🟡利確直近",IF(L358&gt;=0.045,"🔵トレーリング検討",IF(L358&gt;-0.03,"📌保有中",IF(L358&gt;-0.04,"⚠️損切注意","🔴損切り"))))))))</f>
        <v/>
      </c>
      <c r="T358" s="597"/>
      <c r="U358" s="599"/>
      <c r="V358" s="704" t="str">
        <f>IF(OR(F358="",G358="",U358=""),"",IF(C358="売",(F358-U358)*G358,(U358-F358)*G358))</f>
        <v/>
      </c>
      <c r="W358" s="440" t="str">
        <f>IF(OR($E358="",$B358=""),"",IF($T358&lt;&gt;"",$T358-$E358,TODAY()-$E358)+1)</f>
        <v/>
      </c>
      <c r="X358" s="440" t="str">
        <f>IF(OR($AH358="",$AH358="保有中"),"",$AH358)</f>
        <v/>
      </c>
      <c r="Y358">
        <f>IF($B358="","",IF(COUNTIFS($B$4:$B358,$B358,$C$4:$C358,$C358)&gt;1,"⛔重複"&amp;COUNTIFS($B$4:$B358,$B358,$C$4:$C358,$C358)&amp;"回目",""))</f>
      </c>
      <c r="AB358">
        <f>IF($F358="","",MAX(100,ROUNDDOWN($AX$4/($F358*$AX$2)/100,0)*100))</f>
      </c>
      <c r="AC358">
        <f>IF(OR($F358="",$G358="",$U358=""),"",ROUND($V358-($F358+$U358)*$G358*$AX$6-IF($C358="売",$F358*$G358*$AX$7*$W358/365,0),0))</f>
      </c>
      <c r="AD358" s="608"/>
      <c r="AE358" s="600" t="str">
        <f>IF($E358="","",WORKDAY($E358,12))</f>
        <v/>
      </c>
      <c r="AF358" s="600"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0"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0" t="str">
        <f>IF(OR($B358="",$M358=""),"",IF(AND(N($AF358)=0,N($AG358)=0),IF(AND(ISNUMBER($H358),$H358&gt;0,IF($C358="売",$H358&gt;=$N358,$H358&lt;=$N358)),"損切確定",IF(AND(ISNUMBER($H358),$H358&gt;0,IF($C358="売",$H358&lt;=$M358,$H358&gt;=$M358)),"利益確定",IF($AE358&lt;=TODAY(),"日数制限","保有中"))),IF(N($AG358)=0,"利益確定",IF(N($AF358)=0,"損切確定",IF($AG358&lt;=$AF358,"損切確定","利益確定")))))</f>
        <v/>
      </c>
      <c r="AI358" s="600" t="str" cm="1">
        <f t="array" ref="AI358">IFERROR(INDEX(始値!$E$6:$BT$305,MATCH(TEXT($B358,"0"),TEXT(銘柄管理!$B$6:$B$305,"0"),0),MATCH($AE358,始値!$E$3:$BT$3,0)),"")</f>
        <v/>
      </c>
      <c r="AJ358" s="608" t="str">
        <f>IF(OR($V358="",$F358="",$G358=""),"",$V358/($F358*$G358))</f>
        <v/>
      </c>
      <c r="AK358" s="600" t="str">
        <f>IF($V358="","",IF($V358&gt;0,"○勝",IF($V358&lt;0,"●負","△引分")))</f>
        <v/>
      </c>
    </row>
    <row r="359" spans="1:37" ht="17.25" customHeight="1">
      <c r="A359" s="622" t="str">
        <f>IF(B359="","",HYPERLINK("https://kabutan.jp/stock/?code="&amp;B359,"株探"))</f>
        <v/>
      </c>
      <c r="D359" s="440" t="str" cm="1">
        <f t="array" ref="D359">_xll.RssMarket(B359, "銘柄名称")</f>
        <v/>
      </c>
      <c r="E359" s="717"/>
      <c r="F359" s="6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IF(OR(F359="",G359="",H359=""),"",IF(C359="売",(F359-H359)*G359,(H359-F359)*G359))</f>
        <v/>
      </c>
      <c r="L359" s="709" t="str">
        <f>IF(OR(F359="",H359=""),"",IF(C359="売",(F359-H359)/F359,(H359-F359)/F359))</f>
        <v/>
      </c>
      <c r="M359" s="599" t="str">
        <f>IF($F359="","",IF($C359="売",CEILING($F359*IF($C359="売",1-$AX$3,1+$AX$3),IF($F359*IF($C359="売",1-$AX$3,1+$AX$3)&lt;=3000,1,IF($F359*IF($C359="売",1-$AX$3,1+$AX$3)&lt;=5000,5,IF($F359*IF($C359="売",1-$AX$3,1+$AX$3)&lt;=30000,10,IF($F359*IF($C359="売",1-$AX$3,1+$AX$3)&lt;=50000,50,IF($F359*IF($C359="売",1-$AX$3,1+$AX$3)&lt;=300000,100,500)))))),FLOOR($F359*IF($C359="売",1-$AX$3,1+$AX$3),IF($F359*IF($C359="売",1-$AX$3,1+$AX$3)&lt;=3000,1,IF($F359*IF($C359="売",1-$AX$3,1+$AX$3)&lt;=5000,5,IF($F359*IF($C359="売",1-$AX$3,1+$AX$3)&lt;=30000,10,IF($F359*IF($C359="売",1-$AX$3,1+$AX$3)&lt;=50000,50,IF($F359*IF($C359="売",1-$AX$3,1+$AX$3)&lt;=300000,100,500))))))))</f>
      </c>
      <c r="N359" s="599" t="str">
        <f>IF($F359="","",IF($C359="売",CEILING($F359*IF($C359="売",1+$AX$2,1-$AX$2),IF($F359*IF($C359="売",1+$AX$2,1-$AX$2)&lt;=3000,1,IF($F359*IF($C359="売",1+$AX$2,1-$AX$2)&lt;=5000,5,IF($F359*IF($C359="売",1+$AX$2,1-$AX$2)&lt;=30000,10,IF($F359*IF($C359="売",1+$AX$2,1-$AX$2)&lt;=50000,50,IF($F359*IF($C359="売",1+$AX$2,1-$AX$2)&lt;=300000,100,500)))))),FLOOR($F359*IF($C359="売",1+$AX$2,1-$AX$2),IF($F359*IF($C359="売",1+$AX$2,1-$AX$2)&lt;=3000,1,IF($F359*IF($C359="売",1+$AX$2,1-$AX$2)&lt;=5000,5,IF($F359*IF($C359="売",1+$AX$2,1-$AX$2)&lt;=30000,10,IF($F359*IF($C359="売",1+$AX$2,1-$AX$2)&lt;=50000,50,IF($F359*IF($C359="売",1+$AX$2,1-$AX$2)&lt;=300000,100,500))))))))</f>
      </c>
      <c r="O359" s="478" t="str">
        <f>IF(OR($B359="",$F359="",$H359=""),"",IF($S359="✅売却済","―決済済―",IF($C359="売",IF($H359&lt;=$M359,"🟢利確",IF(AND($R359&lt;&gt;"",$H359&gt;=$R359),"🟠TRAIL決済",IF($H359&gt;=$N359,"🔴損切",IF($W359&gt;=$AX$5,"⏱時間決済",IF($H359&gt;=$F359*(1+$AX$2*0.7),"⚠️損切接近","保持継続"))))),IF($H359&gt;=$M359,"🟢利確",IF(AND($R359&lt;&gt;"",$H359&lt;=$R359),"🟠TRAIL決済",IF($H359&lt;=$N359,"🔴損切",IF($W359&gt;=$AX$5,"⏱時間決済",IF($H359&lt;=$F359*(1-$AX$2*0.7),"⚠️損切接近","保持継続")))))))</f>
      </c>
      <c r="P359" s="445"/>
      <c r="R359" s="440" t="str">
        <f>IF(OR($F359="",$H359="",$N359=""),"",IF($S359="✅売却済","",IF($C359="売",IF($H359&gt;$F359*(1-$AX$2),$N359,CEILING(MIN($N359,IF($Q359="",$N359,$Q359*1.03)),IF($N359&lt;=3000,1,IF($N359&lt;=5000,5,IF($N359&lt;=30000,10,IF($N359&lt;=50000,50,IF($N359&lt;=300000,100,500))))))),IF($H359&lt;$F359*(1+$AX$2),$N359,FLOOR(MAX($N359,IF($P359="",$N359,$P359*0.97)),IF($N359&lt;=3000,1,IF($N359&lt;=5000,5,IF($N359&lt;=30000,10,IF($N359&lt;=50000,50,IF($N359&lt;=300000,100,500))))))))))</f>
      </c>
      <c r="S359" s="440" t="str">
        <f>IF(B359="","",IF(T359&lt;&gt;"","✅売却済",IF(OR(H359="",L359=""),"📌保有中",IF(L359&gt;=0.06,"🟢利確推奨",IF(L359&gt;=0.05,"🟡利確直近",IF(L359&gt;=0.045,"🔵トレーリング検討",IF(L359&gt;-0.03,"📌保有中",IF(L359&gt;-0.04,"⚠️損切注意","🔴損切り"))))))))</f>
        <v/>
      </c>
      <c r="T359" s="597"/>
      <c r="U359" s="599"/>
      <c r="V359" s="704" t="str">
        <f>IF(OR(F359="",G359="",U359=""),"",IF(C359="売",(F359-U359)*G359,(U359-F359)*G359))</f>
        <v/>
      </c>
      <c r="W359" s="440" t="str">
        <f>IF(OR($E359="",$B359=""),"",IF($T359&lt;&gt;"",$T359-$E359,TODAY()-$E359)+1)</f>
        <v/>
      </c>
      <c r="X359" s="440" t="str">
        <f>IF(OR($AH359="",$AH359="保有中"),"",$AH359)</f>
        <v/>
      </c>
      <c r="Y359">
        <f>IF($B359="","",IF(COUNTIFS($B$4:$B359,$B359,$C$4:$C359,$C359)&gt;1,"⛔重複"&amp;COUNTIFS($B$4:$B359,$B359,$C$4:$C359,$C359)&amp;"回目",""))</f>
      </c>
      <c r="AB359">
        <f>IF($F359="","",MAX(100,ROUNDDOWN($AX$4/($F359*$AX$2)/100,0)*100))</f>
      </c>
      <c r="AC359">
        <f>IF(OR($F359="",$G359="",$U359=""),"",ROUND($V359-($F359+$U359)*$G359*$AX$6-IF($C359="売",$F359*$G359*$AX$7*$W359/365,0),0))</f>
      </c>
      <c r="AD359" s="608"/>
      <c r="AE359" s="600" t="str">
        <f>IF($E359="","",WORKDAY($E359,12))</f>
        <v/>
      </c>
      <c r="AF359" s="600"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0"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0" t="str">
        <f>IF(OR($B359="",$M359=""),"",IF(AND(N($AF359)=0,N($AG359)=0),IF(AND(ISNUMBER($H359),$H359&gt;0,IF($C359="売",$H359&gt;=$N359,$H359&lt;=$N359)),"損切確定",IF(AND(ISNUMBER($H359),$H359&gt;0,IF($C359="売",$H359&lt;=$M359,$H359&gt;=$M359)),"利益確定",IF($AE359&lt;=TODAY(),"日数制限","保有中"))),IF(N($AG359)=0,"利益確定",IF(N($AF359)=0,"損切確定",IF($AG359&lt;=$AF359,"損切確定","利益確定")))))</f>
        <v/>
      </c>
      <c r="AI359" s="600" t="str" cm="1">
        <f t="array" ref="AI359">IFERROR(INDEX(始値!$E$6:$BT$305,MATCH(TEXT($B359,"0"),TEXT(銘柄管理!$B$6:$B$305,"0"),0),MATCH($AE359,始値!$E$3:$BT$3,0)),"")</f>
        <v/>
      </c>
      <c r="AJ359" s="608" t="str">
        <f>IF(OR($V359="",$F359="",$G359=""),"",$V359/($F359*$G359))</f>
        <v/>
      </c>
      <c r="AK359" s="600" t="str">
        <f>IF($V359="","",IF($V359&gt;0,"○勝",IF($V359&lt;0,"●負","△引分")))</f>
        <v/>
      </c>
    </row>
    <row r="360" spans="1:37" ht="17.25" customHeight="1">
      <c r="A360" s="622" t="str">
        <f>IF(B360="","",HYPERLINK("https://kabutan.jp/stock/?code="&amp;B360,"株探"))</f>
        <v/>
      </c>
      <c r="D360" s="440" t="str" cm="1">
        <f t="array" ref="D360">_xll.RssMarket(B360, "銘柄名称")</f>
        <v/>
      </c>
      <c r="E360" s="717"/>
      <c r="F360" s="6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IF(OR(F360="",G360="",H360=""),"",IF(C360="売",(F360-H360)*G360,(H360-F360)*G360))</f>
        <v/>
      </c>
      <c r="L360" s="709" t="str">
        <f>IF(OR(F360="",H360=""),"",IF(C360="売",(F360-H360)/F360,(H360-F360)/F360))</f>
        <v/>
      </c>
      <c r="M360" s="599" t="str">
        <f>IF($F360="","",IF($C360="売",CEILING($F360*IF($C360="売",1-$AX$3,1+$AX$3),IF($F360*IF($C360="売",1-$AX$3,1+$AX$3)&lt;=3000,1,IF($F360*IF($C360="売",1-$AX$3,1+$AX$3)&lt;=5000,5,IF($F360*IF($C360="売",1-$AX$3,1+$AX$3)&lt;=30000,10,IF($F360*IF($C360="売",1-$AX$3,1+$AX$3)&lt;=50000,50,IF($F360*IF($C360="売",1-$AX$3,1+$AX$3)&lt;=300000,100,500)))))),FLOOR($F360*IF($C360="売",1-$AX$3,1+$AX$3),IF($F360*IF($C360="売",1-$AX$3,1+$AX$3)&lt;=3000,1,IF($F360*IF($C360="売",1-$AX$3,1+$AX$3)&lt;=5000,5,IF($F360*IF($C360="売",1-$AX$3,1+$AX$3)&lt;=30000,10,IF($F360*IF($C360="売",1-$AX$3,1+$AX$3)&lt;=50000,50,IF($F360*IF($C360="売",1-$AX$3,1+$AX$3)&lt;=300000,100,500))))))))</f>
      </c>
      <c r="N360" s="599" t="str">
        <f>IF($F360="","",IF($C360="売",CEILING($F360*IF($C360="売",1+$AX$2,1-$AX$2),IF($F360*IF($C360="売",1+$AX$2,1-$AX$2)&lt;=3000,1,IF($F360*IF($C360="売",1+$AX$2,1-$AX$2)&lt;=5000,5,IF($F360*IF($C360="売",1+$AX$2,1-$AX$2)&lt;=30000,10,IF($F360*IF($C360="売",1+$AX$2,1-$AX$2)&lt;=50000,50,IF($F360*IF($C360="売",1+$AX$2,1-$AX$2)&lt;=300000,100,500)))))),FLOOR($F360*IF($C360="売",1+$AX$2,1-$AX$2),IF($F360*IF($C360="売",1+$AX$2,1-$AX$2)&lt;=3000,1,IF($F360*IF($C360="売",1+$AX$2,1-$AX$2)&lt;=5000,5,IF($F360*IF($C360="売",1+$AX$2,1-$AX$2)&lt;=30000,10,IF($F360*IF($C360="売",1+$AX$2,1-$AX$2)&lt;=50000,50,IF($F360*IF($C360="売",1+$AX$2,1-$AX$2)&lt;=300000,100,500))))))))</f>
      </c>
      <c r="O360" s="478" t="str">
        <f>IF(OR($B360="",$F360="",$H360=""),"",IF($S360="✅売却済","―決済済―",IF($C360="売",IF($H360&lt;=$M360,"🟢利確",IF(AND($R360&lt;&gt;"",$H360&gt;=$R360),"🟠TRAIL決済",IF($H360&gt;=$N360,"🔴損切",IF($W360&gt;=$AX$5,"⏱時間決済",IF($H360&gt;=$F360*(1+$AX$2*0.7),"⚠️損切接近","保持継続"))))),IF($H360&gt;=$M360,"🟢利確",IF(AND($R360&lt;&gt;"",$H360&lt;=$R360),"🟠TRAIL決済",IF($H360&lt;=$N360,"🔴損切",IF($W360&gt;=$AX$5,"⏱時間決済",IF($H360&lt;=$F360*(1-$AX$2*0.7),"⚠️損切接近","保持継続")))))))</f>
      </c>
      <c r="P360" s="445"/>
      <c r="R360" s="440" t="str">
        <f>IF(OR($F360="",$H360="",$N360=""),"",IF($S360="✅売却済","",IF($C360="売",IF($H360&gt;$F360*(1-$AX$2),$N360,CEILING(MIN($N360,IF($Q360="",$N360,$Q360*1.03)),IF($N360&lt;=3000,1,IF($N360&lt;=5000,5,IF($N360&lt;=30000,10,IF($N360&lt;=50000,50,IF($N360&lt;=300000,100,500))))))),IF($H360&lt;$F360*(1+$AX$2),$N360,FLOOR(MAX($N360,IF($P360="",$N360,$P360*0.97)),IF($N360&lt;=3000,1,IF($N360&lt;=5000,5,IF($N360&lt;=30000,10,IF($N360&lt;=50000,50,IF($N360&lt;=300000,100,500))))))))))</f>
      </c>
      <c r="S360" s="440" t="str">
        <f>IF(B360="","",IF(T360&lt;&gt;"","✅売却済",IF(OR(H360="",L360=""),"📌保有中",IF(L360&gt;=0.06,"🟢利確推奨",IF(L360&gt;=0.05,"🟡利確直近",IF(L360&gt;=0.045,"🔵トレーリング検討",IF(L360&gt;-0.03,"📌保有中",IF(L360&gt;-0.04,"⚠️損切注意","🔴損切り"))))))))</f>
        <v/>
      </c>
      <c r="T360" s="597"/>
      <c r="U360" s="599"/>
      <c r="V360" s="704" t="str">
        <f>IF(OR(F360="",G360="",U360=""),"",IF(C360="売",(F360-U360)*G360,(U360-F360)*G360))</f>
        <v/>
      </c>
      <c r="W360" s="440" t="str">
        <f>IF(OR($E360="",$B360=""),"",IF($T360&lt;&gt;"",$T360-$E360,TODAY()-$E360)+1)</f>
        <v/>
      </c>
      <c r="X360" s="440" t="str">
        <f>IF(OR($AH360="",$AH360="保有中"),"",$AH360)</f>
        <v/>
      </c>
      <c r="Y360">
        <f>IF($B360="","",IF(COUNTIFS($B$4:$B360,$B360,$C$4:$C360,$C360)&gt;1,"⛔重複"&amp;COUNTIFS($B$4:$B360,$B360,$C$4:$C360,$C360)&amp;"回目",""))</f>
      </c>
      <c r="AB360">
        <f>IF($F360="","",MAX(100,ROUNDDOWN($AX$4/($F360*$AX$2)/100,0)*100))</f>
      </c>
      <c r="AC360">
        <f>IF(OR($F360="",$G360="",$U360=""),"",ROUND($V360-($F360+$U360)*$G360*$AX$6-IF($C360="売",$F360*$G360*$AX$7*$W360/365,0),0))</f>
      </c>
      <c r="AD360" s="608"/>
      <c r="AE360" s="600" t="str">
        <f>IF($E360="","",WORKDAY($E360,12))</f>
        <v/>
      </c>
      <c r="AF360" s="600"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0"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0" t="str">
        <f>IF(OR($B360="",$M360=""),"",IF(AND(N($AF360)=0,N($AG360)=0),IF(AND(ISNUMBER($H360),$H360&gt;0,IF($C360="売",$H360&gt;=$N360,$H360&lt;=$N360)),"損切確定",IF(AND(ISNUMBER($H360),$H360&gt;0,IF($C360="売",$H360&lt;=$M360,$H360&gt;=$M360)),"利益確定",IF($AE360&lt;=TODAY(),"日数制限","保有中"))),IF(N($AG360)=0,"利益確定",IF(N($AF360)=0,"損切確定",IF($AG360&lt;=$AF360,"損切確定","利益確定")))))</f>
        <v/>
      </c>
      <c r="AI360" s="600" t="str" cm="1">
        <f t="array" ref="AI360">IFERROR(INDEX(始値!$E$6:$BT$305,MATCH(TEXT($B360,"0"),TEXT(銘柄管理!$B$6:$B$305,"0"),0),MATCH($AE360,始値!$E$3:$BT$3,0)),"")</f>
        <v/>
      </c>
      <c r="AJ360" s="608" t="str">
        <f>IF(OR($V360="",$F360="",$G360=""),"",$V360/($F360*$G360))</f>
        <v/>
      </c>
      <c r="AK360" s="600" t="str">
        <f>IF($V360="","",IF($V360&gt;0,"○勝",IF($V360&lt;0,"●負","△引分")))</f>
        <v/>
      </c>
    </row>
    <row r="361" spans="1:37" ht="17.25" customHeight="1">
      <c r="A361" s="622" t="str">
        <f>IF(B361="","",HYPERLINK("https://kabutan.jp/stock/?code="&amp;B361,"株探"))</f>
        <v/>
      </c>
      <c r="D361" s="440" t="str" cm="1">
        <f t="array" ref="D361">_xll.RssMarket(B361, "銘柄名称")</f>
        <v/>
      </c>
      <c r="E361" s="717"/>
      <c r="F361" s="6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IF(OR(F361="",G361="",H361=""),"",IF(C361="売",(F361-H361)*G361,(H361-F361)*G361))</f>
        <v/>
      </c>
      <c r="L361" s="709" t="str">
        <f>IF(OR(F361="",H361=""),"",IF(C361="売",(F361-H361)/F361,(H361-F361)/F361))</f>
        <v/>
      </c>
      <c r="M361" s="599" t="str">
        <f>IF($F361="","",IF($C361="売",CEILING($F361*IF($C361="売",1-$AX$3,1+$AX$3),IF($F361*IF($C361="売",1-$AX$3,1+$AX$3)&lt;=3000,1,IF($F361*IF($C361="売",1-$AX$3,1+$AX$3)&lt;=5000,5,IF($F361*IF($C361="売",1-$AX$3,1+$AX$3)&lt;=30000,10,IF($F361*IF($C361="売",1-$AX$3,1+$AX$3)&lt;=50000,50,IF($F361*IF($C361="売",1-$AX$3,1+$AX$3)&lt;=300000,100,500)))))),FLOOR($F361*IF($C361="売",1-$AX$3,1+$AX$3),IF($F361*IF($C361="売",1-$AX$3,1+$AX$3)&lt;=3000,1,IF($F361*IF($C361="売",1-$AX$3,1+$AX$3)&lt;=5000,5,IF($F361*IF($C361="売",1-$AX$3,1+$AX$3)&lt;=30000,10,IF($F361*IF($C361="売",1-$AX$3,1+$AX$3)&lt;=50000,50,IF($F361*IF($C361="売",1-$AX$3,1+$AX$3)&lt;=300000,100,500))))))))</f>
      </c>
      <c r="N361" s="599" t="str">
        <f>IF($F361="","",IF($C361="売",CEILING($F361*IF($C361="売",1+$AX$2,1-$AX$2),IF($F361*IF($C361="売",1+$AX$2,1-$AX$2)&lt;=3000,1,IF($F361*IF($C361="売",1+$AX$2,1-$AX$2)&lt;=5000,5,IF($F361*IF($C361="売",1+$AX$2,1-$AX$2)&lt;=30000,10,IF($F361*IF($C361="売",1+$AX$2,1-$AX$2)&lt;=50000,50,IF($F361*IF($C361="売",1+$AX$2,1-$AX$2)&lt;=300000,100,500)))))),FLOOR($F361*IF($C361="売",1+$AX$2,1-$AX$2),IF($F361*IF($C361="売",1+$AX$2,1-$AX$2)&lt;=3000,1,IF($F361*IF($C361="売",1+$AX$2,1-$AX$2)&lt;=5000,5,IF($F361*IF($C361="売",1+$AX$2,1-$AX$2)&lt;=30000,10,IF($F361*IF($C361="売",1+$AX$2,1-$AX$2)&lt;=50000,50,IF($F361*IF($C361="売",1+$AX$2,1-$AX$2)&lt;=300000,100,500))))))))</f>
      </c>
      <c r="O361" s="478" t="str">
        <f>IF(OR($B361="",$F361="",$H361=""),"",IF($S361="✅売却済","―決済済―",IF($C361="売",IF($H361&lt;=$M361,"🟢利確",IF(AND($R361&lt;&gt;"",$H361&gt;=$R361),"🟠TRAIL決済",IF($H361&gt;=$N361,"🔴損切",IF($W361&gt;=$AX$5,"⏱時間決済",IF($H361&gt;=$F361*(1+$AX$2*0.7),"⚠️損切接近","保持継続"))))),IF($H361&gt;=$M361,"🟢利確",IF(AND($R361&lt;&gt;"",$H361&lt;=$R361),"🟠TRAIL決済",IF($H361&lt;=$N361,"🔴損切",IF($W361&gt;=$AX$5,"⏱時間決済",IF($H361&lt;=$F361*(1-$AX$2*0.7),"⚠️損切接近","保持継続")))))))</f>
      </c>
      <c r="P361" s="445"/>
      <c r="R361" s="440" t="str">
        <f>IF(OR($F361="",$H361="",$N361=""),"",IF($S361="✅売却済","",IF($C361="売",IF($H361&gt;$F361*(1-$AX$2),$N361,CEILING(MIN($N361,IF($Q361="",$N361,$Q361*1.03)),IF($N361&lt;=3000,1,IF($N361&lt;=5000,5,IF($N361&lt;=30000,10,IF($N361&lt;=50000,50,IF($N361&lt;=300000,100,500))))))),IF($H361&lt;$F361*(1+$AX$2),$N361,FLOOR(MAX($N361,IF($P361="",$N361,$P361*0.97)),IF($N361&lt;=3000,1,IF($N361&lt;=5000,5,IF($N361&lt;=30000,10,IF($N361&lt;=50000,50,IF($N361&lt;=300000,100,500))))))))))</f>
      </c>
      <c r="S361" s="440" t="str">
        <f>IF(B361="","",IF(T361&lt;&gt;"","✅売却済",IF(OR(H361="",L361=""),"📌保有中",IF(L361&gt;=0.06,"🟢利確推奨",IF(L361&gt;=0.05,"🟡利確直近",IF(L361&gt;=0.045,"🔵トレーリング検討",IF(L361&gt;-0.03,"📌保有中",IF(L361&gt;-0.04,"⚠️損切注意","🔴損切り"))))))))</f>
        <v/>
      </c>
      <c r="T361" s="597"/>
      <c r="U361" s="599"/>
      <c r="V361" s="704" t="str">
        <f>IF(OR(F361="",G361="",U361=""),"",IF(C361="売",(F361-U361)*G361,(U361-F361)*G361))</f>
        <v/>
      </c>
      <c r="W361" s="440" t="str">
        <f>IF(OR($E361="",$B361=""),"",IF($T361&lt;&gt;"",$T361-$E361,TODAY()-$E361)+1)</f>
        <v/>
      </c>
      <c r="X361" s="440" t="str">
        <f>IF(OR($AH361="",$AH361="保有中"),"",$AH361)</f>
        <v/>
      </c>
      <c r="Y361">
        <f>IF($B361="","",IF(COUNTIFS($B$4:$B361,$B361,$C$4:$C361,$C361)&gt;1,"⛔重複"&amp;COUNTIFS($B$4:$B361,$B361,$C$4:$C361,$C361)&amp;"回目",""))</f>
      </c>
      <c r="AB361">
        <f>IF($F361="","",MAX(100,ROUNDDOWN($AX$4/($F361*$AX$2)/100,0)*100))</f>
      </c>
      <c r="AC361">
        <f>IF(OR($F361="",$G361="",$U361=""),"",ROUND($V361-($F361+$U361)*$G361*$AX$6-IF($C361="売",$F361*$G361*$AX$7*$W361/365,0),0))</f>
      </c>
      <c r="AD361" s="608"/>
      <c r="AE361" s="600" t="str">
        <f>IF($E361="","",WORKDAY($E361,12))</f>
        <v/>
      </c>
      <c r="AF361" s="600"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0"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0" t="str">
        <f>IF(OR($B361="",$M361=""),"",IF(AND(N($AF361)=0,N($AG361)=0),IF(AND(ISNUMBER($H361),$H361&gt;0,IF($C361="売",$H361&gt;=$N361,$H361&lt;=$N361)),"損切確定",IF(AND(ISNUMBER($H361),$H361&gt;0,IF($C361="売",$H361&lt;=$M361,$H361&gt;=$M361)),"利益確定",IF($AE361&lt;=TODAY(),"日数制限","保有中"))),IF(N($AG361)=0,"利益確定",IF(N($AF361)=0,"損切確定",IF($AG361&lt;=$AF361,"損切確定","利益確定")))))</f>
        <v/>
      </c>
      <c r="AI361" s="600" t="str" cm="1">
        <f t="array" ref="AI361">IFERROR(INDEX(始値!$E$6:$BT$305,MATCH(TEXT($B361,"0"),TEXT(銘柄管理!$B$6:$B$305,"0"),0),MATCH($AE361,始値!$E$3:$BT$3,0)),"")</f>
        <v/>
      </c>
      <c r="AJ361" s="608" t="str">
        <f>IF(OR($V361="",$F361="",$G361=""),"",$V361/($F361*$G361))</f>
        <v/>
      </c>
      <c r="AK361" s="600" t="str">
        <f>IF($V361="","",IF($V361&gt;0,"○勝",IF($V361&lt;0,"●負","△引分")))</f>
        <v/>
      </c>
    </row>
    <row r="362" spans="1:37" ht="17.25" customHeight="1">
      <c r="A362" s="622" t="str">
        <f>IF(B362="","",HYPERLINK("https://kabutan.jp/stock/?code="&amp;B362,"株探"))</f>
        <v/>
      </c>
      <c r="D362" s="440" t="str" cm="1">
        <f t="array" ref="D362">_xll.RssMarket(B362, "銘柄名称")</f>
        <v/>
      </c>
      <c r="E362" s="717"/>
      <c r="F362" s="6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IF(OR(F362="",G362="",H362=""),"",IF(C362="売",(F362-H362)*G362,(H362-F362)*G362))</f>
        <v/>
      </c>
      <c r="L362" s="709" t="str">
        <f>IF(OR(F362="",H362=""),"",IF(C362="売",(F362-H362)/F362,(H362-F362)/F362))</f>
        <v/>
      </c>
      <c r="M362" s="599" t="str">
        <f>IF($F362="","",IF($C362="売",CEILING($F362*IF($C362="売",1-$AX$3,1+$AX$3),IF($F362*IF($C362="売",1-$AX$3,1+$AX$3)&lt;=3000,1,IF($F362*IF($C362="売",1-$AX$3,1+$AX$3)&lt;=5000,5,IF($F362*IF($C362="売",1-$AX$3,1+$AX$3)&lt;=30000,10,IF($F362*IF($C362="売",1-$AX$3,1+$AX$3)&lt;=50000,50,IF($F362*IF($C362="売",1-$AX$3,1+$AX$3)&lt;=300000,100,500)))))),FLOOR($F362*IF($C362="売",1-$AX$3,1+$AX$3),IF($F362*IF($C362="売",1-$AX$3,1+$AX$3)&lt;=3000,1,IF($F362*IF($C362="売",1-$AX$3,1+$AX$3)&lt;=5000,5,IF($F362*IF($C362="売",1-$AX$3,1+$AX$3)&lt;=30000,10,IF($F362*IF($C362="売",1-$AX$3,1+$AX$3)&lt;=50000,50,IF($F362*IF($C362="売",1-$AX$3,1+$AX$3)&lt;=300000,100,500))))))))</f>
      </c>
      <c r="N362" s="599" t="str">
        <f>IF($F362="","",IF($C362="売",CEILING($F362*IF($C362="売",1+$AX$2,1-$AX$2),IF($F362*IF($C362="売",1+$AX$2,1-$AX$2)&lt;=3000,1,IF($F362*IF($C362="売",1+$AX$2,1-$AX$2)&lt;=5000,5,IF($F362*IF($C362="売",1+$AX$2,1-$AX$2)&lt;=30000,10,IF($F362*IF($C362="売",1+$AX$2,1-$AX$2)&lt;=50000,50,IF($F362*IF($C362="売",1+$AX$2,1-$AX$2)&lt;=300000,100,500)))))),FLOOR($F362*IF($C362="売",1+$AX$2,1-$AX$2),IF($F362*IF($C362="売",1+$AX$2,1-$AX$2)&lt;=3000,1,IF($F362*IF($C362="売",1+$AX$2,1-$AX$2)&lt;=5000,5,IF($F362*IF($C362="売",1+$AX$2,1-$AX$2)&lt;=30000,10,IF($F362*IF($C362="売",1+$AX$2,1-$AX$2)&lt;=50000,50,IF($F362*IF($C362="売",1+$AX$2,1-$AX$2)&lt;=300000,100,500))))))))</f>
      </c>
      <c r="O362" s="478" t="str">
        <f>IF(OR($B362="",$F362="",$H362=""),"",IF($S362="✅売却済","―決済済―",IF($C362="売",IF($H362&lt;=$M362,"🟢利確",IF(AND($R362&lt;&gt;"",$H362&gt;=$R362),"🟠TRAIL決済",IF($H362&gt;=$N362,"🔴損切",IF($W362&gt;=$AX$5,"⏱時間決済",IF($H362&gt;=$F362*(1+$AX$2*0.7),"⚠️損切接近","保持継続"))))),IF($H362&gt;=$M362,"🟢利確",IF(AND($R362&lt;&gt;"",$H362&lt;=$R362),"🟠TRAIL決済",IF($H362&lt;=$N362,"🔴損切",IF($W362&gt;=$AX$5,"⏱時間決済",IF($H362&lt;=$F362*(1-$AX$2*0.7),"⚠️損切接近","保持継続")))))))</f>
      </c>
      <c r="P362" s="445"/>
      <c r="R362" s="440" t="str">
        <f>IF(OR($F362="",$H362="",$N362=""),"",IF($S362="✅売却済","",IF($C362="売",IF($H362&gt;$F362*(1-$AX$2),$N362,CEILING(MIN($N362,IF($Q362="",$N362,$Q362*1.03)),IF($N362&lt;=3000,1,IF($N362&lt;=5000,5,IF($N362&lt;=30000,10,IF($N362&lt;=50000,50,IF($N362&lt;=300000,100,500))))))),IF($H362&lt;$F362*(1+$AX$2),$N362,FLOOR(MAX($N362,IF($P362="",$N362,$P362*0.97)),IF($N362&lt;=3000,1,IF($N362&lt;=5000,5,IF($N362&lt;=30000,10,IF($N362&lt;=50000,50,IF($N362&lt;=300000,100,500))))))))))</f>
      </c>
      <c r="S362" s="440" t="str">
        <f>IF(B362="","",IF(T362&lt;&gt;"","✅売却済",IF(OR(H362="",L362=""),"📌保有中",IF(L362&gt;=0.06,"🟢利確推奨",IF(L362&gt;=0.05,"🟡利確直近",IF(L362&gt;=0.045,"🔵トレーリング検討",IF(L362&gt;-0.03,"📌保有中",IF(L362&gt;-0.04,"⚠️損切注意","🔴損切り"))))))))</f>
        <v/>
      </c>
      <c r="T362" s="597"/>
      <c r="U362" s="599"/>
      <c r="V362" s="704" t="str">
        <f>IF(OR(F362="",G362="",U362=""),"",IF(C362="売",(F362-U362)*G362,(U362-F362)*G362))</f>
        <v/>
      </c>
      <c r="W362" s="440" t="str">
        <f>IF(OR($E362="",$B362=""),"",IF($T362&lt;&gt;"",$T362-$E362,TODAY()-$E362)+1)</f>
        <v/>
      </c>
      <c r="X362" s="440" t="str">
        <f>IF(OR($AH362="",$AH362="保有中"),"",$AH362)</f>
        <v/>
      </c>
      <c r="Y362">
        <f>IF($B362="","",IF(COUNTIFS($B$4:$B362,$B362,$C$4:$C362,$C362)&gt;1,"⛔重複"&amp;COUNTIFS($B$4:$B362,$B362,$C$4:$C362,$C362)&amp;"回目",""))</f>
      </c>
      <c r="AB362">
        <f>IF($F362="","",MAX(100,ROUNDDOWN($AX$4/($F362*$AX$2)/100,0)*100))</f>
      </c>
      <c r="AC362">
        <f>IF(OR($F362="",$G362="",$U362=""),"",ROUND($V362-($F362+$U362)*$G362*$AX$6-IF($C362="売",$F362*$G362*$AX$7*$W362/365,0),0))</f>
      </c>
      <c r="AD362" s="608"/>
      <c r="AE362" s="600" t="str">
        <f>IF($E362="","",WORKDAY($E362,12))</f>
        <v/>
      </c>
      <c r="AF362" s="600"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0"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0" t="str">
        <f>IF(OR($B362="",$M362=""),"",IF(AND(N($AF362)=0,N($AG362)=0),IF(AND(ISNUMBER($H362),$H362&gt;0,IF($C362="売",$H362&gt;=$N362,$H362&lt;=$N362)),"損切確定",IF(AND(ISNUMBER($H362),$H362&gt;0,IF($C362="売",$H362&lt;=$M362,$H362&gt;=$M362)),"利益確定",IF($AE362&lt;=TODAY(),"日数制限","保有中"))),IF(N($AG362)=0,"利益確定",IF(N($AF362)=0,"損切確定",IF($AG362&lt;=$AF362,"損切確定","利益確定")))))</f>
        <v/>
      </c>
      <c r="AI362" s="600" t="str" cm="1">
        <f t="array" ref="AI362">IFERROR(INDEX(始値!$E$6:$BT$305,MATCH(TEXT($B362,"0"),TEXT(銘柄管理!$B$6:$B$305,"0"),0),MATCH($AE362,始値!$E$3:$BT$3,0)),"")</f>
        <v/>
      </c>
      <c r="AJ362" s="608" t="str">
        <f>IF(OR($V362="",$F362="",$G362=""),"",$V362/($F362*$G362))</f>
        <v/>
      </c>
      <c r="AK362" s="600" t="str">
        <f>IF($V362="","",IF($V362&gt;0,"○勝",IF($V362&lt;0,"●負","△引分")))</f>
        <v/>
      </c>
    </row>
    <row r="363" spans="1:37" ht="17.25" customHeight="1">
      <c r="A363" s="622" t="str">
        <f>IF(B363="","",HYPERLINK("https://kabutan.jp/stock/?code="&amp;B363,"株探"))</f>
        <v/>
      </c>
      <c r="D363" s="440" t="str" cm="1">
        <f t="array" ref="D363">_xll.RssMarket(B363, "銘柄名称")</f>
        <v/>
      </c>
      <c r="E363" s="717"/>
      <c r="F363" s="6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IF(OR(F363="",G363="",H363=""),"",IF(C363="売",(F363-H363)*G363,(H363-F363)*G363))</f>
        <v/>
      </c>
      <c r="L363" s="709" t="str">
        <f>IF(OR(F363="",H363=""),"",IF(C363="売",(F363-H363)/F363,(H363-F363)/F363))</f>
        <v/>
      </c>
      <c r="M363" s="599" t="str">
        <f>IF($F363="","",IF($C363="売",CEILING($F363*IF($C363="売",1-$AX$3,1+$AX$3),IF($F363*IF($C363="売",1-$AX$3,1+$AX$3)&lt;=3000,1,IF($F363*IF($C363="売",1-$AX$3,1+$AX$3)&lt;=5000,5,IF($F363*IF($C363="売",1-$AX$3,1+$AX$3)&lt;=30000,10,IF($F363*IF($C363="売",1-$AX$3,1+$AX$3)&lt;=50000,50,IF($F363*IF($C363="売",1-$AX$3,1+$AX$3)&lt;=300000,100,500)))))),FLOOR($F363*IF($C363="売",1-$AX$3,1+$AX$3),IF($F363*IF($C363="売",1-$AX$3,1+$AX$3)&lt;=3000,1,IF($F363*IF($C363="売",1-$AX$3,1+$AX$3)&lt;=5000,5,IF($F363*IF($C363="売",1-$AX$3,1+$AX$3)&lt;=30000,10,IF($F363*IF($C363="売",1-$AX$3,1+$AX$3)&lt;=50000,50,IF($F363*IF($C363="売",1-$AX$3,1+$AX$3)&lt;=300000,100,500))))))))</f>
      </c>
      <c r="N363" s="599" t="str">
        <f>IF($F363="","",IF($C363="売",CEILING($F363*IF($C363="売",1+$AX$2,1-$AX$2),IF($F363*IF($C363="売",1+$AX$2,1-$AX$2)&lt;=3000,1,IF($F363*IF($C363="売",1+$AX$2,1-$AX$2)&lt;=5000,5,IF($F363*IF($C363="売",1+$AX$2,1-$AX$2)&lt;=30000,10,IF($F363*IF($C363="売",1+$AX$2,1-$AX$2)&lt;=50000,50,IF($F363*IF($C363="売",1+$AX$2,1-$AX$2)&lt;=300000,100,500)))))),FLOOR($F363*IF($C363="売",1+$AX$2,1-$AX$2),IF($F363*IF($C363="売",1+$AX$2,1-$AX$2)&lt;=3000,1,IF($F363*IF($C363="売",1+$AX$2,1-$AX$2)&lt;=5000,5,IF($F363*IF($C363="売",1+$AX$2,1-$AX$2)&lt;=30000,10,IF($F363*IF($C363="売",1+$AX$2,1-$AX$2)&lt;=50000,50,IF($F363*IF($C363="売",1+$AX$2,1-$AX$2)&lt;=300000,100,500))))))))</f>
      </c>
      <c r="O363" s="478" t="str">
        <f>IF(OR($B363="",$F363="",$H363=""),"",IF($S363="✅売却済","―決済済―",IF($C363="売",IF($H363&lt;=$M363,"🟢利確",IF(AND($R363&lt;&gt;"",$H363&gt;=$R363),"🟠TRAIL決済",IF($H363&gt;=$N363,"🔴損切",IF($W363&gt;=$AX$5,"⏱時間決済",IF($H363&gt;=$F363*(1+$AX$2*0.7),"⚠️損切接近","保持継続"))))),IF($H363&gt;=$M363,"🟢利確",IF(AND($R363&lt;&gt;"",$H363&lt;=$R363),"🟠TRAIL決済",IF($H363&lt;=$N363,"🔴損切",IF($W363&gt;=$AX$5,"⏱時間決済",IF($H363&lt;=$F363*(1-$AX$2*0.7),"⚠️損切接近","保持継続")))))))</f>
      </c>
      <c r="P363" s="445"/>
      <c r="R363" s="440" t="str">
        <f>IF(OR($F363="",$H363="",$N363=""),"",IF($S363="✅売却済","",IF($C363="売",IF($H363&gt;$F363*(1-$AX$2),$N363,CEILING(MIN($N363,IF($Q363="",$N363,$Q363*1.03)),IF($N363&lt;=3000,1,IF($N363&lt;=5000,5,IF($N363&lt;=30000,10,IF($N363&lt;=50000,50,IF($N363&lt;=300000,100,500))))))),IF($H363&lt;$F363*(1+$AX$2),$N363,FLOOR(MAX($N363,IF($P363="",$N363,$P363*0.97)),IF($N363&lt;=3000,1,IF($N363&lt;=5000,5,IF($N363&lt;=30000,10,IF($N363&lt;=50000,50,IF($N363&lt;=300000,100,500))))))))))</f>
      </c>
      <c r="S363" s="440" t="str">
        <f>IF(B363="","",IF(T363&lt;&gt;"","✅売却済",IF(OR(H363="",L363=""),"📌保有中",IF(L363&gt;=0.06,"🟢利確推奨",IF(L363&gt;=0.05,"🟡利確直近",IF(L363&gt;=0.045,"🔵トレーリング検討",IF(L363&gt;-0.03,"📌保有中",IF(L363&gt;-0.04,"⚠️損切注意","🔴損切り"))))))))</f>
        <v/>
      </c>
      <c r="T363" s="597"/>
      <c r="U363" s="599"/>
      <c r="V363" s="704" t="str">
        <f>IF(OR(F363="",G363="",U363=""),"",IF(C363="売",(F363-U363)*G363,(U363-F363)*G363))</f>
        <v/>
      </c>
      <c r="W363" s="440" t="str">
        <f>IF(OR($E363="",$B363=""),"",IF($T363&lt;&gt;"",$T363-$E363,TODAY()-$E363)+1)</f>
        <v/>
      </c>
      <c r="X363" s="440" t="str">
        <f>IF(OR($AH363="",$AH363="保有中"),"",$AH363)</f>
        <v/>
      </c>
      <c r="Y363">
        <f>IF($B363="","",IF(COUNTIFS($B$4:$B363,$B363,$C$4:$C363,$C363)&gt;1,"⛔重複"&amp;COUNTIFS($B$4:$B363,$B363,$C$4:$C363,$C363)&amp;"回目",""))</f>
      </c>
      <c r="AB363">
        <f>IF($F363="","",MAX(100,ROUNDDOWN($AX$4/($F363*$AX$2)/100,0)*100))</f>
      </c>
      <c r="AC363">
        <f>IF(OR($F363="",$G363="",$U363=""),"",ROUND($V363-($F363+$U363)*$G363*$AX$6-IF($C363="売",$F363*$G363*$AX$7*$W363/365,0),0))</f>
      </c>
      <c r="AD363" s="608"/>
      <c r="AE363" s="600" t="str">
        <f>IF($E363="","",WORKDAY($E363,12))</f>
        <v/>
      </c>
      <c r="AF363" s="600"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0"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0" t="str">
        <f>IF(OR($B363="",$M363=""),"",IF(AND(N($AF363)=0,N($AG363)=0),IF(AND(ISNUMBER($H363),$H363&gt;0,IF($C363="売",$H363&gt;=$N363,$H363&lt;=$N363)),"損切確定",IF(AND(ISNUMBER($H363),$H363&gt;0,IF($C363="売",$H363&lt;=$M363,$H363&gt;=$M363)),"利益確定",IF($AE363&lt;=TODAY(),"日数制限","保有中"))),IF(N($AG363)=0,"利益確定",IF(N($AF363)=0,"損切確定",IF($AG363&lt;=$AF363,"損切確定","利益確定")))))</f>
        <v/>
      </c>
      <c r="AI363" s="600" t="str" cm="1">
        <f t="array" ref="AI363">IFERROR(INDEX(始値!$E$6:$BT$305,MATCH(TEXT($B363,"0"),TEXT(銘柄管理!$B$6:$B$305,"0"),0),MATCH($AE363,始値!$E$3:$BT$3,0)),"")</f>
        <v/>
      </c>
      <c r="AJ363" s="608" t="str">
        <f>IF(OR($V363="",$F363="",$G363=""),"",$V363/($F363*$G363))</f>
        <v/>
      </c>
      <c r="AK363" s="600" t="str">
        <f>IF($V363="","",IF($V363&gt;0,"○勝",IF($V363&lt;0,"●負","△引分")))</f>
        <v/>
      </c>
    </row>
    <row r="364" spans="1:37" ht="17.25" customHeight="1">
      <c r="A364" s="622" t="str">
        <f>IF(B364="","",HYPERLINK("https://kabutan.jp/stock/?code="&amp;B364,"株探"))</f>
        <v/>
      </c>
      <c r="D364" s="440" t="str" cm="1">
        <f t="array" ref="D364">_xll.RssMarket(B364, "銘柄名称")</f>
        <v/>
      </c>
      <c r="E364" s="717"/>
      <c r="F364" s="6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IF(OR(F364="",G364="",H364=""),"",IF(C364="売",(F364-H364)*G364,(H364-F364)*G364))</f>
        <v/>
      </c>
      <c r="L364" s="709" t="str">
        <f>IF(OR(F364="",H364=""),"",IF(C364="売",(F364-H364)/F364,(H364-F364)/F364))</f>
        <v/>
      </c>
      <c r="M364" s="599" t="str">
        <f>IF($F364="","",IF($C364="売",CEILING($F364*IF($C364="売",1-$AX$3,1+$AX$3),IF($F364*IF($C364="売",1-$AX$3,1+$AX$3)&lt;=3000,1,IF($F364*IF($C364="売",1-$AX$3,1+$AX$3)&lt;=5000,5,IF($F364*IF($C364="売",1-$AX$3,1+$AX$3)&lt;=30000,10,IF($F364*IF($C364="売",1-$AX$3,1+$AX$3)&lt;=50000,50,IF($F364*IF($C364="売",1-$AX$3,1+$AX$3)&lt;=300000,100,500)))))),FLOOR($F364*IF($C364="売",1-$AX$3,1+$AX$3),IF($F364*IF($C364="売",1-$AX$3,1+$AX$3)&lt;=3000,1,IF($F364*IF($C364="売",1-$AX$3,1+$AX$3)&lt;=5000,5,IF($F364*IF($C364="売",1-$AX$3,1+$AX$3)&lt;=30000,10,IF($F364*IF($C364="売",1-$AX$3,1+$AX$3)&lt;=50000,50,IF($F364*IF($C364="売",1-$AX$3,1+$AX$3)&lt;=300000,100,500))))))))</f>
      </c>
      <c r="N364" s="599" t="str">
        <f>IF($F364="","",IF($C364="売",CEILING($F364*IF($C364="売",1+$AX$2,1-$AX$2),IF($F364*IF($C364="売",1+$AX$2,1-$AX$2)&lt;=3000,1,IF($F364*IF($C364="売",1+$AX$2,1-$AX$2)&lt;=5000,5,IF($F364*IF($C364="売",1+$AX$2,1-$AX$2)&lt;=30000,10,IF($F364*IF($C364="売",1+$AX$2,1-$AX$2)&lt;=50000,50,IF($F364*IF($C364="売",1+$AX$2,1-$AX$2)&lt;=300000,100,500)))))),FLOOR($F364*IF($C364="売",1+$AX$2,1-$AX$2),IF($F364*IF($C364="売",1+$AX$2,1-$AX$2)&lt;=3000,1,IF($F364*IF($C364="売",1+$AX$2,1-$AX$2)&lt;=5000,5,IF($F364*IF($C364="売",1+$AX$2,1-$AX$2)&lt;=30000,10,IF($F364*IF($C364="売",1+$AX$2,1-$AX$2)&lt;=50000,50,IF($F364*IF($C364="売",1+$AX$2,1-$AX$2)&lt;=300000,100,500))))))))</f>
      </c>
      <c r="O364" s="478" t="str">
        <f>IF(OR($B364="",$F364="",$H364=""),"",IF($S364="✅売却済","―決済済―",IF($C364="売",IF($H364&lt;=$M364,"🟢利確",IF(AND($R364&lt;&gt;"",$H364&gt;=$R364),"🟠TRAIL決済",IF($H364&gt;=$N364,"🔴損切",IF($W364&gt;=$AX$5,"⏱時間決済",IF($H364&gt;=$F364*(1+$AX$2*0.7),"⚠️損切接近","保持継続"))))),IF($H364&gt;=$M364,"🟢利確",IF(AND($R364&lt;&gt;"",$H364&lt;=$R364),"🟠TRAIL決済",IF($H364&lt;=$N364,"🔴損切",IF($W364&gt;=$AX$5,"⏱時間決済",IF($H364&lt;=$F364*(1-$AX$2*0.7),"⚠️損切接近","保持継続")))))))</f>
      </c>
      <c r="P364" s="445"/>
      <c r="R364" s="440" t="str">
        <f>IF(OR($F364="",$H364="",$N364=""),"",IF($S364="✅売却済","",IF($C364="売",IF($H364&gt;$F364*(1-$AX$2),$N364,CEILING(MIN($N364,IF($Q364="",$N364,$Q364*1.03)),IF($N364&lt;=3000,1,IF($N364&lt;=5000,5,IF($N364&lt;=30000,10,IF($N364&lt;=50000,50,IF($N364&lt;=300000,100,500))))))),IF($H364&lt;$F364*(1+$AX$2),$N364,FLOOR(MAX($N364,IF($P364="",$N364,$P364*0.97)),IF($N364&lt;=3000,1,IF($N364&lt;=5000,5,IF($N364&lt;=30000,10,IF($N364&lt;=50000,50,IF($N364&lt;=300000,100,500))))))))))</f>
      </c>
      <c r="S364" s="440" t="str">
        <f>IF(B364="","",IF(T364&lt;&gt;"","✅売却済",IF(OR(H364="",L364=""),"📌保有中",IF(L364&gt;=0.06,"🟢利確推奨",IF(L364&gt;=0.05,"🟡利確直近",IF(L364&gt;=0.045,"🔵トレーリング検討",IF(L364&gt;-0.03,"📌保有中",IF(L364&gt;-0.04,"⚠️損切注意","🔴損切り"))))))))</f>
        <v/>
      </c>
      <c r="T364" s="597"/>
      <c r="U364" s="599"/>
      <c r="V364" s="704" t="str">
        <f>IF(OR(F364="",G364="",U364=""),"",IF(C364="売",(F364-U364)*G364,(U364-F364)*G364))</f>
        <v/>
      </c>
      <c r="W364" s="440" t="str">
        <f>IF(OR($E364="",$B364=""),"",IF($T364&lt;&gt;"",$T364-$E364,TODAY()-$E364)+1)</f>
        <v/>
      </c>
      <c r="X364" s="440" t="str">
        <f>IF(OR($AH364="",$AH364="保有中"),"",$AH364)</f>
        <v/>
      </c>
      <c r="Y364">
        <f>IF($B364="","",IF(COUNTIFS($B$4:$B364,$B364,$C$4:$C364,$C364)&gt;1,"⛔重複"&amp;COUNTIFS($B$4:$B364,$B364,$C$4:$C364,$C364)&amp;"回目",""))</f>
      </c>
      <c r="AB364">
        <f>IF($F364="","",MAX(100,ROUNDDOWN($AX$4/($F364*$AX$2)/100,0)*100))</f>
      </c>
      <c r="AC364">
        <f>IF(OR($F364="",$G364="",$U364=""),"",ROUND($V364-($F364+$U364)*$G364*$AX$6-IF($C364="売",$F364*$G364*$AX$7*$W364/365,0),0))</f>
      </c>
      <c r="AD364" s="608"/>
      <c r="AE364" s="600" t="str">
        <f>IF($E364="","",WORKDAY($E364,12))</f>
        <v/>
      </c>
      <c r="AF364" s="600"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0"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0" t="str">
        <f>IF(OR($B364="",$M364=""),"",IF(AND(N($AF364)=0,N($AG364)=0),IF(AND(ISNUMBER($H364),$H364&gt;0,IF($C364="売",$H364&gt;=$N364,$H364&lt;=$N364)),"損切確定",IF(AND(ISNUMBER($H364),$H364&gt;0,IF($C364="売",$H364&lt;=$M364,$H364&gt;=$M364)),"利益確定",IF($AE364&lt;=TODAY(),"日数制限","保有中"))),IF(N($AG364)=0,"利益確定",IF(N($AF364)=0,"損切確定",IF($AG364&lt;=$AF364,"損切確定","利益確定")))))</f>
        <v/>
      </c>
      <c r="AI364" s="600" t="str" cm="1">
        <f t="array" ref="AI364">IFERROR(INDEX(始値!$E$6:$BT$305,MATCH(TEXT($B364,"0"),TEXT(銘柄管理!$B$6:$B$305,"0"),0),MATCH($AE364,始値!$E$3:$BT$3,0)),"")</f>
        <v/>
      </c>
      <c r="AJ364" s="608" t="str">
        <f>IF(OR($V364="",$F364="",$G364=""),"",$V364/($F364*$G364))</f>
        <v/>
      </c>
      <c r="AK364" s="600" t="str">
        <f>IF($V364="","",IF($V364&gt;0,"○勝",IF($V364&lt;0,"●負","△引分")))</f>
        <v/>
      </c>
    </row>
    <row r="365" spans="1:37" ht="17.25" customHeight="1">
      <c r="A365" s="622" t="str">
        <f>IF(B365="","",HYPERLINK("https://kabutan.jp/stock/?code="&amp;B365,"株探"))</f>
        <v/>
      </c>
      <c r="D365" s="440" t="str" cm="1">
        <f t="array" ref="D365">_xll.RssMarket(B365, "銘柄名称")</f>
        <v/>
      </c>
      <c r="E365" s="717"/>
      <c r="F365" s="6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IF(OR(F365="",G365="",H365=""),"",IF(C365="売",(F365-H365)*G365,(H365-F365)*G365))</f>
        <v/>
      </c>
      <c r="L365" s="709" t="str">
        <f>IF(OR(F365="",H365=""),"",IF(C365="売",(F365-H365)/F365,(H365-F365)/F365))</f>
        <v/>
      </c>
      <c r="M365" s="599" t="str">
        <f>IF($F365="","",IF($C365="売",CEILING($F365*IF($C365="売",1-$AX$3,1+$AX$3),IF($F365*IF($C365="売",1-$AX$3,1+$AX$3)&lt;=3000,1,IF($F365*IF($C365="売",1-$AX$3,1+$AX$3)&lt;=5000,5,IF($F365*IF($C365="売",1-$AX$3,1+$AX$3)&lt;=30000,10,IF($F365*IF($C365="売",1-$AX$3,1+$AX$3)&lt;=50000,50,IF($F365*IF($C365="売",1-$AX$3,1+$AX$3)&lt;=300000,100,500)))))),FLOOR($F365*IF($C365="売",1-$AX$3,1+$AX$3),IF($F365*IF($C365="売",1-$AX$3,1+$AX$3)&lt;=3000,1,IF($F365*IF($C365="売",1-$AX$3,1+$AX$3)&lt;=5000,5,IF($F365*IF($C365="売",1-$AX$3,1+$AX$3)&lt;=30000,10,IF($F365*IF($C365="売",1-$AX$3,1+$AX$3)&lt;=50000,50,IF($F365*IF($C365="売",1-$AX$3,1+$AX$3)&lt;=300000,100,500))))))))</f>
      </c>
      <c r="N365" s="599" t="str">
        <f>IF($F365="","",IF($C365="売",CEILING($F365*IF($C365="売",1+$AX$2,1-$AX$2),IF($F365*IF($C365="売",1+$AX$2,1-$AX$2)&lt;=3000,1,IF($F365*IF($C365="売",1+$AX$2,1-$AX$2)&lt;=5000,5,IF($F365*IF($C365="売",1+$AX$2,1-$AX$2)&lt;=30000,10,IF($F365*IF($C365="売",1+$AX$2,1-$AX$2)&lt;=50000,50,IF($F365*IF($C365="売",1+$AX$2,1-$AX$2)&lt;=300000,100,500)))))),FLOOR($F365*IF($C365="売",1+$AX$2,1-$AX$2),IF($F365*IF($C365="売",1+$AX$2,1-$AX$2)&lt;=3000,1,IF($F365*IF($C365="売",1+$AX$2,1-$AX$2)&lt;=5000,5,IF($F365*IF($C365="売",1+$AX$2,1-$AX$2)&lt;=30000,10,IF($F365*IF($C365="売",1+$AX$2,1-$AX$2)&lt;=50000,50,IF($F365*IF($C365="売",1+$AX$2,1-$AX$2)&lt;=300000,100,500))))))))</f>
      </c>
      <c r="O365" s="478" t="str">
        <f>IF(OR($B365="",$F365="",$H365=""),"",IF($S365="✅売却済","―決済済―",IF($C365="売",IF($H365&lt;=$M365,"🟢利確",IF(AND($R365&lt;&gt;"",$H365&gt;=$R365),"🟠TRAIL決済",IF($H365&gt;=$N365,"🔴損切",IF($W365&gt;=$AX$5,"⏱時間決済",IF($H365&gt;=$F365*(1+$AX$2*0.7),"⚠️損切接近","保持継続"))))),IF($H365&gt;=$M365,"🟢利確",IF(AND($R365&lt;&gt;"",$H365&lt;=$R365),"🟠TRAIL決済",IF($H365&lt;=$N365,"🔴損切",IF($W365&gt;=$AX$5,"⏱時間決済",IF($H365&lt;=$F365*(1-$AX$2*0.7),"⚠️損切接近","保持継続")))))))</f>
      </c>
      <c r="P365" s="445"/>
      <c r="R365" s="440" t="str">
        <f>IF(OR($F365="",$H365="",$N365=""),"",IF($S365="✅売却済","",IF($C365="売",IF($H365&gt;$F365*(1-$AX$2),$N365,CEILING(MIN($N365,IF($Q365="",$N365,$Q365*1.03)),IF($N365&lt;=3000,1,IF($N365&lt;=5000,5,IF($N365&lt;=30000,10,IF($N365&lt;=50000,50,IF($N365&lt;=300000,100,500))))))),IF($H365&lt;$F365*(1+$AX$2),$N365,FLOOR(MAX($N365,IF($P365="",$N365,$P365*0.97)),IF($N365&lt;=3000,1,IF($N365&lt;=5000,5,IF($N365&lt;=30000,10,IF($N365&lt;=50000,50,IF($N365&lt;=300000,100,500))))))))))</f>
      </c>
      <c r="S365" s="440" t="str">
        <f>IF(B365="","",IF(T365&lt;&gt;"","✅売却済",IF(OR(H365="",L365=""),"📌保有中",IF(L365&gt;=0.06,"🟢利確推奨",IF(L365&gt;=0.05,"🟡利確直近",IF(L365&gt;=0.045,"🔵トレーリング検討",IF(L365&gt;-0.03,"📌保有中",IF(L365&gt;-0.04,"⚠️損切注意","🔴損切り"))))))))</f>
        <v/>
      </c>
      <c r="T365" s="597"/>
      <c r="U365" s="599"/>
      <c r="V365" s="704" t="str">
        <f>IF(OR(F365="",G365="",U365=""),"",IF(C365="売",(F365-U365)*G365,(U365-F365)*G365))</f>
        <v/>
      </c>
      <c r="W365" s="440" t="str">
        <f>IF(OR($E365="",$B365=""),"",IF($T365&lt;&gt;"",$T365-$E365,TODAY()-$E365)+1)</f>
        <v/>
      </c>
      <c r="X365" s="440" t="str">
        <f>IF(OR($AH365="",$AH365="保有中"),"",$AH365)</f>
        <v/>
      </c>
      <c r="Y365">
        <f>IF($B365="","",IF(COUNTIFS($B$4:$B365,$B365,$C$4:$C365,$C365)&gt;1,"⛔重複"&amp;COUNTIFS($B$4:$B365,$B365,$C$4:$C365,$C365)&amp;"回目",""))</f>
      </c>
      <c r="AB365">
        <f>IF($F365="","",MAX(100,ROUNDDOWN($AX$4/($F365*$AX$2)/100,0)*100))</f>
      </c>
      <c r="AC365">
        <f>IF(OR($F365="",$G365="",$U365=""),"",ROUND($V365-($F365+$U365)*$G365*$AX$6-IF($C365="売",$F365*$G365*$AX$7*$W365/365,0),0))</f>
      </c>
      <c r="AD365" s="608"/>
      <c r="AE365" s="600" t="str">
        <f>IF($E365="","",WORKDAY($E365,12))</f>
        <v/>
      </c>
      <c r="AF365" s="600"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0"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0" t="str">
        <f>IF(OR($B365="",$M365=""),"",IF(AND(N($AF365)=0,N($AG365)=0),IF(AND(ISNUMBER($H365),$H365&gt;0,IF($C365="売",$H365&gt;=$N365,$H365&lt;=$N365)),"損切確定",IF(AND(ISNUMBER($H365),$H365&gt;0,IF($C365="売",$H365&lt;=$M365,$H365&gt;=$M365)),"利益確定",IF($AE365&lt;=TODAY(),"日数制限","保有中"))),IF(N($AG365)=0,"利益確定",IF(N($AF365)=0,"損切確定",IF($AG365&lt;=$AF365,"損切確定","利益確定")))))</f>
        <v/>
      </c>
      <c r="AI365" s="600" t="str" cm="1">
        <f t="array" ref="AI365">IFERROR(INDEX(始値!$E$6:$BT$305,MATCH(TEXT($B365,"0"),TEXT(銘柄管理!$B$6:$B$305,"0"),0),MATCH($AE365,始値!$E$3:$BT$3,0)),"")</f>
        <v/>
      </c>
      <c r="AJ365" s="608" t="str">
        <f>IF(OR($V365="",$F365="",$G365=""),"",$V365/($F365*$G365))</f>
        <v/>
      </c>
      <c r="AK365" s="600" t="str">
        <f>IF($V365="","",IF($V365&gt;0,"○勝",IF($V365&lt;0,"●負","△引分")))</f>
        <v/>
      </c>
    </row>
    <row r="366" spans="1:37" ht="17.25" customHeight="1">
      <c r="A366" s="622" t="str">
        <f>IF(B366="","",HYPERLINK("https://kabutan.jp/stock/?code="&amp;B366,"株探"))</f>
        <v/>
      </c>
      <c r="D366" s="440" t="str" cm="1">
        <f t="array" ref="D366">_xll.RssMarket(B366, "銘柄名称")</f>
        <v/>
      </c>
      <c r="E366" s="717"/>
      <c r="F366" s="6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IF(OR(F366="",G366="",H366=""),"",IF(C366="売",(F366-H366)*G366,(H366-F366)*G366))</f>
        <v/>
      </c>
      <c r="L366" s="709" t="str">
        <f>IF(OR(F366="",H366=""),"",IF(C366="売",(F366-H366)/F366,(H366-F366)/F366))</f>
        <v/>
      </c>
      <c r="M366" s="599" t="str">
        <f>IF($F366="","",IF($C366="売",CEILING($F366*IF($C366="売",1-$AX$3,1+$AX$3),IF($F366*IF($C366="売",1-$AX$3,1+$AX$3)&lt;=3000,1,IF($F366*IF($C366="売",1-$AX$3,1+$AX$3)&lt;=5000,5,IF($F366*IF($C366="売",1-$AX$3,1+$AX$3)&lt;=30000,10,IF($F366*IF($C366="売",1-$AX$3,1+$AX$3)&lt;=50000,50,IF($F366*IF($C366="売",1-$AX$3,1+$AX$3)&lt;=300000,100,500)))))),FLOOR($F366*IF($C366="売",1-$AX$3,1+$AX$3),IF($F366*IF($C366="売",1-$AX$3,1+$AX$3)&lt;=3000,1,IF($F366*IF($C366="売",1-$AX$3,1+$AX$3)&lt;=5000,5,IF($F366*IF($C366="売",1-$AX$3,1+$AX$3)&lt;=30000,10,IF($F366*IF($C366="売",1-$AX$3,1+$AX$3)&lt;=50000,50,IF($F366*IF($C366="売",1-$AX$3,1+$AX$3)&lt;=300000,100,500))))))))</f>
      </c>
      <c r="N366" s="599" t="str">
        <f>IF($F366="","",IF($C366="売",CEILING($F366*IF($C366="売",1+$AX$2,1-$AX$2),IF($F366*IF($C366="売",1+$AX$2,1-$AX$2)&lt;=3000,1,IF($F366*IF($C366="売",1+$AX$2,1-$AX$2)&lt;=5000,5,IF($F366*IF($C366="売",1+$AX$2,1-$AX$2)&lt;=30000,10,IF($F366*IF($C366="売",1+$AX$2,1-$AX$2)&lt;=50000,50,IF($F366*IF($C366="売",1+$AX$2,1-$AX$2)&lt;=300000,100,500)))))),FLOOR($F366*IF($C366="売",1+$AX$2,1-$AX$2),IF($F366*IF($C366="売",1+$AX$2,1-$AX$2)&lt;=3000,1,IF($F366*IF($C366="売",1+$AX$2,1-$AX$2)&lt;=5000,5,IF($F366*IF($C366="売",1+$AX$2,1-$AX$2)&lt;=30000,10,IF($F366*IF($C366="売",1+$AX$2,1-$AX$2)&lt;=50000,50,IF($F366*IF($C366="売",1+$AX$2,1-$AX$2)&lt;=300000,100,500))))))))</f>
      </c>
      <c r="O366" s="478" t="str">
        <f>IF(OR($B366="",$F366="",$H366=""),"",IF($S366="✅売却済","―決済済―",IF($C366="売",IF($H366&lt;=$M366,"🟢利確",IF(AND($R366&lt;&gt;"",$H366&gt;=$R366),"🟠TRAIL決済",IF($H366&gt;=$N366,"🔴損切",IF($W366&gt;=$AX$5,"⏱時間決済",IF($H366&gt;=$F366*(1+$AX$2*0.7),"⚠️損切接近","保持継続"))))),IF($H366&gt;=$M366,"🟢利確",IF(AND($R366&lt;&gt;"",$H366&lt;=$R366),"🟠TRAIL決済",IF($H366&lt;=$N366,"🔴損切",IF($W366&gt;=$AX$5,"⏱時間決済",IF($H366&lt;=$F366*(1-$AX$2*0.7),"⚠️損切接近","保持継続")))))))</f>
      </c>
      <c r="P366" s="445"/>
      <c r="R366" s="440" t="str">
        <f>IF(OR($F366="",$H366="",$N366=""),"",IF($S366="✅売却済","",IF($C366="売",IF($H366&gt;$F366*(1-$AX$2),$N366,CEILING(MIN($N366,IF($Q366="",$N366,$Q366*1.03)),IF($N366&lt;=3000,1,IF($N366&lt;=5000,5,IF($N366&lt;=30000,10,IF($N366&lt;=50000,50,IF($N366&lt;=300000,100,500))))))),IF($H366&lt;$F366*(1+$AX$2),$N366,FLOOR(MAX($N366,IF($P366="",$N366,$P366*0.97)),IF($N366&lt;=3000,1,IF($N366&lt;=5000,5,IF($N366&lt;=30000,10,IF($N366&lt;=50000,50,IF($N366&lt;=300000,100,500))))))))))</f>
      </c>
      <c r="S366" s="440" t="str">
        <f>IF(B366="","",IF(T366&lt;&gt;"","✅売却済",IF(OR(H366="",L366=""),"📌保有中",IF(L366&gt;=0.06,"🟢利確推奨",IF(L366&gt;=0.05,"🟡利確直近",IF(L366&gt;=0.045,"🔵トレーリング検討",IF(L366&gt;-0.03,"📌保有中",IF(L366&gt;-0.04,"⚠️損切注意","🔴損切り"))))))))</f>
        <v/>
      </c>
      <c r="T366" s="597"/>
      <c r="U366" s="599"/>
      <c r="V366" s="704" t="str">
        <f>IF(OR(F366="",G366="",U366=""),"",IF(C366="売",(F366-U366)*G366,(U366-F366)*G366))</f>
        <v/>
      </c>
      <c r="W366" s="440" t="str">
        <f>IF(OR($E366="",$B366=""),"",IF($T366&lt;&gt;"",$T366-$E366,TODAY()-$E366)+1)</f>
        <v/>
      </c>
      <c r="X366" s="440" t="str">
        <f>IF(OR($AH366="",$AH366="保有中"),"",$AH366)</f>
        <v/>
      </c>
      <c r="Y366">
        <f>IF($B366="","",IF(COUNTIFS($B$4:$B366,$B366,$C$4:$C366,$C366)&gt;1,"⛔重複"&amp;COUNTIFS($B$4:$B366,$B366,$C$4:$C366,$C366)&amp;"回目",""))</f>
      </c>
      <c r="AB366">
        <f>IF($F366="","",MAX(100,ROUNDDOWN($AX$4/($F366*$AX$2)/100,0)*100))</f>
      </c>
      <c r="AC366">
        <f>IF(OR($F366="",$G366="",$U366=""),"",ROUND($V366-($F366+$U366)*$G366*$AX$6-IF($C366="売",$F366*$G366*$AX$7*$W366/365,0),0))</f>
      </c>
      <c r="AD366" s="608"/>
      <c r="AE366" s="600" t="str">
        <f>IF($E366="","",WORKDAY($E366,12))</f>
        <v/>
      </c>
      <c r="AF366" s="600"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0"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0" t="str">
        <f>IF(OR($B366="",$M366=""),"",IF(AND(N($AF366)=0,N($AG366)=0),IF(AND(ISNUMBER($H366),$H366&gt;0,IF($C366="売",$H366&gt;=$N366,$H366&lt;=$N366)),"損切確定",IF(AND(ISNUMBER($H366),$H366&gt;0,IF($C366="売",$H366&lt;=$M366,$H366&gt;=$M366)),"利益確定",IF($AE366&lt;=TODAY(),"日数制限","保有中"))),IF(N($AG366)=0,"利益確定",IF(N($AF366)=0,"損切確定",IF($AG366&lt;=$AF366,"損切確定","利益確定")))))</f>
        <v/>
      </c>
      <c r="AI366" s="600" t="str" cm="1">
        <f t="array" ref="AI366">IFERROR(INDEX(始値!$E$6:$BT$305,MATCH(TEXT($B366,"0"),TEXT(銘柄管理!$B$6:$B$305,"0"),0),MATCH($AE366,始値!$E$3:$BT$3,0)),"")</f>
        <v/>
      </c>
      <c r="AJ366" s="608" t="str">
        <f>IF(OR($V366="",$F366="",$G366=""),"",$V366/($F366*$G366))</f>
        <v/>
      </c>
      <c r="AK366" s="600" t="str">
        <f>IF($V366="","",IF($V366&gt;0,"○勝",IF($V366&lt;0,"●負","△引分")))</f>
        <v/>
      </c>
    </row>
    <row r="367" spans="1:37" ht="17.25" customHeight="1">
      <c r="A367" s="622" t="str">
        <f>IF(B367="","",HYPERLINK("https://kabutan.jp/stock/?code="&amp;B367,"株探"))</f>
        <v/>
      </c>
      <c r="D367" s="440" t="str" cm="1">
        <f t="array" ref="D367">_xll.RssMarket(B367, "銘柄名称")</f>
        <v/>
      </c>
      <c r="E367" s="717"/>
      <c r="F367" s="6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IF(OR(F367="",G367="",H367=""),"",IF(C367="売",(F367-H367)*G367,(H367-F367)*G367))</f>
        <v/>
      </c>
      <c r="L367" s="709" t="str">
        <f>IF(OR(F367="",H367=""),"",IF(C367="売",(F367-H367)/F367,(H367-F367)/F367))</f>
        <v/>
      </c>
      <c r="M367" s="599" t="str">
        <f>IF($F367="","",IF($C367="売",CEILING($F367*IF($C367="売",1-$AX$3,1+$AX$3),IF($F367*IF($C367="売",1-$AX$3,1+$AX$3)&lt;=3000,1,IF($F367*IF($C367="売",1-$AX$3,1+$AX$3)&lt;=5000,5,IF($F367*IF($C367="売",1-$AX$3,1+$AX$3)&lt;=30000,10,IF($F367*IF($C367="売",1-$AX$3,1+$AX$3)&lt;=50000,50,IF($F367*IF($C367="売",1-$AX$3,1+$AX$3)&lt;=300000,100,500)))))),FLOOR($F367*IF($C367="売",1-$AX$3,1+$AX$3),IF($F367*IF($C367="売",1-$AX$3,1+$AX$3)&lt;=3000,1,IF($F367*IF($C367="売",1-$AX$3,1+$AX$3)&lt;=5000,5,IF($F367*IF($C367="売",1-$AX$3,1+$AX$3)&lt;=30000,10,IF($F367*IF($C367="売",1-$AX$3,1+$AX$3)&lt;=50000,50,IF($F367*IF($C367="売",1-$AX$3,1+$AX$3)&lt;=300000,100,500))))))))</f>
      </c>
      <c r="N367" s="599" t="str">
        <f>IF($F367="","",IF($C367="売",CEILING($F367*IF($C367="売",1+$AX$2,1-$AX$2),IF($F367*IF($C367="売",1+$AX$2,1-$AX$2)&lt;=3000,1,IF($F367*IF($C367="売",1+$AX$2,1-$AX$2)&lt;=5000,5,IF($F367*IF($C367="売",1+$AX$2,1-$AX$2)&lt;=30000,10,IF($F367*IF($C367="売",1+$AX$2,1-$AX$2)&lt;=50000,50,IF($F367*IF($C367="売",1+$AX$2,1-$AX$2)&lt;=300000,100,500)))))),FLOOR($F367*IF($C367="売",1+$AX$2,1-$AX$2),IF($F367*IF($C367="売",1+$AX$2,1-$AX$2)&lt;=3000,1,IF($F367*IF($C367="売",1+$AX$2,1-$AX$2)&lt;=5000,5,IF($F367*IF($C367="売",1+$AX$2,1-$AX$2)&lt;=30000,10,IF($F367*IF($C367="売",1+$AX$2,1-$AX$2)&lt;=50000,50,IF($F367*IF($C367="売",1+$AX$2,1-$AX$2)&lt;=300000,100,500))))))))</f>
      </c>
      <c r="O367" s="478" t="str">
        <f>IF(OR($B367="",$F367="",$H367=""),"",IF($S367="✅売却済","―決済済―",IF($C367="売",IF($H367&lt;=$M367,"🟢利確",IF(AND($R367&lt;&gt;"",$H367&gt;=$R367),"🟠TRAIL決済",IF($H367&gt;=$N367,"🔴損切",IF($W367&gt;=$AX$5,"⏱時間決済",IF($H367&gt;=$F367*(1+$AX$2*0.7),"⚠️損切接近","保持継続"))))),IF($H367&gt;=$M367,"🟢利確",IF(AND($R367&lt;&gt;"",$H367&lt;=$R367),"🟠TRAIL決済",IF($H367&lt;=$N367,"🔴損切",IF($W367&gt;=$AX$5,"⏱時間決済",IF($H367&lt;=$F367*(1-$AX$2*0.7),"⚠️損切接近","保持継続")))))))</f>
      </c>
      <c r="P367" s="445"/>
      <c r="R367" s="440" t="str">
        <f>IF(OR($F367="",$H367="",$N367=""),"",IF($S367="✅売却済","",IF($C367="売",IF($H367&gt;$F367*(1-$AX$2),$N367,CEILING(MIN($N367,IF($Q367="",$N367,$Q367*1.03)),IF($N367&lt;=3000,1,IF($N367&lt;=5000,5,IF($N367&lt;=30000,10,IF($N367&lt;=50000,50,IF($N367&lt;=300000,100,500))))))),IF($H367&lt;$F367*(1+$AX$2),$N367,FLOOR(MAX($N367,IF($P367="",$N367,$P367*0.97)),IF($N367&lt;=3000,1,IF($N367&lt;=5000,5,IF($N367&lt;=30000,10,IF($N367&lt;=50000,50,IF($N367&lt;=300000,100,500))))))))))</f>
      </c>
      <c r="S367" s="440" t="str">
        <f>IF(B367="","",IF(T367&lt;&gt;"","✅売却済",IF(OR(H367="",L367=""),"📌保有中",IF(L367&gt;=0.06,"🟢利確推奨",IF(L367&gt;=0.05,"🟡利確直近",IF(L367&gt;=0.045,"🔵トレーリング検討",IF(L367&gt;-0.03,"📌保有中",IF(L367&gt;-0.04,"⚠️損切注意","🔴損切り"))))))))</f>
        <v/>
      </c>
      <c r="T367" s="597"/>
      <c r="U367" s="599"/>
      <c r="V367" s="704" t="str">
        <f>IF(OR(F367="",G367="",U367=""),"",IF(C367="売",(F367-U367)*G367,(U367-F367)*G367))</f>
        <v/>
      </c>
      <c r="W367" s="440" t="str">
        <f>IF(OR($E367="",$B367=""),"",IF($T367&lt;&gt;"",$T367-$E367,TODAY()-$E367)+1)</f>
        <v/>
      </c>
      <c r="X367" s="440" t="str">
        <f>IF(OR($AH367="",$AH367="保有中"),"",$AH367)</f>
        <v/>
      </c>
      <c r="Y367">
        <f>IF($B367="","",IF(COUNTIFS($B$4:$B367,$B367,$C$4:$C367,$C367)&gt;1,"⛔重複"&amp;COUNTIFS($B$4:$B367,$B367,$C$4:$C367,$C367)&amp;"回目",""))</f>
      </c>
      <c r="AB367">
        <f>IF($F367="","",MAX(100,ROUNDDOWN($AX$4/($F367*$AX$2)/100,0)*100))</f>
      </c>
      <c r="AC367">
        <f>IF(OR($F367="",$G367="",$U367=""),"",ROUND($V367-($F367+$U367)*$G367*$AX$6-IF($C367="売",$F367*$G367*$AX$7*$W367/365,0),0))</f>
      </c>
      <c r="AD367" s="608"/>
      <c r="AE367" s="600" t="str">
        <f>IF($E367="","",WORKDAY($E367,12))</f>
        <v/>
      </c>
      <c r="AF367" s="600"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0"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0" t="str">
        <f>IF(OR($B367="",$M367=""),"",IF(AND(N($AF367)=0,N($AG367)=0),IF(AND(ISNUMBER($H367),$H367&gt;0,IF($C367="売",$H367&gt;=$N367,$H367&lt;=$N367)),"損切確定",IF(AND(ISNUMBER($H367),$H367&gt;0,IF($C367="売",$H367&lt;=$M367,$H367&gt;=$M367)),"利益確定",IF($AE367&lt;=TODAY(),"日数制限","保有中"))),IF(N($AG367)=0,"利益確定",IF(N($AF367)=0,"損切確定",IF($AG367&lt;=$AF367,"損切確定","利益確定")))))</f>
        <v/>
      </c>
      <c r="AI367" s="600" t="str" cm="1">
        <f t="array" ref="AI367">IFERROR(INDEX(始値!$E$6:$BT$305,MATCH(TEXT($B367,"0"),TEXT(銘柄管理!$B$6:$B$305,"0"),0),MATCH($AE367,始値!$E$3:$BT$3,0)),"")</f>
        <v/>
      </c>
      <c r="AJ367" s="608" t="str">
        <f>IF(OR($V367="",$F367="",$G367=""),"",$V367/($F367*$G367))</f>
        <v/>
      </c>
      <c r="AK367" s="600" t="str">
        <f>IF($V367="","",IF($V367&gt;0,"○勝",IF($V367&lt;0,"●負","△引分")))</f>
        <v/>
      </c>
    </row>
    <row r="368" spans="1:37" ht="17.25" customHeight="1">
      <c r="A368" s="622" t="str">
        <f>IF(B368="","",HYPERLINK("https://kabutan.jp/stock/?code="&amp;B368,"株探"))</f>
        <v/>
      </c>
      <c r="D368" s="440" t="str" cm="1">
        <f t="array" ref="D368">_xll.RssMarket(B368, "銘柄名称")</f>
        <v/>
      </c>
      <c r="E368" s="717"/>
      <c r="F368" s="6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IF(OR(F368="",G368="",H368=""),"",IF(C368="売",(F368-H368)*G368,(H368-F368)*G368))</f>
        <v/>
      </c>
      <c r="L368" s="709" t="str">
        <f>IF(OR(F368="",H368=""),"",IF(C368="売",(F368-H368)/F368,(H368-F368)/F368))</f>
        <v/>
      </c>
      <c r="M368" s="599" t="str">
        <f>IF($F368="","",IF($C368="売",CEILING($F368*IF($C368="売",1-$AX$3,1+$AX$3),IF($F368*IF($C368="売",1-$AX$3,1+$AX$3)&lt;=3000,1,IF($F368*IF($C368="売",1-$AX$3,1+$AX$3)&lt;=5000,5,IF($F368*IF($C368="売",1-$AX$3,1+$AX$3)&lt;=30000,10,IF($F368*IF($C368="売",1-$AX$3,1+$AX$3)&lt;=50000,50,IF($F368*IF($C368="売",1-$AX$3,1+$AX$3)&lt;=300000,100,500)))))),FLOOR($F368*IF($C368="売",1-$AX$3,1+$AX$3),IF($F368*IF($C368="売",1-$AX$3,1+$AX$3)&lt;=3000,1,IF($F368*IF($C368="売",1-$AX$3,1+$AX$3)&lt;=5000,5,IF($F368*IF($C368="売",1-$AX$3,1+$AX$3)&lt;=30000,10,IF($F368*IF($C368="売",1-$AX$3,1+$AX$3)&lt;=50000,50,IF($F368*IF($C368="売",1-$AX$3,1+$AX$3)&lt;=300000,100,500))))))))</f>
      </c>
      <c r="N368" s="599" t="str">
        <f>IF($F368="","",IF($C368="売",CEILING($F368*IF($C368="売",1+$AX$2,1-$AX$2),IF($F368*IF($C368="売",1+$AX$2,1-$AX$2)&lt;=3000,1,IF($F368*IF($C368="売",1+$AX$2,1-$AX$2)&lt;=5000,5,IF($F368*IF($C368="売",1+$AX$2,1-$AX$2)&lt;=30000,10,IF($F368*IF($C368="売",1+$AX$2,1-$AX$2)&lt;=50000,50,IF($F368*IF($C368="売",1+$AX$2,1-$AX$2)&lt;=300000,100,500)))))),FLOOR($F368*IF($C368="売",1+$AX$2,1-$AX$2),IF($F368*IF($C368="売",1+$AX$2,1-$AX$2)&lt;=3000,1,IF($F368*IF($C368="売",1+$AX$2,1-$AX$2)&lt;=5000,5,IF($F368*IF($C368="売",1+$AX$2,1-$AX$2)&lt;=30000,10,IF($F368*IF($C368="売",1+$AX$2,1-$AX$2)&lt;=50000,50,IF($F368*IF($C368="売",1+$AX$2,1-$AX$2)&lt;=300000,100,500))))))))</f>
      </c>
      <c r="O368" s="478" t="str">
        <f>IF(OR($B368="",$F368="",$H368=""),"",IF($S368="✅売却済","―決済済―",IF($C368="売",IF($H368&lt;=$M368,"🟢利確",IF(AND($R368&lt;&gt;"",$H368&gt;=$R368),"🟠TRAIL決済",IF($H368&gt;=$N368,"🔴損切",IF($W368&gt;=$AX$5,"⏱時間決済",IF($H368&gt;=$F368*(1+$AX$2*0.7),"⚠️損切接近","保持継続"))))),IF($H368&gt;=$M368,"🟢利確",IF(AND($R368&lt;&gt;"",$H368&lt;=$R368),"🟠TRAIL決済",IF($H368&lt;=$N368,"🔴損切",IF($W368&gt;=$AX$5,"⏱時間決済",IF($H368&lt;=$F368*(1-$AX$2*0.7),"⚠️損切接近","保持継続")))))))</f>
      </c>
      <c r="P368" s="445"/>
      <c r="R368" s="440" t="str">
        <f>IF(OR($F368="",$H368="",$N368=""),"",IF($S368="✅売却済","",IF($C368="売",IF($H368&gt;$F368*(1-$AX$2),$N368,CEILING(MIN($N368,IF($Q368="",$N368,$Q368*1.03)),IF($N368&lt;=3000,1,IF($N368&lt;=5000,5,IF($N368&lt;=30000,10,IF($N368&lt;=50000,50,IF($N368&lt;=300000,100,500))))))),IF($H368&lt;$F368*(1+$AX$2),$N368,FLOOR(MAX($N368,IF($P368="",$N368,$P368*0.97)),IF($N368&lt;=3000,1,IF($N368&lt;=5000,5,IF($N368&lt;=30000,10,IF($N368&lt;=50000,50,IF($N368&lt;=300000,100,500))))))))))</f>
      </c>
      <c r="S368" s="440" t="str">
        <f>IF(B368="","",IF(T368&lt;&gt;"","✅売却済",IF(OR(H368="",L368=""),"📌保有中",IF(L368&gt;=0.06,"🟢利確推奨",IF(L368&gt;=0.05,"🟡利確直近",IF(L368&gt;=0.045,"🔵トレーリング検討",IF(L368&gt;-0.03,"📌保有中",IF(L368&gt;-0.04,"⚠️損切注意","🔴損切り"))))))))</f>
        <v/>
      </c>
      <c r="T368" s="597"/>
      <c r="U368" s="599"/>
      <c r="V368" s="704" t="str">
        <f>IF(OR(F368="",G368="",U368=""),"",IF(C368="売",(F368-U368)*G368,(U368-F368)*G368))</f>
        <v/>
      </c>
      <c r="W368" s="440" t="str">
        <f>IF(OR($E368="",$B368=""),"",IF($T368&lt;&gt;"",$T368-$E368,TODAY()-$E368)+1)</f>
        <v/>
      </c>
      <c r="X368" s="440" t="str">
        <f>IF(OR($AH368="",$AH368="保有中"),"",$AH368)</f>
        <v/>
      </c>
      <c r="Y368">
        <f>IF($B368="","",IF(COUNTIFS($B$4:$B368,$B368,$C$4:$C368,$C368)&gt;1,"⛔重複"&amp;COUNTIFS($B$4:$B368,$B368,$C$4:$C368,$C368)&amp;"回目",""))</f>
      </c>
      <c r="AB368">
        <f>IF($F368="","",MAX(100,ROUNDDOWN($AX$4/($F368*$AX$2)/100,0)*100))</f>
      </c>
      <c r="AC368">
        <f>IF(OR($F368="",$G368="",$U368=""),"",ROUND($V368-($F368+$U368)*$G368*$AX$6-IF($C368="売",$F368*$G368*$AX$7*$W368/365,0),0))</f>
      </c>
      <c r="AD368" s="608"/>
      <c r="AE368" s="600" t="str">
        <f>IF($E368="","",WORKDAY($E368,12))</f>
        <v/>
      </c>
      <c r="AF368" s="600"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0"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0" t="str">
        <f>IF(OR($B368="",$M368=""),"",IF(AND(N($AF368)=0,N($AG368)=0),IF(AND(ISNUMBER($H368),$H368&gt;0,IF($C368="売",$H368&gt;=$N368,$H368&lt;=$N368)),"損切確定",IF(AND(ISNUMBER($H368),$H368&gt;0,IF($C368="売",$H368&lt;=$M368,$H368&gt;=$M368)),"利益確定",IF($AE368&lt;=TODAY(),"日数制限","保有中"))),IF(N($AG368)=0,"利益確定",IF(N($AF368)=0,"損切確定",IF($AG368&lt;=$AF368,"損切確定","利益確定")))))</f>
        <v/>
      </c>
      <c r="AI368" s="600" t="str" cm="1">
        <f t="array" ref="AI368">IFERROR(INDEX(始値!$E$6:$BT$305,MATCH(TEXT($B368,"0"),TEXT(銘柄管理!$B$6:$B$305,"0"),0),MATCH($AE368,始値!$E$3:$BT$3,0)),"")</f>
        <v/>
      </c>
      <c r="AJ368" s="608" t="str">
        <f>IF(OR($V368="",$F368="",$G368=""),"",$V368/($F368*$G368))</f>
        <v/>
      </c>
      <c r="AK368" s="600" t="str">
        <f>IF($V368="","",IF($V368&gt;0,"○勝",IF($V368&lt;0,"●負","△引分")))</f>
        <v/>
      </c>
    </row>
    <row r="369" spans="1:37" ht="17.25" customHeight="1">
      <c r="A369" s="622" t="str">
        <f>IF(B369="","",HYPERLINK("https://kabutan.jp/stock/?code="&amp;B369,"株探"))</f>
        <v/>
      </c>
      <c r="D369" s="440" t="str" cm="1">
        <f t="array" ref="D369">_xll.RssMarket(B369, "銘柄名称")</f>
        <v/>
      </c>
      <c r="E369" s="717"/>
      <c r="F369" s="6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IF(OR(F369="",G369="",H369=""),"",IF(C369="売",(F369-H369)*G369,(H369-F369)*G369))</f>
        <v/>
      </c>
      <c r="L369" s="709" t="str">
        <f>IF(OR(F369="",H369=""),"",IF(C369="売",(F369-H369)/F369,(H369-F369)/F369))</f>
        <v/>
      </c>
      <c r="M369" s="599" t="str">
        <f>IF($F369="","",IF($C369="売",CEILING($F369*IF($C369="売",1-$AX$3,1+$AX$3),IF($F369*IF($C369="売",1-$AX$3,1+$AX$3)&lt;=3000,1,IF($F369*IF($C369="売",1-$AX$3,1+$AX$3)&lt;=5000,5,IF($F369*IF($C369="売",1-$AX$3,1+$AX$3)&lt;=30000,10,IF($F369*IF($C369="売",1-$AX$3,1+$AX$3)&lt;=50000,50,IF($F369*IF($C369="売",1-$AX$3,1+$AX$3)&lt;=300000,100,500)))))),FLOOR($F369*IF($C369="売",1-$AX$3,1+$AX$3),IF($F369*IF($C369="売",1-$AX$3,1+$AX$3)&lt;=3000,1,IF($F369*IF($C369="売",1-$AX$3,1+$AX$3)&lt;=5000,5,IF($F369*IF($C369="売",1-$AX$3,1+$AX$3)&lt;=30000,10,IF($F369*IF($C369="売",1-$AX$3,1+$AX$3)&lt;=50000,50,IF($F369*IF($C369="売",1-$AX$3,1+$AX$3)&lt;=300000,100,500))))))))</f>
      </c>
      <c r="N369" s="599" t="str">
        <f>IF($F369="","",IF($C369="売",CEILING($F369*IF($C369="売",1+$AX$2,1-$AX$2),IF($F369*IF($C369="売",1+$AX$2,1-$AX$2)&lt;=3000,1,IF($F369*IF($C369="売",1+$AX$2,1-$AX$2)&lt;=5000,5,IF($F369*IF($C369="売",1+$AX$2,1-$AX$2)&lt;=30000,10,IF($F369*IF($C369="売",1+$AX$2,1-$AX$2)&lt;=50000,50,IF($F369*IF($C369="売",1+$AX$2,1-$AX$2)&lt;=300000,100,500)))))),FLOOR($F369*IF($C369="売",1+$AX$2,1-$AX$2),IF($F369*IF($C369="売",1+$AX$2,1-$AX$2)&lt;=3000,1,IF($F369*IF($C369="売",1+$AX$2,1-$AX$2)&lt;=5000,5,IF($F369*IF($C369="売",1+$AX$2,1-$AX$2)&lt;=30000,10,IF($F369*IF($C369="売",1+$AX$2,1-$AX$2)&lt;=50000,50,IF($F369*IF($C369="売",1+$AX$2,1-$AX$2)&lt;=300000,100,500))))))))</f>
      </c>
      <c r="O369" s="478" t="str">
        <f>IF(OR($B369="",$F369="",$H369=""),"",IF($S369="✅売却済","―決済済―",IF($C369="売",IF($H369&lt;=$M369,"🟢利確",IF(AND($R369&lt;&gt;"",$H369&gt;=$R369),"🟠TRAIL決済",IF($H369&gt;=$N369,"🔴損切",IF($W369&gt;=$AX$5,"⏱時間決済",IF($H369&gt;=$F369*(1+$AX$2*0.7),"⚠️損切接近","保持継続"))))),IF($H369&gt;=$M369,"🟢利確",IF(AND($R369&lt;&gt;"",$H369&lt;=$R369),"🟠TRAIL決済",IF($H369&lt;=$N369,"🔴損切",IF($W369&gt;=$AX$5,"⏱時間決済",IF($H369&lt;=$F369*(1-$AX$2*0.7),"⚠️損切接近","保持継続")))))))</f>
      </c>
      <c r="P369" s="445"/>
      <c r="R369" s="440" t="str">
        <f>IF(OR($F369="",$H369="",$N369=""),"",IF($S369="✅売却済","",IF($C369="売",IF($H369&gt;$F369*(1-$AX$2),$N369,CEILING(MIN($N369,IF($Q369="",$N369,$Q369*1.03)),IF($N369&lt;=3000,1,IF($N369&lt;=5000,5,IF($N369&lt;=30000,10,IF($N369&lt;=50000,50,IF($N369&lt;=300000,100,500))))))),IF($H369&lt;$F369*(1+$AX$2),$N369,FLOOR(MAX($N369,IF($P369="",$N369,$P369*0.97)),IF($N369&lt;=3000,1,IF($N369&lt;=5000,5,IF($N369&lt;=30000,10,IF($N369&lt;=50000,50,IF($N369&lt;=300000,100,500))))))))))</f>
      </c>
      <c r="S369" s="440" t="str">
        <f>IF(B369="","",IF(T369&lt;&gt;"","✅売却済",IF(OR(H369="",L369=""),"📌保有中",IF(L369&gt;=0.06,"🟢利確推奨",IF(L369&gt;=0.05,"🟡利確直近",IF(L369&gt;=0.045,"🔵トレーリング検討",IF(L369&gt;-0.03,"📌保有中",IF(L369&gt;-0.04,"⚠️損切注意","🔴損切り"))))))))</f>
        <v/>
      </c>
      <c r="T369" s="597"/>
      <c r="U369" s="599"/>
      <c r="V369" s="704" t="str">
        <f>IF(OR(F369="",G369="",U369=""),"",IF(C369="売",(F369-U369)*G369,(U369-F369)*G369))</f>
        <v/>
      </c>
      <c r="W369" s="440" t="str">
        <f>IF(OR($E369="",$B369=""),"",IF($T369&lt;&gt;"",$T369-$E369,TODAY()-$E369)+1)</f>
        <v/>
      </c>
      <c r="X369" s="440" t="str">
        <f>IF(OR($AH369="",$AH369="保有中"),"",$AH369)</f>
        <v/>
      </c>
      <c r="Y369">
        <f>IF($B369="","",IF(COUNTIFS($B$4:$B369,$B369,$C$4:$C369,$C369)&gt;1,"⛔重複"&amp;COUNTIFS($B$4:$B369,$B369,$C$4:$C369,$C369)&amp;"回目",""))</f>
      </c>
      <c r="AB369">
        <f>IF($F369="","",MAX(100,ROUNDDOWN($AX$4/($F369*$AX$2)/100,0)*100))</f>
      </c>
      <c r="AC369">
        <f>IF(OR($F369="",$G369="",$U369=""),"",ROUND($V369-($F369+$U369)*$G369*$AX$6-IF($C369="売",$F369*$G369*$AX$7*$W369/365,0),0))</f>
      </c>
      <c r="AD369" s="608"/>
      <c r="AE369" s="600" t="str">
        <f>IF($E369="","",WORKDAY($E369,12))</f>
        <v/>
      </c>
      <c r="AF369" s="600"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0"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0" t="str">
        <f>IF(OR($B369="",$M369=""),"",IF(AND(N($AF369)=0,N($AG369)=0),IF(AND(ISNUMBER($H369),$H369&gt;0,IF($C369="売",$H369&gt;=$N369,$H369&lt;=$N369)),"損切確定",IF(AND(ISNUMBER($H369),$H369&gt;0,IF($C369="売",$H369&lt;=$M369,$H369&gt;=$M369)),"利益確定",IF($AE369&lt;=TODAY(),"日数制限","保有中"))),IF(N($AG369)=0,"利益確定",IF(N($AF369)=0,"損切確定",IF($AG369&lt;=$AF369,"損切確定","利益確定")))))</f>
        <v/>
      </c>
      <c r="AI369" s="600" t="str" cm="1">
        <f t="array" ref="AI369">IFERROR(INDEX(始値!$E$6:$BT$305,MATCH(TEXT($B369,"0"),TEXT(銘柄管理!$B$6:$B$305,"0"),0),MATCH($AE369,始値!$E$3:$BT$3,0)),"")</f>
        <v/>
      </c>
      <c r="AJ369" s="608" t="str">
        <f>IF(OR($V369="",$F369="",$G369=""),"",$V369/($F369*$G369))</f>
        <v/>
      </c>
      <c r="AK369" s="600" t="str">
        <f>IF($V369="","",IF($V369&gt;0,"○勝",IF($V369&lt;0,"●負","△引分")))</f>
        <v/>
      </c>
    </row>
    <row r="370" spans="1:37" ht="17.25" customHeight="1">
      <c r="A370" s="622" t="str">
        <f>IF(B370="","",HYPERLINK("https://kabutan.jp/stock/?code="&amp;B370,"株探"))</f>
        <v/>
      </c>
      <c r="D370" s="440" t="str" cm="1">
        <f t="array" ref="D370">_xll.RssMarket(B370, "銘柄名称")</f>
        <v/>
      </c>
      <c r="E370" s="717"/>
      <c r="F370" s="6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IF(OR(F370="",G370="",H370=""),"",IF(C370="売",(F370-H370)*G370,(H370-F370)*G370))</f>
        <v/>
      </c>
      <c r="L370" s="709" t="str">
        <f>IF(OR(F370="",H370=""),"",IF(C370="売",(F370-H370)/F370,(H370-F370)/F370))</f>
        <v/>
      </c>
      <c r="M370" s="599" t="str">
        <f>IF($F370="","",IF($C370="売",CEILING($F370*IF($C370="売",1-$AX$3,1+$AX$3),IF($F370*IF($C370="売",1-$AX$3,1+$AX$3)&lt;=3000,1,IF($F370*IF($C370="売",1-$AX$3,1+$AX$3)&lt;=5000,5,IF($F370*IF($C370="売",1-$AX$3,1+$AX$3)&lt;=30000,10,IF($F370*IF($C370="売",1-$AX$3,1+$AX$3)&lt;=50000,50,IF($F370*IF($C370="売",1-$AX$3,1+$AX$3)&lt;=300000,100,500)))))),FLOOR($F370*IF($C370="売",1-$AX$3,1+$AX$3),IF($F370*IF($C370="売",1-$AX$3,1+$AX$3)&lt;=3000,1,IF($F370*IF($C370="売",1-$AX$3,1+$AX$3)&lt;=5000,5,IF($F370*IF($C370="売",1-$AX$3,1+$AX$3)&lt;=30000,10,IF($F370*IF($C370="売",1-$AX$3,1+$AX$3)&lt;=50000,50,IF($F370*IF($C370="売",1-$AX$3,1+$AX$3)&lt;=300000,100,500))))))))</f>
      </c>
      <c r="N370" s="599" t="str">
        <f>IF($F370="","",IF($C370="売",CEILING($F370*IF($C370="売",1+$AX$2,1-$AX$2),IF($F370*IF($C370="売",1+$AX$2,1-$AX$2)&lt;=3000,1,IF($F370*IF($C370="売",1+$AX$2,1-$AX$2)&lt;=5000,5,IF($F370*IF($C370="売",1+$AX$2,1-$AX$2)&lt;=30000,10,IF($F370*IF($C370="売",1+$AX$2,1-$AX$2)&lt;=50000,50,IF($F370*IF($C370="売",1+$AX$2,1-$AX$2)&lt;=300000,100,500)))))),FLOOR($F370*IF($C370="売",1+$AX$2,1-$AX$2),IF($F370*IF($C370="売",1+$AX$2,1-$AX$2)&lt;=3000,1,IF($F370*IF($C370="売",1+$AX$2,1-$AX$2)&lt;=5000,5,IF($F370*IF($C370="売",1+$AX$2,1-$AX$2)&lt;=30000,10,IF($F370*IF($C370="売",1+$AX$2,1-$AX$2)&lt;=50000,50,IF($F370*IF($C370="売",1+$AX$2,1-$AX$2)&lt;=300000,100,500))))))))</f>
      </c>
      <c r="O370" s="478" t="str">
        <f>IF(OR($B370="",$F370="",$H370=""),"",IF($S370="✅売却済","―決済済―",IF($C370="売",IF($H370&lt;=$M370,"🟢利確",IF(AND($R370&lt;&gt;"",$H370&gt;=$R370),"🟠TRAIL決済",IF($H370&gt;=$N370,"🔴損切",IF($W370&gt;=$AX$5,"⏱時間決済",IF($H370&gt;=$F370*(1+$AX$2*0.7),"⚠️損切接近","保持継続"))))),IF($H370&gt;=$M370,"🟢利確",IF(AND($R370&lt;&gt;"",$H370&lt;=$R370),"🟠TRAIL決済",IF($H370&lt;=$N370,"🔴損切",IF($W370&gt;=$AX$5,"⏱時間決済",IF($H370&lt;=$F370*(1-$AX$2*0.7),"⚠️損切接近","保持継続")))))))</f>
      </c>
      <c r="P370" s="445"/>
      <c r="R370" s="440" t="str">
        <f>IF(OR($F370="",$H370="",$N370=""),"",IF($S370="✅売却済","",IF($C370="売",IF($H370&gt;$F370*(1-$AX$2),$N370,CEILING(MIN($N370,IF($Q370="",$N370,$Q370*1.03)),IF($N370&lt;=3000,1,IF($N370&lt;=5000,5,IF($N370&lt;=30000,10,IF($N370&lt;=50000,50,IF($N370&lt;=300000,100,500))))))),IF($H370&lt;$F370*(1+$AX$2),$N370,FLOOR(MAX($N370,IF($P370="",$N370,$P370*0.97)),IF($N370&lt;=3000,1,IF($N370&lt;=5000,5,IF($N370&lt;=30000,10,IF($N370&lt;=50000,50,IF($N370&lt;=300000,100,500))))))))))</f>
      </c>
      <c r="S370" s="440" t="str">
        <f>IF(B370="","",IF(T370&lt;&gt;"","✅売却済",IF(OR(H370="",L370=""),"📌保有中",IF(L370&gt;=0.06,"🟢利確推奨",IF(L370&gt;=0.05,"🟡利確直近",IF(L370&gt;=0.045,"🔵トレーリング検討",IF(L370&gt;-0.03,"📌保有中",IF(L370&gt;-0.04,"⚠️損切注意","🔴損切り"))))))))</f>
        <v/>
      </c>
      <c r="T370" s="597"/>
      <c r="U370" s="599"/>
      <c r="V370" s="704" t="str">
        <f>IF(OR(F370="",G370="",U370=""),"",IF(C370="売",(F370-U370)*G370,(U370-F370)*G370))</f>
        <v/>
      </c>
      <c r="W370" s="440" t="str">
        <f>IF(OR($E370="",$B370=""),"",IF($T370&lt;&gt;"",$T370-$E370,TODAY()-$E370)+1)</f>
        <v/>
      </c>
      <c r="X370" s="440" t="str">
        <f>IF(OR($AH370="",$AH370="保有中"),"",$AH370)</f>
        <v/>
      </c>
      <c r="Y370">
        <f>IF($B370="","",IF(COUNTIFS($B$4:$B370,$B370,$C$4:$C370,$C370)&gt;1,"⛔重複"&amp;COUNTIFS($B$4:$B370,$B370,$C$4:$C370,$C370)&amp;"回目",""))</f>
      </c>
      <c r="AB370">
        <f>IF($F370="","",MAX(100,ROUNDDOWN($AX$4/($F370*$AX$2)/100,0)*100))</f>
      </c>
      <c r="AC370">
        <f>IF(OR($F370="",$G370="",$U370=""),"",ROUND($V370-($F370+$U370)*$G370*$AX$6-IF($C370="売",$F370*$G370*$AX$7*$W370/365,0),0))</f>
      </c>
      <c r="AD370" s="608"/>
      <c r="AE370" s="600" t="str">
        <f>IF($E370="","",WORKDAY($E370,12))</f>
        <v/>
      </c>
      <c r="AF370" s="600"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0"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0" t="str">
        <f>IF(OR($B370="",$M370=""),"",IF(AND(N($AF370)=0,N($AG370)=0),IF(AND(ISNUMBER($H370),$H370&gt;0,IF($C370="売",$H370&gt;=$N370,$H370&lt;=$N370)),"損切確定",IF(AND(ISNUMBER($H370),$H370&gt;0,IF($C370="売",$H370&lt;=$M370,$H370&gt;=$M370)),"利益確定",IF($AE370&lt;=TODAY(),"日数制限","保有中"))),IF(N($AG370)=0,"利益確定",IF(N($AF370)=0,"損切確定",IF($AG370&lt;=$AF370,"損切確定","利益確定")))))</f>
        <v/>
      </c>
      <c r="AI370" s="600" t="str" cm="1">
        <f t="array" ref="AI370">IFERROR(INDEX(始値!$E$6:$BT$305,MATCH(TEXT($B370,"0"),TEXT(銘柄管理!$B$6:$B$305,"0"),0),MATCH($AE370,始値!$E$3:$BT$3,0)),"")</f>
        <v/>
      </c>
      <c r="AJ370" s="608" t="str">
        <f>IF(OR($V370="",$F370="",$G370=""),"",$V370/($F370*$G370))</f>
        <v/>
      </c>
      <c r="AK370" s="600" t="str">
        <f>IF($V370="","",IF($V370&gt;0,"○勝",IF($V370&lt;0,"●負","△引分")))</f>
        <v/>
      </c>
    </row>
    <row r="371" spans="1:37" ht="17.25" customHeight="1">
      <c r="A371" s="622" t="str">
        <f>IF(B371="","",HYPERLINK("https://kabutan.jp/stock/?code="&amp;B371,"株探"))</f>
        <v/>
      </c>
      <c r="D371" s="440" t="str" cm="1">
        <f t="array" ref="D371">_xll.RssMarket(B371, "銘柄名称")</f>
        <v/>
      </c>
      <c r="E371" s="717"/>
      <c r="F371" s="6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IF(OR(F371="",G371="",H371=""),"",IF(C371="売",(F371-H371)*G371,(H371-F371)*G371))</f>
        <v/>
      </c>
      <c r="L371" s="709" t="str">
        <f>IF(OR(F371="",H371=""),"",IF(C371="売",(F371-H371)/F371,(H371-F371)/F371))</f>
        <v/>
      </c>
      <c r="M371" s="599" t="str">
        <f>IF($F371="","",IF($C371="売",CEILING($F371*IF($C371="売",1-$AX$3,1+$AX$3),IF($F371*IF($C371="売",1-$AX$3,1+$AX$3)&lt;=3000,1,IF($F371*IF($C371="売",1-$AX$3,1+$AX$3)&lt;=5000,5,IF($F371*IF($C371="売",1-$AX$3,1+$AX$3)&lt;=30000,10,IF($F371*IF($C371="売",1-$AX$3,1+$AX$3)&lt;=50000,50,IF($F371*IF($C371="売",1-$AX$3,1+$AX$3)&lt;=300000,100,500)))))),FLOOR($F371*IF($C371="売",1-$AX$3,1+$AX$3),IF($F371*IF($C371="売",1-$AX$3,1+$AX$3)&lt;=3000,1,IF($F371*IF($C371="売",1-$AX$3,1+$AX$3)&lt;=5000,5,IF($F371*IF($C371="売",1-$AX$3,1+$AX$3)&lt;=30000,10,IF($F371*IF($C371="売",1-$AX$3,1+$AX$3)&lt;=50000,50,IF($F371*IF($C371="売",1-$AX$3,1+$AX$3)&lt;=300000,100,500))))))))</f>
      </c>
      <c r="N371" s="599" t="str">
        <f>IF($F371="","",IF($C371="売",CEILING($F371*IF($C371="売",1+$AX$2,1-$AX$2),IF($F371*IF($C371="売",1+$AX$2,1-$AX$2)&lt;=3000,1,IF($F371*IF($C371="売",1+$AX$2,1-$AX$2)&lt;=5000,5,IF($F371*IF($C371="売",1+$AX$2,1-$AX$2)&lt;=30000,10,IF($F371*IF($C371="売",1+$AX$2,1-$AX$2)&lt;=50000,50,IF($F371*IF($C371="売",1+$AX$2,1-$AX$2)&lt;=300000,100,500)))))),FLOOR($F371*IF($C371="売",1+$AX$2,1-$AX$2),IF($F371*IF($C371="売",1+$AX$2,1-$AX$2)&lt;=3000,1,IF($F371*IF($C371="売",1+$AX$2,1-$AX$2)&lt;=5000,5,IF($F371*IF($C371="売",1+$AX$2,1-$AX$2)&lt;=30000,10,IF($F371*IF($C371="売",1+$AX$2,1-$AX$2)&lt;=50000,50,IF($F371*IF($C371="売",1+$AX$2,1-$AX$2)&lt;=300000,100,500))))))))</f>
      </c>
      <c r="O371" s="478" t="str">
        <f>IF(OR($B371="",$F371="",$H371=""),"",IF($S371="✅売却済","―決済済―",IF($C371="売",IF($H371&lt;=$M371,"🟢利確",IF(AND($R371&lt;&gt;"",$H371&gt;=$R371),"🟠TRAIL決済",IF($H371&gt;=$N371,"🔴損切",IF($W371&gt;=$AX$5,"⏱時間決済",IF($H371&gt;=$F371*(1+$AX$2*0.7),"⚠️損切接近","保持継続"))))),IF($H371&gt;=$M371,"🟢利確",IF(AND($R371&lt;&gt;"",$H371&lt;=$R371),"🟠TRAIL決済",IF($H371&lt;=$N371,"🔴損切",IF($W371&gt;=$AX$5,"⏱時間決済",IF($H371&lt;=$F371*(1-$AX$2*0.7),"⚠️損切接近","保持継続")))))))</f>
      </c>
      <c r="P371" s="445"/>
      <c r="R371" s="440" t="str">
        <f>IF(OR($F371="",$H371="",$N371=""),"",IF($S371="✅売却済","",IF($C371="売",IF($H371&gt;$F371*(1-$AX$2),$N371,CEILING(MIN($N371,IF($Q371="",$N371,$Q371*1.03)),IF($N371&lt;=3000,1,IF($N371&lt;=5000,5,IF($N371&lt;=30000,10,IF($N371&lt;=50000,50,IF($N371&lt;=300000,100,500))))))),IF($H371&lt;$F371*(1+$AX$2),$N371,FLOOR(MAX($N371,IF($P371="",$N371,$P371*0.97)),IF($N371&lt;=3000,1,IF($N371&lt;=5000,5,IF($N371&lt;=30000,10,IF($N371&lt;=50000,50,IF($N371&lt;=300000,100,500))))))))))</f>
      </c>
      <c r="S371" s="440" t="str">
        <f>IF(B371="","",IF(T371&lt;&gt;"","✅売却済",IF(OR(H371="",L371=""),"📌保有中",IF(L371&gt;=0.06,"🟢利確推奨",IF(L371&gt;=0.05,"🟡利確直近",IF(L371&gt;=0.045,"🔵トレーリング検討",IF(L371&gt;-0.03,"📌保有中",IF(L371&gt;-0.04,"⚠️損切注意","🔴損切り"))))))))</f>
        <v/>
      </c>
      <c r="T371" s="597"/>
      <c r="U371" s="599"/>
      <c r="V371" s="704" t="str">
        <f>IF(OR(F371="",G371="",U371=""),"",IF(C371="売",(F371-U371)*G371,(U371-F371)*G371))</f>
        <v/>
      </c>
      <c r="W371" s="440" t="str">
        <f>IF(OR($E371="",$B371=""),"",IF($T371&lt;&gt;"",$T371-$E371,TODAY()-$E371)+1)</f>
        <v/>
      </c>
      <c r="X371" s="440" t="str">
        <f>IF(OR($AH371="",$AH371="保有中"),"",$AH371)</f>
        <v/>
      </c>
      <c r="Y371">
        <f>IF($B371="","",IF(COUNTIFS($B$4:$B371,$B371,$C$4:$C371,$C371)&gt;1,"⛔重複"&amp;COUNTIFS($B$4:$B371,$B371,$C$4:$C371,$C371)&amp;"回目",""))</f>
      </c>
      <c r="AB371">
        <f>IF($F371="","",MAX(100,ROUNDDOWN($AX$4/($F371*$AX$2)/100,0)*100))</f>
      </c>
      <c r="AC371">
        <f>IF(OR($F371="",$G371="",$U371=""),"",ROUND($V371-($F371+$U371)*$G371*$AX$6-IF($C371="売",$F371*$G371*$AX$7*$W371/365,0),0))</f>
      </c>
      <c r="AD371" s="608"/>
      <c r="AE371" s="600" t="str">
        <f>IF($E371="","",WORKDAY($E371,12))</f>
        <v/>
      </c>
      <c r="AF371" s="600"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0"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0" t="str">
        <f>IF(OR($B371="",$M371=""),"",IF(AND(N($AF371)=0,N($AG371)=0),IF(AND(ISNUMBER($H371),$H371&gt;0,IF($C371="売",$H371&gt;=$N371,$H371&lt;=$N371)),"損切確定",IF(AND(ISNUMBER($H371),$H371&gt;0,IF($C371="売",$H371&lt;=$M371,$H371&gt;=$M371)),"利益確定",IF($AE371&lt;=TODAY(),"日数制限","保有中"))),IF(N($AG371)=0,"利益確定",IF(N($AF371)=0,"損切確定",IF($AG371&lt;=$AF371,"損切確定","利益確定")))))</f>
        <v/>
      </c>
      <c r="AI371" s="600" t="str" cm="1">
        <f t="array" ref="AI371">IFERROR(INDEX(始値!$E$6:$BT$305,MATCH(TEXT($B371,"0"),TEXT(銘柄管理!$B$6:$B$305,"0"),0),MATCH($AE371,始値!$E$3:$BT$3,0)),"")</f>
        <v/>
      </c>
      <c r="AJ371" s="608" t="str">
        <f>IF(OR($V371="",$F371="",$G371=""),"",$V371/($F371*$G371))</f>
        <v/>
      </c>
      <c r="AK371" s="600" t="str">
        <f>IF($V371="","",IF($V371&gt;0,"○勝",IF($V371&lt;0,"●負","△引分")))</f>
        <v/>
      </c>
    </row>
    <row r="372" spans="1:37" ht="17.25" customHeight="1">
      <c r="A372" s="622" t="str">
        <f>IF(B372="","",HYPERLINK("https://kabutan.jp/stock/?code="&amp;B372,"株探"))</f>
        <v/>
      </c>
      <c r="D372" s="440" t="str" cm="1">
        <f t="array" ref="D372">_xll.RssMarket(B372, "銘柄名称")</f>
        <v/>
      </c>
      <c r="E372" s="717"/>
      <c r="F372" s="6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IF(OR(F372="",G372="",H372=""),"",IF(C372="売",(F372-H372)*G372,(H372-F372)*G372))</f>
        <v/>
      </c>
      <c r="L372" s="709" t="str">
        <f>IF(OR(F372="",H372=""),"",IF(C372="売",(F372-H372)/F372,(H372-F372)/F372))</f>
        <v/>
      </c>
      <c r="M372" s="599" t="str">
        <f>IF($F372="","",IF($C372="売",CEILING($F372*IF($C372="売",1-$AX$3,1+$AX$3),IF($F372*IF($C372="売",1-$AX$3,1+$AX$3)&lt;=3000,1,IF($F372*IF($C372="売",1-$AX$3,1+$AX$3)&lt;=5000,5,IF($F372*IF($C372="売",1-$AX$3,1+$AX$3)&lt;=30000,10,IF($F372*IF($C372="売",1-$AX$3,1+$AX$3)&lt;=50000,50,IF($F372*IF($C372="売",1-$AX$3,1+$AX$3)&lt;=300000,100,500)))))),FLOOR($F372*IF($C372="売",1-$AX$3,1+$AX$3),IF($F372*IF($C372="売",1-$AX$3,1+$AX$3)&lt;=3000,1,IF($F372*IF($C372="売",1-$AX$3,1+$AX$3)&lt;=5000,5,IF($F372*IF($C372="売",1-$AX$3,1+$AX$3)&lt;=30000,10,IF($F372*IF($C372="売",1-$AX$3,1+$AX$3)&lt;=50000,50,IF($F372*IF($C372="売",1-$AX$3,1+$AX$3)&lt;=300000,100,500))))))))</f>
      </c>
      <c r="N372" s="599" t="str">
        <f>IF($F372="","",IF($C372="売",CEILING($F372*IF($C372="売",1+$AX$2,1-$AX$2),IF($F372*IF($C372="売",1+$AX$2,1-$AX$2)&lt;=3000,1,IF($F372*IF($C372="売",1+$AX$2,1-$AX$2)&lt;=5000,5,IF($F372*IF($C372="売",1+$AX$2,1-$AX$2)&lt;=30000,10,IF($F372*IF($C372="売",1+$AX$2,1-$AX$2)&lt;=50000,50,IF($F372*IF($C372="売",1+$AX$2,1-$AX$2)&lt;=300000,100,500)))))),FLOOR($F372*IF($C372="売",1+$AX$2,1-$AX$2),IF($F372*IF($C372="売",1+$AX$2,1-$AX$2)&lt;=3000,1,IF($F372*IF($C372="売",1+$AX$2,1-$AX$2)&lt;=5000,5,IF($F372*IF($C372="売",1+$AX$2,1-$AX$2)&lt;=30000,10,IF($F372*IF($C372="売",1+$AX$2,1-$AX$2)&lt;=50000,50,IF($F372*IF($C372="売",1+$AX$2,1-$AX$2)&lt;=300000,100,500))))))))</f>
      </c>
      <c r="O372" s="478" t="str">
        <f>IF(OR($B372="",$F372="",$H372=""),"",IF($S372="✅売却済","―決済済―",IF($C372="売",IF($H372&lt;=$M372,"🟢利確",IF(AND($R372&lt;&gt;"",$H372&gt;=$R372),"🟠TRAIL決済",IF($H372&gt;=$N372,"🔴損切",IF($W372&gt;=$AX$5,"⏱時間決済",IF($H372&gt;=$F372*(1+$AX$2*0.7),"⚠️損切接近","保持継続"))))),IF($H372&gt;=$M372,"🟢利確",IF(AND($R372&lt;&gt;"",$H372&lt;=$R372),"🟠TRAIL決済",IF($H372&lt;=$N372,"🔴損切",IF($W372&gt;=$AX$5,"⏱時間決済",IF($H372&lt;=$F372*(1-$AX$2*0.7),"⚠️損切接近","保持継続")))))))</f>
      </c>
      <c r="P372" s="445"/>
      <c r="R372" s="440" t="str">
        <f>IF(OR($F372="",$H372="",$N372=""),"",IF($S372="✅売却済","",IF($C372="売",IF($H372&gt;$F372*(1-$AX$2),$N372,CEILING(MIN($N372,IF($Q372="",$N372,$Q372*1.03)),IF($N372&lt;=3000,1,IF($N372&lt;=5000,5,IF($N372&lt;=30000,10,IF($N372&lt;=50000,50,IF($N372&lt;=300000,100,500))))))),IF($H372&lt;$F372*(1+$AX$2),$N372,FLOOR(MAX($N372,IF($P372="",$N372,$P372*0.97)),IF($N372&lt;=3000,1,IF($N372&lt;=5000,5,IF($N372&lt;=30000,10,IF($N372&lt;=50000,50,IF($N372&lt;=300000,100,500))))))))))</f>
      </c>
      <c r="S372" s="440" t="str">
        <f>IF(B372="","",IF(T372&lt;&gt;"","✅売却済",IF(OR(H372="",L372=""),"📌保有中",IF(L372&gt;=0.06,"🟢利確推奨",IF(L372&gt;=0.05,"🟡利確直近",IF(L372&gt;=0.045,"🔵トレーリング検討",IF(L372&gt;-0.03,"📌保有中",IF(L372&gt;-0.04,"⚠️損切注意","🔴損切り"))))))))</f>
        <v/>
      </c>
      <c r="T372" s="597"/>
      <c r="U372" s="599"/>
      <c r="V372" s="704" t="str">
        <f>IF(OR(F372="",G372="",U372=""),"",IF(C372="売",(F372-U372)*G372,(U372-F372)*G372))</f>
        <v/>
      </c>
      <c r="W372" s="440" t="str">
        <f>IF(OR($E372="",$B372=""),"",IF($T372&lt;&gt;"",$T372-$E372,TODAY()-$E372)+1)</f>
        <v/>
      </c>
      <c r="X372" s="440" t="str">
        <f>IF(OR($AH372="",$AH372="保有中"),"",$AH372)</f>
        <v/>
      </c>
      <c r="Y372">
        <f>IF($B372="","",IF(COUNTIFS($B$4:$B372,$B372,$C$4:$C372,$C372)&gt;1,"⛔重複"&amp;COUNTIFS($B$4:$B372,$B372,$C$4:$C372,$C372)&amp;"回目",""))</f>
      </c>
      <c r="AB372">
        <f>IF($F372="","",MAX(100,ROUNDDOWN($AX$4/($F372*$AX$2)/100,0)*100))</f>
      </c>
      <c r="AC372">
        <f>IF(OR($F372="",$G372="",$U372=""),"",ROUND($V372-($F372+$U372)*$G372*$AX$6-IF($C372="売",$F372*$G372*$AX$7*$W372/365,0),0))</f>
      </c>
      <c r="AD372" s="608"/>
      <c r="AE372" s="600" t="str">
        <f>IF($E372="","",WORKDAY($E372,12))</f>
        <v/>
      </c>
      <c r="AF372" s="600"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0"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0" t="str">
        <f>IF(OR($B372="",$M372=""),"",IF(AND(N($AF372)=0,N($AG372)=0),IF(AND(ISNUMBER($H372),$H372&gt;0,IF($C372="売",$H372&gt;=$N372,$H372&lt;=$N372)),"損切確定",IF(AND(ISNUMBER($H372),$H372&gt;0,IF($C372="売",$H372&lt;=$M372,$H372&gt;=$M372)),"利益確定",IF($AE372&lt;=TODAY(),"日数制限","保有中"))),IF(N($AG372)=0,"利益確定",IF(N($AF372)=0,"損切確定",IF($AG372&lt;=$AF372,"損切確定","利益確定")))))</f>
        <v/>
      </c>
      <c r="AI372" s="600" t="str" cm="1">
        <f t="array" ref="AI372">IFERROR(INDEX(始値!$E$6:$BT$305,MATCH(TEXT($B372,"0"),TEXT(銘柄管理!$B$6:$B$305,"0"),0),MATCH($AE372,始値!$E$3:$BT$3,0)),"")</f>
        <v/>
      </c>
      <c r="AJ372" s="608" t="str">
        <f>IF(OR($V372="",$F372="",$G372=""),"",$V372/($F372*$G372))</f>
        <v/>
      </c>
      <c r="AK372" s="600" t="str">
        <f>IF($V372="","",IF($V372&gt;0,"○勝",IF($V372&lt;0,"●負","△引分")))</f>
        <v/>
      </c>
    </row>
    <row r="373" spans="1:37" ht="17.25" customHeight="1">
      <c r="A373" s="622" t="str">
        <f>IF(B373="","",HYPERLINK("https://kabutan.jp/stock/?code="&amp;B373,"株探"))</f>
        <v/>
      </c>
      <c r="D373" s="440" t="str" cm="1">
        <f t="array" ref="D373">_xll.RssMarket(B373, "銘柄名称")</f>
        <v/>
      </c>
      <c r="E373" s="717"/>
      <c r="F373" s="6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IF(OR(F373="",G373="",H373=""),"",IF(C373="売",(F373-H373)*G373,(H373-F373)*G373))</f>
        <v/>
      </c>
      <c r="L373" s="709" t="str">
        <f>IF(OR(F373="",H373=""),"",IF(C373="売",(F373-H373)/F373,(H373-F373)/F373))</f>
        <v/>
      </c>
      <c r="M373" s="599" t="str">
        <f>IF($F373="","",IF($C373="売",CEILING($F373*IF($C373="売",1-$AX$3,1+$AX$3),IF($F373*IF($C373="売",1-$AX$3,1+$AX$3)&lt;=3000,1,IF($F373*IF($C373="売",1-$AX$3,1+$AX$3)&lt;=5000,5,IF($F373*IF($C373="売",1-$AX$3,1+$AX$3)&lt;=30000,10,IF($F373*IF($C373="売",1-$AX$3,1+$AX$3)&lt;=50000,50,IF($F373*IF($C373="売",1-$AX$3,1+$AX$3)&lt;=300000,100,500)))))),FLOOR($F373*IF($C373="売",1-$AX$3,1+$AX$3),IF($F373*IF($C373="売",1-$AX$3,1+$AX$3)&lt;=3000,1,IF($F373*IF($C373="売",1-$AX$3,1+$AX$3)&lt;=5000,5,IF($F373*IF($C373="売",1-$AX$3,1+$AX$3)&lt;=30000,10,IF($F373*IF($C373="売",1-$AX$3,1+$AX$3)&lt;=50000,50,IF($F373*IF($C373="売",1-$AX$3,1+$AX$3)&lt;=300000,100,500))))))))</f>
      </c>
      <c r="N373" s="599" t="str">
        <f>IF($F373="","",IF($C373="売",CEILING($F373*IF($C373="売",1+$AX$2,1-$AX$2),IF($F373*IF($C373="売",1+$AX$2,1-$AX$2)&lt;=3000,1,IF($F373*IF($C373="売",1+$AX$2,1-$AX$2)&lt;=5000,5,IF($F373*IF($C373="売",1+$AX$2,1-$AX$2)&lt;=30000,10,IF($F373*IF($C373="売",1+$AX$2,1-$AX$2)&lt;=50000,50,IF($F373*IF($C373="売",1+$AX$2,1-$AX$2)&lt;=300000,100,500)))))),FLOOR($F373*IF($C373="売",1+$AX$2,1-$AX$2),IF($F373*IF($C373="売",1+$AX$2,1-$AX$2)&lt;=3000,1,IF($F373*IF($C373="売",1+$AX$2,1-$AX$2)&lt;=5000,5,IF($F373*IF($C373="売",1+$AX$2,1-$AX$2)&lt;=30000,10,IF($F373*IF($C373="売",1+$AX$2,1-$AX$2)&lt;=50000,50,IF($F373*IF($C373="売",1+$AX$2,1-$AX$2)&lt;=300000,100,500))))))))</f>
      </c>
      <c r="O373" s="478" t="str">
        <f>IF(OR($B373="",$F373="",$H373=""),"",IF($S373="✅売却済","―決済済―",IF($C373="売",IF($H373&lt;=$M373,"🟢利確",IF(AND($R373&lt;&gt;"",$H373&gt;=$R373),"🟠TRAIL決済",IF($H373&gt;=$N373,"🔴損切",IF($W373&gt;=$AX$5,"⏱時間決済",IF($H373&gt;=$F373*(1+$AX$2*0.7),"⚠️損切接近","保持継続"))))),IF($H373&gt;=$M373,"🟢利確",IF(AND($R373&lt;&gt;"",$H373&lt;=$R373),"🟠TRAIL決済",IF($H373&lt;=$N373,"🔴損切",IF($W373&gt;=$AX$5,"⏱時間決済",IF($H373&lt;=$F373*(1-$AX$2*0.7),"⚠️損切接近","保持継続")))))))</f>
      </c>
      <c r="P373" s="445"/>
      <c r="R373" s="440" t="str">
        <f>IF(OR($F373="",$H373="",$N373=""),"",IF($S373="✅売却済","",IF($C373="売",IF($H373&gt;$F373*(1-$AX$2),$N373,CEILING(MIN($N373,IF($Q373="",$N373,$Q373*1.03)),IF($N373&lt;=3000,1,IF($N373&lt;=5000,5,IF($N373&lt;=30000,10,IF($N373&lt;=50000,50,IF($N373&lt;=300000,100,500))))))),IF($H373&lt;$F373*(1+$AX$2),$N373,FLOOR(MAX($N373,IF($P373="",$N373,$P373*0.97)),IF($N373&lt;=3000,1,IF($N373&lt;=5000,5,IF($N373&lt;=30000,10,IF($N373&lt;=50000,50,IF($N373&lt;=300000,100,500))))))))))</f>
      </c>
      <c r="S373" s="440" t="str">
        <f>IF(B373="","",IF(T373&lt;&gt;"","✅売却済",IF(OR(H373="",L373=""),"📌保有中",IF(L373&gt;=0.06,"🟢利確推奨",IF(L373&gt;=0.05,"🟡利確直近",IF(L373&gt;=0.045,"🔵トレーリング検討",IF(L373&gt;-0.03,"📌保有中",IF(L373&gt;-0.04,"⚠️損切注意","🔴損切り"))))))))</f>
        <v/>
      </c>
      <c r="T373" s="597"/>
      <c r="U373" s="599"/>
      <c r="V373" s="704" t="str">
        <f>IF(OR(F373="",G373="",U373=""),"",IF(C373="売",(F373-U373)*G373,(U373-F373)*G373))</f>
        <v/>
      </c>
      <c r="W373" s="440" t="str">
        <f>IF(OR($E373="",$B373=""),"",IF($T373&lt;&gt;"",$T373-$E373,TODAY()-$E373)+1)</f>
        <v/>
      </c>
      <c r="X373" s="440" t="str">
        <f>IF(OR($AH373="",$AH373="保有中"),"",$AH373)</f>
        <v/>
      </c>
      <c r="Y373">
        <f>IF($B373="","",IF(COUNTIFS($B$4:$B373,$B373,$C$4:$C373,$C373)&gt;1,"⛔重複"&amp;COUNTIFS($B$4:$B373,$B373,$C$4:$C373,$C373)&amp;"回目",""))</f>
      </c>
      <c r="AB373">
        <f>IF($F373="","",MAX(100,ROUNDDOWN($AX$4/($F373*$AX$2)/100,0)*100))</f>
      </c>
      <c r="AC373">
        <f>IF(OR($F373="",$G373="",$U373=""),"",ROUND($V373-($F373+$U373)*$G373*$AX$6-IF($C373="売",$F373*$G373*$AX$7*$W373/365,0),0))</f>
      </c>
      <c r="AD373" s="608"/>
      <c r="AE373" s="600" t="str">
        <f>IF($E373="","",WORKDAY($E373,12))</f>
        <v/>
      </c>
      <c r="AF373" s="600"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0"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0" t="str">
        <f>IF(OR($B373="",$M373=""),"",IF(AND(N($AF373)=0,N($AG373)=0),IF(AND(ISNUMBER($H373),$H373&gt;0,IF($C373="売",$H373&gt;=$N373,$H373&lt;=$N373)),"損切確定",IF(AND(ISNUMBER($H373),$H373&gt;0,IF($C373="売",$H373&lt;=$M373,$H373&gt;=$M373)),"利益確定",IF($AE373&lt;=TODAY(),"日数制限","保有中"))),IF(N($AG373)=0,"利益確定",IF(N($AF373)=0,"損切確定",IF($AG373&lt;=$AF373,"損切確定","利益確定")))))</f>
        <v/>
      </c>
      <c r="AI373" s="600" t="str" cm="1">
        <f t="array" ref="AI373">IFERROR(INDEX(始値!$E$6:$BT$305,MATCH(TEXT($B373,"0"),TEXT(銘柄管理!$B$6:$B$305,"0"),0),MATCH($AE373,始値!$E$3:$BT$3,0)),"")</f>
        <v/>
      </c>
      <c r="AJ373" s="608" t="str">
        <f>IF(OR($V373="",$F373="",$G373=""),"",$V373/($F373*$G373))</f>
        <v/>
      </c>
      <c r="AK373" s="600" t="str">
        <f>IF($V373="","",IF($V373&gt;0,"○勝",IF($V373&lt;0,"●負","△引分")))</f>
        <v/>
      </c>
    </row>
    <row r="374" spans="1:37" ht="17.25" customHeight="1">
      <c r="A374" s="622" t="str">
        <f>IF(B374="","",HYPERLINK("https://kabutan.jp/stock/?code="&amp;B374,"株探"))</f>
        <v/>
      </c>
      <c r="D374" s="440" t="str" cm="1">
        <f t="array" ref="D374">_xll.RssMarket(B374, "銘柄名称")</f>
        <v/>
      </c>
      <c r="E374" s="717"/>
      <c r="F374" s="6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IF(OR(F374="",G374="",H374=""),"",IF(C374="売",(F374-H374)*G374,(H374-F374)*G374))</f>
        <v/>
      </c>
      <c r="L374" s="709" t="str">
        <f>IF(OR(F374="",H374=""),"",IF(C374="売",(F374-H374)/F374,(H374-F374)/F374))</f>
        <v/>
      </c>
      <c r="M374" s="599" t="str">
        <f>IF($F374="","",IF($C374="売",CEILING($F374*IF($C374="売",1-$AX$3,1+$AX$3),IF($F374*IF($C374="売",1-$AX$3,1+$AX$3)&lt;=3000,1,IF($F374*IF($C374="売",1-$AX$3,1+$AX$3)&lt;=5000,5,IF($F374*IF($C374="売",1-$AX$3,1+$AX$3)&lt;=30000,10,IF($F374*IF($C374="売",1-$AX$3,1+$AX$3)&lt;=50000,50,IF($F374*IF($C374="売",1-$AX$3,1+$AX$3)&lt;=300000,100,500)))))),FLOOR($F374*IF($C374="売",1-$AX$3,1+$AX$3),IF($F374*IF($C374="売",1-$AX$3,1+$AX$3)&lt;=3000,1,IF($F374*IF($C374="売",1-$AX$3,1+$AX$3)&lt;=5000,5,IF($F374*IF($C374="売",1-$AX$3,1+$AX$3)&lt;=30000,10,IF($F374*IF($C374="売",1-$AX$3,1+$AX$3)&lt;=50000,50,IF($F374*IF($C374="売",1-$AX$3,1+$AX$3)&lt;=300000,100,500))))))))</f>
      </c>
      <c r="N374" s="599" t="str">
        <f>IF($F374="","",IF($C374="売",CEILING($F374*IF($C374="売",1+$AX$2,1-$AX$2),IF($F374*IF($C374="売",1+$AX$2,1-$AX$2)&lt;=3000,1,IF($F374*IF($C374="売",1+$AX$2,1-$AX$2)&lt;=5000,5,IF($F374*IF($C374="売",1+$AX$2,1-$AX$2)&lt;=30000,10,IF($F374*IF($C374="売",1+$AX$2,1-$AX$2)&lt;=50000,50,IF($F374*IF($C374="売",1+$AX$2,1-$AX$2)&lt;=300000,100,500)))))),FLOOR($F374*IF($C374="売",1+$AX$2,1-$AX$2),IF($F374*IF($C374="売",1+$AX$2,1-$AX$2)&lt;=3000,1,IF($F374*IF($C374="売",1+$AX$2,1-$AX$2)&lt;=5000,5,IF($F374*IF($C374="売",1+$AX$2,1-$AX$2)&lt;=30000,10,IF($F374*IF($C374="売",1+$AX$2,1-$AX$2)&lt;=50000,50,IF($F374*IF($C374="売",1+$AX$2,1-$AX$2)&lt;=300000,100,500))))))))</f>
      </c>
      <c r="O374" s="478" t="str">
        <f>IF(OR($B374="",$F374="",$H374=""),"",IF($S374="✅売却済","―決済済―",IF($C374="売",IF($H374&lt;=$M374,"🟢利確",IF(AND($R374&lt;&gt;"",$H374&gt;=$R374),"🟠TRAIL決済",IF($H374&gt;=$N374,"🔴損切",IF($W374&gt;=$AX$5,"⏱時間決済",IF($H374&gt;=$F374*(1+$AX$2*0.7),"⚠️損切接近","保持継続"))))),IF($H374&gt;=$M374,"🟢利確",IF(AND($R374&lt;&gt;"",$H374&lt;=$R374),"🟠TRAIL決済",IF($H374&lt;=$N374,"🔴損切",IF($W374&gt;=$AX$5,"⏱時間決済",IF($H374&lt;=$F374*(1-$AX$2*0.7),"⚠️損切接近","保持継続")))))))</f>
      </c>
      <c r="P374" s="445"/>
      <c r="R374" s="440" t="str">
        <f>IF(OR($F374="",$H374="",$N374=""),"",IF($S374="✅売却済","",IF($C374="売",IF($H374&gt;$F374*(1-$AX$2),$N374,CEILING(MIN($N374,IF($Q374="",$N374,$Q374*1.03)),IF($N374&lt;=3000,1,IF($N374&lt;=5000,5,IF($N374&lt;=30000,10,IF($N374&lt;=50000,50,IF($N374&lt;=300000,100,500))))))),IF($H374&lt;$F374*(1+$AX$2),$N374,FLOOR(MAX($N374,IF($P374="",$N374,$P374*0.97)),IF($N374&lt;=3000,1,IF($N374&lt;=5000,5,IF($N374&lt;=30000,10,IF($N374&lt;=50000,50,IF($N374&lt;=300000,100,500))))))))))</f>
      </c>
      <c r="S374" s="440" t="str">
        <f>IF(B374="","",IF(T374&lt;&gt;"","✅売却済",IF(OR(H374="",L374=""),"📌保有中",IF(L374&gt;=0.06,"🟢利確推奨",IF(L374&gt;=0.05,"🟡利確直近",IF(L374&gt;=0.045,"🔵トレーリング検討",IF(L374&gt;-0.03,"📌保有中",IF(L374&gt;-0.04,"⚠️損切注意","🔴損切り"))))))))</f>
        <v/>
      </c>
      <c r="T374" s="597"/>
      <c r="U374" s="599"/>
      <c r="V374" s="704" t="str">
        <f>IF(OR(F374="",G374="",U374=""),"",IF(C374="売",(F374-U374)*G374,(U374-F374)*G374))</f>
        <v/>
      </c>
      <c r="W374" s="440" t="str">
        <f>IF(OR($E374="",$B374=""),"",IF($T374&lt;&gt;"",$T374-$E374,TODAY()-$E374)+1)</f>
        <v/>
      </c>
      <c r="X374" s="440" t="str">
        <f>IF(OR($AH374="",$AH374="保有中"),"",$AH374)</f>
        <v/>
      </c>
      <c r="Y374">
        <f>IF($B374="","",IF(COUNTIFS($B$4:$B374,$B374,$C$4:$C374,$C374)&gt;1,"⛔重複"&amp;COUNTIFS($B$4:$B374,$B374,$C$4:$C374,$C374)&amp;"回目",""))</f>
      </c>
      <c r="AB374">
        <f>IF($F374="","",MAX(100,ROUNDDOWN($AX$4/($F374*$AX$2)/100,0)*100))</f>
      </c>
      <c r="AC374">
        <f>IF(OR($F374="",$G374="",$U374=""),"",ROUND($V374-($F374+$U374)*$G374*$AX$6-IF($C374="売",$F374*$G374*$AX$7*$W374/365,0),0))</f>
      </c>
      <c r="AD374" s="608"/>
      <c r="AE374" s="600" t="str">
        <f>IF($E374="","",WORKDAY($E374,12))</f>
        <v/>
      </c>
      <c r="AF374" s="600"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0"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0" t="str">
        <f>IF(OR($B374="",$M374=""),"",IF(AND(N($AF374)=0,N($AG374)=0),IF(AND(ISNUMBER($H374),$H374&gt;0,IF($C374="売",$H374&gt;=$N374,$H374&lt;=$N374)),"損切確定",IF(AND(ISNUMBER($H374),$H374&gt;0,IF($C374="売",$H374&lt;=$M374,$H374&gt;=$M374)),"利益確定",IF($AE374&lt;=TODAY(),"日数制限","保有中"))),IF(N($AG374)=0,"利益確定",IF(N($AF374)=0,"損切確定",IF($AG374&lt;=$AF374,"損切確定","利益確定")))))</f>
        <v/>
      </c>
      <c r="AI374" s="600" t="str" cm="1">
        <f t="array" ref="AI374">IFERROR(INDEX(始値!$E$6:$BT$305,MATCH(TEXT($B374,"0"),TEXT(銘柄管理!$B$6:$B$305,"0"),0),MATCH($AE374,始値!$E$3:$BT$3,0)),"")</f>
        <v/>
      </c>
      <c r="AJ374" s="608" t="str">
        <f>IF(OR($V374="",$F374="",$G374=""),"",$V374/($F374*$G374))</f>
        <v/>
      </c>
      <c r="AK374" s="600" t="str">
        <f>IF($V374="","",IF($V374&gt;0,"○勝",IF($V374&lt;0,"●負","△引分")))</f>
        <v/>
      </c>
    </row>
    <row r="375" spans="1:37" ht="17.25" customHeight="1">
      <c r="A375" s="622" t="str">
        <f>IF(B375="","",HYPERLINK("https://kabutan.jp/stock/?code="&amp;B375,"株探"))</f>
        <v/>
      </c>
      <c r="D375" s="440" t="str" cm="1">
        <f t="array" ref="D375">_xll.RssMarket(B375, "銘柄名称")</f>
        <v/>
      </c>
      <c r="E375" s="717"/>
      <c r="F375" s="6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IF(OR(F375="",G375="",H375=""),"",IF(C375="売",(F375-H375)*G375,(H375-F375)*G375))</f>
        <v/>
      </c>
      <c r="L375" s="709" t="str">
        <f>IF(OR(F375="",H375=""),"",IF(C375="売",(F375-H375)/F375,(H375-F375)/F375))</f>
        <v/>
      </c>
      <c r="M375" s="599" t="str">
        <f>IF($F375="","",IF($C375="売",CEILING($F375*IF($C375="売",1-$AX$3,1+$AX$3),IF($F375*IF($C375="売",1-$AX$3,1+$AX$3)&lt;=3000,1,IF($F375*IF($C375="売",1-$AX$3,1+$AX$3)&lt;=5000,5,IF($F375*IF($C375="売",1-$AX$3,1+$AX$3)&lt;=30000,10,IF($F375*IF($C375="売",1-$AX$3,1+$AX$3)&lt;=50000,50,IF($F375*IF($C375="売",1-$AX$3,1+$AX$3)&lt;=300000,100,500)))))),FLOOR($F375*IF($C375="売",1-$AX$3,1+$AX$3),IF($F375*IF($C375="売",1-$AX$3,1+$AX$3)&lt;=3000,1,IF($F375*IF($C375="売",1-$AX$3,1+$AX$3)&lt;=5000,5,IF($F375*IF($C375="売",1-$AX$3,1+$AX$3)&lt;=30000,10,IF($F375*IF($C375="売",1-$AX$3,1+$AX$3)&lt;=50000,50,IF($F375*IF($C375="売",1-$AX$3,1+$AX$3)&lt;=300000,100,500))))))))</f>
      </c>
      <c r="N375" s="599" t="str">
        <f>IF($F375="","",IF($C375="売",CEILING($F375*IF($C375="売",1+$AX$2,1-$AX$2),IF($F375*IF($C375="売",1+$AX$2,1-$AX$2)&lt;=3000,1,IF($F375*IF($C375="売",1+$AX$2,1-$AX$2)&lt;=5000,5,IF($F375*IF($C375="売",1+$AX$2,1-$AX$2)&lt;=30000,10,IF($F375*IF($C375="売",1+$AX$2,1-$AX$2)&lt;=50000,50,IF($F375*IF($C375="売",1+$AX$2,1-$AX$2)&lt;=300000,100,500)))))),FLOOR($F375*IF($C375="売",1+$AX$2,1-$AX$2),IF($F375*IF($C375="売",1+$AX$2,1-$AX$2)&lt;=3000,1,IF($F375*IF($C375="売",1+$AX$2,1-$AX$2)&lt;=5000,5,IF($F375*IF($C375="売",1+$AX$2,1-$AX$2)&lt;=30000,10,IF($F375*IF($C375="売",1+$AX$2,1-$AX$2)&lt;=50000,50,IF($F375*IF($C375="売",1+$AX$2,1-$AX$2)&lt;=300000,100,500))))))))</f>
      </c>
      <c r="O375" s="478" t="str">
        <f>IF(OR($B375="",$F375="",$H375=""),"",IF($S375="✅売却済","―決済済―",IF($C375="売",IF($H375&lt;=$M375,"🟢利確",IF(AND($R375&lt;&gt;"",$H375&gt;=$R375),"🟠TRAIL決済",IF($H375&gt;=$N375,"🔴損切",IF($W375&gt;=$AX$5,"⏱時間決済",IF($H375&gt;=$F375*(1+$AX$2*0.7),"⚠️損切接近","保持継続"))))),IF($H375&gt;=$M375,"🟢利確",IF(AND($R375&lt;&gt;"",$H375&lt;=$R375),"🟠TRAIL決済",IF($H375&lt;=$N375,"🔴損切",IF($W375&gt;=$AX$5,"⏱時間決済",IF($H375&lt;=$F375*(1-$AX$2*0.7),"⚠️損切接近","保持継続")))))))</f>
      </c>
      <c r="P375" s="445"/>
      <c r="R375" s="440" t="str">
        <f>IF(OR($F375="",$H375="",$N375=""),"",IF($S375="✅売却済","",IF($C375="売",IF($H375&gt;$F375*(1-$AX$2),$N375,CEILING(MIN($N375,IF($Q375="",$N375,$Q375*1.03)),IF($N375&lt;=3000,1,IF($N375&lt;=5000,5,IF($N375&lt;=30000,10,IF($N375&lt;=50000,50,IF($N375&lt;=300000,100,500))))))),IF($H375&lt;$F375*(1+$AX$2),$N375,FLOOR(MAX($N375,IF($P375="",$N375,$P375*0.97)),IF($N375&lt;=3000,1,IF($N375&lt;=5000,5,IF($N375&lt;=30000,10,IF($N375&lt;=50000,50,IF($N375&lt;=300000,100,500))))))))))</f>
      </c>
      <c r="S375" s="440" t="str">
        <f>IF(B375="","",IF(T375&lt;&gt;"","✅売却済",IF(OR(H375="",L375=""),"📌保有中",IF(L375&gt;=0.06,"🟢利確推奨",IF(L375&gt;=0.05,"🟡利確直近",IF(L375&gt;=0.045,"🔵トレーリング検討",IF(L375&gt;-0.03,"📌保有中",IF(L375&gt;-0.04,"⚠️損切注意","🔴損切り"))))))))</f>
        <v/>
      </c>
      <c r="T375" s="597"/>
      <c r="U375" s="599"/>
      <c r="V375" s="704" t="str">
        <f>IF(OR(F375="",G375="",U375=""),"",IF(C375="売",(F375-U375)*G375,(U375-F375)*G375))</f>
        <v/>
      </c>
      <c r="W375" s="440" t="str">
        <f>IF(OR($E375="",$B375=""),"",IF($T375&lt;&gt;"",$T375-$E375,TODAY()-$E375)+1)</f>
        <v/>
      </c>
      <c r="X375" s="440" t="str">
        <f>IF(OR($AH375="",$AH375="保有中"),"",$AH375)</f>
        <v/>
      </c>
      <c r="Y375">
        <f>IF($B375="","",IF(COUNTIFS($B$4:$B375,$B375,$C$4:$C375,$C375)&gt;1,"⛔重複"&amp;COUNTIFS($B$4:$B375,$B375,$C$4:$C375,$C375)&amp;"回目",""))</f>
      </c>
      <c r="AB375">
        <f>IF($F375="","",MAX(100,ROUNDDOWN($AX$4/($F375*$AX$2)/100,0)*100))</f>
      </c>
      <c r="AC375">
        <f>IF(OR($F375="",$G375="",$U375=""),"",ROUND($V375-($F375+$U375)*$G375*$AX$6-IF($C375="売",$F375*$G375*$AX$7*$W375/365,0),0))</f>
      </c>
      <c r="AD375" s="608"/>
      <c r="AE375" s="600" t="str">
        <f>IF($E375="","",WORKDAY($E375,12))</f>
        <v/>
      </c>
      <c r="AF375" s="600"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0"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0" t="str">
        <f>IF(OR($B375="",$M375=""),"",IF(AND(N($AF375)=0,N($AG375)=0),IF(AND(ISNUMBER($H375),$H375&gt;0,IF($C375="売",$H375&gt;=$N375,$H375&lt;=$N375)),"損切確定",IF(AND(ISNUMBER($H375),$H375&gt;0,IF($C375="売",$H375&lt;=$M375,$H375&gt;=$M375)),"利益確定",IF($AE375&lt;=TODAY(),"日数制限","保有中"))),IF(N($AG375)=0,"利益確定",IF(N($AF375)=0,"損切確定",IF($AG375&lt;=$AF375,"損切確定","利益確定")))))</f>
        <v/>
      </c>
      <c r="AI375" s="600" t="str" cm="1">
        <f t="array" ref="AI375">IFERROR(INDEX(始値!$E$6:$BT$305,MATCH(TEXT($B375,"0"),TEXT(銘柄管理!$B$6:$B$305,"0"),0),MATCH($AE375,始値!$E$3:$BT$3,0)),"")</f>
        <v/>
      </c>
      <c r="AJ375" s="608" t="str">
        <f>IF(OR($V375="",$F375="",$G375=""),"",$V375/($F375*$G375))</f>
        <v/>
      </c>
      <c r="AK375" s="600" t="str">
        <f>IF($V375="","",IF($V375&gt;0,"○勝",IF($V375&lt;0,"●負","△引分")))</f>
        <v/>
      </c>
    </row>
    <row r="376" spans="1:37" ht="17.25" customHeight="1">
      <c r="A376" s="622" t="str">
        <f>IF(B376="","",HYPERLINK("https://kabutan.jp/stock/?code="&amp;B376,"株探"))</f>
        <v/>
      </c>
      <c r="D376" s="440" t="str" cm="1">
        <f t="array" ref="D376">_xll.RssMarket(B376, "銘柄名称")</f>
        <v/>
      </c>
      <c r="E376" s="717"/>
      <c r="F376" s="6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IF(OR(F376="",G376="",H376=""),"",IF(C376="売",(F376-H376)*G376,(H376-F376)*G376))</f>
        <v/>
      </c>
      <c r="L376" s="709" t="str">
        <f>IF(OR(F376="",H376=""),"",IF(C376="売",(F376-H376)/F376,(H376-F376)/F376))</f>
        <v/>
      </c>
      <c r="M376" s="599" t="str">
        <f>IF($F376="","",IF($C376="売",CEILING($F376*IF($C376="売",1-$AX$3,1+$AX$3),IF($F376*IF($C376="売",1-$AX$3,1+$AX$3)&lt;=3000,1,IF($F376*IF($C376="売",1-$AX$3,1+$AX$3)&lt;=5000,5,IF($F376*IF($C376="売",1-$AX$3,1+$AX$3)&lt;=30000,10,IF($F376*IF($C376="売",1-$AX$3,1+$AX$3)&lt;=50000,50,IF($F376*IF($C376="売",1-$AX$3,1+$AX$3)&lt;=300000,100,500)))))),FLOOR($F376*IF($C376="売",1-$AX$3,1+$AX$3),IF($F376*IF($C376="売",1-$AX$3,1+$AX$3)&lt;=3000,1,IF($F376*IF($C376="売",1-$AX$3,1+$AX$3)&lt;=5000,5,IF($F376*IF($C376="売",1-$AX$3,1+$AX$3)&lt;=30000,10,IF($F376*IF($C376="売",1-$AX$3,1+$AX$3)&lt;=50000,50,IF($F376*IF($C376="売",1-$AX$3,1+$AX$3)&lt;=300000,100,500))))))))</f>
      </c>
      <c r="N376" s="599" t="str">
        <f>IF($F376="","",IF($C376="売",CEILING($F376*IF($C376="売",1+$AX$2,1-$AX$2),IF($F376*IF($C376="売",1+$AX$2,1-$AX$2)&lt;=3000,1,IF($F376*IF($C376="売",1+$AX$2,1-$AX$2)&lt;=5000,5,IF($F376*IF($C376="売",1+$AX$2,1-$AX$2)&lt;=30000,10,IF($F376*IF($C376="売",1+$AX$2,1-$AX$2)&lt;=50000,50,IF($F376*IF($C376="売",1+$AX$2,1-$AX$2)&lt;=300000,100,500)))))),FLOOR($F376*IF($C376="売",1+$AX$2,1-$AX$2),IF($F376*IF($C376="売",1+$AX$2,1-$AX$2)&lt;=3000,1,IF($F376*IF($C376="売",1+$AX$2,1-$AX$2)&lt;=5000,5,IF($F376*IF($C376="売",1+$AX$2,1-$AX$2)&lt;=30000,10,IF($F376*IF($C376="売",1+$AX$2,1-$AX$2)&lt;=50000,50,IF($F376*IF($C376="売",1+$AX$2,1-$AX$2)&lt;=300000,100,500))))))))</f>
      </c>
      <c r="O376" s="478" t="str">
        <f>IF(OR($B376="",$F376="",$H376=""),"",IF($S376="✅売却済","―決済済―",IF($C376="売",IF($H376&lt;=$M376,"🟢利確",IF(AND($R376&lt;&gt;"",$H376&gt;=$R376),"🟠TRAIL決済",IF($H376&gt;=$N376,"🔴損切",IF($W376&gt;=$AX$5,"⏱時間決済",IF($H376&gt;=$F376*(1+$AX$2*0.7),"⚠️損切接近","保持継続"))))),IF($H376&gt;=$M376,"🟢利確",IF(AND($R376&lt;&gt;"",$H376&lt;=$R376),"🟠TRAIL決済",IF($H376&lt;=$N376,"🔴損切",IF($W376&gt;=$AX$5,"⏱時間決済",IF($H376&lt;=$F376*(1-$AX$2*0.7),"⚠️損切接近","保持継続")))))))</f>
      </c>
      <c r="P376" s="445"/>
      <c r="R376" s="440" t="str">
        <f>IF(OR($F376="",$H376="",$N376=""),"",IF($S376="✅売却済","",IF($C376="売",IF($H376&gt;$F376*(1-$AX$2),$N376,CEILING(MIN($N376,IF($Q376="",$N376,$Q376*1.03)),IF($N376&lt;=3000,1,IF($N376&lt;=5000,5,IF($N376&lt;=30000,10,IF($N376&lt;=50000,50,IF($N376&lt;=300000,100,500))))))),IF($H376&lt;$F376*(1+$AX$2),$N376,FLOOR(MAX($N376,IF($P376="",$N376,$P376*0.97)),IF($N376&lt;=3000,1,IF($N376&lt;=5000,5,IF($N376&lt;=30000,10,IF($N376&lt;=50000,50,IF($N376&lt;=300000,100,500))))))))))</f>
      </c>
      <c r="S376" s="440" t="str">
        <f>IF(B376="","",IF(T376&lt;&gt;"","✅売却済",IF(OR(H376="",L376=""),"📌保有中",IF(L376&gt;=0.06,"🟢利確推奨",IF(L376&gt;=0.05,"🟡利確直近",IF(L376&gt;=0.045,"🔵トレーリング検討",IF(L376&gt;-0.03,"📌保有中",IF(L376&gt;-0.04,"⚠️損切注意","🔴損切り"))))))))</f>
        <v/>
      </c>
      <c r="T376" s="597"/>
      <c r="U376" s="599"/>
      <c r="V376" s="704" t="str">
        <f>IF(OR(F376="",G376="",U376=""),"",IF(C376="売",(F376-U376)*G376,(U376-F376)*G376))</f>
        <v/>
      </c>
      <c r="W376" s="440" t="str">
        <f>IF(OR($E376="",$B376=""),"",IF($T376&lt;&gt;"",$T376-$E376,TODAY()-$E376)+1)</f>
        <v/>
      </c>
      <c r="X376" s="440" t="str">
        <f>IF(OR($AH376="",$AH376="保有中"),"",$AH376)</f>
        <v/>
      </c>
      <c r="Y376">
        <f>IF($B376="","",IF(COUNTIFS($B$4:$B376,$B376,$C$4:$C376,$C376)&gt;1,"⛔重複"&amp;COUNTIFS($B$4:$B376,$B376,$C$4:$C376,$C376)&amp;"回目",""))</f>
      </c>
      <c r="AB376">
        <f>IF($F376="","",MAX(100,ROUNDDOWN($AX$4/($F376*$AX$2)/100,0)*100))</f>
      </c>
      <c r="AC376">
        <f>IF(OR($F376="",$G376="",$U376=""),"",ROUND($V376-($F376+$U376)*$G376*$AX$6-IF($C376="売",$F376*$G376*$AX$7*$W376/365,0),0))</f>
      </c>
      <c r="AD376" s="608"/>
      <c r="AE376" s="600" t="str">
        <f>IF($E376="","",WORKDAY($E376,12))</f>
        <v/>
      </c>
      <c r="AF376" s="600"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0"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0" t="str">
        <f>IF(OR($B376="",$M376=""),"",IF(AND(N($AF376)=0,N($AG376)=0),IF(AND(ISNUMBER($H376),$H376&gt;0,IF($C376="売",$H376&gt;=$N376,$H376&lt;=$N376)),"損切確定",IF(AND(ISNUMBER($H376),$H376&gt;0,IF($C376="売",$H376&lt;=$M376,$H376&gt;=$M376)),"利益確定",IF($AE376&lt;=TODAY(),"日数制限","保有中"))),IF(N($AG376)=0,"利益確定",IF(N($AF376)=0,"損切確定",IF($AG376&lt;=$AF376,"損切確定","利益確定")))))</f>
        <v/>
      </c>
      <c r="AI376" s="600" t="str" cm="1">
        <f t="array" ref="AI376">IFERROR(INDEX(始値!$E$6:$BT$305,MATCH(TEXT($B376,"0"),TEXT(銘柄管理!$B$6:$B$305,"0"),0),MATCH($AE376,始値!$E$3:$BT$3,0)),"")</f>
        <v/>
      </c>
      <c r="AJ376" s="608" t="str">
        <f>IF(OR($V376="",$F376="",$G376=""),"",$V376/($F376*$G376))</f>
        <v/>
      </c>
      <c r="AK376" s="600" t="str">
        <f>IF($V376="","",IF($V376&gt;0,"○勝",IF($V376&lt;0,"●負","△引分")))</f>
        <v/>
      </c>
    </row>
    <row r="377" spans="1:37" ht="17.25" customHeight="1">
      <c r="A377" s="622" t="str">
        <f>IF(B377="","",HYPERLINK("https://kabutan.jp/stock/?code="&amp;B377,"株探"))</f>
        <v/>
      </c>
      <c r="D377" s="440" t="str" cm="1">
        <f t="array" ref="D377">_xll.RssMarket(B377, "銘柄名称")</f>
        <v/>
      </c>
      <c r="E377" s="717"/>
      <c r="F377" s="6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IF(OR(F377="",G377="",H377=""),"",IF(C377="売",(F377-H377)*G377,(H377-F377)*G377))</f>
        <v/>
      </c>
      <c r="L377" s="709" t="str">
        <f>IF(OR(F377="",H377=""),"",IF(C377="売",(F377-H377)/F377,(H377-F377)/F377))</f>
        <v/>
      </c>
      <c r="M377" s="599" t="str">
        <f>IF($F377="","",IF($C377="売",CEILING($F377*IF($C377="売",1-$AX$3,1+$AX$3),IF($F377*IF($C377="売",1-$AX$3,1+$AX$3)&lt;=3000,1,IF($F377*IF($C377="売",1-$AX$3,1+$AX$3)&lt;=5000,5,IF($F377*IF($C377="売",1-$AX$3,1+$AX$3)&lt;=30000,10,IF($F377*IF($C377="売",1-$AX$3,1+$AX$3)&lt;=50000,50,IF($F377*IF($C377="売",1-$AX$3,1+$AX$3)&lt;=300000,100,500)))))),FLOOR($F377*IF($C377="売",1-$AX$3,1+$AX$3),IF($F377*IF($C377="売",1-$AX$3,1+$AX$3)&lt;=3000,1,IF($F377*IF($C377="売",1-$AX$3,1+$AX$3)&lt;=5000,5,IF($F377*IF($C377="売",1-$AX$3,1+$AX$3)&lt;=30000,10,IF($F377*IF($C377="売",1-$AX$3,1+$AX$3)&lt;=50000,50,IF($F377*IF($C377="売",1-$AX$3,1+$AX$3)&lt;=300000,100,500))))))))</f>
      </c>
      <c r="N377" s="599" t="str">
        <f>IF($F377="","",IF($C377="売",CEILING($F377*IF($C377="売",1+$AX$2,1-$AX$2),IF($F377*IF($C377="売",1+$AX$2,1-$AX$2)&lt;=3000,1,IF($F377*IF($C377="売",1+$AX$2,1-$AX$2)&lt;=5000,5,IF($F377*IF($C377="売",1+$AX$2,1-$AX$2)&lt;=30000,10,IF($F377*IF($C377="売",1+$AX$2,1-$AX$2)&lt;=50000,50,IF($F377*IF($C377="売",1+$AX$2,1-$AX$2)&lt;=300000,100,500)))))),FLOOR($F377*IF($C377="売",1+$AX$2,1-$AX$2),IF($F377*IF($C377="売",1+$AX$2,1-$AX$2)&lt;=3000,1,IF($F377*IF($C377="売",1+$AX$2,1-$AX$2)&lt;=5000,5,IF($F377*IF($C377="売",1+$AX$2,1-$AX$2)&lt;=30000,10,IF($F377*IF($C377="売",1+$AX$2,1-$AX$2)&lt;=50000,50,IF($F377*IF($C377="売",1+$AX$2,1-$AX$2)&lt;=300000,100,500))))))))</f>
      </c>
      <c r="O377" s="478" t="str">
        <f>IF(OR($B377="",$F377="",$H377=""),"",IF($S377="✅売却済","―決済済―",IF($C377="売",IF($H377&lt;=$M377,"🟢利確",IF(AND($R377&lt;&gt;"",$H377&gt;=$R377),"🟠TRAIL決済",IF($H377&gt;=$N377,"🔴損切",IF($W377&gt;=$AX$5,"⏱時間決済",IF($H377&gt;=$F377*(1+$AX$2*0.7),"⚠️損切接近","保持継続"))))),IF($H377&gt;=$M377,"🟢利確",IF(AND($R377&lt;&gt;"",$H377&lt;=$R377),"🟠TRAIL決済",IF($H377&lt;=$N377,"🔴損切",IF($W377&gt;=$AX$5,"⏱時間決済",IF($H377&lt;=$F377*(1-$AX$2*0.7),"⚠️損切接近","保持継続")))))))</f>
      </c>
      <c r="P377" s="445"/>
      <c r="R377" s="440" t="str">
        <f>IF(OR($F377="",$H377="",$N377=""),"",IF($S377="✅売却済","",IF($C377="売",IF($H377&gt;$F377*(1-$AX$2),$N377,CEILING(MIN($N377,IF($Q377="",$N377,$Q377*1.03)),IF($N377&lt;=3000,1,IF($N377&lt;=5000,5,IF($N377&lt;=30000,10,IF($N377&lt;=50000,50,IF($N377&lt;=300000,100,500))))))),IF($H377&lt;$F377*(1+$AX$2),$N377,FLOOR(MAX($N377,IF($P377="",$N377,$P377*0.97)),IF($N377&lt;=3000,1,IF($N377&lt;=5000,5,IF($N377&lt;=30000,10,IF($N377&lt;=50000,50,IF($N377&lt;=300000,100,500))))))))))</f>
      </c>
      <c r="S377" s="440" t="str">
        <f>IF(B377="","",IF(T377&lt;&gt;"","✅売却済",IF(OR(H377="",L377=""),"📌保有中",IF(L377&gt;=0.06,"🟢利確推奨",IF(L377&gt;=0.05,"🟡利確直近",IF(L377&gt;=0.045,"🔵トレーリング検討",IF(L377&gt;-0.03,"📌保有中",IF(L377&gt;-0.04,"⚠️損切注意","🔴損切り"))))))))</f>
        <v/>
      </c>
      <c r="T377" s="597"/>
      <c r="U377" s="599"/>
      <c r="V377" s="704" t="str">
        <f>IF(OR(F377="",G377="",U377=""),"",IF(C377="売",(F377-U377)*G377,(U377-F377)*G377))</f>
        <v/>
      </c>
      <c r="W377" s="440" t="str">
        <f>IF(OR($E377="",$B377=""),"",IF($T377&lt;&gt;"",$T377-$E377,TODAY()-$E377)+1)</f>
        <v/>
      </c>
      <c r="X377" s="440" t="str">
        <f>IF(OR($AH377="",$AH377="保有中"),"",$AH377)</f>
        <v/>
      </c>
      <c r="Y377">
        <f>IF($B377="","",IF(COUNTIFS($B$4:$B377,$B377,$C$4:$C377,$C377)&gt;1,"⛔重複"&amp;COUNTIFS($B$4:$B377,$B377,$C$4:$C377,$C377)&amp;"回目",""))</f>
      </c>
      <c r="AB377">
        <f>IF($F377="","",MAX(100,ROUNDDOWN($AX$4/($F377*$AX$2)/100,0)*100))</f>
      </c>
      <c r="AC377">
        <f>IF(OR($F377="",$G377="",$U377=""),"",ROUND($V377-($F377+$U377)*$G377*$AX$6-IF($C377="売",$F377*$G377*$AX$7*$W377/365,0),0))</f>
      </c>
      <c r="AD377" s="608"/>
      <c r="AE377" s="600" t="str">
        <f>IF($E377="","",WORKDAY($E377,12))</f>
        <v/>
      </c>
      <c r="AF377" s="600"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0"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0" t="str">
        <f>IF(OR($B377="",$M377=""),"",IF(AND(N($AF377)=0,N($AG377)=0),IF(AND(ISNUMBER($H377),$H377&gt;0,IF($C377="売",$H377&gt;=$N377,$H377&lt;=$N377)),"損切確定",IF(AND(ISNUMBER($H377),$H377&gt;0,IF($C377="売",$H377&lt;=$M377,$H377&gt;=$M377)),"利益確定",IF($AE377&lt;=TODAY(),"日数制限","保有中"))),IF(N($AG377)=0,"利益確定",IF(N($AF377)=0,"損切確定",IF($AG377&lt;=$AF377,"損切確定","利益確定")))))</f>
        <v/>
      </c>
      <c r="AI377" s="600" t="str" cm="1">
        <f t="array" ref="AI377">IFERROR(INDEX(始値!$E$6:$BT$305,MATCH(TEXT($B377,"0"),TEXT(銘柄管理!$B$6:$B$305,"0"),0),MATCH($AE377,始値!$E$3:$BT$3,0)),"")</f>
        <v/>
      </c>
      <c r="AJ377" s="608" t="str">
        <f>IF(OR($V377="",$F377="",$G377=""),"",$V377/($F377*$G377))</f>
        <v/>
      </c>
      <c r="AK377" s="600" t="str">
        <f>IF($V377="","",IF($V377&gt;0,"○勝",IF($V377&lt;0,"●負","△引分")))</f>
        <v/>
      </c>
    </row>
    <row r="378" spans="1:37" ht="17.25" customHeight="1">
      <c r="A378" s="622" t="str">
        <f>IF(B378="","",HYPERLINK("https://kabutan.jp/stock/?code="&amp;B378,"株探"))</f>
        <v/>
      </c>
      <c r="D378" s="440" t="str" cm="1">
        <f t="array" ref="D378">_xll.RssMarket(B378, "銘柄名称")</f>
        <v/>
      </c>
      <c r="E378" s="717"/>
      <c r="F378" s="6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IF(OR(F378="",G378="",H378=""),"",IF(C378="売",(F378-H378)*G378,(H378-F378)*G378))</f>
        <v/>
      </c>
      <c r="L378" s="709" t="str">
        <f>IF(OR(F378="",H378=""),"",IF(C378="売",(F378-H378)/F378,(H378-F378)/F378))</f>
        <v/>
      </c>
      <c r="M378" s="599" t="str">
        <f>IF($F378="","",IF($C378="売",CEILING($F378*IF($C378="売",1-$AX$3,1+$AX$3),IF($F378*IF($C378="売",1-$AX$3,1+$AX$3)&lt;=3000,1,IF($F378*IF($C378="売",1-$AX$3,1+$AX$3)&lt;=5000,5,IF($F378*IF($C378="売",1-$AX$3,1+$AX$3)&lt;=30000,10,IF($F378*IF($C378="売",1-$AX$3,1+$AX$3)&lt;=50000,50,IF($F378*IF($C378="売",1-$AX$3,1+$AX$3)&lt;=300000,100,500)))))),FLOOR($F378*IF($C378="売",1-$AX$3,1+$AX$3),IF($F378*IF($C378="売",1-$AX$3,1+$AX$3)&lt;=3000,1,IF($F378*IF($C378="売",1-$AX$3,1+$AX$3)&lt;=5000,5,IF($F378*IF($C378="売",1-$AX$3,1+$AX$3)&lt;=30000,10,IF($F378*IF($C378="売",1-$AX$3,1+$AX$3)&lt;=50000,50,IF($F378*IF($C378="売",1-$AX$3,1+$AX$3)&lt;=300000,100,500))))))))</f>
      </c>
      <c r="N378" s="599" t="str">
        <f>IF($F378="","",IF($C378="売",CEILING($F378*IF($C378="売",1+$AX$2,1-$AX$2),IF($F378*IF($C378="売",1+$AX$2,1-$AX$2)&lt;=3000,1,IF($F378*IF($C378="売",1+$AX$2,1-$AX$2)&lt;=5000,5,IF($F378*IF($C378="売",1+$AX$2,1-$AX$2)&lt;=30000,10,IF($F378*IF($C378="売",1+$AX$2,1-$AX$2)&lt;=50000,50,IF($F378*IF($C378="売",1+$AX$2,1-$AX$2)&lt;=300000,100,500)))))),FLOOR($F378*IF($C378="売",1+$AX$2,1-$AX$2),IF($F378*IF($C378="売",1+$AX$2,1-$AX$2)&lt;=3000,1,IF($F378*IF($C378="売",1+$AX$2,1-$AX$2)&lt;=5000,5,IF($F378*IF($C378="売",1+$AX$2,1-$AX$2)&lt;=30000,10,IF($F378*IF($C378="売",1+$AX$2,1-$AX$2)&lt;=50000,50,IF($F378*IF($C378="売",1+$AX$2,1-$AX$2)&lt;=300000,100,500))))))))</f>
      </c>
      <c r="O378" s="478" t="str">
        <f>IF(OR($B378="",$F378="",$H378=""),"",IF($S378="✅売却済","―決済済―",IF($C378="売",IF($H378&lt;=$M378,"🟢利確",IF(AND($R378&lt;&gt;"",$H378&gt;=$R378),"🟠TRAIL決済",IF($H378&gt;=$N378,"🔴損切",IF($W378&gt;=$AX$5,"⏱時間決済",IF($H378&gt;=$F378*(1+$AX$2*0.7),"⚠️損切接近","保持継続"))))),IF($H378&gt;=$M378,"🟢利確",IF(AND($R378&lt;&gt;"",$H378&lt;=$R378),"🟠TRAIL決済",IF($H378&lt;=$N378,"🔴損切",IF($W378&gt;=$AX$5,"⏱時間決済",IF($H378&lt;=$F378*(1-$AX$2*0.7),"⚠️損切接近","保持継続")))))))</f>
      </c>
      <c r="P378" s="445"/>
      <c r="R378" s="440" t="str">
        <f>IF(OR($F378="",$H378="",$N378=""),"",IF($S378="✅売却済","",IF($C378="売",IF($H378&gt;$F378*(1-$AX$2),$N378,CEILING(MIN($N378,IF($Q378="",$N378,$Q378*1.03)),IF($N378&lt;=3000,1,IF($N378&lt;=5000,5,IF($N378&lt;=30000,10,IF($N378&lt;=50000,50,IF($N378&lt;=300000,100,500))))))),IF($H378&lt;$F378*(1+$AX$2),$N378,FLOOR(MAX($N378,IF($P378="",$N378,$P378*0.97)),IF($N378&lt;=3000,1,IF($N378&lt;=5000,5,IF($N378&lt;=30000,10,IF($N378&lt;=50000,50,IF($N378&lt;=300000,100,500))))))))))</f>
      </c>
      <c r="S378" s="440" t="str">
        <f>IF(B378="","",IF(T378&lt;&gt;"","✅売却済",IF(OR(H378="",L378=""),"📌保有中",IF(L378&gt;=0.06,"🟢利確推奨",IF(L378&gt;=0.05,"🟡利確直近",IF(L378&gt;=0.045,"🔵トレーリング検討",IF(L378&gt;-0.03,"📌保有中",IF(L378&gt;-0.04,"⚠️損切注意","🔴損切り"))))))))</f>
        <v/>
      </c>
      <c r="T378" s="597"/>
      <c r="U378" s="599"/>
      <c r="V378" s="704" t="str">
        <f>IF(OR(F378="",G378="",U378=""),"",IF(C378="売",(F378-U378)*G378,(U378-F378)*G378))</f>
        <v/>
      </c>
      <c r="W378" s="440" t="str">
        <f>IF(OR($E378="",$B378=""),"",IF($T378&lt;&gt;"",$T378-$E378,TODAY()-$E378)+1)</f>
        <v/>
      </c>
      <c r="X378" s="440" t="str">
        <f>IF(OR($AH378="",$AH378="保有中"),"",$AH378)</f>
        <v/>
      </c>
      <c r="Y378">
        <f>IF($B378="","",IF(COUNTIFS($B$4:$B378,$B378,$C$4:$C378,$C378)&gt;1,"⛔重複"&amp;COUNTIFS($B$4:$B378,$B378,$C$4:$C378,$C378)&amp;"回目",""))</f>
      </c>
      <c r="AB378">
        <f>IF($F378="","",MAX(100,ROUNDDOWN($AX$4/($F378*$AX$2)/100,0)*100))</f>
      </c>
      <c r="AC378">
        <f>IF(OR($F378="",$G378="",$U378=""),"",ROUND($V378-($F378+$U378)*$G378*$AX$6-IF($C378="売",$F378*$G378*$AX$7*$W378/365,0),0))</f>
      </c>
      <c r="AD378" s="608"/>
      <c r="AE378" s="600" t="str">
        <f>IF($E378="","",WORKDAY($E378,12))</f>
        <v/>
      </c>
      <c r="AF378" s="600"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0"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0" t="str">
        <f>IF(OR($B378="",$M378=""),"",IF(AND(N($AF378)=0,N($AG378)=0),IF(AND(ISNUMBER($H378),$H378&gt;0,IF($C378="売",$H378&gt;=$N378,$H378&lt;=$N378)),"損切確定",IF(AND(ISNUMBER($H378),$H378&gt;0,IF($C378="売",$H378&lt;=$M378,$H378&gt;=$M378)),"利益確定",IF($AE378&lt;=TODAY(),"日数制限","保有中"))),IF(N($AG378)=0,"利益確定",IF(N($AF378)=0,"損切確定",IF($AG378&lt;=$AF378,"損切確定","利益確定")))))</f>
        <v/>
      </c>
      <c r="AI378" s="600" t="str" cm="1">
        <f t="array" ref="AI378">IFERROR(INDEX(始値!$E$6:$BT$305,MATCH(TEXT($B378,"0"),TEXT(銘柄管理!$B$6:$B$305,"0"),0),MATCH($AE378,始値!$E$3:$BT$3,0)),"")</f>
        <v/>
      </c>
      <c r="AJ378" s="608" t="str">
        <f>IF(OR($V378="",$F378="",$G378=""),"",$V378/($F378*$G378))</f>
        <v/>
      </c>
      <c r="AK378" s="600" t="str">
        <f>IF($V378="","",IF($V378&gt;0,"○勝",IF($V378&lt;0,"●負","△引分")))</f>
        <v/>
      </c>
    </row>
    <row r="379" spans="1:37" ht="17.25" customHeight="1">
      <c r="A379" s="622" t="str">
        <f>IF(B379="","",HYPERLINK("https://kabutan.jp/stock/?code="&amp;B379,"株探"))</f>
        <v/>
      </c>
      <c r="D379" s="440" t="str" cm="1">
        <f t="array" ref="D379">_xll.RssMarket(B379, "銘柄名称")</f>
        <v/>
      </c>
      <c r="E379" s="717"/>
      <c r="F379" s="6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IF(OR(F379="",G379="",H379=""),"",IF(C379="売",(F379-H379)*G379,(H379-F379)*G379))</f>
        <v/>
      </c>
      <c r="L379" s="709" t="str">
        <f>IF(OR(F379="",H379=""),"",IF(C379="売",(F379-H379)/F379,(H379-F379)/F379))</f>
        <v/>
      </c>
      <c r="M379" s="599" t="str">
        <f>IF($F379="","",IF($C379="売",CEILING($F379*IF($C379="売",1-$AX$3,1+$AX$3),IF($F379*IF($C379="売",1-$AX$3,1+$AX$3)&lt;=3000,1,IF($F379*IF($C379="売",1-$AX$3,1+$AX$3)&lt;=5000,5,IF($F379*IF($C379="売",1-$AX$3,1+$AX$3)&lt;=30000,10,IF($F379*IF($C379="売",1-$AX$3,1+$AX$3)&lt;=50000,50,IF($F379*IF($C379="売",1-$AX$3,1+$AX$3)&lt;=300000,100,500)))))),FLOOR($F379*IF($C379="売",1-$AX$3,1+$AX$3),IF($F379*IF($C379="売",1-$AX$3,1+$AX$3)&lt;=3000,1,IF($F379*IF($C379="売",1-$AX$3,1+$AX$3)&lt;=5000,5,IF($F379*IF($C379="売",1-$AX$3,1+$AX$3)&lt;=30000,10,IF($F379*IF($C379="売",1-$AX$3,1+$AX$3)&lt;=50000,50,IF($F379*IF($C379="売",1-$AX$3,1+$AX$3)&lt;=300000,100,500))))))))</f>
      </c>
      <c r="N379" s="599" t="str">
        <f>IF($F379="","",IF($C379="売",CEILING($F379*IF($C379="売",1+$AX$2,1-$AX$2),IF($F379*IF($C379="売",1+$AX$2,1-$AX$2)&lt;=3000,1,IF($F379*IF($C379="売",1+$AX$2,1-$AX$2)&lt;=5000,5,IF($F379*IF($C379="売",1+$AX$2,1-$AX$2)&lt;=30000,10,IF($F379*IF($C379="売",1+$AX$2,1-$AX$2)&lt;=50000,50,IF($F379*IF($C379="売",1+$AX$2,1-$AX$2)&lt;=300000,100,500)))))),FLOOR($F379*IF($C379="売",1+$AX$2,1-$AX$2),IF($F379*IF($C379="売",1+$AX$2,1-$AX$2)&lt;=3000,1,IF($F379*IF($C379="売",1+$AX$2,1-$AX$2)&lt;=5000,5,IF($F379*IF($C379="売",1+$AX$2,1-$AX$2)&lt;=30000,10,IF($F379*IF($C379="売",1+$AX$2,1-$AX$2)&lt;=50000,50,IF($F379*IF($C379="売",1+$AX$2,1-$AX$2)&lt;=300000,100,500))))))))</f>
      </c>
      <c r="O379" s="478" t="str">
        <f>IF(OR($B379="",$F379="",$H379=""),"",IF($S379="✅売却済","―決済済―",IF($C379="売",IF($H379&lt;=$M379,"🟢利確",IF(AND($R379&lt;&gt;"",$H379&gt;=$R379),"🟠TRAIL決済",IF($H379&gt;=$N379,"🔴損切",IF($W379&gt;=$AX$5,"⏱時間決済",IF($H379&gt;=$F379*(1+$AX$2*0.7),"⚠️損切接近","保持継続"))))),IF($H379&gt;=$M379,"🟢利確",IF(AND($R379&lt;&gt;"",$H379&lt;=$R379),"🟠TRAIL決済",IF($H379&lt;=$N379,"🔴損切",IF($W379&gt;=$AX$5,"⏱時間決済",IF($H379&lt;=$F379*(1-$AX$2*0.7),"⚠️損切接近","保持継続")))))))</f>
      </c>
      <c r="P379" s="445"/>
      <c r="R379" s="440" t="str">
        <f>IF(OR($F379="",$H379="",$N379=""),"",IF($S379="✅売却済","",IF($C379="売",IF($H379&gt;$F379*(1-$AX$2),$N379,CEILING(MIN($N379,IF($Q379="",$N379,$Q379*1.03)),IF($N379&lt;=3000,1,IF($N379&lt;=5000,5,IF($N379&lt;=30000,10,IF($N379&lt;=50000,50,IF($N379&lt;=300000,100,500))))))),IF($H379&lt;$F379*(1+$AX$2),$N379,FLOOR(MAX($N379,IF($P379="",$N379,$P379*0.97)),IF($N379&lt;=3000,1,IF($N379&lt;=5000,5,IF($N379&lt;=30000,10,IF($N379&lt;=50000,50,IF($N379&lt;=300000,100,500))))))))))</f>
      </c>
      <c r="S379" s="440" t="str">
        <f>IF(B379="","",IF(T379&lt;&gt;"","✅売却済",IF(OR(H379="",L379=""),"📌保有中",IF(L379&gt;=0.06,"🟢利確推奨",IF(L379&gt;=0.05,"🟡利確直近",IF(L379&gt;=0.045,"🔵トレーリング検討",IF(L379&gt;-0.03,"📌保有中",IF(L379&gt;-0.04,"⚠️損切注意","🔴損切り"))))))))</f>
        <v/>
      </c>
      <c r="T379" s="597"/>
      <c r="U379" s="599"/>
      <c r="V379" s="704" t="str">
        <f>IF(OR(F379="",G379="",U379=""),"",IF(C379="売",(F379-U379)*G379,(U379-F379)*G379))</f>
        <v/>
      </c>
      <c r="W379" s="440" t="str">
        <f>IF(OR($E379="",$B379=""),"",IF($T379&lt;&gt;"",$T379-$E379,TODAY()-$E379)+1)</f>
        <v/>
      </c>
      <c r="X379" s="440" t="str">
        <f>IF(OR($AH379="",$AH379="保有中"),"",$AH379)</f>
        <v/>
      </c>
      <c r="Y379">
        <f>IF($B379="","",IF(COUNTIFS($B$4:$B379,$B379,$C$4:$C379,$C379)&gt;1,"⛔重複"&amp;COUNTIFS($B$4:$B379,$B379,$C$4:$C379,$C379)&amp;"回目",""))</f>
      </c>
      <c r="AB379">
        <f>IF($F379="","",MAX(100,ROUNDDOWN($AX$4/($F379*$AX$2)/100,0)*100))</f>
      </c>
      <c r="AC379">
        <f>IF(OR($F379="",$G379="",$U379=""),"",ROUND($V379-($F379+$U379)*$G379*$AX$6-IF($C379="売",$F379*$G379*$AX$7*$W379/365,0),0))</f>
      </c>
      <c r="AD379" s="608"/>
      <c r="AE379" s="600" t="str">
        <f>IF($E379="","",WORKDAY($E379,12))</f>
        <v/>
      </c>
      <c r="AF379" s="600"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0"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0" t="str">
        <f>IF(OR($B379="",$M379=""),"",IF(AND(N($AF379)=0,N($AG379)=0),IF(AND(ISNUMBER($H379),$H379&gt;0,IF($C379="売",$H379&gt;=$N379,$H379&lt;=$N379)),"損切確定",IF(AND(ISNUMBER($H379),$H379&gt;0,IF($C379="売",$H379&lt;=$M379,$H379&gt;=$M379)),"利益確定",IF($AE379&lt;=TODAY(),"日数制限","保有中"))),IF(N($AG379)=0,"利益確定",IF(N($AF379)=0,"損切確定",IF($AG379&lt;=$AF379,"損切確定","利益確定")))))</f>
        <v/>
      </c>
      <c r="AI379" s="600" t="str" cm="1">
        <f t="array" ref="AI379">IFERROR(INDEX(始値!$E$6:$BT$305,MATCH(TEXT($B379,"0"),TEXT(銘柄管理!$B$6:$B$305,"0"),0),MATCH($AE379,始値!$E$3:$BT$3,0)),"")</f>
        <v/>
      </c>
      <c r="AJ379" s="608" t="str">
        <f>IF(OR($V379="",$F379="",$G379=""),"",$V379/($F379*$G379))</f>
        <v/>
      </c>
      <c r="AK379" s="600" t="str">
        <f>IF($V379="","",IF($V379&gt;0,"○勝",IF($V379&lt;0,"●負","△引分")))</f>
        <v/>
      </c>
    </row>
    <row r="380" spans="1:37" ht="17.25" customHeight="1">
      <c r="A380" s="622" t="str">
        <f>IF(B380="","",HYPERLINK("https://kabutan.jp/stock/?code="&amp;B380,"株探"))</f>
        <v/>
      </c>
      <c r="D380" s="440" t="str" cm="1">
        <f t="array" ref="D380">_xll.RssMarket(B380, "銘柄名称")</f>
        <v/>
      </c>
      <c r="E380" s="717"/>
      <c r="F380" s="6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IF(OR(F380="",G380="",H380=""),"",IF(C380="売",(F380-H380)*G380,(H380-F380)*G380))</f>
        <v/>
      </c>
      <c r="L380" s="709" t="str">
        <f>IF(OR(F380="",H380=""),"",IF(C380="売",(F380-H380)/F380,(H380-F380)/F380))</f>
        <v/>
      </c>
      <c r="M380" s="599" t="str">
        <f>IF($F380="","",IF($C380="売",CEILING($F380*IF($C380="売",1-$AX$3,1+$AX$3),IF($F380*IF($C380="売",1-$AX$3,1+$AX$3)&lt;=3000,1,IF($F380*IF($C380="売",1-$AX$3,1+$AX$3)&lt;=5000,5,IF($F380*IF($C380="売",1-$AX$3,1+$AX$3)&lt;=30000,10,IF($F380*IF($C380="売",1-$AX$3,1+$AX$3)&lt;=50000,50,IF($F380*IF($C380="売",1-$AX$3,1+$AX$3)&lt;=300000,100,500)))))),FLOOR($F380*IF($C380="売",1-$AX$3,1+$AX$3),IF($F380*IF($C380="売",1-$AX$3,1+$AX$3)&lt;=3000,1,IF($F380*IF($C380="売",1-$AX$3,1+$AX$3)&lt;=5000,5,IF($F380*IF($C380="売",1-$AX$3,1+$AX$3)&lt;=30000,10,IF($F380*IF($C380="売",1-$AX$3,1+$AX$3)&lt;=50000,50,IF($F380*IF($C380="売",1-$AX$3,1+$AX$3)&lt;=300000,100,500))))))))</f>
      </c>
      <c r="N380" s="599" t="str">
        <f>IF($F380="","",IF($C380="売",CEILING($F380*IF($C380="売",1+$AX$2,1-$AX$2),IF($F380*IF($C380="売",1+$AX$2,1-$AX$2)&lt;=3000,1,IF($F380*IF($C380="売",1+$AX$2,1-$AX$2)&lt;=5000,5,IF($F380*IF($C380="売",1+$AX$2,1-$AX$2)&lt;=30000,10,IF($F380*IF($C380="売",1+$AX$2,1-$AX$2)&lt;=50000,50,IF($F380*IF($C380="売",1+$AX$2,1-$AX$2)&lt;=300000,100,500)))))),FLOOR($F380*IF($C380="売",1+$AX$2,1-$AX$2),IF($F380*IF($C380="売",1+$AX$2,1-$AX$2)&lt;=3000,1,IF($F380*IF($C380="売",1+$AX$2,1-$AX$2)&lt;=5000,5,IF($F380*IF($C380="売",1+$AX$2,1-$AX$2)&lt;=30000,10,IF($F380*IF($C380="売",1+$AX$2,1-$AX$2)&lt;=50000,50,IF($F380*IF($C380="売",1+$AX$2,1-$AX$2)&lt;=300000,100,500))))))))</f>
      </c>
      <c r="O380" s="478" t="str">
        <f>IF(OR($B380="",$F380="",$H380=""),"",IF($S380="✅売却済","―決済済―",IF($C380="売",IF($H380&lt;=$M380,"🟢利確",IF(AND($R380&lt;&gt;"",$H380&gt;=$R380),"🟠TRAIL決済",IF($H380&gt;=$N380,"🔴損切",IF($W380&gt;=$AX$5,"⏱時間決済",IF($H380&gt;=$F380*(1+$AX$2*0.7),"⚠️損切接近","保持継続"))))),IF($H380&gt;=$M380,"🟢利確",IF(AND($R380&lt;&gt;"",$H380&lt;=$R380),"🟠TRAIL決済",IF($H380&lt;=$N380,"🔴損切",IF($W380&gt;=$AX$5,"⏱時間決済",IF($H380&lt;=$F380*(1-$AX$2*0.7),"⚠️損切接近","保持継続")))))))</f>
      </c>
      <c r="P380" s="445"/>
      <c r="R380" s="440" t="str">
        <f>IF(OR($F380="",$H380="",$N380=""),"",IF($S380="✅売却済","",IF($C380="売",IF($H380&gt;$F380*(1-$AX$2),$N380,CEILING(MIN($N380,IF($Q380="",$N380,$Q380*1.03)),IF($N380&lt;=3000,1,IF($N380&lt;=5000,5,IF($N380&lt;=30000,10,IF($N380&lt;=50000,50,IF($N380&lt;=300000,100,500))))))),IF($H380&lt;$F380*(1+$AX$2),$N380,FLOOR(MAX($N380,IF($P380="",$N380,$P380*0.97)),IF($N380&lt;=3000,1,IF($N380&lt;=5000,5,IF($N380&lt;=30000,10,IF($N380&lt;=50000,50,IF($N380&lt;=300000,100,500))))))))))</f>
      </c>
      <c r="S380" s="440" t="str">
        <f>IF(B380="","",IF(T380&lt;&gt;"","✅売却済",IF(OR(H380="",L380=""),"📌保有中",IF(L380&gt;=0.06,"🟢利確推奨",IF(L380&gt;=0.05,"🟡利確直近",IF(L380&gt;=0.045,"🔵トレーリング検討",IF(L380&gt;-0.03,"📌保有中",IF(L380&gt;-0.04,"⚠️損切注意","🔴損切り"))))))))</f>
        <v/>
      </c>
      <c r="T380" s="597"/>
      <c r="U380" s="599"/>
      <c r="V380" s="704" t="str">
        <f>IF(OR(F380="",G380="",U380=""),"",IF(C380="売",(F380-U380)*G380,(U380-F380)*G380))</f>
        <v/>
      </c>
      <c r="W380" s="440" t="str">
        <f>IF(OR($E380="",$B380=""),"",IF($T380&lt;&gt;"",$T380-$E380,TODAY()-$E380)+1)</f>
        <v/>
      </c>
      <c r="X380" s="440" t="str">
        <f>IF(OR($AH380="",$AH380="保有中"),"",$AH380)</f>
        <v/>
      </c>
      <c r="Y380">
        <f>IF($B380="","",IF(COUNTIFS($B$4:$B380,$B380,$C$4:$C380,$C380)&gt;1,"⛔重複"&amp;COUNTIFS($B$4:$B380,$B380,$C$4:$C380,$C380)&amp;"回目",""))</f>
      </c>
      <c r="AB380">
        <f>IF($F380="","",MAX(100,ROUNDDOWN($AX$4/($F380*$AX$2)/100,0)*100))</f>
      </c>
      <c r="AC380">
        <f>IF(OR($F380="",$G380="",$U380=""),"",ROUND($V380-($F380+$U380)*$G380*$AX$6-IF($C380="売",$F380*$G380*$AX$7*$W380/365,0),0))</f>
      </c>
      <c r="AD380" s="608"/>
      <c r="AE380" s="600" t="str">
        <f>IF($E380="","",WORKDAY($E380,12))</f>
        <v/>
      </c>
      <c r="AF380" s="600"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0"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0" t="str">
        <f>IF(OR($B380="",$M380=""),"",IF(AND(N($AF380)=0,N($AG380)=0),IF(AND(ISNUMBER($H380),$H380&gt;0,IF($C380="売",$H380&gt;=$N380,$H380&lt;=$N380)),"損切確定",IF(AND(ISNUMBER($H380),$H380&gt;0,IF($C380="売",$H380&lt;=$M380,$H380&gt;=$M380)),"利益確定",IF($AE380&lt;=TODAY(),"日数制限","保有中"))),IF(N($AG380)=0,"利益確定",IF(N($AF380)=0,"損切確定",IF($AG380&lt;=$AF380,"損切確定","利益確定")))))</f>
        <v/>
      </c>
      <c r="AI380" s="600" t="str" cm="1">
        <f t="array" ref="AI380">IFERROR(INDEX(始値!$E$6:$BT$305,MATCH(TEXT($B380,"0"),TEXT(銘柄管理!$B$6:$B$305,"0"),0),MATCH($AE380,始値!$E$3:$BT$3,0)),"")</f>
        <v/>
      </c>
      <c r="AJ380" s="608" t="str">
        <f>IF(OR($V380="",$F380="",$G380=""),"",$V380/($F380*$G380))</f>
        <v/>
      </c>
      <c r="AK380" s="600" t="str">
        <f>IF($V380="","",IF($V380&gt;0,"○勝",IF($V380&lt;0,"●負","△引分")))</f>
        <v/>
      </c>
    </row>
    <row r="381" spans="1:37" ht="17.25" customHeight="1">
      <c r="A381" s="622" t="str">
        <f>IF(B381="","",HYPERLINK("https://kabutan.jp/stock/?code="&amp;B381,"株探"))</f>
        <v/>
      </c>
      <c r="D381" s="440" t="str" cm="1">
        <f t="array" ref="D381">_xll.RssMarket(B381, "銘柄名称")</f>
        <v/>
      </c>
      <c r="E381" s="717"/>
      <c r="F381" s="6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IF(OR(F381="",G381="",H381=""),"",IF(C381="売",(F381-H381)*G381,(H381-F381)*G381))</f>
        <v/>
      </c>
      <c r="L381" s="709" t="str">
        <f>IF(OR(F381="",H381=""),"",IF(C381="売",(F381-H381)/F381,(H381-F381)/F381))</f>
        <v/>
      </c>
      <c r="M381" s="599" t="str">
        <f>IF($F381="","",IF($C381="売",CEILING($F381*IF($C381="売",1-$AX$3,1+$AX$3),IF($F381*IF($C381="売",1-$AX$3,1+$AX$3)&lt;=3000,1,IF($F381*IF($C381="売",1-$AX$3,1+$AX$3)&lt;=5000,5,IF($F381*IF($C381="売",1-$AX$3,1+$AX$3)&lt;=30000,10,IF($F381*IF($C381="売",1-$AX$3,1+$AX$3)&lt;=50000,50,IF($F381*IF($C381="売",1-$AX$3,1+$AX$3)&lt;=300000,100,500)))))),FLOOR($F381*IF($C381="売",1-$AX$3,1+$AX$3),IF($F381*IF($C381="売",1-$AX$3,1+$AX$3)&lt;=3000,1,IF($F381*IF($C381="売",1-$AX$3,1+$AX$3)&lt;=5000,5,IF($F381*IF($C381="売",1-$AX$3,1+$AX$3)&lt;=30000,10,IF($F381*IF($C381="売",1-$AX$3,1+$AX$3)&lt;=50000,50,IF($F381*IF($C381="売",1-$AX$3,1+$AX$3)&lt;=300000,100,500))))))))</f>
      </c>
      <c r="N381" s="599" t="str">
        <f>IF($F381="","",IF($C381="売",CEILING($F381*IF($C381="売",1+$AX$2,1-$AX$2),IF($F381*IF($C381="売",1+$AX$2,1-$AX$2)&lt;=3000,1,IF($F381*IF($C381="売",1+$AX$2,1-$AX$2)&lt;=5000,5,IF($F381*IF($C381="売",1+$AX$2,1-$AX$2)&lt;=30000,10,IF($F381*IF($C381="売",1+$AX$2,1-$AX$2)&lt;=50000,50,IF($F381*IF($C381="売",1+$AX$2,1-$AX$2)&lt;=300000,100,500)))))),FLOOR($F381*IF($C381="売",1+$AX$2,1-$AX$2),IF($F381*IF($C381="売",1+$AX$2,1-$AX$2)&lt;=3000,1,IF($F381*IF($C381="売",1+$AX$2,1-$AX$2)&lt;=5000,5,IF($F381*IF($C381="売",1+$AX$2,1-$AX$2)&lt;=30000,10,IF($F381*IF($C381="売",1+$AX$2,1-$AX$2)&lt;=50000,50,IF($F381*IF($C381="売",1+$AX$2,1-$AX$2)&lt;=300000,100,500))))))))</f>
      </c>
      <c r="O381" s="478" t="str">
        <f>IF(OR($B381="",$F381="",$H381=""),"",IF($S381="✅売却済","―決済済―",IF($C381="売",IF($H381&lt;=$M381,"🟢利確",IF(AND($R381&lt;&gt;"",$H381&gt;=$R381),"🟠TRAIL決済",IF($H381&gt;=$N381,"🔴損切",IF($W381&gt;=$AX$5,"⏱時間決済",IF($H381&gt;=$F381*(1+$AX$2*0.7),"⚠️損切接近","保持継続"))))),IF($H381&gt;=$M381,"🟢利確",IF(AND($R381&lt;&gt;"",$H381&lt;=$R381),"🟠TRAIL決済",IF($H381&lt;=$N381,"🔴損切",IF($W381&gt;=$AX$5,"⏱時間決済",IF($H381&lt;=$F381*(1-$AX$2*0.7),"⚠️損切接近","保持継続")))))))</f>
      </c>
      <c r="P381" s="445"/>
      <c r="R381" s="440" t="str">
        <f>IF(OR($F381="",$H381="",$N381=""),"",IF($S381="✅売却済","",IF($C381="売",IF($H381&gt;$F381*(1-$AX$2),$N381,CEILING(MIN($N381,IF($Q381="",$N381,$Q381*1.03)),IF($N381&lt;=3000,1,IF($N381&lt;=5000,5,IF($N381&lt;=30000,10,IF($N381&lt;=50000,50,IF($N381&lt;=300000,100,500))))))),IF($H381&lt;$F381*(1+$AX$2),$N381,FLOOR(MAX($N381,IF($P381="",$N381,$P381*0.97)),IF($N381&lt;=3000,1,IF($N381&lt;=5000,5,IF($N381&lt;=30000,10,IF($N381&lt;=50000,50,IF($N381&lt;=300000,100,500))))))))))</f>
      </c>
      <c r="S381" s="440" t="str">
        <f>IF(B381="","",IF(T381&lt;&gt;"","✅売却済",IF(OR(H381="",L381=""),"📌保有中",IF(L381&gt;=0.06,"🟢利確推奨",IF(L381&gt;=0.05,"🟡利確直近",IF(L381&gt;=0.045,"🔵トレーリング検討",IF(L381&gt;-0.03,"📌保有中",IF(L381&gt;-0.04,"⚠️損切注意","🔴損切り"))))))))</f>
        <v/>
      </c>
      <c r="T381" s="597"/>
      <c r="U381" s="599"/>
      <c r="V381" s="704" t="str">
        <f>IF(OR(F381="",G381="",U381=""),"",IF(C381="売",(F381-U381)*G381,(U381-F381)*G381))</f>
        <v/>
      </c>
      <c r="W381" s="440" t="str">
        <f>IF(OR($E381="",$B381=""),"",IF($T381&lt;&gt;"",$T381-$E381,TODAY()-$E381)+1)</f>
        <v/>
      </c>
      <c r="X381" s="440" t="str">
        <f>IF(OR($AH381="",$AH381="保有中"),"",$AH381)</f>
        <v/>
      </c>
      <c r="Y381">
        <f>IF($B381="","",IF(COUNTIFS($B$4:$B381,$B381,$C$4:$C381,$C381)&gt;1,"⛔重複"&amp;COUNTIFS($B$4:$B381,$B381,$C$4:$C381,$C381)&amp;"回目",""))</f>
      </c>
      <c r="AB381">
        <f>IF($F381="","",MAX(100,ROUNDDOWN($AX$4/($F381*$AX$2)/100,0)*100))</f>
      </c>
      <c r="AC381">
        <f>IF(OR($F381="",$G381="",$U381=""),"",ROUND($V381-($F381+$U381)*$G381*$AX$6-IF($C381="売",$F381*$G381*$AX$7*$W381/365,0),0))</f>
      </c>
      <c r="AD381" s="608"/>
      <c r="AE381" s="600" t="str">
        <f>IF($E381="","",WORKDAY($E381,12))</f>
        <v/>
      </c>
      <c r="AF381" s="600"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0"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0" t="str">
        <f>IF(OR($B381="",$M381=""),"",IF(AND(N($AF381)=0,N($AG381)=0),IF(AND(ISNUMBER($H381),$H381&gt;0,IF($C381="売",$H381&gt;=$N381,$H381&lt;=$N381)),"損切確定",IF(AND(ISNUMBER($H381),$H381&gt;0,IF($C381="売",$H381&lt;=$M381,$H381&gt;=$M381)),"利益確定",IF($AE381&lt;=TODAY(),"日数制限","保有中"))),IF(N($AG381)=0,"利益確定",IF(N($AF381)=0,"損切確定",IF($AG381&lt;=$AF381,"損切確定","利益確定")))))</f>
        <v/>
      </c>
      <c r="AI381" s="600" t="str" cm="1">
        <f t="array" ref="AI381">IFERROR(INDEX(始値!$E$6:$BT$305,MATCH(TEXT($B381,"0"),TEXT(銘柄管理!$B$6:$B$305,"0"),0),MATCH($AE381,始値!$E$3:$BT$3,0)),"")</f>
        <v/>
      </c>
      <c r="AJ381" s="608" t="str">
        <f>IF(OR($V381="",$F381="",$G381=""),"",$V381/($F381*$G381))</f>
        <v/>
      </c>
      <c r="AK381" s="600" t="str">
        <f>IF($V381="","",IF($V381&gt;0,"○勝",IF($V381&lt;0,"●負","△引分")))</f>
        <v/>
      </c>
    </row>
    <row r="382" spans="1:37" ht="17.25" customHeight="1">
      <c r="A382" s="622" t="str">
        <f>IF(B382="","",HYPERLINK("https://kabutan.jp/stock/?code="&amp;B382,"株探"))</f>
        <v/>
      </c>
      <c r="D382" s="440" t="str" cm="1">
        <f t="array" ref="D382">_xll.RssMarket(B382, "銘柄名称")</f>
        <v/>
      </c>
      <c r="E382" s="717"/>
      <c r="F382" s="6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IF(OR(F382="",G382="",H382=""),"",IF(C382="売",(F382-H382)*G382,(H382-F382)*G382))</f>
        <v/>
      </c>
      <c r="L382" s="709" t="str">
        <f>IF(OR(F382="",H382=""),"",IF(C382="売",(F382-H382)/F382,(H382-F382)/F382))</f>
        <v/>
      </c>
      <c r="M382" s="599" t="str">
        <f>IF($F382="","",IF($C382="売",CEILING($F382*IF($C382="売",1-$AX$3,1+$AX$3),IF($F382*IF($C382="売",1-$AX$3,1+$AX$3)&lt;=3000,1,IF($F382*IF($C382="売",1-$AX$3,1+$AX$3)&lt;=5000,5,IF($F382*IF($C382="売",1-$AX$3,1+$AX$3)&lt;=30000,10,IF($F382*IF($C382="売",1-$AX$3,1+$AX$3)&lt;=50000,50,IF($F382*IF($C382="売",1-$AX$3,1+$AX$3)&lt;=300000,100,500)))))),FLOOR($F382*IF($C382="売",1-$AX$3,1+$AX$3),IF($F382*IF($C382="売",1-$AX$3,1+$AX$3)&lt;=3000,1,IF($F382*IF($C382="売",1-$AX$3,1+$AX$3)&lt;=5000,5,IF($F382*IF($C382="売",1-$AX$3,1+$AX$3)&lt;=30000,10,IF($F382*IF($C382="売",1-$AX$3,1+$AX$3)&lt;=50000,50,IF($F382*IF($C382="売",1-$AX$3,1+$AX$3)&lt;=300000,100,500))))))))</f>
      </c>
      <c r="N382" s="599" t="str">
        <f>IF($F382="","",IF($C382="売",CEILING($F382*IF($C382="売",1+$AX$2,1-$AX$2),IF($F382*IF($C382="売",1+$AX$2,1-$AX$2)&lt;=3000,1,IF($F382*IF($C382="売",1+$AX$2,1-$AX$2)&lt;=5000,5,IF($F382*IF($C382="売",1+$AX$2,1-$AX$2)&lt;=30000,10,IF($F382*IF($C382="売",1+$AX$2,1-$AX$2)&lt;=50000,50,IF($F382*IF($C382="売",1+$AX$2,1-$AX$2)&lt;=300000,100,500)))))),FLOOR($F382*IF($C382="売",1+$AX$2,1-$AX$2),IF($F382*IF($C382="売",1+$AX$2,1-$AX$2)&lt;=3000,1,IF($F382*IF($C382="売",1+$AX$2,1-$AX$2)&lt;=5000,5,IF($F382*IF($C382="売",1+$AX$2,1-$AX$2)&lt;=30000,10,IF($F382*IF($C382="売",1+$AX$2,1-$AX$2)&lt;=50000,50,IF($F382*IF($C382="売",1+$AX$2,1-$AX$2)&lt;=300000,100,500))))))))</f>
      </c>
      <c r="O382" s="478" t="str">
        <f>IF(OR($B382="",$F382="",$H382=""),"",IF($S382="✅売却済","―決済済―",IF($C382="売",IF($H382&lt;=$M382,"🟢利確",IF(AND($R382&lt;&gt;"",$H382&gt;=$R382),"🟠TRAIL決済",IF($H382&gt;=$N382,"🔴損切",IF($W382&gt;=$AX$5,"⏱時間決済",IF($H382&gt;=$F382*(1+$AX$2*0.7),"⚠️損切接近","保持継続"))))),IF($H382&gt;=$M382,"🟢利確",IF(AND($R382&lt;&gt;"",$H382&lt;=$R382),"🟠TRAIL決済",IF($H382&lt;=$N382,"🔴損切",IF($W382&gt;=$AX$5,"⏱時間決済",IF($H382&lt;=$F382*(1-$AX$2*0.7),"⚠️損切接近","保持継続")))))))</f>
      </c>
      <c r="P382" s="445"/>
      <c r="R382" s="440" t="str">
        <f>IF(OR($F382="",$H382="",$N382=""),"",IF($S382="✅売却済","",IF($C382="売",IF($H382&gt;$F382*(1-$AX$2),$N382,CEILING(MIN($N382,IF($Q382="",$N382,$Q382*1.03)),IF($N382&lt;=3000,1,IF($N382&lt;=5000,5,IF($N382&lt;=30000,10,IF($N382&lt;=50000,50,IF($N382&lt;=300000,100,500))))))),IF($H382&lt;$F382*(1+$AX$2),$N382,FLOOR(MAX($N382,IF($P382="",$N382,$P382*0.97)),IF($N382&lt;=3000,1,IF($N382&lt;=5000,5,IF($N382&lt;=30000,10,IF($N382&lt;=50000,50,IF($N382&lt;=300000,100,500))))))))))</f>
      </c>
      <c r="S382" s="440" t="str">
        <f>IF(B382="","",IF(T382&lt;&gt;"","✅売却済",IF(OR(H382="",L382=""),"📌保有中",IF(L382&gt;=0.06,"🟢利確推奨",IF(L382&gt;=0.05,"🟡利確直近",IF(L382&gt;=0.045,"🔵トレーリング検討",IF(L382&gt;-0.03,"📌保有中",IF(L382&gt;-0.04,"⚠️損切注意","🔴損切り"))))))))</f>
        <v/>
      </c>
      <c r="T382" s="597"/>
      <c r="U382" s="599"/>
      <c r="V382" s="704" t="str">
        <f>IF(OR(F382="",G382="",U382=""),"",IF(C382="売",(F382-U382)*G382,(U382-F382)*G382))</f>
        <v/>
      </c>
      <c r="W382" s="440" t="str">
        <f>IF(OR($E382="",$B382=""),"",IF($T382&lt;&gt;"",$T382-$E382,TODAY()-$E382)+1)</f>
        <v/>
      </c>
      <c r="X382" s="440" t="str">
        <f>IF(OR($AH382="",$AH382="保有中"),"",$AH382)</f>
        <v/>
      </c>
      <c r="Y382">
        <f>IF($B382="","",IF(COUNTIFS($B$4:$B382,$B382,$C$4:$C382,$C382)&gt;1,"⛔重複"&amp;COUNTIFS($B$4:$B382,$B382,$C$4:$C382,$C382)&amp;"回目",""))</f>
      </c>
      <c r="AB382">
        <f>IF($F382="","",MAX(100,ROUNDDOWN($AX$4/($F382*$AX$2)/100,0)*100))</f>
      </c>
      <c r="AC382">
        <f>IF(OR($F382="",$G382="",$U382=""),"",ROUND($V382-($F382+$U382)*$G382*$AX$6-IF($C382="売",$F382*$G382*$AX$7*$W382/365,0),0))</f>
      </c>
      <c r="AD382" s="608"/>
      <c r="AE382" s="600" t="str">
        <f>IF($E382="","",WORKDAY($E382,12))</f>
        <v/>
      </c>
      <c r="AF382" s="600"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0"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0" t="str">
        <f>IF(OR($B382="",$M382=""),"",IF(AND(N($AF382)=0,N($AG382)=0),IF(AND(ISNUMBER($H382),$H382&gt;0,IF($C382="売",$H382&gt;=$N382,$H382&lt;=$N382)),"損切確定",IF(AND(ISNUMBER($H382),$H382&gt;0,IF($C382="売",$H382&lt;=$M382,$H382&gt;=$M382)),"利益確定",IF($AE382&lt;=TODAY(),"日数制限","保有中"))),IF(N($AG382)=0,"利益確定",IF(N($AF382)=0,"損切確定",IF($AG382&lt;=$AF382,"損切確定","利益確定")))))</f>
        <v/>
      </c>
      <c r="AI382" s="600" t="str" cm="1">
        <f t="array" ref="AI382">IFERROR(INDEX(始値!$E$6:$BT$305,MATCH(TEXT($B382,"0"),TEXT(銘柄管理!$B$6:$B$305,"0"),0),MATCH($AE382,始値!$E$3:$BT$3,0)),"")</f>
        <v/>
      </c>
      <c r="AJ382" s="608" t="str">
        <f>IF(OR($V382="",$F382="",$G382=""),"",$V382/($F382*$G382))</f>
        <v/>
      </c>
      <c r="AK382" s="600" t="str">
        <f>IF($V382="","",IF($V382&gt;0,"○勝",IF($V382&lt;0,"●負","△引分")))</f>
        <v/>
      </c>
    </row>
    <row r="383" spans="1:37" ht="17.25" customHeight="1">
      <c r="A383" s="622" t="str">
        <f>IF(B383="","",HYPERLINK("https://kabutan.jp/stock/?code="&amp;B383,"株探"))</f>
        <v/>
      </c>
      <c r="D383" s="440" t="str" cm="1">
        <f t="array" ref="D383">_xll.RssMarket(B383, "銘柄名称")</f>
        <v/>
      </c>
      <c r="E383" s="717"/>
      <c r="F383" s="6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IF(OR(F383="",G383="",H383=""),"",IF(C383="売",(F383-H383)*G383,(H383-F383)*G383))</f>
        <v/>
      </c>
      <c r="L383" s="709" t="str">
        <f>IF(OR(F383="",H383=""),"",IF(C383="売",(F383-H383)/F383,(H383-F383)/F383))</f>
        <v/>
      </c>
      <c r="M383" s="599" t="str">
        <f>IF($F383="","",IF($C383="売",CEILING($F383*IF($C383="売",1-$AX$3,1+$AX$3),IF($F383*IF($C383="売",1-$AX$3,1+$AX$3)&lt;=3000,1,IF($F383*IF($C383="売",1-$AX$3,1+$AX$3)&lt;=5000,5,IF($F383*IF($C383="売",1-$AX$3,1+$AX$3)&lt;=30000,10,IF($F383*IF($C383="売",1-$AX$3,1+$AX$3)&lt;=50000,50,IF($F383*IF($C383="売",1-$AX$3,1+$AX$3)&lt;=300000,100,500)))))),FLOOR($F383*IF($C383="売",1-$AX$3,1+$AX$3),IF($F383*IF($C383="売",1-$AX$3,1+$AX$3)&lt;=3000,1,IF($F383*IF($C383="売",1-$AX$3,1+$AX$3)&lt;=5000,5,IF($F383*IF($C383="売",1-$AX$3,1+$AX$3)&lt;=30000,10,IF($F383*IF($C383="売",1-$AX$3,1+$AX$3)&lt;=50000,50,IF($F383*IF($C383="売",1-$AX$3,1+$AX$3)&lt;=300000,100,500))))))))</f>
      </c>
      <c r="N383" s="599" t="str">
        <f>IF($F383="","",IF($C383="売",CEILING($F383*IF($C383="売",1+$AX$2,1-$AX$2),IF($F383*IF($C383="売",1+$AX$2,1-$AX$2)&lt;=3000,1,IF($F383*IF($C383="売",1+$AX$2,1-$AX$2)&lt;=5000,5,IF($F383*IF($C383="売",1+$AX$2,1-$AX$2)&lt;=30000,10,IF($F383*IF($C383="売",1+$AX$2,1-$AX$2)&lt;=50000,50,IF($F383*IF($C383="売",1+$AX$2,1-$AX$2)&lt;=300000,100,500)))))),FLOOR($F383*IF($C383="売",1+$AX$2,1-$AX$2),IF($F383*IF($C383="売",1+$AX$2,1-$AX$2)&lt;=3000,1,IF($F383*IF($C383="売",1+$AX$2,1-$AX$2)&lt;=5000,5,IF($F383*IF($C383="売",1+$AX$2,1-$AX$2)&lt;=30000,10,IF($F383*IF($C383="売",1+$AX$2,1-$AX$2)&lt;=50000,50,IF($F383*IF($C383="売",1+$AX$2,1-$AX$2)&lt;=300000,100,500))))))))</f>
      </c>
      <c r="O383" s="478" t="str">
        <f>IF(OR($B383="",$F383="",$H383=""),"",IF($S383="✅売却済","―決済済―",IF($C383="売",IF($H383&lt;=$M383,"🟢利確",IF(AND($R383&lt;&gt;"",$H383&gt;=$R383),"🟠TRAIL決済",IF($H383&gt;=$N383,"🔴損切",IF($W383&gt;=$AX$5,"⏱時間決済",IF($H383&gt;=$F383*(1+$AX$2*0.7),"⚠️損切接近","保持継続"))))),IF($H383&gt;=$M383,"🟢利確",IF(AND($R383&lt;&gt;"",$H383&lt;=$R383),"🟠TRAIL決済",IF($H383&lt;=$N383,"🔴損切",IF($W383&gt;=$AX$5,"⏱時間決済",IF($H383&lt;=$F383*(1-$AX$2*0.7),"⚠️損切接近","保持継続")))))))</f>
      </c>
      <c r="P383" s="445"/>
      <c r="R383" s="440" t="str">
        <f>IF(OR($F383="",$H383="",$N383=""),"",IF($S383="✅売却済","",IF($C383="売",IF($H383&gt;$F383*(1-$AX$2),$N383,CEILING(MIN($N383,IF($Q383="",$N383,$Q383*1.03)),IF($N383&lt;=3000,1,IF($N383&lt;=5000,5,IF($N383&lt;=30000,10,IF($N383&lt;=50000,50,IF($N383&lt;=300000,100,500))))))),IF($H383&lt;$F383*(1+$AX$2),$N383,FLOOR(MAX($N383,IF($P383="",$N383,$P383*0.97)),IF($N383&lt;=3000,1,IF($N383&lt;=5000,5,IF($N383&lt;=30000,10,IF($N383&lt;=50000,50,IF($N383&lt;=300000,100,500))))))))))</f>
      </c>
      <c r="S383" s="440" t="str">
        <f>IF(B383="","",IF(T383&lt;&gt;"","✅売却済",IF(OR(H383="",L383=""),"📌保有中",IF(L383&gt;=0.06,"🟢利確推奨",IF(L383&gt;=0.05,"🟡利確直近",IF(L383&gt;=0.045,"🔵トレーリング検討",IF(L383&gt;-0.03,"📌保有中",IF(L383&gt;-0.04,"⚠️損切注意","🔴損切り"))))))))</f>
        <v/>
      </c>
      <c r="T383" s="597"/>
      <c r="U383" s="599"/>
      <c r="V383" s="704" t="str">
        <f>IF(OR(F383="",G383="",U383=""),"",IF(C383="売",(F383-U383)*G383,(U383-F383)*G383))</f>
        <v/>
      </c>
      <c r="W383" s="440" t="str">
        <f>IF(OR($E383="",$B383=""),"",IF($T383&lt;&gt;"",$T383-$E383,TODAY()-$E383)+1)</f>
        <v/>
      </c>
      <c r="X383" s="440" t="str">
        <f>IF(OR($AH383="",$AH383="保有中"),"",$AH383)</f>
        <v/>
      </c>
      <c r="Y383">
        <f>IF($B383="","",IF(COUNTIFS($B$4:$B383,$B383,$C$4:$C383,$C383)&gt;1,"⛔重複"&amp;COUNTIFS($B$4:$B383,$B383,$C$4:$C383,$C383)&amp;"回目",""))</f>
      </c>
      <c r="AB383">
        <f>IF($F383="","",MAX(100,ROUNDDOWN($AX$4/($F383*$AX$2)/100,0)*100))</f>
      </c>
      <c r="AC383">
        <f>IF(OR($F383="",$G383="",$U383=""),"",ROUND($V383-($F383+$U383)*$G383*$AX$6-IF($C383="売",$F383*$G383*$AX$7*$W383/365,0),0))</f>
      </c>
      <c r="AD383" s="608"/>
      <c r="AE383" s="600" t="str">
        <f>IF($E383="","",WORKDAY($E383,12))</f>
        <v/>
      </c>
      <c r="AF383" s="600"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0"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0" t="str">
        <f>IF(OR($B383="",$M383=""),"",IF(AND(N($AF383)=0,N($AG383)=0),IF(AND(ISNUMBER($H383),$H383&gt;0,IF($C383="売",$H383&gt;=$N383,$H383&lt;=$N383)),"損切確定",IF(AND(ISNUMBER($H383),$H383&gt;0,IF($C383="売",$H383&lt;=$M383,$H383&gt;=$M383)),"利益確定",IF($AE383&lt;=TODAY(),"日数制限","保有中"))),IF(N($AG383)=0,"利益確定",IF(N($AF383)=0,"損切確定",IF($AG383&lt;=$AF383,"損切確定","利益確定")))))</f>
        <v/>
      </c>
      <c r="AI383" s="600" t="str" cm="1">
        <f t="array" ref="AI383">IFERROR(INDEX(始値!$E$6:$BT$305,MATCH(TEXT($B383,"0"),TEXT(銘柄管理!$B$6:$B$305,"0"),0),MATCH($AE383,始値!$E$3:$BT$3,0)),"")</f>
        <v/>
      </c>
      <c r="AJ383" s="608" t="str">
        <f>IF(OR($V383="",$F383="",$G383=""),"",$V383/($F383*$G383))</f>
        <v/>
      </c>
      <c r="AK383" s="600" t="str">
        <f>IF($V383="","",IF($V383&gt;0,"○勝",IF($V383&lt;0,"●負","△引分")))</f>
        <v/>
      </c>
    </row>
    <row r="384" spans="1:37" ht="17.25" customHeight="1">
      <c r="A384" s="622" t="str">
        <f>IF(B384="","",HYPERLINK("https://kabutan.jp/stock/?code="&amp;B384,"株探"))</f>
        <v/>
      </c>
      <c r="D384" s="440" t="str" cm="1">
        <f t="array" ref="D384">_xll.RssMarket(B384, "銘柄名称")</f>
        <v/>
      </c>
      <c r="E384" s="717"/>
      <c r="F384" s="6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IF(OR(F384="",G384="",H384=""),"",IF(C384="売",(F384-H384)*G384,(H384-F384)*G384))</f>
        <v/>
      </c>
      <c r="L384" s="709" t="str">
        <f>IF(OR(F384="",H384=""),"",IF(C384="売",(F384-H384)/F384,(H384-F384)/F384))</f>
        <v/>
      </c>
      <c r="M384" s="599" t="str">
        <f>IF($F384="","",IF($C384="売",CEILING($F384*IF($C384="売",1-$AX$3,1+$AX$3),IF($F384*IF($C384="売",1-$AX$3,1+$AX$3)&lt;=3000,1,IF($F384*IF($C384="売",1-$AX$3,1+$AX$3)&lt;=5000,5,IF($F384*IF($C384="売",1-$AX$3,1+$AX$3)&lt;=30000,10,IF($F384*IF($C384="売",1-$AX$3,1+$AX$3)&lt;=50000,50,IF($F384*IF($C384="売",1-$AX$3,1+$AX$3)&lt;=300000,100,500)))))),FLOOR($F384*IF($C384="売",1-$AX$3,1+$AX$3),IF($F384*IF($C384="売",1-$AX$3,1+$AX$3)&lt;=3000,1,IF($F384*IF($C384="売",1-$AX$3,1+$AX$3)&lt;=5000,5,IF($F384*IF($C384="売",1-$AX$3,1+$AX$3)&lt;=30000,10,IF($F384*IF($C384="売",1-$AX$3,1+$AX$3)&lt;=50000,50,IF($F384*IF($C384="売",1-$AX$3,1+$AX$3)&lt;=300000,100,500))))))))</f>
      </c>
      <c r="N384" s="599" t="str">
        <f>IF($F384="","",IF($C384="売",CEILING($F384*IF($C384="売",1+$AX$2,1-$AX$2),IF($F384*IF($C384="売",1+$AX$2,1-$AX$2)&lt;=3000,1,IF($F384*IF($C384="売",1+$AX$2,1-$AX$2)&lt;=5000,5,IF($F384*IF($C384="売",1+$AX$2,1-$AX$2)&lt;=30000,10,IF($F384*IF($C384="売",1+$AX$2,1-$AX$2)&lt;=50000,50,IF($F384*IF($C384="売",1+$AX$2,1-$AX$2)&lt;=300000,100,500)))))),FLOOR($F384*IF($C384="売",1+$AX$2,1-$AX$2),IF($F384*IF($C384="売",1+$AX$2,1-$AX$2)&lt;=3000,1,IF($F384*IF($C384="売",1+$AX$2,1-$AX$2)&lt;=5000,5,IF($F384*IF($C384="売",1+$AX$2,1-$AX$2)&lt;=30000,10,IF($F384*IF($C384="売",1+$AX$2,1-$AX$2)&lt;=50000,50,IF($F384*IF($C384="売",1+$AX$2,1-$AX$2)&lt;=300000,100,500))))))))</f>
      </c>
      <c r="O384" s="478" t="str">
        <f>IF(OR($B384="",$F384="",$H384=""),"",IF($S384="✅売却済","―決済済―",IF($C384="売",IF($H384&lt;=$M384,"🟢利確",IF(AND($R384&lt;&gt;"",$H384&gt;=$R384),"🟠TRAIL決済",IF($H384&gt;=$N384,"🔴損切",IF($W384&gt;=$AX$5,"⏱時間決済",IF($H384&gt;=$F384*(1+$AX$2*0.7),"⚠️損切接近","保持継続"))))),IF($H384&gt;=$M384,"🟢利確",IF(AND($R384&lt;&gt;"",$H384&lt;=$R384),"🟠TRAIL決済",IF($H384&lt;=$N384,"🔴損切",IF($W384&gt;=$AX$5,"⏱時間決済",IF($H384&lt;=$F384*(1-$AX$2*0.7),"⚠️損切接近","保持継続")))))))</f>
      </c>
      <c r="P384" s="445"/>
      <c r="R384" s="440" t="str">
        <f>IF(OR($F384="",$H384="",$N384=""),"",IF($S384="✅売却済","",IF($C384="売",IF($H384&gt;$F384*(1-$AX$2),$N384,CEILING(MIN($N384,IF($Q384="",$N384,$Q384*1.03)),IF($N384&lt;=3000,1,IF($N384&lt;=5000,5,IF($N384&lt;=30000,10,IF($N384&lt;=50000,50,IF($N384&lt;=300000,100,500))))))),IF($H384&lt;$F384*(1+$AX$2),$N384,FLOOR(MAX($N384,IF($P384="",$N384,$P384*0.97)),IF($N384&lt;=3000,1,IF($N384&lt;=5000,5,IF($N384&lt;=30000,10,IF($N384&lt;=50000,50,IF($N384&lt;=300000,100,500))))))))))</f>
      </c>
      <c r="S384" s="440" t="str">
        <f>IF(B384="","",IF(T384&lt;&gt;"","✅売却済",IF(OR(H384="",L384=""),"📌保有中",IF(L384&gt;=0.06,"🟢利確推奨",IF(L384&gt;=0.05,"🟡利確直近",IF(L384&gt;=0.045,"🔵トレーリング検討",IF(L384&gt;-0.03,"📌保有中",IF(L384&gt;-0.04,"⚠️損切注意","🔴損切り"))))))))</f>
        <v/>
      </c>
      <c r="T384" s="597"/>
      <c r="U384" s="599"/>
      <c r="V384" s="704" t="str">
        <f>IF(OR(F384="",G384="",U384=""),"",IF(C384="売",(F384-U384)*G384,(U384-F384)*G384))</f>
        <v/>
      </c>
      <c r="W384" s="440" t="str">
        <f>IF(OR($E384="",$B384=""),"",IF($T384&lt;&gt;"",$T384-$E384,TODAY()-$E384)+1)</f>
        <v/>
      </c>
      <c r="X384" s="440" t="str">
        <f>IF(OR($AH384="",$AH384="保有中"),"",$AH384)</f>
        <v/>
      </c>
      <c r="Y384">
        <f>IF($B384="","",IF(COUNTIFS($B$4:$B384,$B384,$C$4:$C384,$C384)&gt;1,"⛔重複"&amp;COUNTIFS($B$4:$B384,$B384,$C$4:$C384,$C384)&amp;"回目",""))</f>
      </c>
      <c r="AB384">
        <f>IF($F384="","",MAX(100,ROUNDDOWN($AX$4/($F384*$AX$2)/100,0)*100))</f>
      </c>
      <c r="AC384">
        <f>IF(OR($F384="",$G384="",$U384=""),"",ROUND($V384-($F384+$U384)*$G384*$AX$6-IF($C384="売",$F384*$G384*$AX$7*$W384/365,0),0))</f>
      </c>
      <c r="AD384" s="608"/>
      <c r="AE384" s="600" t="str">
        <f>IF($E384="","",WORKDAY($E384,12))</f>
        <v/>
      </c>
      <c r="AF384" s="600"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0"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0" t="str">
        <f>IF(OR($B384="",$M384=""),"",IF(AND(N($AF384)=0,N($AG384)=0),IF(AND(ISNUMBER($H384),$H384&gt;0,IF($C384="売",$H384&gt;=$N384,$H384&lt;=$N384)),"損切確定",IF(AND(ISNUMBER($H384),$H384&gt;0,IF($C384="売",$H384&lt;=$M384,$H384&gt;=$M384)),"利益確定",IF($AE384&lt;=TODAY(),"日数制限","保有中"))),IF(N($AG384)=0,"利益確定",IF(N($AF384)=0,"損切確定",IF($AG384&lt;=$AF384,"損切確定","利益確定")))))</f>
        <v/>
      </c>
      <c r="AI384" s="600" t="str" cm="1">
        <f t="array" ref="AI384">IFERROR(INDEX(始値!$E$6:$BT$305,MATCH(TEXT($B384,"0"),TEXT(銘柄管理!$B$6:$B$305,"0"),0),MATCH($AE384,始値!$E$3:$BT$3,0)),"")</f>
        <v/>
      </c>
      <c r="AJ384" s="608" t="str">
        <f>IF(OR($V384="",$F384="",$G384=""),"",$V384/($F384*$G384))</f>
        <v/>
      </c>
      <c r="AK384" s="600" t="str">
        <f>IF($V384="","",IF($V384&gt;0,"○勝",IF($V384&lt;0,"●負","△引分")))</f>
        <v/>
      </c>
    </row>
    <row r="385" spans="1:37" ht="17.25" customHeight="1">
      <c r="A385" s="622" t="str">
        <f>IF(B385="","",HYPERLINK("https://kabutan.jp/stock/?code="&amp;B385,"株探"))</f>
        <v/>
      </c>
      <c r="D385" s="440" t="str" cm="1">
        <f t="array" ref="D385">_xll.RssMarket(B385, "銘柄名称")</f>
        <v/>
      </c>
      <c r="E385" s="717"/>
      <c r="F385" s="6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IF(OR(F385="",G385="",H385=""),"",IF(C385="売",(F385-H385)*G385,(H385-F385)*G385))</f>
        <v/>
      </c>
      <c r="L385" s="709" t="str">
        <f>IF(OR(F385="",H385=""),"",IF(C385="売",(F385-H385)/F385,(H385-F385)/F385))</f>
        <v/>
      </c>
      <c r="M385" s="599" t="str">
        <f>IF($F385="","",IF($C385="売",CEILING($F385*IF($C385="売",1-$AX$3,1+$AX$3),IF($F385*IF($C385="売",1-$AX$3,1+$AX$3)&lt;=3000,1,IF($F385*IF($C385="売",1-$AX$3,1+$AX$3)&lt;=5000,5,IF($F385*IF($C385="売",1-$AX$3,1+$AX$3)&lt;=30000,10,IF($F385*IF($C385="売",1-$AX$3,1+$AX$3)&lt;=50000,50,IF($F385*IF($C385="売",1-$AX$3,1+$AX$3)&lt;=300000,100,500)))))),FLOOR($F385*IF($C385="売",1-$AX$3,1+$AX$3),IF($F385*IF($C385="売",1-$AX$3,1+$AX$3)&lt;=3000,1,IF($F385*IF($C385="売",1-$AX$3,1+$AX$3)&lt;=5000,5,IF($F385*IF($C385="売",1-$AX$3,1+$AX$3)&lt;=30000,10,IF($F385*IF($C385="売",1-$AX$3,1+$AX$3)&lt;=50000,50,IF($F385*IF($C385="売",1-$AX$3,1+$AX$3)&lt;=300000,100,500))))))))</f>
      </c>
      <c r="N385" s="599" t="str">
        <f>IF($F385="","",IF($C385="売",CEILING($F385*IF($C385="売",1+$AX$2,1-$AX$2),IF($F385*IF($C385="売",1+$AX$2,1-$AX$2)&lt;=3000,1,IF($F385*IF($C385="売",1+$AX$2,1-$AX$2)&lt;=5000,5,IF($F385*IF($C385="売",1+$AX$2,1-$AX$2)&lt;=30000,10,IF($F385*IF($C385="売",1+$AX$2,1-$AX$2)&lt;=50000,50,IF($F385*IF($C385="売",1+$AX$2,1-$AX$2)&lt;=300000,100,500)))))),FLOOR($F385*IF($C385="売",1+$AX$2,1-$AX$2),IF($F385*IF($C385="売",1+$AX$2,1-$AX$2)&lt;=3000,1,IF($F385*IF($C385="売",1+$AX$2,1-$AX$2)&lt;=5000,5,IF($F385*IF($C385="売",1+$AX$2,1-$AX$2)&lt;=30000,10,IF($F385*IF($C385="売",1+$AX$2,1-$AX$2)&lt;=50000,50,IF($F385*IF($C385="売",1+$AX$2,1-$AX$2)&lt;=300000,100,500))))))))</f>
      </c>
      <c r="O385" s="478" t="str">
        <f>IF(OR($B385="",$F385="",$H385=""),"",IF($S385="✅売却済","―決済済―",IF($C385="売",IF($H385&lt;=$M385,"🟢利確",IF(AND($R385&lt;&gt;"",$H385&gt;=$R385),"🟠TRAIL決済",IF($H385&gt;=$N385,"🔴損切",IF($W385&gt;=$AX$5,"⏱時間決済",IF($H385&gt;=$F385*(1+$AX$2*0.7),"⚠️損切接近","保持継続"))))),IF($H385&gt;=$M385,"🟢利確",IF(AND($R385&lt;&gt;"",$H385&lt;=$R385),"🟠TRAIL決済",IF($H385&lt;=$N385,"🔴損切",IF($W385&gt;=$AX$5,"⏱時間決済",IF($H385&lt;=$F385*(1-$AX$2*0.7),"⚠️損切接近","保持継続")))))))</f>
      </c>
      <c r="P385" s="445"/>
      <c r="R385" s="440" t="str">
        <f>IF(OR($F385="",$H385="",$N385=""),"",IF($S385="✅売却済","",IF($C385="売",IF($H385&gt;$F385*(1-$AX$2),$N385,CEILING(MIN($N385,IF($Q385="",$N385,$Q385*1.03)),IF($N385&lt;=3000,1,IF($N385&lt;=5000,5,IF($N385&lt;=30000,10,IF($N385&lt;=50000,50,IF($N385&lt;=300000,100,500))))))),IF($H385&lt;$F385*(1+$AX$2),$N385,FLOOR(MAX($N385,IF($P385="",$N385,$P385*0.97)),IF($N385&lt;=3000,1,IF($N385&lt;=5000,5,IF($N385&lt;=30000,10,IF($N385&lt;=50000,50,IF($N385&lt;=300000,100,500))))))))))</f>
      </c>
      <c r="S385" s="440" t="str">
        <f>IF(B385="","",IF(T385&lt;&gt;"","✅売却済",IF(OR(H385="",L385=""),"📌保有中",IF(L385&gt;=0.06,"🟢利確推奨",IF(L385&gt;=0.05,"🟡利確直近",IF(L385&gt;=0.045,"🔵トレーリング検討",IF(L385&gt;-0.03,"📌保有中",IF(L385&gt;-0.04,"⚠️損切注意","🔴損切り"))))))))</f>
        <v/>
      </c>
      <c r="T385" s="597"/>
      <c r="U385" s="599"/>
      <c r="V385" s="704" t="str">
        <f>IF(OR(F385="",G385="",U385=""),"",IF(C385="売",(F385-U385)*G385,(U385-F385)*G385))</f>
        <v/>
      </c>
      <c r="W385" s="440" t="str">
        <f>IF(OR($E385="",$B385=""),"",IF($T385&lt;&gt;"",$T385-$E385,TODAY()-$E385)+1)</f>
        <v/>
      </c>
      <c r="X385" s="440" t="str">
        <f>IF(OR($AH385="",$AH385="保有中"),"",$AH385)</f>
        <v/>
      </c>
      <c r="Y385">
        <f>IF($B385="","",IF(COUNTIFS($B$4:$B385,$B385,$C$4:$C385,$C385)&gt;1,"⛔重複"&amp;COUNTIFS($B$4:$B385,$B385,$C$4:$C385,$C385)&amp;"回目",""))</f>
      </c>
      <c r="AB385">
        <f>IF($F385="","",MAX(100,ROUNDDOWN($AX$4/($F385*$AX$2)/100,0)*100))</f>
      </c>
      <c r="AC385">
        <f>IF(OR($F385="",$G385="",$U385=""),"",ROUND($V385-($F385+$U385)*$G385*$AX$6-IF($C385="売",$F385*$G385*$AX$7*$W385/365,0),0))</f>
      </c>
      <c r="AD385" s="608"/>
      <c r="AE385" s="600" t="str">
        <f>IF($E385="","",WORKDAY($E385,12))</f>
        <v/>
      </c>
      <c r="AF385" s="600"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0"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0" t="str">
        <f>IF(OR($B385="",$M385=""),"",IF(AND(N($AF385)=0,N($AG385)=0),IF(AND(ISNUMBER($H385),$H385&gt;0,IF($C385="売",$H385&gt;=$N385,$H385&lt;=$N385)),"損切確定",IF(AND(ISNUMBER($H385),$H385&gt;0,IF($C385="売",$H385&lt;=$M385,$H385&gt;=$M385)),"利益確定",IF($AE385&lt;=TODAY(),"日数制限","保有中"))),IF(N($AG385)=0,"利益確定",IF(N($AF385)=0,"損切確定",IF($AG385&lt;=$AF385,"損切確定","利益確定")))))</f>
        <v/>
      </c>
      <c r="AI385" s="600" t="str" cm="1">
        <f t="array" ref="AI385">IFERROR(INDEX(始値!$E$6:$BT$305,MATCH(TEXT($B385,"0"),TEXT(銘柄管理!$B$6:$B$305,"0"),0),MATCH($AE385,始値!$E$3:$BT$3,0)),"")</f>
        <v/>
      </c>
      <c r="AJ385" s="608" t="str">
        <f>IF(OR($V385="",$F385="",$G385=""),"",$V385/($F385*$G385))</f>
        <v/>
      </c>
      <c r="AK385" s="600" t="str">
        <f>IF($V385="","",IF($V385&gt;0,"○勝",IF($V385&lt;0,"●負","△引分")))</f>
        <v/>
      </c>
    </row>
    <row r="386" spans="1:37" ht="17.25" customHeight="1">
      <c r="A386" s="622" t="str">
        <f>IF(B386="","",HYPERLINK("https://kabutan.jp/stock/?code="&amp;B386,"株探"))</f>
        <v/>
      </c>
      <c r="D386" s="440" t="str" cm="1">
        <f t="array" ref="D386">_xll.RssMarket(B386, "銘柄名称")</f>
        <v/>
      </c>
      <c r="E386" s="717"/>
      <c r="F386" s="6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IF(OR(F386="",G386="",H386=""),"",IF(C386="売",(F386-H386)*G386,(H386-F386)*G386))</f>
        <v/>
      </c>
      <c r="L386" s="709" t="str">
        <f>IF(OR(F386="",H386=""),"",IF(C386="売",(F386-H386)/F386,(H386-F386)/F386))</f>
        <v/>
      </c>
      <c r="M386" s="599" t="str">
        <f>IF($F386="","",IF($C386="売",CEILING($F386*IF($C386="売",1-$AX$3,1+$AX$3),IF($F386*IF($C386="売",1-$AX$3,1+$AX$3)&lt;=3000,1,IF($F386*IF($C386="売",1-$AX$3,1+$AX$3)&lt;=5000,5,IF($F386*IF($C386="売",1-$AX$3,1+$AX$3)&lt;=30000,10,IF($F386*IF($C386="売",1-$AX$3,1+$AX$3)&lt;=50000,50,IF($F386*IF($C386="売",1-$AX$3,1+$AX$3)&lt;=300000,100,500)))))),FLOOR($F386*IF($C386="売",1-$AX$3,1+$AX$3),IF($F386*IF($C386="売",1-$AX$3,1+$AX$3)&lt;=3000,1,IF($F386*IF($C386="売",1-$AX$3,1+$AX$3)&lt;=5000,5,IF($F386*IF($C386="売",1-$AX$3,1+$AX$3)&lt;=30000,10,IF($F386*IF($C386="売",1-$AX$3,1+$AX$3)&lt;=50000,50,IF($F386*IF($C386="売",1-$AX$3,1+$AX$3)&lt;=300000,100,500))))))))</f>
      </c>
      <c r="N386" s="599" t="str">
        <f>IF($F386="","",IF($C386="売",CEILING($F386*IF($C386="売",1+$AX$2,1-$AX$2),IF($F386*IF($C386="売",1+$AX$2,1-$AX$2)&lt;=3000,1,IF($F386*IF($C386="売",1+$AX$2,1-$AX$2)&lt;=5000,5,IF($F386*IF($C386="売",1+$AX$2,1-$AX$2)&lt;=30000,10,IF($F386*IF($C386="売",1+$AX$2,1-$AX$2)&lt;=50000,50,IF($F386*IF($C386="売",1+$AX$2,1-$AX$2)&lt;=300000,100,500)))))),FLOOR($F386*IF($C386="売",1+$AX$2,1-$AX$2),IF($F386*IF($C386="売",1+$AX$2,1-$AX$2)&lt;=3000,1,IF($F386*IF($C386="売",1+$AX$2,1-$AX$2)&lt;=5000,5,IF($F386*IF($C386="売",1+$AX$2,1-$AX$2)&lt;=30000,10,IF($F386*IF($C386="売",1+$AX$2,1-$AX$2)&lt;=50000,50,IF($F386*IF($C386="売",1+$AX$2,1-$AX$2)&lt;=300000,100,500))))))))</f>
      </c>
      <c r="O386" s="478" t="str">
        <f>IF(OR($B386="",$F386="",$H386=""),"",IF($S386="✅売却済","―決済済―",IF($C386="売",IF($H386&lt;=$M386,"🟢利確",IF(AND($R386&lt;&gt;"",$H386&gt;=$R386),"🟠TRAIL決済",IF($H386&gt;=$N386,"🔴損切",IF($W386&gt;=$AX$5,"⏱時間決済",IF($H386&gt;=$F386*(1+$AX$2*0.7),"⚠️損切接近","保持継続"))))),IF($H386&gt;=$M386,"🟢利確",IF(AND($R386&lt;&gt;"",$H386&lt;=$R386),"🟠TRAIL決済",IF($H386&lt;=$N386,"🔴損切",IF($W386&gt;=$AX$5,"⏱時間決済",IF($H386&lt;=$F386*(1-$AX$2*0.7),"⚠️損切接近","保持継続")))))))</f>
      </c>
      <c r="P386" s="445"/>
      <c r="R386" s="440" t="str">
        <f>IF(OR($F386="",$H386="",$N386=""),"",IF($S386="✅売却済","",IF($C386="売",IF($H386&gt;$F386*(1-$AX$2),$N386,CEILING(MIN($N386,IF($Q386="",$N386,$Q386*1.03)),IF($N386&lt;=3000,1,IF($N386&lt;=5000,5,IF($N386&lt;=30000,10,IF($N386&lt;=50000,50,IF($N386&lt;=300000,100,500))))))),IF($H386&lt;$F386*(1+$AX$2),$N386,FLOOR(MAX($N386,IF($P386="",$N386,$P386*0.97)),IF($N386&lt;=3000,1,IF($N386&lt;=5000,5,IF($N386&lt;=30000,10,IF($N386&lt;=50000,50,IF($N386&lt;=300000,100,500))))))))))</f>
      </c>
      <c r="S386" s="440" t="str">
        <f>IF(B386="","",IF(T386&lt;&gt;"","✅売却済",IF(OR(H386="",L386=""),"📌保有中",IF(L386&gt;=0.06,"🟢利確推奨",IF(L386&gt;=0.05,"🟡利確直近",IF(L386&gt;=0.045,"🔵トレーリング検討",IF(L386&gt;-0.03,"📌保有中",IF(L386&gt;-0.04,"⚠️損切注意","🔴損切り"))))))))</f>
        <v/>
      </c>
      <c r="T386" s="597"/>
      <c r="U386" s="599"/>
      <c r="V386" s="704" t="str">
        <f>IF(OR(F386="",G386="",U386=""),"",IF(C386="売",(F386-U386)*G386,(U386-F386)*G386))</f>
        <v/>
      </c>
      <c r="W386" s="440" t="str">
        <f>IF(OR($E386="",$B386=""),"",IF($T386&lt;&gt;"",$T386-$E386,TODAY()-$E386)+1)</f>
        <v/>
      </c>
      <c r="X386" s="440" t="str">
        <f>IF(OR($AH386="",$AH386="保有中"),"",$AH386)</f>
        <v/>
      </c>
      <c r="Y386">
        <f>IF($B386="","",IF(COUNTIFS($B$4:$B386,$B386,$C$4:$C386,$C386)&gt;1,"⛔重複"&amp;COUNTIFS($B$4:$B386,$B386,$C$4:$C386,$C386)&amp;"回目",""))</f>
      </c>
      <c r="AB386">
        <f>IF($F386="","",MAX(100,ROUNDDOWN($AX$4/($F386*$AX$2)/100,0)*100))</f>
      </c>
      <c r="AC386">
        <f>IF(OR($F386="",$G386="",$U386=""),"",ROUND($V386-($F386+$U386)*$G386*$AX$6-IF($C386="売",$F386*$G386*$AX$7*$W386/365,0),0))</f>
      </c>
      <c r="AD386" s="608"/>
      <c r="AE386" s="600" t="str">
        <f>IF($E386="","",WORKDAY($E386,12))</f>
        <v/>
      </c>
      <c r="AF386" s="600"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0"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0" t="str">
        <f>IF(OR($B386="",$M386=""),"",IF(AND(N($AF386)=0,N($AG386)=0),IF(AND(ISNUMBER($H386),$H386&gt;0,IF($C386="売",$H386&gt;=$N386,$H386&lt;=$N386)),"損切確定",IF(AND(ISNUMBER($H386),$H386&gt;0,IF($C386="売",$H386&lt;=$M386,$H386&gt;=$M386)),"利益確定",IF($AE386&lt;=TODAY(),"日数制限","保有中"))),IF(N($AG386)=0,"利益確定",IF(N($AF386)=0,"損切確定",IF($AG386&lt;=$AF386,"損切確定","利益確定")))))</f>
        <v/>
      </c>
      <c r="AI386" s="600" t="str" cm="1">
        <f t="array" ref="AI386">IFERROR(INDEX(始値!$E$6:$BT$305,MATCH(TEXT($B386,"0"),TEXT(銘柄管理!$B$6:$B$305,"0"),0),MATCH($AE386,始値!$E$3:$BT$3,0)),"")</f>
        <v/>
      </c>
      <c r="AJ386" s="608" t="str">
        <f>IF(OR($V386="",$F386="",$G386=""),"",$V386/($F386*$G386))</f>
        <v/>
      </c>
      <c r="AK386" s="600" t="str">
        <f>IF($V386="","",IF($V386&gt;0,"○勝",IF($V386&lt;0,"●負","△引分")))</f>
        <v/>
      </c>
    </row>
    <row r="387" spans="1:37" ht="17.25" customHeight="1">
      <c r="A387" s="622" t="str">
        <f>IF(B387="","",HYPERLINK("https://kabutan.jp/stock/?code="&amp;B387,"株探"))</f>
        <v/>
      </c>
      <c r="D387" s="440" t="str" cm="1">
        <f t="array" ref="D387">_xll.RssMarket(B387, "銘柄名称")</f>
        <v/>
      </c>
      <c r="E387" s="717"/>
      <c r="F387" s="6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IF(OR(F387="",G387="",H387=""),"",IF(C387="売",(F387-H387)*G387,(H387-F387)*G387))</f>
        <v/>
      </c>
      <c r="L387" s="709" t="str">
        <f>IF(OR(F387="",H387=""),"",IF(C387="売",(F387-H387)/F387,(H387-F387)/F387))</f>
        <v/>
      </c>
      <c r="M387" s="599" t="str">
        <f>IF($F387="","",IF($C387="売",CEILING($F387*IF($C387="売",1-$AX$3,1+$AX$3),IF($F387*IF($C387="売",1-$AX$3,1+$AX$3)&lt;=3000,1,IF($F387*IF($C387="売",1-$AX$3,1+$AX$3)&lt;=5000,5,IF($F387*IF($C387="売",1-$AX$3,1+$AX$3)&lt;=30000,10,IF($F387*IF($C387="売",1-$AX$3,1+$AX$3)&lt;=50000,50,IF($F387*IF($C387="売",1-$AX$3,1+$AX$3)&lt;=300000,100,500)))))),FLOOR($F387*IF($C387="売",1-$AX$3,1+$AX$3),IF($F387*IF($C387="売",1-$AX$3,1+$AX$3)&lt;=3000,1,IF($F387*IF($C387="売",1-$AX$3,1+$AX$3)&lt;=5000,5,IF($F387*IF($C387="売",1-$AX$3,1+$AX$3)&lt;=30000,10,IF($F387*IF($C387="売",1-$AX$3,1+$AX$3)&lt;=50000,50,IF($F387*IF($C387="売",1-$AX$3,1+$AX$3)&lt;=300000,100,500))))))))</f>
      </c>
      <c r="N387" s="599" t="str">
        <f>IF($F387="","",IF($C387="売",CEILING($F387*IF($C387="売",1+$AX$2,1-$AX$2),IF($F387*IF($C387="売",1+$AX$2,1-$AX$2)&lt;=3000,1,IF($F387*IF($C387="売",1+$AX$2,1-$AX$2)&lt;=5000,5,IF($F387*IF($C387="売",1+$AX$2,1-$AX$2)&lt;=30000,10,IF($F387*IF($C387="売",1+$AX$2,1-$AX$2)&lt;=50000,50,IF($F387*IF($C387="売",1+$AX$2,1-$AX$2)&lt;=300000,100,500)))))),FLOOR($F387*IF($C387="売",1+$AX$2,1-$AX$2),IF($F387*IF($C387="売",1+$AX$2,1-$AX$2)&lt;=3000,1,IF($F387*IF($C387="売",1+$AX$2,1-$AX$2)&lt;=5000,5,IF($F387*IF($C387="売",1+$AX$2,1-$AX$2)&lt;=30000,10,IF($F387*IF($C387="売",1+$AX$2,1-$AX$2)&lt;=50000,50,IF($F387*IF($C387="売",1+$AX$2,1-$AX$2)&lt;=300000,100,500))))))))</f>
      </c>
      <c r="O387" s="478" t="str">
        <f>IF(OR($B387="",$F387="",$H387=""),"",IF($S387="✅売却済","―決済済―",IF($C387="売",IF($H387&lt;=$M387,"🟢利確",IF(AND($R387&lt;&gt;"",$H387&gt;=$R387),"🟠TRAIL決済",IF($H387&gt;=$N387,"🔴損切",IF($W387&gt;=$AX$5,"⏱時間決済",IF($H387&gt;=$F387*(1+$AX$2*0.7),"⚠️損切接近","保持継続"))))),IF($H387&gt;=$M387,"🟢利確",IF(AND($R387&lt;&gt;"",$H387&lt;=$R387),"🟠TRAIL決済",IF($H387&lt;=$N387,"🔴損切",IF($W387&gt;=$AX$5,"⏱時間決済",IF($H387&lt;=$F387*(1-$AX$2*0.7),"⚠️損切接近","保持継続")))))))</f>
      </c>
      <c r="P387" s="445"/>
      <c r="R387" s="440" t="str">
        <f>IF(OR($F387="",$H387="",$N387=""),"",IF($S387="✅売却済","",IF($C387="売",IF($H387&gt;$F387*(1-$AX$2),$N387,CEILING(MIN($N387,IF($Q387="",$N387,$Q387*1.03)),IF($N387&lt;=3000,1,IF($N387&lt;=5000,5,IF($N387&lt;=30000,10,IF($N387&lt;=50000,50,IF($N387&lt;=300000,100,500))))))),IF($H387&lt;$F387*(1+$AX$2),$N387,FLOOR(MAX($N387,IF($P387="",$N387,$P387*0.97)),IF($N387&lt;=3000,1,IF($N387&lt;=5000,5,IF($N387&lt;=30000,10,IF($N387&lt;=50000,50,IF($N387&lt;=300000,100,500))))))))))</f>
      </c>
      <c r="S387" s="440" t="str">
        <f>IF(B387="","",IF(T387&lt;&gt;"","✅売却済",IF(OR(H387="",L387=""),"📌保有中",IF(L387&gt;=0.06,"🟢利確推奨",IF(L387&gt;=0.05,"🟡利確直近",IF(L387&gt;=0.045,"🔵トレーリング検討",IF(L387&gt;-0.03,"📌保有中",IF(L387&gt;-0.04,"⚠️損切注意","🔴損切り"))))))))</f>
        <v/>
      </c>
      <c r="T387" s="597"/>
      <c r="U387" s="599"/>
      <c r="V387" s="704" t="str">
        <f>IF(OR(F387="",G387="",U387=""),"",IF(C387="売",(F387-U387)*G387,(U387-F387)*G387))</f>
        <v/>
      </c>
      <c r="W387" s="440" t="str">
        <f>IF(OR($E387="",$B387=""),"",IF($T387&lt;&gt;"",$T387-$E387,TODAY()-$E387)+1)</f>
        <v/>
      </c>
      <c r="X387" s="440" t="str">
        <f>IF(OR($AH387="",$AH387="保有中"),"",$AH387)</f>
        <v/>
      </c>
      <c r="Y387">
        <f>IF($B387="","",IF(COUNTIFS($B$4:$B387,$B387,$C$4:$C387,$C387)&gt;1,"⛔重複"&amp;COUNTIFS($B$4:$B387,$B387,$C$4:$C387,$C387)&amp;"回目",""))</f>
      </c>
      <c r="AB387">
        <f>IF($F387="","",MAX(100,ROUNDDOWN($AX$4/($F387*$AX$2)/100,0)*100))</f>
      </c>
      <c r="AC387">
        <f>IF(OR($F387="",$G387="",$U387=""),"",ROUND($V387-($F387+$U387)*$G387*$AX$6-IF($C387="売",$F387*$G387*$AX$7*$W387/365,0),0))</f>
      </c>
      <c r="AD387" s="608"/>
      <c r="AE387" s="600" t="str">
        <f>IF($E387="","",WORKDAY($E387,12))</f>
        <v/>
      </c>
      <c r="AF387" s="600"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0"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0" t="str">
        <f>IF(OR($B387="",$M387=""),"",IF(AND(N($AF387)=0,N($AG387)=0),IF(AND(ISNUMBER($H387),$H387&gt;0,IF($C387="売",$H387&gt;=$N387,$H387&lt;=$N387)),"損切確定",IF(AND(ISNUMBER($H387),$H387&gt;0,IF($C387="売",$H387&lt;=$M387,$H387&gt;=$M387)),"利益確定",IF($AE387&lt;=TODAY(),"日数制限","保有中"))),IF(N($AG387)=0,"利益確定",IF(N($AF387)=0,"損切確定",IF($AG387&lt;=$AF387,"損切確定","利益確定")))))</f>
        <v/>
      </c>
      <c r="AI387" s="600" t="str" cm="1">
        <f t="array" ref="AI387">IFERROR(INDEX(始値!$E$6:$BT$305,MATCH(TEXT($B387,"0"),TEXT(銘柄管理!$B$6:$B$305,"0"),0),MATCH($AE387,始値!$E$3:$BT$3,0)),"")</f>
        <v/>
      </c>
      <c r="AJ387" s="608" t="str">
        <f>IF(OR($V387="",$F387="",$G387=""),"",$V387/($F387*$G387))</f>
        <v/>
      </c>
      <c r="AK387" s="600" t="str">
        <f>IF($V387="","",IF($V387&gt;0,"○勝",IF($V387&lt;0,"●負","△引分")))</f>
        <v/>
      </c>
    </row>
    <row r="388" spans="1:37" ht="17.25" customHeight="1">
      <c r="A388" s="622" t="str">
        <f>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IF(OR(F388="",G388="",H388=""),"",IF(C388="売",(F388-H388)*G388,(H388-F388)*G388))</f>
        <v/>
      </c>
      <c r="L388" s="709" t="str">
        <f>IF(OR(F388="",H388=""),"",IF(C388="売",(F388-H388)/F388,(H388-F388)/F388))</f>
        <v/>
      </c>
      <c r="M388" s="599" t="str">
        <f>IF($F388="","",IF($C388="売",CEILING($F388*IF($C388="売",1-$AX$3,1+$AX$3),IF($F388*IF($C388="売",1-$AX$3,1+$AX$3)&lt;=3000,1,IF($F388*IF($C388="売",1-$AX$3,1+$AX$3)&lt;=5000,5,IF($F388*IF($C388="売",1-$AX$3,1+$AX$3)&lt;=30000,10,IF($F388*IF($C388="売",1-$AX$3,1+$AX$3)&lt;=50000,50,IF($F388*IF($C388="売",1-$AX$3,1+$AX$3)&lt;=300000,100,500)))))),FLOOR($F388*IF($C388="売",1-$AX$3,1+$AX$3),IF($F388*IF($C388="売",1-$AX$3,1+$AX$3)&lt;=3000,1,IF($F388*IF($C388="売",1-$AX$3,1+$AX$3)&lt;=5000,5,IF($F388*IF($C388="売",1-$AX$3,1+$AX$3)&lt;=30000,10,IF($F388*IF($C388="売",1-$AX$3,1+$AX$3)&lt;=50000,50,IF($F388*IF($C388="売",1-$AX$3,1+$AX$3)&lt;=300000,100,500))))))))</f>
      </c>
      <c r="N388" s="599" t="str">
        <f>IF($F388="","",IF($C388="売",CEILING($F388*IF($C388="売",1+$AX$2,1-$AX$2),IF($F388*IF($C388="売",1+$AX$2,1-$AX$2)&lt;=3000,1,IF($F388*IF($C388="売",1+$AX$2,1-$AX$2)&lt;=5000,5,IF($F388*IF($C388="売",1+$AX$2,1-$AX$2)&lt;=30000,10,IF($F388*IF($C388="売",1+$AX$2,1-$AX$2)&lt;=50000,50,IF($F388*IF($C388="売",1+$AX$2,1-$AX$2)&lt;=300000,100,500)))))),FLOOR($F388*IF($C388="売",1+$AX$2,1-$AX$2),IF($F388*IF($C388="売",1+$AX$2,1-$AX$2)&lt;=3000,1,IF($F388*IF($C388="売",1+$AX$2,1-$AX$2)&lt;=5000,5,IF($F388*IF($C388="売",1+$AX$2,1-$AX$2)&lt;=30000,10,IF($F388*IF($C388="売",1+$AX$2,1-$AX$2)&lt;=50000,50,IF($F388*IF($C388="売",1+$AX$2,1-$AX$2)&lt;=300000,100,500))))))))</f>
      </c>
      <c r="O388" s="478" t="str">
        <f>IF(OR($B388="",$F388="",$H388=""),"",IF($S388="✅売却済","―決済済―",IF($C388="売",IF($H388&lt;=$M388,"🟢利確",IF(AND($R388&lt;&gt;"",$H388&gt;=$R388),"🟠TRAIL決済",IF($H388&gt;=$N388,"🔴損切",IF($W388&gt;=$AX$5,"⏱時間決済",IF($H388&gt;=$F388*(1+$AX$2*0.7),"⚠️損切接近","保持継続"))))),IF($H388&gt;=$M388,"🟢利確",IF(AND($R388&lt;&gt;"",$H388&lt;=$R388),"🟠TRAIL決済",IF($H388&lt;=$N388,"🔴損切",IF($W388&gt;=$AX$5,"⏱時間決済",IF($H388&lt;=$F388*(1-$AX$2*0.7),"⚠️損切接近","保持継続")))))))</f>
      </c>
      <c r="P388" s="445"/>
      <c r="R388" s="440" t="str">
        <f>IF(OR($F388="",$H388="",$N388=""),"",IF($S388="✅売却済","",IF($C388="売",IF($H388&gt;$F388*(1-$AX$2),$N388,CEILING(MIN($N388,IF($Q388="",$N388,$Q388*1.03)),IF($N388&lt;=3000,1,IF($N388&lt;=5000,5,IF($N388&lt;=30000,10,IF($N388&lt;=50000,50,IF($N388&lt;=300000,100,500))))))),IF($H388&lt;$F388*(1+$AX$2),$N388,FLOOR(MAX($N388,IF($P388="",$N388,$P388*0.97)),IF($N388&lt;=3000,1,IF($N388&lt;=5000,5,IF($N388&lt;=30000,10,IF($N388&lt;=50000,50,IF($N388&lt;=300000,100,500))))))))))</f>
      </c>
      <c r="S388" s="440" t="str">
        <f>IF(B388="","",IF(T388&lt;&gt;"","✅売却済",IF(OR(H388="",L388=""),"📌保有中",IF(L388&gt;=0.06,"🟢利確推奨",IF(L388&gt;=0.05,"🟡利確直近",IF(L388&gt;=0.045,"🔵トレーリング検討",IF(L388&gt;-0.03,"📌保有中",IF(L388&gt;-0.04,"⚠️損切注意","🔴損切り"))))))))</f>
        <v/>
      </c>
      <c r="T388" s="597"/>
      <c r="U388" s="599"/>
      <c r="V388" s="704" t="str">
        <f>IF(OR(F388="",G388="",U388=""),"",IF(C388="売",(F388-U388)*G388,(U388-F388)*G388))</f>
        <v/>
      </c>
      <c r="W388" s="440" t="str">
        <f>IF(OR($E388="",$B388=""),"",IF($T388&lt;&gt;"",$T388-$E388,TODAY()-$E388)+1)</f>
        <v/>
      </c>
      <c r="X388" s="440" t="str">
        <f>IF(OR($AH388="",$AH388="保有中"),"",$AH388)</f>
        <v/>
      </c>
      <c r="Y388">
        <f>IF($B388="","",IF(COUNTIFS($B$4:$B388,$B388,$C$4:$C388,$C388)&gt;1,"⛔重複"&amp;COUNTIFS($B$4:$B388,$B388,$C$4:$C388,$C388)&amp;"回目",""))</f>
      </c>
      <c r="AB388">
        <f>IF($F388="","",MAX(100,ROUNDDOWN($AX$4/($F388*$AX$2)/100,0)*100))</f>
      </c>
      <c r="AC388">
        <f>IF(OR($F388="",$G388="",$U388=""),"",ROUND($V388-($F388+$U388)*$G388*$AX$6-IF($C388="売",$F388*$G388*$AX$7*$W388/365,0),0))</f>
      </c>
      <c r="AD388" s="608"/>
      <c r="AE388" s="600" t="str">
        <f>IF($E388="","",WORKDAY($E388,12))</f>
        <v/>
      </c>
      <c r="AF388" s="600"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0"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0" t="str">
        <f>IF(OR($B388="",$M388=""),"",IF(AND(N($AF388)=0,N($AG388)=0),IF(AND(ISNUMBER($H388),$H388&gt;0,IF($C388="売",$H388&gt;=$N388,$H388&lt;=$N388)),"損切確定",IF(AND(ISNUMBER($H388),$H388&gt;0,IF($C388="売",$H388&lt;=$M388,$H388&gt;=$M388)),"利益確定",IF($AE388&lt;=TODAY(),"日数制限","保有中"))),IF(N($AG388)=0,"利益確定",IF(N($AF388)=0,"損切確定",IF($AG388&lt;=$AF388,"損切確定","利益確定")))))</f>
        <v/>
      </c>
      <c r="AI388" s="600" t="str" cm="1">
        <f t="array" ref="AI388">IFERROR(INDEX(始値!$E$6:$BT$305,MATCH(TEXT($B388,"0"),TEXT(銘柄管理!$B$6:$B$305,"0"),0),MATCH($AE388,始値!$E$3:$BT$3,0)),"")</f>
        <v/>
      </c>
      <c r="AJ388" s="608" t="str">
        <f>IF(OR($V388="",$F388="",$G388=""),"",$V388/($F388*$G388))</f>
        <v/>
      </c>
      <c r="AK388" s="600" t="str">
        <f>IF($V388="","",IF($V388&gt;0,"○勝",IF($V388&lt;0,"●負","△引分")))</f>
        <v/>
      </c>
    </row>
    <row r="389" spans="1:37" ht="17.25" customHeight="1">
      <c r="A389" s="622" t="str">
        <f>IF(B389="","",HYPERLINK("https://kabutan.jp/stock/?code="&amp;B389,"株探"))</f>
        <v/>
      </c>
      <c r="D389" s="440" t="str" cm="1">
        <f t="array" ref="D389">_xll.RssMarket(B389, "銘柄名称")</f>
        <v/>
      </c>
      <c r="E389" s="717"/>
      <c r="F389" s="6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IF(OR(F389="",G389="",H389=""),"",IF(C389="売",(F389-H389)*G389,(H389-F389)*G389))</f>
        <v/>
      </c>
      <c r="L389" s="709" t="str">
        <f>IF(OR(F389="",H389=""),"",IF(C389="売",(F389-H389)/F389,(H389-F389)/F389))</f>
        <v/>
      </c>
      <c r="M389" s="599" t="str">
        <f>IF($F389="","",IF($C389="売",CEILING($F389*IF($C389="売",1-$AX$3,1+$AX$3),IF($F389*IF($C389="売",1-$AX$3,1+$AX$3)&lt;=3000,1,IF($F389*IF($C389="売",1-$AX$3,1+$AX$3)&lt;=5000,5,IF($F389*IF($C389="売",1-$AX$3,1+$AX$3)&lt;=30000,10,IF($F389*IF($C389="売",1-$AX$3,1+$AX$3)&lt;=50000,50,IF($F389*IF($C389="売",1-$AX$3,1+$AX$3)&lt;=300000,100,500)))))),FLOOR($F389*IF($C389="売",1-$AX$3,1+$AX$3),IF($F389*IF($C389="売",1-$AX$3,1+$AX$3)&lt;=3000,1,IF($F389*IF($C389="売",1-$AX$3,1+$AX$3)&lt;=5000,5,IF($F389*IF($C389="売",1-$AX$3,1+$AX$3)&lt;=30000,10,IF($F389*IF($C389="売",1-$AX$3,1+$AX$3)&lt;=50000,50,IF($F389*IF($C389="売",1-$AX$3,1+$AX$3)&lt;=300000,100,500))))))))</f>
      </c>
      <c r="N389" s="599" t="str">
        <f>IF($F389="","",IF($C389="売",CEILING($F389*IF($C389="売",1+$AX$2,1-$AX$2),IF($F389*IF($C389="売",1+$AX$2,1-$AX$2)&lt;=3000,1,IF($F389*IF($C389="売",1+$AX$2,1-$AX$2)&lt;=5000,5,IF($F389*IF($C389="売",1+$AX$2,1-$AX$2)&lt;=30000,10,IF($F389*IF($C389="売",1+$AX$2,1-$AX$2)&lt;=50000,50,IF($F389*IF($C389="売",1+$AX$2,1-$AX$2)&lt;=300000,100,500)))))),FLOOR($F389*IF($C389="売",1+$AX$2,1-$AX$2),IF($F389*IF($C389="売",1+$AX$2,1-$AX$2)&lt;=3000,1,IF($F389*IF($C389="売",1+$AX$2,1-$AX$2)&lt;=5000,5,IF($F389*IF($C389="売",1+$AX$2,1-$AX$2)&lt;=30000,10,IF($F389*IF($C389="売",1+$AX$2,1-$AX$2)&lt;=50000,50,IF($F389*IF($C389="売",1+$AX$2,1-$AX$2)&lt;=300000,100,500))))))))</f>
      </c>
      <c r="O389" s="478" t="str">
        <f>IF(OR($B389="",$F389="",$H389=""),"",IF($S389="✅売却済","―決済済―",IF($C389="売",IF($H389&lt;=$M389,"🟢利確",IF(AND($R389&lt;&gt;"",$H389&gt;=$R389),"🟠TRAIL決済",IF($H389&gt;=$N389,"🔴損切",IF($W389&gt;=$AX$5,"⏱時間決済",IF($H389&gt;=$F389*(1+$AX$2*0.7),"⚠️損切接近","保持継続"))))),IF($H389&gt;=$M389,"🟢利確",IF(AND($R389&lt;&gt;"",$H389&lt;=$R389),"🟠TRAIL決済",IF($H389&lt;=$N389,"🔴損切",IF($W389&gt;=$AX$5,"⏱時間決済",IF($H389&lt;=$F389*(1-$AX$2*0.7),"⚠️損切接近","保持継続")))))))</f>
      </c>
      <c r="P389" s="445"/>
      <c r="R389" s="440" t="str">
        <f>IF(OR($F389="",$H389="",$N389=""),"",IF($S389="✅売却済","",IF($C389="売",IF($H389&gt;$F389*(1-$AX$2),$N389,CEILING(MIN($N389,IF($Q389="",$N389,$Q389*1.03)),IF($N389&lt;=3000,1,IF($N389&lt;=5000,5,IF($N389&lt;=30000,10,IF($N389&lt;=50000,50,IF($N389&lt;=300000,100,500))))))),IF($H389&lt;$F389*(1+$AX$2),$N389,FLOOR(MAX($N389,IF($P389="",$N389,$P389*0.97)),IF($N389&lt;=3000,1,IF($N389&lt;=5000,5,IF($N389&lt;=30000,10,IF($N389&lt;=50000,50,IF($N389&lt;=300000,100,500))))))))))</f>
      </c>
      <c r="S389" s="440" t="str">
        <f>IF(B389="","",IF(T389&lt;&gt;"","✅売却済",IF(OR(H389="",L389=""),"📌保有中",IF(L389&gt;=0.06,"🟢利確推奨",IF(L389&gt;=0.05,"🟡利確直近",IF(L389&gt;=0.045,"🔵トレーリング検討",IF(L389&gt;-0.03,"📌保有中",IF(L389&gt;-0.04,"⚠️損切注意","🔴損切り"))))))))</f>
        <v/>
      </c>
      <c r="T389" s="597"/>
      <c r="U389" s="599"/>
      <c r="V389" s="704" t="str">
        <f>IF(OR(F389="",G389="",U389=""),"",IF(C389="売",(F389-U389)*G389,(U389-F389)*G389))</f>
        <v/>
      </c>
      <c r="W389" s="440" t="str">
        <f>IF(OR($E389="",$B389=""),"",IF($T389&lt;&gt;"",$T389-$E389,TODAY()-$E389)+1)</f>
        <v/>
      </c>
      <c r="X389" s="440" t="str">
        <f>IF(OR($AH389="",$AH389="保有中"),"",$AH389)</f>
        <v/>
      </c>
      <c r="Y389">
        <f>IF($B389="","",IF(COUNTIFS($B$4:$B389,$B389,$C$4:$C389,$C389)&gt;1,"⛔重複"&amp;COUNTIFS($B$4:$B389,$B389,$C$4:$C389,$C389)&amp;"回目",""))</f>
      </c>
      <c r="AB389">
        <f>IF($F389="","",MAX(100,ROUNDDOWN($AX$4/($F389*$AX$2)/100,0)*100))</f>
      </c>
      <c r="AC389">
        <f>IF(OR($F389="",$G389="",$U389=""),"",ROUND($V389-($F389+$U389)*$G389*$AX$6-IF($C389="売",$F389*$G389*$AX$7*$W389/365,0),0))</f>
      </c>
      <c r="AD389" s="608"/>
      <c r="AE389" s="600" t="str">
        <f>IF($E389="","",WORKDAY($E389,12))</f>
        <v/>
      </c>
      <c r="AF389" s="600"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0"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0" t="str">
        <f>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IFERROR(INDEX(始値!$E$6:$BT$305,MATCH(TEXT($B389,"0"),TEXT(銘柄管理!$B$6:$B$305,"0"),0),MATCH($AE389,始値!$E$3:$BT$3,0)),"")</f>
        <v/>
      </c>
      <c r="AJ389" s="608" t="str">
        <f>IF(OR($V389="",$F389="",$G389=""),"",$V389/($F389*$G389))</f>
        <v/>
      </c>
      <c r="AK389" s="600" t="str">
        <f>IF($V389="","",IF($V389&gt;0,"○勝",IF($V389&lt;0,"●負","△引分")))</f>
        <v/>
      </c>
    </row>
    <row r="390" spans="1:37" ht="17.25" customHeight="1">
      <c r="A390" s="622" t="str">
        <f>IF(B390="","",HYPERLINK("https://kabutan.jp/stock/?code="&amp;B390,"株探"))</f>
        <v/>
      </c>
      <c r="D390" s="440" t="str" cm="1">
        <f t="array" ref="D390">_xll.RssMarket(B390, "銘柄名称")</f>
        <v/>
      </c>
      <c r="E390" s="717"/>
      <c r="F390" s="6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IF(OR(F390="",G390="",H390=""),"",IF(C390="売",(F390-H390)*G390,(H390-F390)*G390))</f>
        <v/>
      </c>
      <c r="L390" s="709" t="str">
        <f>IF(OR(F390="",H390=""),"",IF(C390="売",(F390-H390)/F390,(H390-F390)/F390))</f>
        <v/>
      </c>
      <c r="M390" s="599" t="str">
        <f>IF($F390="","",IF($C390="売",CEILING($F390*IF($C390="売",1-$AX$3,1+$AX$3),IF($F390*IF($C390="売",1-$AX$3,1+$AX$3)&lt;=3000,1,IF($F390*IF($C390="売",1-$AX$3,1+$AX$3)&lt;=5000,5,IF($F390*IF($C390="売",1-$AX$3,1+$AX$3)&lt;=30000,10,IF($F390*IF($C390="売",1-$AX$3,1+$AX$3)&lt;=50000,50,IF($F390*IF($C390="売",1-$AX$3,1+$AX$3)&lt;=300000,100,500)))))),FLOOR($F390*IF($C390="売",1-$AX$3,1+$AX$3),IF($F390*IF($C390="売",1-$AX$3,1+$AX$3)&lt;=3000,1,IF($F390*IF($C390="売",1-$AX$3,1+$AX$3)&lt;=5000,5,IF($F390*IF($C390="売",1-$AX$3,1+$AX$3)&lt;=30000,10,IF($F390*IF($C390="売",1-$AX$3,1+$AX$3)&lt;=50000,50,IF($F390*IF($C390="売",1-$AX$3,1+$AX$3)&lt;=300000,100,500))))))))</f>
      </c>
      <c r="N390" s="599" t="str">
        <f>IF($F390="","",IF($C390="売",CEILING($F390*IF($C390="売",1+$AX$2,1-$AX$2),IF($F390*IF($C390="売",1+$AX$2,1-$AX$2)&lt;=3000,1,IF($F390*IF($C390="売",1+$AX$2,1-$AX$2)&lt;=5000,5,IF($F390*IF($C390="売",1+$AX$2,1-$AX$2)&lt;=30000,10,IF($F390*IF($C390="売",1+$AX$2,1-$AX$2)&lt;=50000,50,IF($F390*IF($C390="売",1+$AX$2,1-$AX$2)&lt;=300000,100,500)))))),FLOOR($F390*IF($C390="売",1+$AX$2,1-$AX$2),IF($F390*IF($C390="売",1+$AX$2,1-$AX$2)&lt;=3000,1,IF($F390*IF($C390="売",1+$AX$2,1-$AX$2)&lt;=5000,5,IF($F390*IF($C390="売",1+$AX$2,1-$AX$2)&lt;=30000,10,IF($F390*IF($C390="売",1+$AX$2,1-$AX$2)&lt;=50000,50,IF($F390*IF($C390="売",1+$AX$2,1-$AX$2)&lt;=300000,100,500))))))))</f>
      </c>
      <c r="O390" s="478" t="str">
        <f>IF(OR($B390="",$F390="",$H390=""),"",IF($S390="✅売却済","―決済済―",IF($C390="売",IF($H390&lt;=$M390,"🟢利確",IF(AND($R390&lt;&gt;"",$H390&gt;=$R390),"🟠TRAIL決済",IF($H390&gt;=$N390,"🔴損切",IF($W390&gt;=$AX$5,"⏱時間決済",IF($H390&gt;=$F390*(1+$AX$2*0.7),"⚠️損切接近","保持継続"))))),IF($H390&gt;=$M390,"🟢利確",IF(AND($R390&lt;&gt;"",$H390&lt;=$R390),"🟠TRAIL決済",IF($H390&lt;=$N390,"🔴損切",IF($W390&gt;=$AX$5,"⏱時間決済",IF($H390&lt;=$F390*(1-$AX$2*0.7),"⚠️損切接近","保持継続")))))))</f>
      </c>
      <c r="P390" s="445"/>
      <c r="R390" s="440" t="str">
        <f>IF(OR($F390="",$H390="",$N390=""),"",IF($S390="✅売却済","",IF($C390="売",IF($H390&gt;$F390*(1-$AX$2),$N390,CEILING(MIN($N390,IF($Q390="",$N390,$Q390*1.03)),IF($N390&lt;=3000,1,IF($N390&lt;=5000,5,IF($N390&lt;=30000,10,IF($N390&lt;=50000,50,IF($N390&lt;=300000,100,500))))))),IF($H390&lt;$F390*(1+$AX$2),$N390,FLOOR(MAX($N390,IF($P390="",$N390,$P390*0.97)),IF($N390&lt;=3000,1,IF($N390&lt;=5000,5,IF($N390&lt;=30000,10,IF($N390&lt;=50000,50,IF($N390&lt;=300000,100,500))))))))))</f>
      </c>
      <c r="S390" s="440" t="str">
        <f>IF(B390="","",IF(T390&lt;&gt;"","✅売却済",IF(OR(H390="",L390=""),"📌保有中",IF(L390&gt;=0.06,"🟢利確推奨",IF(L390&gt;=0.05,"🟡利確直近",IF(L390&gt;=0.045,"🔵トレーリング検討",IF(L390&gt;-0.03,"📌保有中",IF(L390&gt;-0.04,"⚠️損切注意","🔴損切り"))))))))</f>
        <v/>
      </c>
      <c r="T390" s="597"/>
      <c r="U390" s="599"/>
      <c r="V390" s="704" t="str">
        <f>IF(OR(F390="",G390="",U390=""),"",IF(C390="売",(F390-U390)*G390,(U390-F390)*G390))</f>
        <v/>
      </c>
      <c r="W390" s="440" t="str">
        <f>IF(OR($E390="",$B390=""),"",IF($T390&lt;&gt;"",$T390-$E390,TODAY()-$E390)+1)</f>
        <v/>
      </c>
      <c r="X390" s="440" t="str">
        <f>IF(OR($AH390="",$AH390="保有中"),"",$AH390)</f>
        <v/>
      </c>
      <c r="Y390">
        <f>IF($B390="","",IF(COUNTIFS($B$4:$B390,$B390,$C$4:$C390,$C390)&gt;1,"⛔重複"&amp;COUNTIFS($B$4:$B390,$B390,$C$4:$C390,$C390)&amp;"回目",""))</f>
      </c>
      <c r="AB390">
        <f>IF($F390="","",MAX(100,ROUNDDOWN($AX$4/($F390*$AX$2)/100,0)*100))</f>
      </c>
      <c r="AC390">
        <f>IF(OR($F390="",$G390="",$U390=""),"",ROUND($V390-($F390+$U390)*$G390*$AX$6-IF($C390="売",$F390*$G390*$AX$7*$W390/365,0),0))</f>
      </c>
      <c r="AD390" s="608"/>
      <c r="AE390" s="600" t="str">
        <f>IF($E390="","",WORKDAY($E390,12))</f>
        <v/>
      </c>
      <c r="AF390" s="600"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0"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0" t="str">
        <f>IF(OR($B390="",$M390=""),"",IF(AND(N($AF390)=0,N($AG390)=0),IF(AND(ISNUMBER($H390),$H390&gt;0,IF($C390="売",$H390&gt;=$N390,$H390&lt;=$N390)),"損切確定",IF(AND(ISNUMBER($H390),$H390&gt;0,IF($C390="売",$H390&lt;=$M390,$H390&gt;=$M390)),"利益確定",IF($AE390&lt;=TODAY(),"日数制限","保有中"))),IF(N($AG390)=0,"利益確定",IF(N($AF390)=0,"損切確定",IF($AG390&lt;=$AF390,"損切確定","利益確定")))))</f>
        <v/>
      </c>
      <c r="AI390" s="600" t="str" cm="1">
        <f t="array" ref="AI390">IFERROR(INDEX(始値!$E$6:$BT$305,MATCH(TEXT($B390,"0"),TEXT(銘柄管理!$B$6:$B$305,"0"),0),MATCH($AE390,始値!$E$3:$BT$3,0)),"")</f>
        <v/>
      </c>
      <c r="AJ390" s="608" t="str">
        <f>IF(OR($V390="",$F390="",$G390=""),"",$V390/($F390*$G390))</f>
        <v/>
      </c>
      <c r="AK390" s="600" t="str">
        <f>IF($V390="","",IF($V390&gt;0,"○勝",IF($V390&lt;0,"●負","△引分")))</f>
        <v/>
      </c>
    </row>
    <row r="391" spans="1:37" ht="17.25" customHeight="1">
      <c r="A391" s="622" t="str">
        <f>IF(B391="","",HYPERLINK("https://kabutan.jp/stock/?code="&amp;B391,"株探"))</f>
        <v/>
      </c>
      <c r="D391" s="440" t="str" cm="1">
        <f t="array" ref="D391">_xll.RssMarket(B391, "銘柄名称")</f>
        <v/>
      </c>
      <c r="E391" s="717"/>
      <c r="F391" s="6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IF(OR(F391="",G391="",H391=""),"",IF(C391="売",(F391-H391)*G391,(H391-F391)*G391))</f>
        <v/>
      </c>
      <c r="L391" s="709" t="str">
        <f>IF(OR(F391="",H391=""),"",IF(C391="売",(F391-H391)/F391,(H391-F391)/F391))</f>
        <v/>
      </c>
      <c r="M391" s="599" t="str">
        <f>IF($F391="","",IF($C391="売",CEILING($F391*IF($C391="売",1-$AX$3,1+$AX$3),IF($F391*IF($C391="売",1-$AX$3,1+$AX$3)&lt;=3000,1,IF($F391*IF($C391="売",1-$AX$3,1+$AX$3)&lt;=5000,5,IF($F391*IF($C391="売",1-$AX$3,1+$AX$3)&lt;=30000,10,IF($F391*IF($C391="売",1-$AX$3,1+$AX$3)&lt;=50000,50,IF($F391*IF($C391="売",1-$AX$3,1+$AX$3)&lt;=300000,100,500)))))),FLOOR($F391*IF($C391="売",1-$AX$3,1+$AX$3),IF($F391*IF($C391="売",1-$AX$3,1+$AX$3)&lt;=3000,1,IF($F391*IF($C391="売",1-$AX$3,1+$AX$3)&lt;=5000,5,IF($F391*IF($C391="売",1-$AX$3,1+$AX$3)&lt;=30000,10,IF($F391*IF($C391="売",1-$AX$3,1+$AX$3)&lt;=50000,50,IF($F391*IF($C391="売",1-$AX$3,1+$AX$3)&lt;=300000,100,500))))))))</f>
      </c>
      <c r="N391" s="599" t="str">
        <f>IF($F391="","",IF($C391="売",CEILING($F391*IF($C391="売",1+$AX$2,1-$AX$2),IF($F391*IF($C391="売",1+$AX$2,1-$AX$2)&lt;=3000,1,IF($F391*IF($C391="売",1+$AX$2,1-$AX$2)&lt;=5000,5,IF($F391*IF($C391="売",1+$AX$2,1-$AX$2)&lt;=30000,10,IF($F391*IF($C391="売",1+$AX$2,1-$AX$2)&lt;=50000,50,IF($F391*IF($C391="売",1+$AX$2,1-$AX$2)&lt;=300000,100,500)))))),FLOOR($F391*IF($C391="売",1+$AX$2,1-$AX$2),IF($F391*IF($C391="売",1+$AX$2,1-$AX$2)&lt;=3000,1,IF($F391*IF($C391="売",1+$AX$2,1-$AX$2)&lt;=5000,5,IF($F391*IF($C391="売",1+$AX$2,1-$AX$2)&lt;=30000,10,IF($F391*IF($C391="売",1+$AX$2,1-$AX$2)&lt;=50000,50,IF($F391*IF($C391="売",1+$AX$2,1-$AX$2)&lt;=300000,100,500))))))))</f>
      </c>
      <c r="O391" s="478" t="str">
        <f>IF(OR($B391="",$F391="",$H391=""),"",IF($S391="✅売却済","―決済済―",IF($C391="売",IF($H391&lt;=$M391,"🟢利確",IF(AND($R391&lt;&gt;"",$H391&gt;=$R391),"🟠TRAIL決済",IF($H391&gt;=$N391,"🔴損切",IF($W391&gt;=$AX$5,"⏱時間決済",IF($H391&gt;=$F391*(1+$AX$2*0.7),"⚠️損切接近","保持継続"))))),IF($H391&gt;=$M391,"🟢利確",IF(AND($R391&lt;&gt;"",$H391&lt;=$R391),"🟠TRAIL決済",IF($H391&lt;=$N391,"🔴損切",IF($W391&gt;=$AX$5,"⏱時間決済",IF($H391&lt;=$F391*(1-$AX$2*0.7),"⚠️損切接近","保持継続")))))))</f>
      </c>
      <c r="P391" s="445"/>
      <c r="R391" s="440" t="str">
        <f>IF(OR($F391="",$H391="",$N391=""),"",IF($S391="✅売却済","",IF($C391="売",IF($H391&gt;$F391*(1-$AX$2),$N391,CEILING(MIN($N391,IF($Q391="",$N391,$Q391*1.03)),IF($N391&lt;=3000,1,IF($N391&lt;=5000,5,IF($N391&lt;=30000,10,IF($N391&lt;=50000,50,IF($N391&lt;=300000,100,500))))))),IF($H391&lt;$F391*(1+$AX$2),$N391,FLOOR(MAX($N391,IF($P391="",$N391,$P391*0.97)),IF($N391&lt;=3000,1,IF($N391&lt;=5000,5,IF($N391&lt;=30000,10,IF($N391&lt;=50000,50,IF($N391&lt;=300000,100,500))))))))))</f>
      </c>
      <c r="S391" s="440" t="str">
        <f>IF(B391="","",IF(T391&lt;&gt;"","✅売却済",IF(OR(H391="",L391=""),"📌保有中",IF(L391&gt;=0.06,"🟢利確推奨",IF(L391&gt;=0.05,"🟡利確直近",IF(L391&gt;=0.045,"🔵トレーリング検討",IF(L391&gt;-0.03,"📌保有中",IF(L391&gt;-0.04,"⚠️損切注意","🔴損切り"))))))))</f>
        <v/>
      </c>
      <c r="T391" s="597"/>
      <c r="U391" s="599"/>
      <c r="V391" s="704" t="str">
        <f>IF(OR(F391="",G391="",U391=""),"",IF(C391="売",(F391-U391)*G391,(U391-F391)*G391))</f>
        <v/>
      </c>
      <c r="W391" s="440" t="str">
        <f>IF(OR($E391="",$B391=""),"",IF($T391&lt;&gt;"",$T391-$E391,TODAY()-$E391)+1)</f>
        <v/>
      </c>
      <c r="X391" s="440" t="str">
        <f>IF(OR($AH391="",$AH391="保有中"),"",$AH391)</f>
        <v/>
      </c>
      <c r="Y391">
        <f>IF($B391="","",IF(COUNTIFS($B$4:$B391,$B391,$C$4:$C391,$C391)&gt;1,"⛔重複"&amp;COUNTIFS($B$4:$B391,$B391,$C$4:$C391,$C391)&amp;"回目",""))</f>
      </c>
      <c r="AB391">
        <f>IF($F391="","",MAX(100,ROUNDDOWN($AX$4/($F391*$AX$2)/100,0)*100))</f>
      </c>
      <c r="AC391">
        <f>IF(OR($F391="",$G391="",$U391=""),"",ROUND($V391-($F391+$U391)*$G391*$AX$6-IF($C391="売",$F391*$G391*$AX$7*$W391/365,0),0))</f>
      </c>
      <c r="AD391" s="608"/>
      <c r="AE391" s="600" t="str">
        <f>IF($E391="","",WORKDAY($E391,12))</f>
        <v/>
      </c>
      <c r="AF391" s="600"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0"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0" t="str">
        <f>IF(OR($B391="",$M391=""),"",IF(AND(N($AF391)=0,N($AG391)=0),IF(AND(ISNUMBER($H391),$H391&gt;0,IF($C391="売",$H391&gt;=$N391,$H391&lt;=$N391)),"損切確定",IF(AND(ISNUMBER($H391),$H391&gt;0,IF($C391="売",$H391&lt;=$M391,$H391&gt;=$M391)),"利益確定",IF($AE391&lt;=TODAY(),"日数制限","保有中"))),IF(N($AG391)=0,"利益確定",IF(N($AF391)=0,"損切確定",IF($AG391&lt;=$AF391,"損切確定","利益確定")))))</f>
        <v/>
      </c>
      <c r="AI391" s="600" t="str" cm="1">
        <f t="array" ref="AI391">IFERROR(INDEX(始値!$E$6:$BT$305,MATCH(TEXT($B391,"0"),TEXT(銘柄管理!$B$6:$B$305,"0"),0),MATCH($AE391,始値!$E$3:$BT$3,0)),"")</f>
        <v/>
      </c>
      <c r="AJ391" s="608" t="str">
        <f>IF(OR($V391="",$F391="",$G391=""),"",$V391/($F391*$G391))</f>
        <v/>
      </c>
      <c r="AK391" s="600" t="str">
        <f>IF($V391="","",IF($V391&gt;0,"○勝",IF($V391&lt;0,"●負","△引分")))</f>
        <v/>
      </c>
    </row>
    <row r="392" spans="1:37" ht="17.25" customHeight="1">
      <c r="A392" s="622" t="str">
        <f>IF(B392="","",HYPERLINK("https://kabutan.jp/stock/?code="&amp;B392,"株探"))</f>
        <v/>
      </c>
      <c r="D392" s="440" t="str" cm="1">
        <f t="array" ref="D392">_xll.RssMarket(B392, "銘柄名称")</f>
        <v/>
      </c>
      <c r="E392" s="717"/>
      <c r="F392" s="6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IF(OR(F392="",G392="",H392=""),"",IF(C392="売",(F392-H392)*G392,(H392-F392)*G392))</f>
        <v/>
      </c>
      <c r="L392" s="709" t="str">
        <f>IF(OR(F392="",H392=""),"",IF(C392="売",(F392-H392)/F392,(H392-F392)/F392))</f>
        <v/>
      </c>
      <c r="M392" s="599" t="str">
        <f>IF($F392="","",IF($C392="売",CEILING($F392*IF($C392="売",1-$AX$3,1+$AX$3),IF($F392*IF($C392="売",1-$AX$3,1+$AX$3)&lt;=3000,1,IF($F392*IF($C392="売",1-$AX$3,1+$AX$3)&lt;=5000,5,IF($F392*IF($C392="売",1-$AX$3,1+$AX$3)&lt;=30000,10,IF($F392*IF($C392="売",1-$AX$3,1+$AX$3)&lt;=50000,50,IF($F392*IF($C392="売",1-$AX$3,1+$AX$3)&lt;=300000,100,500)))))),FLOOR($F392*IF($C392="売",1-$AX$3,1+$AX$3),IF($F392*IF($C392="売",1-$AX$3,1+$AX$3)&lt;=3000,1,IF($F392*IF($C392="売",1-$AX$3,1+$AX$3)&lt;=5000,5,IF($F392*IF($C392="売",1-$AX$3,1+$AX$3)&lt;=30000,10,IF($F392*IF($C392="売",1-$AX$3,1+$AX$3)&lt;=50000,50,IF($F392*IF($C392="売",1-$AX$3,1+$AX$3)&lt;=300000,100,500))))))))</f>
      </c>
      <c r="N392" s="599" t="str">
        <f>IF($F392="","",IF($C392="売",CEILING($F392*IF($C392="売",1+$AX$2,1-$AX$2),IF($F392*IF($C392="売",1+$AX$2,1-$AX$2)&lt;=3000,1,IF($F392*IF($C392="売",1+$AX$2,1-$AX$2)&lt;=5000,5,IF($F392*IF($C392="売",1+$AX$2,1-$AX$2)&lt;=30000,10,IF($F392*IF($C392="売",1+$AX$2,1-$AX$2)&lt;=50000,50,IF($F392*IF($C392="売",1+$AX$2,1-$AX$2)&lt;=300000,100,500)))))),FLOOR($F392*IF($C392="売",1+$AX$2,1-$AX$2),IF($F392*IF($C392="売",1+$AX$2,1-$AX$2)&lt;=3000,1,IF($F392*IF($C392="売",1+$AX$2,1-$AX$2)&lt;=5000,5,IF($F392*IF($C392="売",1+$AX$2,1-$AX$2)&lt;=30000,10,IF($F392*IF($C392="売",1+$AX$2,1-$AX$2)&lt;=50000,50,IF($F392*IF($C392="売",1+$AX$2,1-$AX$2)&lt;=300000,100,500))))))))</f>
      </c>
      <c r="O392" s="478" t="str">
        <f>IF(OR($B392="",$F392="",$H392=""),"",IF($S392="✅売却済","―決済済―",IF($C392="売",IF($H392&lt;=$M392,"🟢利確",IF(AND($R392&lt;&gt;"",$H392&gt;=$R392),"🟠TRAIL決済",IF($H392&gt;=$N392,"🔴損切",IF($W392&gt;=$AX$5,"⏱時間決済",IF($H392&gt;=$F392*(1+$AX$2*0.7),"⚠️損切接近","保持継続"))))),IF($H392&gt;=$M392,"🟢利確",IF(AND($R392&lt;&gt;"",$H392&lt;=$R392),"🟠TRAIL決済",IF($H392&lt;=$N392,"🔴損切",IF($W392&gt;=$AX$5,"⏱時間決済",IF($H392&lt;=$F392*(1-$AX$2*0.7),"⚠️損切接近","保持継続")))))))</f>
      </c>
      <c r="P392" s="445"/>
      <c r="R392" s="440" t="str">
        <f>IF(OR($F392="",$H392="",$N392=""),"",IF($S392="✅売却済","",IF($C392="売",IF($H392&gt;$F392*(1-$AX$2),$N392,CEILING(MIN($N392,IF($Q392="",$N392,$Q392*1.03)),IF($N392&lt;=3000,1,IF($N392&lt;=5000,5,IF($N392&lt;=30000,10,IF($N392&lt;=50000,50,IF($N392&lt;=300000,100,500))))))),IF($H392&lt;$F392*(1+$AX$2),$N392,FLOOR(MAX($N392,IF($P392="",$N392,$P392*0.97)),IF($N392&lt;=3000,1,IF($N392&lt;=5000,5,IF($N392&lt;=30000,10,IF($N392&lt;=50000,50,IF($N392&lt;=300000,100,500))))))))))</f>
      </c>
      <c r="S392" s="440" t="str">
        <f>IF(B392="","",IF(T392&lt;&gt;"","✅売却済",IF(OR(H392="",L392=""),"📌保有中",IF(L392&gt;=0.06,"🟢利確推奨",IF(L392&gt;=0.05,"🟡利確直近",IF(L392&gt;=0.045,"🔵トレーリング検討",IF(L392&gt;-0.03,"📌保有中",IF(L392&gt;-0.04,"⚠️損切注意","🔴損切り"))))))))</f>
        <v/>
      </c>
      <c r="T392" s="597"/>
      <c r="U392" s="599"/>
      <c r="V392" s="704" t="str">
        <f>IF(OR(F392="",G392="",U392=""),"",IF(C392="売",(F392-U392)*G392,(U392-F392)*G392))</f>
        <v/>
      </c>
      <c r="W392" s="440" t="str">
        <f>IF(OR($E392="",$B392=""),"",IF($T392&lt;&gt;"",$T392-$E392,TODAY()-$E392)+1)</f>
        <v/>
      </c>
      <c r="X392" s="440" t="str">
        <f>IF(OR($AH392="",$AH392="保有中"),"",$AH392)</f>
        <v/>
      </c>
      <c r="Y392">
        <f>IF($B392="","",IF(COUNTIFS($B$4:$B392,$B392,$C$4:$C392,$C392)&gt;1,"⛔重複"&amp;COUNTIFS($B$4:$B392,$B392,$C$4:$C392,$C392)&amp;"回目",""))</f>
      </c>
      <c r="AB392">
        <f>IF($F392="","",MAX(100,ROUNDDOWN($AX$4/($F392*$AX$2)/100,0)*100))</f>
      </c>
      <c r="AC392">
        <f>IF(OR($F392="",$G392="",$U392=""),"",ROUND($V392-($F392+$U392)*$G392*$AX$6-IF($C392="売",$F392*$G392*$AX$7*$W392/365,0),0))</f>
      </c>
      <c r="AD392" s="608"/>
      <c r="AE392" s="600" t="str">
        <f>IF($E392="","",WORKDAY($E392,12))</f>
        <v/>
      </c>
      <c r="AF392" s="600"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0"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0" t="str">
        <f>IF(OR($B392="",$M392=""),"",IF(AND(N($AF392)=0,N($AG392)=0),IF(AND(ISNUMBER($H392),$H392&gt;0,IF($C392="売",$H392&gt;=$N392,$H392&lt;=$N392)),"損切確定",IF(AND(ISNUMBER($H392),$H392&gt;0,IF($C392="売",$H392&lt;=$M392,$H392&gt;=$M392)),"利益確定",IF($AE392&lt;=TODAY(),"日数制限","保有中"))),IF(N($AG392)=0,"利益確定",IF(N($AF392)=0,"損切確定",IF($AG392&lt;=$AF392,"損切確定","利益確定")))))</f>
        <v/>
      </c>
      <c r="AI392" s="600" t="str" cm="1">
        <f t="array" ref="AI392">IFERROR(INDEX(始値!$E$6:$BT$305,MATCH(TEXT($B392,"0"),TEXT(銘柄管理!$B$6:$B$305,"0"),0),MATCH($AE392,始値!$E$3:$BT$3,0)),"")</f>
        <v/>
      </c>
      <c r="AJ392" s="608" t="str">
        <f>IF(OR($V392="",$F392="",$G392=""),"",$V392/($F392*$G392))</f>
        <v/>
      </c>
      <c r="AK392" s="600" t="str">
        <f>IF($V392="","",IF($V392&gt;0,"○勝",IF($V392&lt;0,"●負","△引分")))</f>
        <v/>
      </c>
    </row>
    <row r="393" spans="1:37" ht="17.25" customHeight="1">
      <c r="A393" s="622" t="str">
        <f>IF(B393="","",HYPERLINK("https://kabutan.jp/stock/?code="&amp;B393,"株探"))</f>
        <v/>
      </c>
      <c r="D393" s="440" t="str" cm="1">
        <f t="array" ref="D393">_xll.RssMarket(B393, "銘柄名称")</f>
        <v/>
      </c>
      <c r="E393" s="717"/>
      <c r="F393" s="6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IF(OR(F393="",G393="",H393=""),"",IF(C393="売",(F393-H393)*G393,(H393-F393)*G393))</f>
        <v/>
      </c>
      <c r="L393" s="709" t="str">
        <f>IF(OR(F393="",H393=""),"",IF(C393="売",(F393-H393)/F393,(H393-F393)/F393))</f>
        <v/>
      </c>
      <c r="M393" s="599" t="str">
        <f>IF($F393="","",IF($C393="売",CEILING($F393*IF($C393="売",1-$AX$3,1+$AX$3),IF($F393*IF($C393="売",1-$AX$3,1+$AX$3)&lt;=3000,1,IF($F393*IF($C393="売",1-$AX$3,1+$AX$3)&lt;=5000,5,IF($F393*IF($C393="売",1-$AX$3,1+$AX$3)&lt;=30000,10,IF($F393*IF($C393="売",1-$AX$3,1+$AX$3)&lt;=50000,50,IF($F393*IF($C393="売",1-$AX$3,1+$AX$3)&lt;=300000,100,500)))))),FLOOR($F393*IF($C393="売",1-$AX$3,1+$AX$3),IF($F393*IF($C393="売",1-$AX$3,1+$AX$3)&lt;=3000,1,IF($F393*IF($C393="売",1-$AX$3,1+$AX$3)&lt;=5000,5,IF($F393*IF($C393="売",1-$AX$3,1+$AX$3)&lt;=30000,10,IF($F393*IF($C393="売",1-$AX$3,1+$AX$3)&lt;=50000,50,IF($F393*IF($C393="売",1-$AX$3,1+$AX$3)&lt;=300000,100,500))))))))</f>
      </c>
      <c r="N393" s="599" t="str">
        <f>IF($F393="","",IF($C393="売",CEILING($F393*IF($C393="売",1+$AX$2,1-$AX$2),IF($F393*IF($C393="売",1+$AX$2,1-$AX$2)&lt;=3000,1,IF($F393*IF($C393="売",1+$AX$2,1-$AX$2)&lt;=5000,5,IF($F393*IF($C393="売",1+$AX$2,1-$AX$2)&lt;=30000,10,IF($F393*IF($C393="売",1+$AX$2,1-$AX$2)&lt;=50000,50,IF($F393*IF($C393="売",1+$AX$2,1-$AX$2)&lt;=300000,100,500)))))),FLOOR($F393*IF($C393="売",1+$AX$2,1-$AX$2),IF($F393*IF($C393="売",1+$AX$2,1-$AX$2)&lt;=3000,1,IF($F393*IF($C393="売",1+$AX$2,1-$AX$2)&lt;=5000,5,IF($F393*IF($C393="売",1+$AX$2,1-$AX$2)&lt;=30000,10,IF($F393*IF($C393="売",1+$AX$2,1-$AX$2)&lt;=50000,50,IF($F393*IF($C393="売",1+$AX$2,1-$AX$2)&lt;=300000,100,500))))))))</f>
      </c>
      <c r="O393" s="478" t="str">
        <f>IF(OR($B393="",$F393="",$H393=""),"",IF($S393="✅売却済","―決済済―",IF($C393="売",IF($H393&lt;=$M393,"🟢利確",IF(AND($R393&lt;&gt;"",$H393&gt;=$R393),"🟠TRAIL決済",IF($H393&gt;=$N393,"🔴損切",IF($W393&gt;=$AX$5,"⏱時間決済",IF($H393&gt;=$F393*(1+$AX$2*0.7),"⚠️損切接近","保持継続"))))),IF($H393&gt;=$M393,"🟢利確",IF(AND($R393&lt;&gt;"",$H393&lt;=$R393),"🟠TRAIL決済",IF($H393&lt;=$N393,"🔴損切",IF($W393&gt;=$AX$5,"⏱時間決済",IF($H393&lt;=$F393*(1-$AX$2*0.7),"⚠️損切接近","保持継続")))))))</f>
      </c>
      <c r="P393" s="445"/>
      <c r="R393" s="440" t="str">
        <f>IF(OR($F393="",$H393="",$N393=""),"",IF($S393="✅売却済","",IF($C393="売",IF($H393&gt;$F393*(1-$AX$2),$N393,CEILING(MIN($N393,IF($Q393="",$N393,$Q393*1.03)),IF($N393&lt;=3000,1,IF($N393&lt;=5000,5,IF($N393&lt;=30000,10,IF($N393&lt;=50000,50,IF($N393&lt;=300000,100,500))))))),IF($H393&lt;$F393*(1+$AX$2),$N393,FLOOR(MAX($N393,IF($P393="",$N393,$P393*0.97)),IF($N393&lt;=3000,1,IF($N393&lt;=5000,5,IF($N393&lt;=30000,10,IF($N393&lt;=50000,50,IF($N393&lt;=300000,100,500))))))))))</f>
      </c>
      <c r="S393" s="440" t="str">
        <f>IF(B393="","",IF(T393&lt;&gt;"","✅売却済",IF(OR(H393="",L393=""),"📌保有中",IF(L393&gt;=0.06,"🟢利確推奨",IF(L393&gt;=0.05,"🟡利確直近",IF(L393&gt;=0.045,"🔵トレーリング検討",IF(L393&gt;-0.03,"📌保有中",IF(L393&gt;-0.04,"⚠️損切注意","🔴損切り"))))))))</f>
        <v/>
      </c>
      <c r="T393" s="597"/>
      <c r="U393" s="599"/>
      <c r="V393" s="704" t="str">
        <f>IF(OR(F393="",G393="",U393=""),"",IF(C393="売",(F393-U393)*G393,(U393-F393)*G393))</f>
        <v/>
      </c>
      <c r="W393" s="440" t="str">
        <f>IF(OR($E393="",$B393=""),"",IF($T393&lt;&gt;"",$T393-$E393,TODAY()-$E393)+1)</f>
        <v/>
      </c>
      <c r="X393" s="440" t="str">
        <f>IF(OR($AH393="",$AH393="保有中"),"",$AH393)</f>
        <v/>
      </c>
      <c r="Y393">
        <f>IF($B393="","",IF(COUNTIFS($B$4:$B393,$B393,$C$4:$C393,$C393)&gt;1,"⛔重複"&amp;COUNTIFS($B$4:$B393,$B393,$C$4:$C393,$C393)&amp;"回目",""))</f>
      </c>
      <c r="AB393">
        <f>IF($F393="","",MAX(100,ROUNDDOWN($AX$4/($F393*$AX$2)/100,0)*100))</f>
      </c>
      <c r="AC393">
        <f>IF(OR($F393="",$G393="",$U393=""),"",ROUND($V393-($F393+$U393)*$G393*$AX$6-IF($C393="売",$F393*$G393*$AX$7*$W393/365,0),0))</f>
      </c>
      <c r="AD393" s="608"/>
      <c r="AE393" s="600" t="str">
        <f>IF($E393="","",WORKDAY($E393,12))</f>
        <v/>
      </c>
      <c r="AF393" s="600"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0"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0" t="str">
        <f>IF(OR($B393="",$M393=""),"",IF(AND(N($AF393)=0,N($AG393)=0),IF(AND(ISNUMBER($H393),$H393&gt;0,IF($C393="売",$H393&gt;=$N393,$H393&lt;=$N393)),"損切確定",IF(AND(ISNUMBER($H393),$H393&gt;0,IF($C393="売",$H393&lt;=$M393,$H393&gt;=$M393)),"利益確定",IF($AE393&lt;=TODAY(),"日数制限","保有中"))),IF(N($AG393)=0,"利益確定",IF(N($AF393)=0,"損切確定",IF($AG393&lt;=$AF393,"損切確定","利益確定")))))</f>
        <v/>
      </c>
      <c r="AI393" s="600" t="str" cm="1">
        <f t="array" ref="AI393">IFERROR(INDEX(始値!$E$6:$BT$305,MATCH(TEXT($B393,"0"),TEXT(銘柄管理!$B$6:$B$305,"0"),0),MATCH($AE393,始値!$E$3:$BT$3,0)),"")</f>
        <v/>
      </c>
      <c r="AJ393" s="608" t="str">
        <f>IF(OR($V393="",$F393="",$G393=""),"",$V393/($F393*$G393))</f>
        <v/>
      </c>
      <c r="AK393" s="600" t="str">
        <f>IF($V393="","",IF($V393&gt;0,"○勝",IF($V393&lt;0,"●負","△引分")))</f>
        <v/>
      </c>
    </row>
    <row r="394" spans="1:37" ht="17.25" customHeight="1">
      <c r="A394" s="622" t="str">
        <f>IF(B394="","",HYPERLINK("https://kabutan.jp/stock/?code="&amp;B394,"株探"))</f>
        <v/>
      </c>
      <c r="D394" s="440" t="str" cm="1">
        <f t="array" ref="D394">_xll.RssMarket(B394, "銘柄名称")</f>
        <v/>
      </c>
      <c r="E394" s="717"/>
      <c r="F394" s="6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IF(OR(F394="",G394="",H394=""),"",IF(C394="売",(F394-H394)*G394,(H394-F394)*G394))</f>
        <v/>
      </c>
      <c r="L394" s="709" t="str">
        <f>IF(OR(F394="",H394=""),"",IF(C394="売",(F394-H394)/F394,(H394-F394)/F394))</f>
        <v/>
      </c>
      <c r="M394" s="599" t="str">
        <f>IF($F394="","",IF($C394="売",CEILING($F394*IF($C394="売",1-$AX$3,1+$AX$3),IF($F394*IF($C394="売",1-$AX$3,1+$AX$3)&lt;=3000,1,IF($F394*IF($C394="売",1-$AX$3,1+$AX$3)&lt;=5000,5,IF($F394*IF($C394="売",1-$AX$3,1+$AX$3)&lt;=30000,10,IF($F394*IF($C394="売",1-$AX$3,1+$AX$3)&lt;=50000,50,IF($F394*IF($C394="売",1-$AX$3,1+$AX$3)&lt;=300000,100,500)))))),FLOOR($F394*IF($C394="売",1-$AX$3,1+$AX$3),IF($F394*IF($C394="売",1-$AX$3,1+$AX$3)&lt;=3000,1,IF($F394*IF($C394="売",1-$AX$3,1+$AX$3)&lt;=5000,5,IF($F394*IF($C394="売",1-$AX$3,1+$AX$3)&lt;=30000,10,IF($F394*IF($C394="売",1-$AX$3,1+$AX$3)&lt;=50000,50,IF($F394*IF($C394="売",1-$AX$3,1+$AX$3)&lt;=300000,100,500))))))))</f>
      </c>
      <c r="N394" s="599" t="str">
        <f>IF($F394="","",IF($C394="売",CEILING($F394*IF($C394="売",1+$AX$2,1-$AX$2),IF($F394*IF($C394="売",1+$AX$2,1-$AX$2)&lt;=3000,1,IF($F394*IF($C394="売",1+$AX$2,1-$AX$2)&lt;=5000,5,IF($F394*IF($C394="売",1+$AX$2,1-$AX$2)&lt;=30000,10,IF($F394*IF($C394="売",1+$AX$2,1-$AX$2)&lt;=50000,50,IF($F394*IF($C394="売",1+$AX$2,1-$AX$2)&lt;=300000,100,500)))))),FLOOR($F394*IF($C394="売",1+$AX$2,1-$AX$2),IF($F394*IF($C394="売",1+$AX$2,1-$AX$2)&lt;=3000,1,IF($F394*IF($C394="売",1+$AX$2,1-$AX$2)&lt;=5000,5,IF($F394*IF($C394="売",1+$AX$2,1-$AX$2)&lt;=30000,10,IF($F394*IF($C394="売",1+$AX$2,1-$AX$2)&lt;=50000,50,IF($F394*IF($C394="売",1+$AX$2,1-$AX$2)&lt;=300000,100,500))))))))</f>
      </c>
      <c r="O394" s="478" t="str">
        <f>IF(OR($B394="",$F394="",$H394=""),"",IF($S394="✅売却済","―決済済―",IF($C394="売",IF($H394&lt;=$M394,"🟢利確",IF(AND($R394&lt;&gt;"",$H394&gt;=$R394),"🟠TRAIL決済",IF($H394&gt;=$N394,"🔴損切",IF($W394&gt;=$AX$5,"⏱時間決済",IF($H394&gt;=$F394*(1+$AX$2*0.7),"⚠️損切接近","保持継続"))))),IF($H394&gt;=$M394,"🟢利確",IF(AND($R394&lt;&gt;"",$H394&lt;=$R394),"🟠TRAIL決済",IF($H394&lt;=$N394,"🔴損切",IF($W394&gt;=$AX$5,"⏱時間決済",IF($H394&lt;=$F394*(1-$AX$2*0.7),"⚠️損切接近","保持継続")))))))</f>
      </c>
      <c r="P394" s="445"/>
      <c r="R394" s="440" t="str">
        <f>IF(OR($F394="",$H394="",$N394=""),"",IF($S394="✅売却済","",IF($C394="売",IF($H394&gt;$F394*(1-$AX$2),$N394,CEILING(MIN($N394,IF($Q394="",$N394,$Q394*1.03)),IF($N394&lt;=3000,1,IF($N394&lt;=5000,5,IF($N394&lt;=30000,10,IF($N394&lt;=50000,50,IF($N394&lt;=300000,100,500))))))),IF($H394&lt;$F394*(1+$AX$2),$N394,FLOOR(MAX($N394,IF($P394="",$N394,$P394*0.97)),IF($N394&lt;=3000,1,IF($N394&lt;=5000,5,IF($N394&lt;=30000,10,IF($N394&lt;=50000,50,IF($N394&lt;=300000,100,500))))))))))</f>
      </c>
      <c r="S394" s="440" t="str">
        <f>IF(B394="","",IF(T394&lt;&gt;"","✅売却済",IF(OR(H394="",L394=""),"📌保有中",IF(L394&gt;=0.06,"🟢利確推奨",IF(L394&gt;=0.05,"🟡利確直近",IF(L394&gt;=0.045,"🔵トレーリング検討",IF(L394&gt;-0.03,"📌保有中",IF(L394&gt;-0.04,"⚠️損切注意","🔴損切り"))))))))</f>
        <v/>
      </c>
      <c r="T394" s="597"/>
      <c r="U394" s="599"/>
      <c r="V394" s="704" t="str">
        <f>IF(OR(F394="",G394="",U394=""),"",IF(C394="売",(F394-U394)*G394,(U394-F394)*G394))</f>
        <v/>
      </c>
      <c r="W394" s="440" t="str">
        <f>IF(OR($E394="",$B394=""),"",IF($T394&lt;&gt;"",$T394-$E394,TODAY()-$E394)+1)</f>
        <v/>
      </c>
      <c r="X394" s="440" t="str">
        <f>IF(OR($AH394="",$AH394="保有中"),"",$AH394)</f>
        <v/>
      </c>
      <c r="Y394">
        <f>IF($B394="","",IF(COUNTIFS($B$4:$B394,$B394,$C$4:$C394,$C394)&gt;1,"⛔重複"&amp;COUNTIFS($B$4:$B394,$B394,$C$4:$C394,$C394)&amp;"回目",""))</f>
      </c>
      <c r="AB394">
        <f>IF($F394="","",MAX(100,ROUNDDOWN($AX$4/($F394*$AX$2)/100,0)*100))</f>
      </c>
      <c r="AC394">
        <f>IF(OR($F394="",$G394="",$U394=""),"",ROUND($V394-($F394+$U394)*$G394*$AX$6-IF($C394="売",$F394*$G394*$AX$7*$W394/365,0),0))</f>
      </c>
      <c r="AD394" s="608"/>
      <c r="AE394" s="600" t="str">
        <f>IF($E394="","",WORKDAY($E394,12))</f>
        <v/>
      </c>
      <c r="AF394" s="600"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0"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0" t="str">
        <f>IF(OR($B394="",$M394=""),"",IF(AND(N($AF394)=0,N($AG394)=0),IF(AND(ISNUMBER($H394),$H394&gt;0,IF($C394="売",$H394&gt;=$N394,$H394&lt;=$N394)),"損切確定",IF(AND(ISNUMBER($H394),$H394&gt;0,IF($C394="売",$H394&lt;=$M394,$H394&gt;=$M394)),"利益確定",IF($AE394&lt;=TODAY(),"日数制限","保有中"))),IF(N($AG394)=0,"利益確定",IF(N($AF394)=0,"損切確定",IF($AG394&lt;=$AF394,"損切確定","利益確定")))))</f>
        <v/>
      </c>
      <c r="AI394" s="600" t="str" cm="1">
        <f t="array" ref="AI394">IFERROR(INDEX(始値!$E$6:$BT$305,MATCH(TEXT($B394,"0"),TEXT(銘柄管理!$B$6:$B$305,"0"),0),MATCH($AE394,始値!$E$3:$BT$3,0)),"")</f>
        <v/>
      </c>
      <c r="AJ394" s="608" t="str">
        <f>IF(OR($V394="",$F394="",$G394=""),"",$V394/($F394*$G394))</f>
        <v/>
      </c>
      <c r="AK394" s="600" t="str">
        <f>IF($V394="","",IF($V394&gt;0,"○勝",IF($V394&lt;0,"●負","△引分")))</f>
        <v/>
      </c>
    </row>
    <row r="395" spans="1:37" ht="17.25" customHeight="1">
      <c r="A395" s="622" t="str">
        <f>IF(B395="","",HYPERLINK("https://kabutan.jp/stock/?code="&amp;B395,"株探"))</f>
        <v/>
      </c>
      <c r="D395" s="440" t="str" cm="1">
        <f t="array" ref="D395">_xll.RssMarket(B395, "銘柄名称")</f>
        <v/>
      </c>
      <c r="E395" s="717"/>
      <c r="F395" s="6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IF(OR(F395="",G395="",H395=""),"",IF(C395="売",(F395-H395)*G395,(H395-F395)*G395))</f>
        <v/>
      </c>
      <c r="L395" s="709" t="str">
        <f>IF(OR(F395="",H395=""),"",IF(C395="売",(F395-H395)/F395,(H395-F395)/F395))</f>
        <v/>
      </c>
      <c r="M395" s="599" t="str">
        <f>IF($F395="","",IF($C395="売",CEILING($F395*IF($C395="売",1-$AX$3,1+$AX$3),IF($F395*IF($C395="売",1-$AX$3,1+$AX$3)&lt;=3000,1,IF($F395*IF($C395="売",1-$AX$3,1+$AX$3)&lt;=5000,5,IF($F395*IF($C395="売",1-$AX$3,1+$AX$3)&lt;=30000,10,IF($F395*IF($C395="売",1-$AX$3,1+$AX$3)&lt;=50000,50,IF($F395*IF($C395="売",1-$AX$3,1+$AX$3)&lt;=300000,100,500)))))),FLOOR($F395*IF($C395="売",1-$AX$3,1+$AX$3),IF($F395*IF($C395="売",1-$AX$3,1+$AX$3)&lt;=3000,1,IF($F395*IF($C395="売",1-$AX$3,1+$AX$3)&lt;=5000,5,IF($F395*IF($C395="売",1-$AX$3,1+$AX$3)&lt;=30000,10,IF($F395*IF($C395="売",1-$AX$3,1+$AX$3)&lt;=50000,50,IF($F395*IF($C395="売",1-$AX$3,1+$AX$3)&lt;=300000,100,500))))))))</f>
      </c>
      <c r="N395" s="599" t="str">
        <f>IF($F395="","",IF($C395="売",CEILING($F395*IF($C395="売",1+$AX$2,1-$AX$2),IF($F395*IF($C395="売",1+$AX$2,1-$AX$2)&lt;=3000,1,IF($F395*IF($C395="売",1+$AX$2,1-$AX$2)&lt;=5000,5,IF($F395*IF($C395="売",1+$AX$2,1-$AX$2)&lt;=30000,10,IF($F395*IF($C395="売",1+$AX$2,1-$AX$2)&lt;=50000,50,IF($F395*IF($C395="売",1+$AX$2,1-$AX$2)&lt;=300000,100,500)))))),FLOOR($F395*IF($C395="売",1+$AX$2,1-$AX$2),IF($F395*IF($C395="売",1+$AX$2,1-$AX$2)&lt;=3000,1,IF($F395*IF($C395="売",1+$AX$2,1-$AX$2)&lt;=5000,5,IF($F395*IF($C395="売",1+$AX$2,1-$AX$2)&lt;=30000,10,IF($F395*IF($C395="売",1+$AX$2,1-$AX$2)&lt;=50000,50,IF($F395*IF($C395="売",1+$AX$2,1-$AX$2)&lt;=300000,100,500))))))))</f>
      </c>
      <c r="O395" s="478" t="str">
        <f>IF(OR($B395="",$F395="",$H395=""),"",IF($S395="✅売却済","―決済済―",IF($C395="売",IF($H395&lt;=$M395,"🟢利確",IF(AND($R395&lt;&gt;"",$H395&gt;=$R395),"🟠TRAIL決済",IF($H395&gt;=$N395,"🔴損切",IF($W395&gt;=$AX$5,"⏱時間決済",IF($H395&gt;=$F395*(1+$AX$2*0.7),"⚠️損切接近","保持継続"))))),IF($H395&gt;=$M395,"🟢利確",IF(AND($R395&lt;&gt;"",$H395&lt;=$R395),"🟠TRAIL決済",IF($H395&lt;=$N395,"🔴損切",IF($W395&gt;=$AX$5,"⏱時間決済",IF($H395&lt;=$F395*(1-$AX$2*0.7),"⚠️損切接近","保持継続")))))))</f>
      </c>
      <c r="P395" s="445"/>
      <c r="R395" s="440" t="str">
        <f>IF(OR($F395="",$H395="",$N395=""),"",IF($S395="✅売却済","",IF($C395="売",IF($H395&gt;$F395*(1-$AX$2),$N395,CEILING(MIN($N395,IF($Q395="",$N395,$Q395*1.03)),IF($N395&lt;=3000,1,IF($N395&lt;=5000,5,IF($N395&lt;=30000,10,IF($N395&lt;=50000,50,IF($N395&lt;=300000,100,500))))))),IF($H395&lt;$F395*(1+$AX$2),$N395,FLOOR(MAX($N395,IF($P395="",$N395,$P395*0.97)),IF($N395&lt;=3000,1,IF($N395&lt;=5000,5,IF($N395&lt;=30000,10,IF($N395&lt;=50000,50,IF($N395&lt;=300000,100,500))))))))))</f>
      </c>
      <c r="S395" s="440" t="str">
        <f>IF(B395="","",IF(T395&lt;&gt;"","✅売却済",IF(OR(H395="",L395=""),"📌保有中",IF(L395&gt;=0.06,"🟢利確推奨",IF(L395&gt;=0.05,"🟡利確直近",IF(L395&gt;=0.045,"🔵トレーリング検討",IF(L395&gt;-0.03,"📌保有中",IF(L395&gt;-0.04,"⚠️損切注意","🔴損切り"))))))))</f>
        <v/>
      </c>
      <c r="T395" s="597"/>
      <c r="U395" s="599"/>
      <c r="V395" s="704" t="str">
        <f>IF(OR(F395="",G395="",U395=""),"",IF(C395="売",(F395-U395)*G395,(U395-F395)*G395))</f>
        <v/>
      </c>
      <c r="W395" s="440" t="str">
        <f>IF(OR($E395="",$B395=""),"",IF($T395&lt;&gt;"",$T395-$E395,TODAY()-$E395)+1)</f>
        <v/>
      </c>
      <c r="X395" s="440" t="str">
        <f>IF(OR($AH395="",$AH395="保有中"),"",$AH395)</f>
        <v/>
      </c>
      <c r="Y395">
        <f>IF($B395="","",IF(COUNTIFS($B$4:$B395,$B395,$C$4:$C395,$C395)&gt;1,"⛔重複"&amp;COUNTIFS($B$4:$B395,$B395,$C$4:$C395,$C395)&amp;"回目",""))</f>
      </c>
      <c r="AB395">
        <f>IF($F395="","",MAX(100,ROUNDDOWN($AX$4/($F395*$AX$2)/100,0)*100))</f>
      </c>
      <c r="AC395">
        <f>IF(OR($F395="",$G395="",$U395=""),"",ROUND($V395-($F395+$U395)*$G395*$AX$6-IF($C395="売",$F395*$G395*$AX$7*$W395/365,0),0))</f>
      </c>
      <c r="AD395" s="608"/>
      <c r="AE395" s="600" t="str">
        <f>IF($E395="","",WORKDAY($E395,12))</f>
        <v/>
      </c>
      <c r="AF395" s="600"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0"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0" t="str">
        <f>IF(OR($B395="",$M395=""),"",IF(AND(N($AF395)=0,N($AG395)=0),IF(AND(ISNUMBER($H395),$H395&gt;0,IF($C395="売",$H395&gt;=$N395,$H395&lt;=$N395)),"損切確定",IF(AND(ISNUMBER($H395),$H395&gt;0,IF($C395="売",$H395&lt;=$M395,$H395&gt;=$M395)),"利益確定",IF($AE395&lt;=TODAY(),"日数制限","保有中"))),IF(N($AG395)=0,"利益確定",IF(N($AF395)=0,"損切確定",IF($AG395&lt;=$AF395,"損切確定","利益確定")))))</f>
        <v/>
      </c>
      <c r="AI395" s="600" t="str" cm="1">
        <f t="array" ref="AI395">IFERROR(INDEX(始値!$E$6:$BT$305,MATCH(TEXT($B395,"0"),TEXT(銘柄管理!$B$6:$B$305,"0"),0),MATCH($AE395,始値!$E$3:$BT$3,0)),"")</f>
        <v/>
      </c>
      <c r="AJ395" s="608" t="str">
        <f>IF(OR($V395="",$F395="",$G395=""),"",$V395/($F395*$G395))</f>
        <v/>
      </c>
      <c r="AK395" s="600" t="str">
        <f>IF($V395="","",IF($V395&gt;0,"○勝",IF($V395&lt;0,"●負","△引分")))</f>
        <v/>
      </c>
    </row>
    <row r="396" spans="1:37" ht="17.25" customHeight="1">
      <c r="A396" s="622" t="str">
        <f>IF(B396="","",HYPERLINK("https://kabutan.jp/stock/?code="&amp;B396,"株探"))</f>
        <v/>
      </c>
      <c r="D396" s="440" t="str" cm="1">
        <f t="array" ref="D396">_xll.RssMarket(B396, "銘柄名称")</f>
        <v/>
      </c>
      <c r="E396" s="717"/>
      <c r="F396" s="6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IF(OR(F396="",G396="",H396=""),"",IF(C396="売",(F396-H396)*G396,(H396-F396)*G396))</f>
        <v/>
      </c>
      <c r="L396" s="709" t="str">
        <f>IF(OR(F396="",H396=""),"",IF(C396="売",(F396-H396)/F396,(H396-F396)/F396))</f>
        <v/>
      </c>
      <c r="M396" s="599" t="str">
        <f>IF($F396="","",IF($C396="売",CEILING($F396*IF($C396="売",1-$AX$3,1+$AX$3),IF($F396*IF($C396="売",1-$AX$3,1+$AX$3)&lt;=3000,1,IF($F396*IF($C396="売",1-$AX$3,1+$AX$3)&lt;=5000,5,IF($F396*IF($C396="売",1-$AX$3,1+$AX$3)&lt;=30000,10,IF($F396*IF($C396="売",1-$AX$3,1+$AX$3)&lt;=50000,50,IF($F396*IF($C396="売",1-$AX$3,1+$AX$3)&lt;=300000,100,500)))))),FLOOR($F396*IF($C396="売",1-$AX$3,1+$AX$3),IF($F396*IF($C396="売",1-$AX$3,1+$AX$3)&lt;=3000,1,IF($F396*IF($C396="売",1-$AX$3,1+$AX$3)&lt;=5000,5,IF($F396*IF($C396="売",1-$AX$3,1+$AX$3)&lt;=30000,10,IF($F396*IF($C396="売",1-$AX$3,1+$AX$3)&lt;=50000,50,IF($F396*IF($C396="売",1-$AX$3,1+$AX$3)&lt;=300000,100,500))))))))</f>
      </c>
      <c r="N396" s="599" t="str">
        <f>IF($F396="","",IF($C396="売",CEILING($F396*IF($C396="売",1+$AX$2,1-$AX$2),IF($F396*IF($C396="売",1+$AX$2,1-$AX$2)&lt;=3000,1,IF($F396*IF($C396="売",1+$AX$2,1-$AX$2)&lt;=5000,5,IF($F396*IF($C396="売",1+$AX$2,1-$AX$2)&lt;=30000,10,IF($F396*IF($C396="売",1+$AX$2,1-$AX$2)&lt;=50000,50,IF($F396*IF($C396="売",1+$AX$2,1-$AX$2)&lt;=300000,100,500)))))),FLOOR($F396*IF($C396="売",1+$AX$2,1-$AX$2),IF($F396*IF($C396="売",1+$AX$2,1-$AX$2)&lt;=3000,1,IF($F396*IF($C396="売",1+$AX$2,1-$AX$2)&lt;=5000,5,IF($F396*IF($C396="売",1+$AX$2,1-$AX$2)&lt;=30000,10,IF($F396*IF($C396="売",1+$AX$2,1-$AX$2)&lt;=50000,50,IF($F396*IF($C396="売",1+$AX$2,1-$AX$2)&lt;=300000,100,500))))))))</f>
      </c>
      <c r="O396" s="478" t="str">
        <f>IF(OR($B396="",$F396="",$H396=""),"",IF($S396="✅売却済","―決済済―",IF($C396="売",IF($H396&lt;=$M396,"🟢利確",IF(AND($R396&lt;&gt;"",$H396&gt;=$R396),"🟠TRAIL決済",IF($H396&gt;=$N396,"🔴損切",IF($W396&gt;=$AX$5,"⏱時間決済",IF($H396&gt;=$F396*(1+$AX$2*0.7),"⚠️損切接近","保持継続"))))),IF($H396&gt;=$M396,"🟢利確",IF(AND($R396&lt;&gt;"",$H396&lt;=$R396),"🟠TRAIL決済",IF($H396&lt;=$N396,"🔴損切",IF($W396&gt;=$AX$5,"⏱時間決済",IF($H396&lt;=$F396*(1-$AX$2*0.7),"⚠️損切接近","保持継続")))))))</f>
      </c>
      <c r="P396" s="445"/>
      <c r="R396" s="440" t="str">
        <f>IF(OR($F396="",$H396="",$N396=""),"",IF($S396="✅売却済","",IF($C396="売",IF($H396&gt;$F396*(1-$AX$2),$N396,CEILING(MIN($N396,IF($Q396="",$N396,$Q396*1.03)),IF($N396&lt;=3000,1,IF($N396&lt;=5000,5,IF($N396&lt;=30000,10,IF($N396&lt;=50000,50,IF($N396&lt;=300000,100,500))))))),IF($H396&lt;$F396*(1+$AX$2),$N396,FLOOR(MAX($N396,IF($P396="",$N396,$P396*0.97)),IF($N396&lt;=3000,1,IF($N396&lt;=5000,5,IF($N396&lt;=30000,10,IF($N396&lt;=50000,50,IF($N396&lt;=300000,100,500))))))))))</f>
      </c>
      <c r="S396" s="440" t="str">
        <f>IF(B396="","",IF(T396&lt;&gt;"","✅売却済",IF(OR(H396="",L396=""),"📌保有中",IF(L396&gt;=0.06,"🟢利確推奨",IF(L396&gt;=0.05,"🟡利確直近",IF(L396&gt;=0.045,"🔵トレーリング検討",IF(L396&gt;-0.03,"📌保有中",IF(L396&gt;-0.04,"⚠️損切注意","🔴損切り"))))))))</f>
        <v/>
      </c>
      <c r="T396" s="597"/>
      <c r="U396" s="599"/>
      <c r="V396" s="704" t="str">
        <f>IF(OR(F396="",G396="",U396=""),"",IF(C396="売",(F396-U396)*G396,(U396-F396)*G396))</f>
        <v/>
      </c>
      <c r="W396" s="440" t="str">
        <f>IF(OR($E396="",$B396=""),"",IF($T396&lt;&gt;"",$T396-$E396,TODAY()-$E396)+1)</f>
        <v/>
      </c>
      <c r="X396" s="440" t="str">
        <f>IF(OR($AH396="",$AH396="保有中"),"",$AH396)</f>
        <v/>
      </c>
      <c r="Y396">
        <f>IF($B396="","",IF(COUNTIFS($B$4:$B396,$B396,$C$4:$C396,$C396)&gt;1,"⛔重複"&amp;COUNTIFS($B$4:$B396,$B396,$C$4:$C396,$C396)&amp;"回目",""))</f>
      </c>
      <c r="AB396">
        <f>IF($F396="","",MAX(100,ROUNDDOWN($AX$4/($F396*$AX$2)/100,0)*100))</f>
      </c>
      <c r="AC396">
        <f>IF(OR($F396="",$G396="",$U396=""),"",ROUND($V396-($F396+$U396)*$G396*$AX$6-IF($C396="売",$F396*$G396*$AX$7*$W396/365,0),0))</f>
      </c>
      <c r="AD396" s="608"/>
      <c r="AE396" s="600" t="str">
        <f>IF($E396="","",WORKDAY($E396,12))</f>
        <v/>
      </c>
      <c r="AF396" s="600"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0"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0" t="str">
        <f>IF(OR($B396="",$M396=""),"",IF(AND(N($AF396)=0,N($AG396)=0),IF(AND(ISNUMBER($H396),$H396&gt;0,IF($C396="売",$H396&gt;=$N396,$H396&lt;=$N396)),"損切確定",IF(AND(ISNUMBER($H396),$H396&gt;0,IF($C396="売",$H396&lt;=$M396,$H396&gt;=$M396)),"利益確定",IF($AE396&lt;=TODAY(),"日数制限","保有中"))),IF(N($AG396)=0,"利益確定",IF(N($AF396)=0,"損切確定",IF($AG396&lt;=$AF396,"損切確定","利益確定")))))</f>
        <v/>
      </c>
      <c r="AI396" s="600" t="str" cm="1">
        <f t="array" ref="AI396">IFERROR(INDEX(始値!$E$6:$BT$305,MATCH(TEXT($B396,"0"),TEXT(銘柄管理!$B$6:$B$305,"0"),0),MATCH($AE396,始値!$E$3:$BT$3,0)),"")</f>
        <v/>
      </c>
      <c r="AJ396" s="608" t="str">
        <f>IF(OR($V396="",$F396="",$G396=""),"",$V396/($F396*$G396))</f>
        <v/>
      </c>
      <c r="AK396" s="600" t="str">
        <f>IF($V396="","",IF($V396&gt;0,"○勝",IF($V396&lt;0,"●負","△引分")))</f>
        <v/>
      </c>
    </row>
    <row r="397" spans="1:37" ht="17.25" customHeight="1">
      <c r="A397" s="622" t="str">
        <f>IF(B397="","",HYPERLINK("https://kabutan.jp/stock/?code="&amp;B397,"株探"))</f>
        <v/>
      </c>
      <c r="D397" s="440" t="str" cm="1">
        <f t="array" ref="D397">_xll.RssMarket(B397, "銘柄名称")</f>
        <v/>
      </c>
      <c r="E397" s="717"/>
      <c r="F397" s="6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IF(OR(F397="",G397="",H397=""),"",IF(C397="売",(F397-H397)*G397,(H397-F397)*G397))</f>
        <v/>
      </c>
      <c r="L397" s="709" t="str">
        <f>IF(OR(F397="",H397=""),"",IF(C397="売",(F397-H397)/F397,(H397-F397)/F397))</f>
        <v/>
      </c>
      <c r="M397" s="599" t="str">
        <f>IF($F397="","",IF($C397="売",CEILING($F397*IF($C397="売",1-$AX$3,1+$AX$3),IF($F397*IF($C397="売",1-$AX$3,1+$AX$3)&lt;=3000,1,IF($F397*IF($C397="売",1-$AX$3,1+$AX$3)&lt;=5000,5,IF($F397*IF($C397="売",1-$AX$3,1+$AX$3)&lt;=30000,10,IF($F397*IF($C397="売",1-$AX$3,1+$AX$3)&lt;=50000,50,IF($F397*IF($C397="売",1-$AX$3,1+$AX$3)&lt;=300000,100,500)))))),FLOOR($F397*IF($C397="売",1-$AX$3,1+$AX$3),IF($F397*IF($C397="売",1-$AX$3,1+$AX$3)&lt;=3000,1,IF($F397*IF($C397="売",1-$AX$3,1+$AX$3)&lt;=5000,5,IF($F397*IF($C397="売",1-$AX$3,1+$AX$3)&lt;=30000,10,IF($F397*IF($C397="売",1-$AX$3,1+$AX$3)&lt;=50000,50,IF($F397*IF($C397="売",1-$AX$3,1+$AX$3)&lt;=300000,100,500))))))))</f>
      </c>
      <c r="N397" s="599" t="str">
        <f>IF($F397="","",IF($C397="売",CEILING($F397*IF($C397="売",1+$AX$2,1-$AX$2),IF($F397*IF($C397="売",1+$AX$2,1-$AX$2)&lt;=3000,1,IF($F397*IF($C397="売",1+$AX$2,1-$AX$2)&lt;=5000,5,IF($F397*IF($C397="売",1+$AX$2,1-$AX$2)&lt;=30000,10,IF($F397*IF($C397="売",1+$AX$2,1-$AX$2)&lt;=50000,50,IF($F397*IF($C397="売",1+$AX$2,1-$AX$2)&lt;=300000,100,500)))))),FLOOR($F397*IF($C397="売",1+$AX$2,1-$AX$2),IF($F397*IF($C397="売",1+$AX$2,1-$AX$2)&lt;=3000,1,IF($F397*IF($C397="売",1+$AX$2,1-$AX$2)&lt;=5000,5,IF($F397*IF($C397="売",1+$AX$2,1-$AX$2)&lt;=30000,10,IF($F397*IF($C397="売",1+$AX$2,1-$AX$2)&lt;=50000,50,IF($F397*IF($C397="売",1+$AX$2,1-$AX$2)&lt;=300000,100,500))))))))</f>
      </c>
      <c r="O397" s="478" t="str">
        <f>IF(OR($B397="",$F397="",$H397=""),"",IF($S397="✅売却済","―決済済―",IF($C397="売",IF($H397&lt;=$M397,"🟢利確",IF(AND($R397&lt;&gt;"",$H397&gt;=$R397),"🟠TRAIL決済",IF($H397&gt;=$N397,"🔴損切",IF($W397&gt;=$AX$5,"⏱時間決済",IF($H397&gt;=$F397*(1+$AX$2*0.7),"⚠️損切接近","保持継続"))))),IF($H397&gt;=$M397,"🟢利確",IF(AND($R397&lt;&gt;"",$H397&lt;=$R397),"🟠TRAIL決済",IF($H397&lt;=$N397,"🔴損切",IF($W397&gt;=$AX$5,"⏱時間決済",IF($H397&lt;=$F397*(1-$AX$2*0.7),"⚠️損切接近","保持継続")))))))</f>
      </c>
      <c r="P397" s="445"/>
      <c r="R397" s="440" t="str">
        <f>IF(OR($F397="",$H397="",$N397=""),"",IF($S397="✅売却済","",IF($C397="売",IF($H397&gt;$F397*(1-$AX$2),$N397,CEILING(MIN($N397,IF($Q397="",$N397,$Q397*1.03)),IF($N397&lt;=3000,1,IF($N397&lt;=5000,5,IF($N397&lt;=30000,10,IF($N397&lt;=50000,50,IF($N397&lt;=300000,100,500))))))),IF($H397&lt;$F397*(1+$AX$2),$N397,FLOOR(MAX($N397,IF($P397="",$N397,$P397*0.97)),IF($N397&lt;=3000,1,IF($N397&lt;=5000,5,IF($N397&lt;=30000,10,IF($N397&lt;=50000,50,IF($N397&lt;=300000,100,500))))))))))</f>
      </c>
      <c r="S397" s="440" t="str">
        <f>IF(B397="","",IF(T397&lt;&gt;"","✅売却済",IF(OR(H397="",L397=""),"📌保有中",IF(L397&gt;=0.06,"🟢利確推奨",IF(L397&gt;=0.05,"🟡利確直近",IF(L397&gt;=0.045,"🔵トレーリング検討",IF(L397&gt;-0.03,"📌保有中",IF(L397&gt;-0.04,"⚠️損切注意","🔴損切り"))))))))</f>
        <v/>
      </c>
      <c r="T397" s="597"/>
      <c r="U397" s="599"/>
      <c r="V397" s="704" t="str">
        <f>IF(OR(F397="",G397="",U397=""),"",IF(C397="売",(F397-U397)*G397,(U397-F397)*G397))</f>
        <v/>
      </c>
      <c r="W397" s="440" t="str">
        <f>IF(OR($E397="",$B397=""),"",IF($T397&lt;&gt;"",$T397-$E397,TODAY()-$E397)+1)</f>
        <v/>
      </c>
      <c r="X397" s="440" t="str">
        <f>IF(OR($AH397="",$AH397="保有中"),"",$AH397)</f>
        <v/>
      </c>
      <c r="Y397">
        <f>IF($B397="","",IF(COUNTIFS($B$4:$B397,$B397,$C$4:$C397,$C397)&gt;1,"⛔重複"&amp;COUNTIFS($B$4:$B397,$B397,$C$4:$C397,$C397)&amp;"回目",""))</f>
      </c>
      <c r="AB397">
        <f>IF($F397="","",MAX(100,ROUNDDOWN($AX$4/($F397*$AX$2)/100,0)*100))</f>
      </c>
      <c r="AC397">
        <f>IF(OR($F397="",$G397="",$U397=""),"",ROUND($V397-($F397+$U397)*$G397*$AX$6-IF($C397="売",$F397*$G397*$AX$7*$W397/365,0),0))</f>
      </c>
      <c r="AD397" s="608"/>
      <c r="AE397" s="600" t="str">
        <f>IF($E397="","",WORKDAY($E397,12))</f>
        <v/>
      </c>
      <c r="AF397" s="600"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0"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0" t="str">
        <f>IF(OR($B397="",$M397=""),"",IF(AND(N($AF397)=0,N($AG397)=0),IF(AND(ISNUMBER($H397),$H397&gt;0,IF($C397="売",$H397&gt;=$N397,$H397&lt;=$N397)),"損切確定",IF(AND(ISNUMBER($H397),$H397&gt;0,IF($C397="売",$H397&lt;=$M397,$H397&gt;=$M397)),"利益確定",IF($AE397&lt;=TODAY(),"日数制限","保有中"))),IF(N($AG397)=0,"利益確定",IF(N($AF397)=0,"損切確定",IF($AG397&lt;=$AF397,"損切確定","利益確定")))))</f>
        <v/>
      </c>
      <c r="AI397" s="600" t="str" cm="1">
        <f t="array" ref="AI397">IFERROR(INDEX(始値!$E$6:$BT$305,MATCH(TEXT($B397,"0"),TEXT(銘柄管理!$B$6:$B$305,"0"),0),MATCH($AE397,始値!$E$3:$BT$3,0)),"")</f>
        <v/>
      </c>
      <c r="AJ397" s="608" t="str">
        <f>IF(OR($V397="",$F397="",$G397=""),"",$V397/($F397*$G397))</f>
        <v/>
      </c>
      <c r="AK397" s="600" t="str">
        <f>IF($V397="","",IF($V397&gt;0,"○勝",IF($V397&lt;0,"●負","△引分")))</f>
        <v/>
      </c>
    </row>
    <row r="398" spans="1:37" ht="17.25" customHeight="1">
      <c r="A398" s="622" t="str">
        <f>IF(B398="","",HYPERLINK("https://kabutan.jp/stock/?code="&amp;B398,"株探"))</f>
        <v/>
      </c>
      <c r="D398" s="440" t="str" cm="1">
        <f t="array" ref="D398">_xll.RssMarket(B398, "銘柄名称")</f>
        <v/>
      </c>
      <c r="E398" s="717"/>
      <c r="F398" s="6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IF(OR(F398="",G398="",H398=""),"",IF(C398="売",(F398-H398)*G398,(H398-F398)*G398))</f>
        <v/>
      </c>
      <c r="L398" s="709" t="str">
        <f>IF(OR(F398="",H398=""),"",IF(C398="売",(F398-H398)/F398,(H398-F398)/F398))</f>
        <v/>
      </c>
      <c r="M398" s="599" t="str">
        <f>IF($F398="","",IF($C398="売",CEILING($F398*IF($C398="売",1-$AX$3,1+$AX$3),IF($F398*IF($C398="売",1-$AX$3,1+$AX$3)&lt;=3000,1,IF($F398*IF($C398="売",1-$AX$3,1+$AX$3)&lt;=5000,5,IF($F398*IF($C398="売",1-$AX$3,1+$AX$3)&lt;=30000,10,IF($F398*IF($C398="売",1-$AX$3,1+$AX$3)&lt;=50000,50,IF($F398*IF($C398="売",1-$AX$3,1+$AX$3)&lt;=300000,100,500)))))),FLOOR($F398*IF($C398="売",1-$AX$3,1+$AX$3),IF($F398*IF($C398="売",1-$AX$3,1+$AX$3)&lt;=3000,1,IF($F398*IF($C398="売",1-$AX$3,1+$AX$3)&lt;=5000,5,IF($F398*IF($C398="売",1-$AX$3,1+$AX$3)&lt;=30000,10,IF($F398*IF($C398="売",1-$AX$3,1+$AX$3)&lt;=50000,50,IF($F398*IF($C398="売",1-$AX$3,1+$AX$3)&lt;=300000,100,500))))))))</f>
      </c>
      <c r="N398" s="599" t="str">
        <f>IF($F398="","",IF($C398="売",CEILING($F398*IF($C398="売",1+$AX$2,1-$AX$2),IF($F398*IF($C398="売",1+$AX$2,1-$AX$2)&lt;=3000,1,IF($F398*IF($C398="売",1+$AX$2,1-$AX$2)&lt;=5000,5,IF($F398*IF($C398="売",1+$AX$2,1-$AX$2)&lt;=30000,10,IF($F398*IF($C398="売",1+$AX$2,1-$AX$2)&lt;=50000,50,IF($F398*IF($C398="売",1+$AX$2,1-$AX$2)&lt;=300000,100,500)))))),FLOOR($F398*IF($C398="売",1+$AX$2,1-$AX$2),IF($F398*IF($C398="売",1+$AX$2,1-$AX$2)&lt;=3000,1,IF($F398*IF($C398="売",1+$AX$2,1-$AX$2)&lt;=5000,5,IF($F398*IF($C398="売",1+$AX$2,1-$AX$2)&lt;=30000,10,IF($F398*IF($C398="売",1+$AX$2,1-$AX$2)&lt;=50000,50,IF($F398*IF($C398="売",1+$AX$2,1-$AX$2)&lt;=300000,100,500))))))))</f>
      </c>
      <c r="O398" s="478" t="str">
        <f>IF(OR($B398="",$F398="",$H398=""),"",IF($S398="✅売却済","―決済済―",IF($C398="売",IF($H398&lt;=$M398,"🟢利確",IF(AND($R398&lt;&gt;"",$H398&gt;=$R398),"🟠TRAIL決済",IF($H398&gt;=$N398,"🔴損切",IF($W398&gt;=$AX$5,"⏱時間決済",IF($H398&gt;=$F398*(1+$AX$2*0.7),"⚠️損切接近","保持継続"))))),IF($H398&gt;=$M398,"🟢利確",IF(AND($R398&lt;&gt;"",$H398&lt;=$R398),"🟠TRAIL決済",IF($H398&lt;=$N398,"🔴損切",IF($W398&gt;=$AX$5,"⏱時間決済",IF($H398&lt;=$F398*(1-$AX$2*0.7),"⚠️損切接近","保持継続")))))))</f>
      </c>
      <c r="P398" s="445"/>
      <c r="R398" s="440" t="str">
        <f>IF(OR($F398="",$H398="",$N398=""),"",IF($S398="✅売却済","",IF($C398="売",IF($H398&gt;$F398*(1-$AX$2),$N398,CEILING(MIN($N398,IF($Q398="",$N398,$Q398*1.03)),IF($N398&lt;=3000,1,IF($N398&lt;=5000,5,IF($N398&lt;=30000,10,IF($N398&lt;=50000,50,IF($N398&lt;=300000,100,500))))))),IF($H398&lt;$F398*(1+$AX$2),$N398,FLOOR(MAX($N398,IF($P398="",$N398,$P398*0.97)),IF($N398&lt;=3000,1,IF($N398&lt;=5000,5,IF($N398&lt;=30000,10,IF($N398&lt;=50000,50,IF($N398&lt;=300000,100,500))))))))))</f>
      </c>
      <c r="S398" s="440" t="str">
        <f>IF(B398="","",IF(T398&lt;&gt;"","✅売却済",IF(OR(H398="",L398=""),"📌保有中",IF(L398&gt;=0.06,"🟢利確推奨",IF(L398&gt;=0.05,"🟡利確直近",IF(L398&gt;=0.045,"🔵トレーリング検討",IF(L398&gt;-0.03,"📌保有中",IF(L398&gt;-0.04,"⚠️損切注意","🔴損切り"))))))))</f>
        <v/>
      </c>
      <c r="T398" s="597"/>
      <c r="U398" s="599"/>
      <c r="V398" s="704" t="str">
        <f>IF(OR(F398="",G398="",U398=""),"",IF(C398="売",(F398-U398)*G398,(U398-F398)*G398))</f>
        <v/>
      </c>
      <c r="W398" s="440" t="str">
        <f>IF(OR($E398="",$B398=""),"",IF($T398&lt;&gt;"",$T398-$E398,TODAY()-$E398)+1)</f>
        <v/>
      </c>
      <c r="X398" s="440" t="str">
        <f>IF(OR($AH398="",$AH398="保有中"),"",$AH398)</f>
        <v/>
      </c>
      <c r="Y398">
        <f>IF($B398="","",IF(COUNTIFS($B$4:$B398,$B398,$C$4:$C398,$C398)&gt;1,"⛔重複"&amp;COUNTIFS($B$4:$B398,$B398,$C$4:$C398,$C398)&amp;"回目",""))</f>
      </c>
      <c r="AB398">
        <f>IF($F398="","",MAX(100,ROUNDDOWN($AX$4/($F398*$AX$2)/100,0)*100))</f>
      </c>
      <c r="AC398">
        <f>IF(OR($F398="",$G398="",$U398=""),"",ROUND($V398-($F398+$U398)*$G398*$AX$6-IF($C398="売",$F398*$G398*$AX$7*$W398/365,0),0))</f>
      </c>
      <c r="AD398" s="608"/>
      <c r="AE398" s="600" t="str">
        <f>IF($E398="","",WORKDAY($E398,12))</f>
        <v/>
      </c>
      <c r="AF398" s="600"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0"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0" t="str">
        <f>IF(OR($B398="",$M398=""),"",IF(AND(N($AF398)=0,N($AG398)=0),IF(AND(ISNUMBER($H398),$H398&gt;0,IF($C398="売",$H398&gt;=$N398,$H398&lt;=$N398)),"損切確定",IF(AND(ISNUMBER($H398),$H398&gt;0,IF($C398="売",$H398&lt;=$M398,$H398&gt;=$M398)),"利益確定",IF($AE398&lt;=TODAY(),"日数制限","保有中"))),IF(N($AG398)=0,"利益確定",IF(N($AF398)=0,"損切確定",IF($AG398&lt;=$AF398,"損切確定","利益確定")))))</f>
        <v/>
      </c>
      <c r="AI398" s="600" t="str" cm="1">
        <f t="array" ref="AI398">IFERROR(INDEX(始値!$E$6:$BT$305,MATCH(TEXT($B398,"0"),TEXT(銘柄管理!$B$6:$B$305,"0"),0),MATCH($AE398,始値!$E$3:$BT$3,0)),"")</f>
        <v/>
      </c>
      <c r="AJ398" s="608" t="str">
        <f>IF(OR($V398="",$F398="",$G398=""),"",$V398/($F398*$G398))</f>
        <v/>
      </c>
      <c r="AK398" s="600" t="str">
        <f>IF($V398="","",IF($V398&gt;0,"○勝",IF($V398&lt;0,"●負","△引分")))</f>
        <v/>
      </c>
    </row>
    <row r="399" spans="1:37" ht="17.25" customHeight="1">
      <c r="A399" s="622" t="str">
        <f>IF(B399="","",HYPERLINK("https://kabutan.jp/stock/?code="&amp;B399,"株探"))</f>
        <v/>
      </c>
      <c r="D399" s="440" t="str" cm="1">
        <f t="array" ref="D399">_xll.RssMarket(B399, "銘柄名称")</f>
        <v/>
      </c>
      <c r="E399" s="717"/>
      <c r="F399" s="6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IF(OR(F399="",G399="",H399=""),"",IF(C399="売",(F399-H399)*G399,(H399-F399)*G399))</f>
        <v/>
      </c>
      <c r="L399" s="709" t="str">
        <f>IF(OR(F399="",H399=""),"",IF(C399="売",(F399-H399)/F399,(H399-F399)/F399))</f>
        <v/>
      </c>
      <c r="M399" s="599" t="str">
        <f>IF($F399="","",IF($C399="売",CEILING($F399*IF($C399="売",1-$AX$3,1+$AX$3),IF($F399*IF($C399="売",1-$AX$3,1+$AX$3)&lt;=3000,1,IF($F399*IF($C399="売",1-$AX$3,1+$AX$3)&lt;=5000,5,IF($F399*IF($C399="売",1-$AX$3,1+$AX$3)&lt;=30000,10,IF($F399*IF($C399="売",1-$AX$3,1+$AX$3)&lt;=50000,50,IF($F399*IF($C399="売",1-$AX$3,1+$AX$3)&lt;=300000,100,500)))))),FLOOR($F399*IF($C399="売",1-$AX$3,1+$AX$3),IF($F399*IF($C399="売",1-$AX$3,1+$AX$3)&lt;=3000,1,IF($F399*IF($C399="売",1-$AX$3,1+$AX$3)&lt;=5000,5,IF($F399*IF($C399="売",1-$AX$3,1+$AX$3)&lt;=30000,10,IF($F399*IF($C399="売",1-$AX$3,1+$AX$3)&lt;=50000,50,IF($F399*IF($C399="売",1-$AX$3,1+$AX$3)&lt;=300000,100,500))))))))</f>
      </c>
      <c r="N399" s="599" t="str">
        <f>IF($F399="","",IF($C399="売",CEILING($F399*IF($C399="売",1+$AX$2,1-$AX$2),IF($F399*IF($C399="売",1+$AX$2,1-$AX$2)&lt;=3000,1,IF($F399*IF($C399="売",1+$AX$2,1-$AX$2)&lt;=5000,5,IF($F399*IF($C399="売",1+$AX$2,1-$AX$2)&lt;=30000,10,IF($F399*IF($C399="売",1+$AX$2,1-$AX$2)&lt;=50000,50,IF($F399*IF($C399="売",1+$AX$2,1-$AX$2)&lt;=300000,100,500)))))),FLOOR($F399*IF($C399="売",1+$AX$2,1-$AX$2),IF($F399*IF($C399="売",1+$AX$2,1-$AX$2)&lt;=3000,1,IF($F399*IF($C399="売",1+$AX$2,1-$AX$2)&lt;=5000,5,IF($F399*IF($C399="売",1+$AX$2,1-$AX$2)&lt;=30000,10,IF($F399*IF($C399="売",1+$AX$2,1-$AX$2)&lt;=50000,50,IF($F399*IF($C399="売",1+$AX$2,1-$AX$2)&lt;=300000,100,500))))))))</f>
      </c>
      <c r="O399" s="478" t="str">
        <f>IF(OR($B399="",$F399="",$H399=""),"",IF($S399="✅売却済","―決済済―",IF($C399="売",IF($H399&lt;=$M399,"🟢利確",IF(AND($R399&lt;&gt;"",$H399&gt;=$R399),"🟠TRAIL決済",IF($H399&gt;=$N399,"🔴損切",IF($W399&gt;=$AX$5,"⏱時間決済",IF($H399&gt;=$F399*(1+$AX$2*0.7),"⚠️損切接近","保持継続"))))),IF($H399&gt;=$M399,"🟢利確",IF(AND($R399&lt;&gt;"",$H399&lt;=$R399),"🟠TRAIL決済",IF($H399&lt;=$N399,"🔴損切",IF($W399&gt;=$AX$5,"⏱時間決済",IF($H399&lt;=$F399*(1-$AX$2*0.7),"⚠️損切接近","保持継続")))))))</f>
      </c>
      <c r="P399" s="445"/>
      <c r="R399" s="440" t="str">
        <f>IF(OR($F399="",$H399="",$N399=""),"",IF($S399="✅売却済","",IF($C399="売",IF($H399&gt;$F399*(1-$AX$2),$N399,CEILING(MIN($N399,IF($Q399="",$N399,$Q399*1.03)),IF($N399&lt;=3000,1,IF($N399&lt;=5000,5,IF($N399&lt;=30000,10,IF($N399&lt;=50000,50,IF($N399&lt;=300000,100,500))))))),IF($H399&lt;$F399*(1+$AX$2),$N399,FLOOR(MAX($N399,IF($P399="",$N399,$P399*0.97)),IF($N399&lt;=3000,1,IF($N399&lt;=5000,5,IF($N399&lt;=30000,10,IF($N399&lt;=50000,50,IF($N399&lt;=300000,100,500))))))))))</f>
      </c>
      <c r="S399" s="440" t="str">
        <f>IF(B399="","",IF(T399&lt;&gt;"","✅売却済",IF(OR(H399="",L399=""),"📌保有中",IF(L399&gt;=0.06,"🟢利確推奨",IF(L399&gt;=0.05,"🟡利確直近",IF(L399&gt;=0.045,"🔵トレーリング検討",IF(L399&gt;-0.03,"📌保有中",IF(L399&gt;-0.04,"⚠️損切注意","🔴損切り"))))))))</f>
        <v/>
      </c>
      <c r="T399" s="597"/>
      <c r="U399" s="599"/>
      <c r="V399" s="704" t="str">
        <f>IF(OR(F399="",G399="",U399=""),"",IF(C399="売",(F399-U399)*G399,(U399-F399)*G399))</f>
        <v/>
      </c>
      <c r="W399" s="440" t="str">
        <f>IF(OR($E399="",$B399=""),"",IF($T399&lt;&gt;"",$T399-$E399,TODAY()-$E399)+1)</f>
        <v/>
      </c>
      <c r="X399" s="440" t="str">
        <f>IF(OR($AH399="",$AH399="保有中"),"",$AH399)</f>
        <v/>
      </c>
      <c r="Y399">
        <f>IF($B399="","",IF(COUNTIFS($B$4:$B399,$B399,$C$4:$C399,$C399)&gt;1,"⛔重複"&amp;COUNTIFS($B$4:$B399,$B399,$C$4:$C399,$C399)&amp;"回目",""))</f>
      </c>
      <c r="AB399">
        <f>IF($F399="","",MAX(100,ROUNDDOWN($AX$4/($F399*$AX$2)/100,0)*100))</f>
      </c>
      <c r="AC399">
        <f>IF(OR($F399="",$G399="",$U399=""),"",ROUND($V399-($F399+$U399)*$G399*$AX$6-IF($C399="売",$F399*$G399*$AX$7*$W399/365,0),0))</f>
      </c>
      <c r="AD399" s="608"/>
      <c r="AE399" s="600" t="str">
        <f>IF($E399="","",WORKDAY($E399,12))</f>
        <v/>
      </c>
      <c r="AF399" s="600"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0"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0" t="str">
        <f>IF(OR($B399="",$M399=""),"",IF(AND(N($AF399)=0,N($AG399)=0),IF(AND(ISNUMBER($H399),$H399&gt;0,IF($C399="売",$H399&gt;=$N399,$H399&lt;=$N399)),"損切確定",IF(AND(ISNUMBER($H399),$H399&gt;0,IF($C399="売",$H399&lt;=$M399,$H399&gt;=$M399)),"利益確定",IF($AE399&lt;=TODAY(),"日数制限","保有中"))),IF(N($AG399)=0,"利益確定",IF(N($AF399)=0,"損切確定",IF($AG399&lt;=$AF399,"損切確定","利益確定")))))</f>
        <v/>
      </c>
      <c r="AI399" s="600" t="str" cm="1">
        <f t="array" ref="AI399">IFERROR(INDEX(始値!$E$6:$BT$305,MATCH(TEXT($B399,"0"),TEXT(銘柄管理!$B$6:$B$305,"0"),0),MATCH($AE399,始値!$E$3:$BT$3,0)),"")</f>
        <v/>
      </c>
      <c r="AJ399" s="608" t="str">
        <f>IF(OR($V399="",$F399="",$G399=""),"",$V399/($F399*$G399))</f>
        <v/>
      </c>
      <c r="AK399" s="600" t="str">
        <f>IF($V399="","",IF($V399&gt;0,"○勝",IF($V399&lt;0,"●負","△引分")))</f>
        <v/>
      </c>
    </row>
    <row r="400" spans="1:37" ht="17.25" customHeight="1">
      <c r="A400" s="622" t="str">
        <f>IF(B400="","",HYPERLINK("https://kabutan.jp/stock/?code="&amp;B400,"株探"))</f>
        <v/>
      </c>
      <c r="D400" s="440" t="str" cm="1">
        <f t="array" ref="D400">_xll.RssMarket(B400, "銘柄名称")</f>
        <v/>
      </c>
      <c r="E400" s="717"/>
      <c r="F400" s="6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IF(OR(F400="",G400="",H400=""),"",IF(C400="売",(F400-H400)*G400,(H400-F400)*G400))</f>
        <v/>
      </c>
      <c r="L400" s="709" t="str">
        <f>IF(OR(F400="",H400=""),"",IF(C400="売",(F400-H400)/F400,(H400-F400)/F400))</f>
        <v/>
      </c>
      <c r="M400" s="599" t="str">
        <f>IF($F400="","",IF($C400="売",CEILING($F400*IF($C400="売",1-$AX$3,1+$AX$3),IF($F400*IF($C400="売",1-$AX$3,1+$AX$3)&lt;=3000,1,IF($F400*IF($C400="売",1-$AX$3,1+$AX$3)&lt;=5000,5,IF($F400*IF($C400="売",1-$AX$3,1+$AX$3)&lt;=30000,10,IF($F400*IF($C400="売",1-$AX$3,1+$AX$3)&lt;=50000,50,IF($F400*IF($C400="売",1-$AX$3,1+$AX$3)&lt;=300000,100,500)))))),FLOOR($F400*IF($C400="売",1-$AX$3,1+$AX$3),IF($F400*IF($C400="売",1-$AX$3,1+$AX$3)&lt;=3000,1,IF($F400*IF($C400="売",1-$AX$3,1+$AX$3)&lt;=5000,5,IF($F400*IF($C400="売",1-$AX$3,1+$AX$3)&lt;=30000,10,IF($F400*IF($C400="売",1-$AX$3,1+$AX$3)&lt;=50000,50,IF($F400*IF($C400="売",1-$AX$3,1+$AX$3)&lt;=300000,100,500))))))))</f>
      </c>
      <c r="N400" s="599" t="str">
        <f>IF($F400="","",IF($C400="売",CEILING($F400*IF($C400="売",1+$AX$2,1-$AX$2),IF($F400*IF($C400="売",1+$AX$2,1-$AX$2)&lt;=3000,1,IF($F400*IF($C400="売",1+$AX$2,1-$AX$2)&lt;=5000,5,IF($F400*IF($C400="売",1+$AX$2,1-$AX$2)&lt;=30000,10,IF($F400*IF($C400="売",1+$AX$2,1-$AX$2)&lt;=50000,50,IF($F400*IF($C400="売",1+$AX$2,1-$AX$2)&lt;=300000,100,500)))))),FLOOR($F400*IF($C400="売",1+$AX$2,1-$AX$2),IF($F400*IF($C400="売",1+$AX$2,1-$AX$2)&lt;=3000,1,IF($F400*IF($C400="売",1+$AX$2,1-$AX$2)&lt;=5000,5,IF($F400*IF($C400="売",1+$AX$2,1-$AX$2)&lt;=30000,10,IF($F400*IF($C400="売",1+$AX$2,1-$AX$2)&lt;=50000,50,IF($F400*IF($C400="売",1+$AX$2,1-$AX$2)&lt;=300000,100,500))))))))</f>
      </c>
      <c r="O400" s="478" t="str">
        <f>IF(OR($B400="",$F400="",$H400=""),"",IF($S400="✅売却済","―決済済―",IF($C400="売",IF($H400&lt;=$M400,"🟢利確",IF(AND($R400&lt;&gt;"",$H400&gt;=$R400),"🟠TRAIL決済",IF($H400&gt;=$N400,"🔴損切",IF($W400&gt;=$AX$5,"⏱時間決済",IF($H400&gt;=$F400*(1+$AX$2*0.7),"⚠️損切接近","保持継続"))))),IF($H400&gt;=$M400,"🟢利確",IF(AND($R400&lt;&gt;"",$H400&lt;=$R400),"🟠TRAIL決済",IF($H400&lt;=$N400,"🔴損切",IF($W400&gt;=$AX$5,"⏱時間決済",IF($H400&lt;=$F400*(1-$AX$2*0.7),"⚠️損切接近","保持継続")))))))</f>
      </c>
      <c r="P400" s="445"/>
      <c r="R400" s="440" t="str">
        <f>IF(OR($F400="",$H400="",$N400=""),"",IF($S400="✅売却済","",IF($C400="売",IF($H400&gt;$F400*(1-$AX$2),$N400,CEILING(MIN($N400,IF($Q400="",$N400,$Q400*1.03)),IF($N400&lt;=3000,1,IF($N400&lt;=5000,5,IF($N400&lt;=30000,10,IF($N400&lt;=50000,50,IF($N400&lt;=300000,100,500))))))),IF($H400&lt;$F400*(1+$AX$2),$N400,FLOOR(MAX($N400,IF($P400="",$N400,$P400*0.97)),IF($N400&lt;=3000,1,IF($N400&lt;=5000,5,IF($N400&lt;=30000,10,IF($N400&lt;=50000,50,IF($N400&lt;=300000,100,500))))))))))</f>
      </c>
      <c r="S400" s="440" t="str">
        <f>IF(B400="","",IF(T400&lt;&gt;"","✅売却済",IF(OR(H400="",L400=""),"📌保有中",IF(L400&gt;=0.06,"🟢利確推奨",IF(L400&gt;=0.05,"🟡利確直近",IF(L400&gt;=0.045,"🔵トレーリング検討",IF(L400&gt;-0.03,"📌保有中",IF(L400&gt;-0.04,"⚠️損切注意","🔴損切り"))))))))</f>
        <v/>
      </c>
      <c r="T400" s="597"/>
      <c r="U400" s="599"/>
      <c r="V400" s="704" t="str">
        <f>IF(OR(F400="",G400="",U400=""),"",IF(C400="売",(F400-U400)*G400,(U400-F400)*G400))</f>
        <v/>
      </c>
      <c r="W400" s="440" t="str">
        <f>IF(OR($E400="",$B400=""),"",IF($T400&lt;&gt;"",$T400-$E400,TODAY()-$E400)+1)</f>
        <v/>
      </c>
      <c r="X400" s="440" t="str">
        <f>IF(OR($AH400="",$AH400="保有中"),"",$AH400)</f>
        <v/>
      </c>
      <c r="Y400">
        <f>IF($B400="","",IF(COUNTIFS($B$4:$B400,$B400,$C$4:$C400,$C400)&gt;1,"⛔重複"&amp;COUNTIFS($B$4:$B400,$B400,$C$4:$C400,$C400)&amp;"回目",""))</f>
      </c>
      <c r="AB400">
        <f>IF($F400="","",MAX(100,ROUNDDOWN($AX$4/($F400*$AX$2)/100,0)*100))</f>
      </c>
      <c r="AC400">
        <f>IF(OR($F400="",$G400="",$U400=""),"",ROUND($V400-($F400+$U400)*$G400*$AX$6-IF($C400="売",$F400*$G400*$AX$7*$W400/365,0),0))</f>
      </c>
      <c r="AD400" s="608"/>
      <c r="AE400" s="600" t="str">
        <f>IF($E400="","",WORKDAY($E400,12))</f>
        <v/>
      </c>
      <c r="AF400" s="600"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0"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0" t="str">
        <f>IF(OR($B400="",$M400=""),"",IF(AND(N($AF400)=0,N($AG400)=0),IF(AND(ISNUMBER($H400),$H400&gt;0,IF($C400="売",$H400&gt;=$N400,$H400&lt;=$N400)),"損切確定",IF(AND(ISNUMBER($H400),$H400&gt;0,IF($C400="売",$H400&lt;=$M400,$H400&gt;=$M400)),"利益確定",IF($AE400&lt;=TODAY(),"日数制限","保有中"))),IF(N($AG400)=0,"利益確定",IF(N($AF400)=0,"損切確定",IF($AG400&lt;=$AF400,"損切確定","利益確定")))))</f>
        <v/>
      </c>
      <c r="AI400" s="600" t="str" cm="1">
        <f t="array" ref="AI400">IFERROR(INDEX(始値!$E$6:$BT$305,MATCH(TEXT($B400,"0"),TEXT(銘柄管理!$B$6:$B$305,"0"),0),MATCH($AE400,始値!$E$3:$BT$3,0)),"")</f>
        <v/>
      </c>
      <c r="AJ400" s="608" t="str">
        <f>IF(OR($V400="",$F400="",$G400=""),"",$V400/($F400*$G400))</f>
        <v/>
      </c>
      <c r="AK400" s="600" t="str">
        <f>IF($V400="","",IF($V400&gt;0,"○勝",IF($V400&lt;0,"●負","△引分")))</f>
        <v/>
      </c>
    </row>
    <row r="401" spans="1:37" ht="17.25" customHeight="1">
      <c r="A401" s="622" t="str">
        <f>IF(B401="","",HYPERLINK("https://kabutan.jp/stock/?code="&amp;B401,"株探"))</f>
        <v/>
      </c>
      <c r="D401" s="440" t="str" cm="1">
        <f t="array" ref="D401">_xll.RssMarket(B401, "銘柄名称")</f>
        <v/>
      </c>
      <c r="E401" s="717"/>
      <c r="F401" s="6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IF(OR(F401="",G401="",H401=""),"",IF(C401="売",(F401-H401)*G401,(H401-F401)*G401))</f>
        <v/>
      </c>
      <c r="L401" s="709" t="str">
        <f>IF(OR(F401="",H401=""),"",IF(C401="売",(F401-H401)/F401,(H401-F401)/F401))</f>
        <v/>
      </c>
      <c r="M401" s="599" t="str">
        <f>IF($F401="","",IF($C401="売",CEILING($F401*IF($C401="売",1-$AX$3,1+$AX$3),IF($F401*IF($C401="売",1-$AX$3,1+$AX$3)&lt;=3000,1,IF($F401*IF($C401="売",1-$AX$3,1+$AX$3)&lt;=5000,5,IF($F401*IF($C401="売",1-$AX$3,1+$AX$3)&lt;=30000,10,IF($F401*IF($C401="売",1-$AX$3,1+$AX$3)&lt;=50000,50,IF($F401*IF($C401="売",1-$AX$3,1+$AX$3)&lt;=300000,100,500)))))),FLOOR($F401*IF($C401="売",1-$AX$3,1+$AX$3),IF($F401*IF($C401="売",1-$AX$3,1+$AX$3)&lt;=3000,1,IF($F401*IF($C401="売",1-$AX$3,1+$AX$3)&lt;=5000,5,IF($F401*IF($C401="売",1-$AX$3,1+$AX$3)&lt;=30000,10,IF($F401*IF($C401="売",1-$AX$3,1+$AX$3)&lt;=50000,50,IF($F401*IF($C401="売",1-$AX$3,1+$AX$3)&lt;=300000,100,500))))))))</f>
      </c>
      <c r="N401" s="599" t="str">
        <f>IF($F401="","",IF($C401="売",CEILING($F401*IF($C401="売",1+$AX$2,1-$AX$2),IF($F401*IF($C401="売",1+$AX$2,1-$AX$2)&lt;=3000,1,IF($F401*IF($C401="売",1+$AX$2,1-$AX$2)&lt;=5000,5,IF($F401*IF($C401="売",1+$AX$2,1-$AX$2)&lt;=30000,10,IF($F401*IF($C401="売",1+$AX$2,1-$AX$2)&lt;=50000,50,IF($F401*IF($C401="売",1+$AX$2,1-$AX$2)&lt;=300000,100,500)))))),FLOOR($F401*IF($C401="売",1+$AX$2,1-$AX$2),IF($F401*IF($C401="売",1+$AX$2,1-$AX$2)&lt;=3000,1,IF($F401*IF($C401="売",1+$AX$2,1-$AX$2)&lt;=5000,5,IF($F401*IF($C401="売",1+$AX$2,1-$AX$2)&lt;=30000,10,IF($F401*IF($C401="売",1+$AX$2,1-$AX$2)&lt;=50000,50,IF($F401*IF($C401="売",1+$AX$2,1-$AX$2)&lt;=300000,100,500))))))))</f>
      </c>
      <c r="O401" s="478" t="str">
        <f>IF(OR($B401="",$F401="",$H401=""),"",IF($S401="✅売却済","―決済済―",IF($C401="売",IF($H401&lt;=$M401,"🟢利確",IF(AND($R401&lt;&gt;"",$H401&gt;=$R401),"🟠TRAIL決済",IF($H401&gt;=$N401,"🔴損切",IF($W401&gt;=$AX$5,"⏱時間決済",IF($H401&gt;=$F401*(1+$AX$2*0.7),"⚠️損切接近","保持継続"))))),IF($H401&gt;=$M401,"🟢利確",IF(AND($R401&lt;&gt;"",$H401&lt;=$R401),"🟠TRAIL決済",IF($H401&lt;=$N401,"🔴損切",IF($W401&gt;=$AX$5,"⏱時間決済",IF($H401&lt;=$F401*(1-$AX$2*0.7),"⚠️損切接近","保持継続")))))))</f>
      </c>
      <c r="P401" s="445"/>
      <c r="R401" s="440" t="str">
        <f>IF(OR($F401="",$H401="",$N401=""),"",IF($S401="✅売却済","",IF($C401="売",IF($H401&gt;$F401*(1-$AX$2),$N401,CEILING(MIN($N401,IF($Q401="",$N401,$Q401*1.03)),IF($N401&lt;=3000,1,IF($N401&lt;=5000,5,IF($N401&lt;=30000,10,IF($N401&lt;=50000,50,IF($N401&lt;=300000,100,500))))))),IF($H401&lt;$F401*(1+$AX$2),$N401,FLOOR(MAX($N401,IF($P401="",$N401,$P401*0.97)),IF($N401&lt;=3000,1,IF($N401&lt;=5000,5,IF($N401&lt;=30000,10,IF($N401&lt;=50000,50,IF($N401&lt;=300000,100,500))))))))))</f>
      </c>
      <c r="S401" s="440" t="str">
        <f>IF(B401="","",IF(T401&lt;&gt;"","✅売却済",IF(OR(H401="",L401=""),"📌保有中",IF(L401&gt;=0.06,"🟢利確推奨",IF(L401&gt;=0.05,"🟡利確直近",IF(L401&gt;=0.045,"🔵トレーリング検討",IF(L401&gt;-0.03,"📌保有中",IF(L401&gt;-0.04,"⚠️損切注意","🔴損切り"))))))))</f>
        <v/>
      </c>
      <c r="T401" s="597"/>
      <c r="U401" s="599"/>
      <c r="V401" s="704" t="str">
        <f>IF(OR(F401="",G401="",U401=""),"",IF(C401="売",(F401-U401)*G401,(U401-F401)*G401))</f>
        <v/>
      </c>
      <c r="W401" s="440" t="str">
        <f>IF(OR($E401="",$B401=""),"",IF($T401&lt;&gt;"",$T401-$E401,TODAY()-$E401)+1)</f>
        <v/>
      </c>
      <c r="X401" s="440" t="str">
        <f>IF(OR($AH401="",$AH401="保有中"),"",$AH401)</f>
        <v/>
      </c>
      <c r="Y401">
        <f>IF($B401="","",IF(COUNTIFS($B$4:$B401,$B401,$C$4:$C401,$C401)&gt;1,"⛔重複"&amp;COUNTIFS($B$4:$B401,$B401,$C$4:$C401,$C401)&amp;"回目",""))</f>
      </c>
      <c r="AB401">
        <f>IF($F401="","",MAX(100,ROUNDDOWN($AX$4/($F401*$AX$2)/100,0)*100))</f>
      </c>
      <c r="AC401">
        <f>IF(OR($F401="",$G401="",$U401=""),"",ROUND($V401-($F401+$U401)*$G401*$AX$6-IF($C401="売",$F401*$G401*$AX$7*$W401/365,0),0))</f>
      </c>
      <c r="AD401" s="608"/>
      <c r="AE401" s="600" t="str">
        <f>IF($E401="","",WORKDAY($E401,12))</f>
        <v/>
      </c>
      <c r="AF401" s="600"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0"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0" t="str">
        <f>IF(OR($B401="",$M401=""),"",IF(AND(N($AF401)=0,N($AG401)=0),IF(AND(ISNUMBER($H401),$H401&gt;0,IF($C401="売",$H401&gt;=$N401,$H401&lt;=$N401)),"損切確定",IF(AND(ISNUMBER($H401),$H401&gt;0,IF($C401="売",$H401&lt;=$M401,$H401&gt;=$M401)),"利益確定",IF($AE401&lt;=TODAY(),"日数制限","保有中"))),IF(N($AG401)=0,"利益確定",IF(N($AF401)=0,"損切確定",IF($AG401&lt;=$AF401,"損切確定","利益確定")))))</f>
        <v/>
      </c>
      <c r="AI401" s="600" t="str" cm="1">
        <f t="array" ref="AI401">IFERROR(INDEX(始値!$E$6:$BT$305,MATCH(TEXT($B401,"0"),TEXT(銘柄管理!$B$6:$B$305,"0"),0),MATCH($AE401,始値!$E$3:$BT$3,0)),"")</f>
        <v/>
      </c>
      <c r="AJ401" s="608" t="str">
        <f>IF(OR($V401="",$F401="",$G401=""),"",$V401/($F401*$G401))</f>
        <v/>
      </c>
      <c r="AK401" s="600" t="str">
        <f>IF($V401="","",IF($V401&gt;0,"○勝",IF($V401&lt;0,"●負","△引分")))</f>
        <v/>
      </c>
    </row>
    <row r="402" spans="1:37" ht="17.25" customHeight="1">
      <c r="A402" s="622" t="str">
        <f>IF(B402="","",HYPERLINK("https://kabutan.jp/stock/?code="&amp;B402,"株探"))</f>
        <v/>
      </c>
      <c r="D402" s="440" t="str" cm="1">
        <f t="array" ref="D402">_xll.RssMarket(B402, "銘柄名称")</f>
        <v/>
      </c>
      <c r="E402" s="717"/>
      <c r="F402" s="6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IF(OR(F402="",G402="",H402=""),"",IF(C402="売",(F402-H402)*G402,(H402-F402)*G402))</f>
        <v/>
      </c>
      <c r="L402" s="709" t="str">
        <f>IF(OR(F402="",H402=""),"",IF(C402="売",(F402-H402)/F402,(H402-F402)/F402))</f>
        <v/>
      </c>
      <c r="M402" s="599" t="str">
        <f>IF($F402="","",IF($C402="売",CEILING($F402*IF($C402="売",1-$AX$3,1+$AX$3),IF($F402*IF($C402="売",1-$AX$3,1+$AX$3)&lt;=3000,1,IF($F402*IF($C402="売",1-$AX$3,1+$AX$3)&lt;=5000,5,IF($F402*IF($C402="売",1-$AX$3,1+$AX$3)&lt;=30000,10,IF($F402*IF($C402="売",1-$AX$3,1+$AX$3)&lt;=50000,50,IF($F402*IF($C402="売",1-$AX$3,1+$AX$3)&lt;=300000,100,500)))))),FLOOR($F402*IF($C402="売",1-$AX$3,1+$AX$3),IF($F402*IF($C402="売",1-$AX$3,1+$AX$3)&lt;=3000,1,IF($F402*IF($C402="売",1-$AX$3,1+$AX$3)&lt;=5000,5,IF($F402*IF($C402="売",1-$AX$3,1+$AX$3)&lt;=30000,10,IF($F402*IF($C402="売",1-$AX$3,1+$AX$3)&lt;=50000,50,IF($F402*IF($C402="売",1-$AX$3,1+$AX$3)&lt;=300000,100,500))))))))</f>
      </c>
      <c r="N402" s="599" t="str">
        <f>IF($F402="","",IF($C402="売",CEILING($F402*IF($C402="売",1+$AX$2,1-$AX$2),IF($F402*IF($C402="売",1+$AX$2,1-$AX$2)&lt;=3000,1,IF($F402*IF($C402="売",1+$AX$2,1-$AX$2)&lt;=5000,5,IF($F402*IF($C402="売",1+$AX$2,1-$AX$2)&lt;=30000,10,IF($F402*IF($C402="売",1+$AX$2,1-$AX$2)&lt;=50000,50,IF($F402*IF($C402="売",1+$AX$2,1-$AX$2)&lt;=300000,100,500)))))),FLOOR($F402*IF($C402="売",1+$AX$2,1-$AX$2),IF($F402*IF($C402="売",1+$AX$2,1-$AX$2)&lt;=3000,1,IF($F402*IF($C402="売",1+$AX$2,1-$AX$2)&lt;=5000,5,IF($F402*IF($C402="売",1+$AX$2,1-$AX$2)&lt;=30000,10,IF($F402*IF($C402="売",1+$AX$2,1-$AX$2)&lt;=50000,50,IF($F402*IF($C402="売",1+$AX$2,1-$AX$2)&lt;=300000,100,500))))))))</f>
      </c>
      <c r="O402" s="478" t="str">
        <f>IF(OR($B402="",$F402="",$H402=""),"",IF($S402="✅売却済","―決済済―",IF($C402="売",IF($H402&lt;=$M402,"🟢利確",IF(AND($R402&lt;&gt;"",$H402&gt;=$R402),"🟠TRAIL決済",IF($H402&gt;=$N402,"🔴損切",IF($W402&gt;=$AX$5,"⏱時間決済",IF($H402&gt;=$F402*(1+$AX$2*0.7),"⚠️損切接近","保持継続"))))),IF($H402&gt;=$M402,"🟢利確",IF(AND($R402&lt;&gt;"",$H402&lt;=$R402),"🟠TRAIL決済",IF($H402&lt;=$N402,"🔴損切",IF($W402&gt;=$AX$5,"⏱時間決済",IF($H402&lt;=$F402*(1-$AX$2*0.7),"⚠️損切接近","保持継続")))))))</f>
      </c>
      <c r="P402" s="445"/>
      <c r="R402" s="440" t="str">
        <f>IF(OR($F402="",$H402="",$N402=""),"",IF($S402="✅売却済","",IF($C402="売",IF($H402&gt;$F402*(1-$AX$2),$N402,CEILING(MIN($N402,IF($Q402="",$N402,$Q402*1.03)),IF($N402&lt;=3000,1,IF($N402&lt;=5000,5,IF($N402&lt;=30000,10,IF($N402&lt;=50000,50,IF($N402&lt;=300000,100,500))))))),IF($H402&lt;$F402*(1+$AX$2),$N402,FLOOR(MAX($N402,IF($P402="",$N402,$P402*0.97)),IF($N402&lt;=3000,1,IF($N402&lt;=5000,5,IF($N402&lt;=30000,10,IF($N402&lt;=50000,50,IF($N402&lt;=300000,100,500))))))))))</f>
      </c>
      <c r="S402" s="440" t="str">
        <f>IF(B402="","",IF(T402&lt;&gt;"","✅売却済",IF(OR(H402="",L402=""),"📌保有中",IF(L402&gt;=0.06,"🟢利確推奨",IF(L402&gt;=0.05,"🟡利確直近",IF(L402&gt;=0.045,"🔵トレーリング検討",IF(L402&gt;-0.03,"📌保有中",IF(L402&gt;-0.04,"⚠️損切注意","🔴損切り"))))))))</f>
        <v/>
      </c>
      <c r="T402" s="597"/>
      <c r="U402" s="599"/>
      <c r="V402" s="704" t="str">
        <f>IF(OR(F402="",G402="",U402=""),"",IF(C402="売",(F402-U402)*G402,(U402-F402)*G402))</f>
        <v/>
      </c>
      <c r="W402" s="440" t="str">
        <f>IF(OR($E402="",$B402=""),"",IF($T402&lt;&gt;"",$T402-$E402,TODAY()-$E402)+1)</f>
        <v/>
      </c>
      <c r="X402" s="440" t="str">
        <f>IF(OR($AH402="",$AH402="保有中"),"",$AH402)</f>
        <v/>
      </c>
      <c r="Y402">
        <f>IF($B402="","",IF(COUNTIFS($B$4:$B402,$B402,$C$4:$C402,$C402)&gt;1,"⛔重複"&amp;COUNTIFS($B$4:$B402,$B402,$C$4:$C402,$C402)&amp;"回目",""))</f>
      </c>
      <c r="AB402">
        <f>IF($F402="","",MAX(100,ROUNDDOWN($AX$4/($F402*$AX$2)/100,0)*100))</f>
      </c>
      <c r="AC402">
        <f>IF(OR($F402="",$G402="",$U402=""),"",ROUND($V402-($F402+$U402)*$G402*$AX$6-IF($C402="売",$F402*$G402*$AX$7*$W402/365,0),0))</f>
      </c>
      <c r="AD402" s="608"/>
      <c r="AE402" s="600" t="str">
        <f>IF($E402="","",WORKDAY($E402,12))</f>
        <v/>
      </c>
      <c r="AF402" s="600"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0"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0" t="str">
        <f>IF(OR($B402="",$M402=""),"",IF(AND(N($AF402)=0,N($AG402)=0),IF(AND(ISNUMBER($H402),$H402&gt;0,IF($C402="売",$H402&gt;=$N402,$H402&lt;=$N402)),"損切確定",IF(AND(ISNUMBER($H402),$H402&gt;0,IF($C402="売",$H402&lt;=$M402,$H402&gt;=$M402)),"利益確定",IF($AE402&lt;=TODAY(),"日数制限","保有中"))),IF(N($AG402)=0,"利益確定",IF(N($AF402)=0,"損切確定",IF($AG402&lt;=$AF402,"損切確定","利益確定")))))</f>
        <v/>
      </c>
      <c r="AI402" s="600" t="str" cm="1">
        <f t="array" ref="AI402">IFERROR(INDEX(始値!$E$6:$BT$305,MATCH(TEXT($B402,"0"),TEXT(銘柄管理!$B$6:$B$305,"0"),0),MATCH($AE402,始値!$E$3:$BT$3,0)),"")</f>
        <v/>
      </c>
      <c r="AJ402" s="608" t="str">
        <f>IF(OR($V402="",$F402="",$G402=""),"",$V402/($F402*$G402))</f>
        <v/>
      </c>
      <c r="AK402" s="600" t="str">
        <f>IF($V402="","",IF($V402&gt;0,"○勝",IF($V402&lt;0,"●負","△引分")))</f>
        <v/>
      </c>
    </row>
    <row r="403" spans="1:37" ht="17.25" customHeight="1">
      <c r="A403" s="622" t="str">
        <f>IF(B403="","",HYPERLINK("https://kabutan.jp/stock/?code="&amp;B403,"株探"))</f>
        <v/>
      </c>
      <c r="D403" s="440" t="str" cm="1">
        <f t="array" ref="D403">_xll.RssMarket(B403, "銘柄名称")</f>
        <v/>
      </c>
      <c r="E403" s="717"/>
      <c r="F403" s="6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IF(OR(F403="",G403="",H403=""),"",IF(C403="売",(F403-H403)*G403,(H403-F403)*G403))</f>
        <v/>
      </c>
      <c r="L403" s="709" t="str">
        <f>IF(OR(F403="",H403=""),"",IF(C403="売",(F403-H403)/F403,(H403-F403)/F403))</f>
        <v/>
      </c>
      <c r="M403" s="599" t="str">
        <f>IF($F403="","",IF($C403="売",CEILING($F403*IF($C403="売",1-$AX$3,1+$AX$3),IF($F403*IF($C403="売",1-$AX$3,1+$AX$3)&lt;=3000,1,IF($F403*IF($C403="売",1-$AX$3,1+$AX$3)&lt;=5000,5,IF($F403*IF($C403="売",1-$AX$3,1+$AX$3)&lt;=30000,10,IF($F403*IF($C403="売",1-$AX$3,1+$AX$3)&lt;=50000,50,IF($F403*IF($C403="売",1-$AX$3,1+$AX$3)&lt;=300000,100,500)))))),FLOOR($F403*IF($C403="売",1-$AX$3,1+$AX$3),IF($F403*IF($C403="売",1-$AX$3,1+$AX$3)&lt;=3000,1,IF($F403*IF($C403="売",1-$AX$3,1+$AX$3)&lt;=5000,5,IF($F403*IF($C403="売",1-$AX$3,1+$AX$3)&lt;=30000,10,IF($F403*IF($C403="売",1-$AX$3,1+$AX$3)&lt;=50000,50,IF($F403*IF($C403="売",1-$AX$3,1+$AX$3)&lt;=300000,100,500))))))))</f>
      </c>
      <c r="N403" s="599" t="str">
        <f>IF($F403="","",IF($C403="売",CEILING($F403*IF($C403="売",1+$AX$2,1-$AX$2),IF($F403*IF($C403="売",1+$AX$2,1-$AX$2)&lt;=3000,1,IF($F403*IF($C403="売",1+$AX$2,1-$AX$2)&lt;=5000,5,IF($F403*IF($C403="売",1+$AX$2,1-$AX$2)&lt;=30000,10,IF($F403*IF($C403="売",1+$AX$2,1-$AX$2)&lt;=50000,50,IF($F403*IF($C403="売",1+$AX$2,1-$AX$2)&lt;=300000,100,500)))))),FLOOR($F403*IF($C403="売",1+$AX$2,1-$AX$2),IF($F403*IF($C403="売",1+$AX$2,1-$AX$2)&lt;=3000,1,IF($F403*IF($C403="売",1+$AX$2,1-$AX$2)&lt;=5000,5,IF($F403*IF($C403="売",1+$AX$2,1-$AX$2)&lt;=30000,10,IF($F403*IF($C403="売",1+$AX$2,1-$AX$2)&lt;=50000,50,IF($F403*IF($C403="売",1+$AX$2,1-$AX$2)&lt;=300000,100,500))))))))</f>
      </c>
      <c r="O403" s="478" t="str">
        <f>IF(OR($B403="",$F403="",$H403=""),"",IF($S403="✅売却済","―決済済―",IF($C403="売",IF($H403&lt;=$M403,"🟢利確",IF(AND($R403&lt;&gt;"",$H403&gt;=$R403),"🟠TRAIL決済",IF($H403&gt;=$N403,"🔴損切",IF($W403&gt;=$AX$5,"⏱時間決済",IF($H403&gt;=$F403*(1+$AX$2*0.7),"⚠️損切接近","保持継続"))))),IF($H403&gt;=$M403,"🟢利確",IF(AND($R403&lt;&gt;"",$H403&lt;=$R403),"🟠TRAIL決済",IF($H403&lt;=$N403,"🔴損切",IF($W403&gt;=$AX$5,"⏱時間決済",IF($H403&lt;=$F403*(1-$AX$2*0.7),"⚠️損切接近","保持継続")))))))</f>
      </c>
      <c r="P403" s="445"/>
      <c r="R403" s="440" t="str">
        <f>IF(OR($F403="",$H403="",$N403=""),"",IF($S403="✅売却済","",IF($C403="売",IF($H403&gt;$F403*(1-$AX$2),$N403,CEILING(MIN($N403,IF($Q403="",$N403,$Q403*1.03)),IF($N403&lt;=3000,1,IF($N403&lt;=5000,5,IF($N403&lt;=30000,10,IF($N403&lt;=50000,50,IF($N403&lt;=300000,100,500))))))),IF($H403&lt;$F403*(1+$AX$2),$N403,FLOOR(MAX($N403,IF($P403="",$N403,$P403*0.97)),IF($N403&lt;=3000,1,IF($N403&lt;=5000,5,IF($N403&lt;=30000,10,IF($N403&lt;=50000,50,IF($N403&lt;=300000,100,500))))))))))</f>
      </c>
      <c r="S403" s="440" t="str">
        <f>IF(B403="","",IF(T403&lt;&gt;"","✅売却済",IF(OR(H403="",L403=""),"📌保有中",IF(L403&gt;=0.06,"🟢利確推奨",IF(L403&gt;=0.05,"🟡利確直近",IF(L403&gt;=0.045,"🔵トレーリング検討",IF(L403&gt;-0.03,"📌保有中",IF(L403&gt;-0.04,"⚠️損切注意","🔴損切り"))))))))</f>
        <v/>
      </c>
      <c r="T403" s="597"/>
      <c r="U403" s="599"/>
      <c r="V403" s="704" t="str">
        <f>IF(OR(F403="",G403="",U403=""),"",IF(C403="売",(F403-U403)*G403,(U403-F403)*G403))</f>
        <v/>
      </c>
      <c r="W403" s="440" t="str">
        <f>IF(OR($E403="",$B403=""),"",IF($T403&lt;&gt;"",$T403-$E403,TODAY()-$E403)+1)</f>
        <v/>
      </c>
      <c r="X403" s="440" t="str">
        <f>IF(OR($AH403="",$AH403="保有中"),"",$AH403)</f>
        <v/>
      </c>
      <c r="Y403">
        <f>IF($B403="","",IF(COUNTIFS($B$4:$B403,$B403,$C$4:$C403,$C403)&gt;1,"⛔重複"&amp;COUNTIFS($B$4:$B403,$B403,$C$4:$C403,$C403)&amp;"回目",""))</f>
      </c>
      <c r="AB403">
        <f>IF($F403="","",MAX(100,ROUNDDOWN($AX$4/($F403*$AX$2)/100,0)*100))</f>
      </c>
      <c r="AC403">
        <f>IF(OR($F403="",$G403="",$U403=""),"",ROUND($V403-($F403+$U403)*$G403*$AX$6-IF($C403="売",$F403*$G403*$AX$7*$W403/365,0),0))</f>
      </c>
      <c r="AD403" s="608"/>
      <c r="AE403" s="600" t="str">
        <f>IF($E403="","",WORKDAY($E403,12))</f>
        <v/>
      </c>
      <c r="AF403" s="600"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0"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0" t="str">
        <f>IF(OR($B403="",$M403=""),"",IF(AND(N($AF403)=0,N($AG403)=0),IF(AND(ISNUMBER($H403),$H403&gt;0,IF($C403="売",$H403&gt;=$N403,$H403&lt;=$N403)),"損切確定",IF(AND(ISNUMBER($H403),$H403&gt;0,IF($C403="売",$H403&lt;=$M403,$H403&gt;=$M403)),"利益確定",IF($AE403&lt;=TODAY(),"日数制限","保有中"))),IF(N($AG403)=0,"利益確定",IF(N($AF403)=0,"損切確定",IF($AG403&lt;=$AF403,"損切確定","利益確定")))))</f>
        <v/>
      </c>
      <c r="AI403" s="600" t="str" cm="1">
        <f t="array" ref="AI403">IFERROR(INDEX(始値!$E$6:$BT$305,MATCH(TEXT($B403,"0"),TEXT(銘柄管理!$B$6:$B$305,"0"),0),MATCH($AE403,始値!$E$3:$BT$3,0)),"")</f>
        <v/>
      </c>
      <c r="AJ403" s="608" t="str">
        <f>IF(OR($V403="",$F403="",$G403=""),"",$V403/($F403*$G403))</f>
        <v/>
      </c>
      <c r="AK403" s="600" t="str">
        <f>IF($V403="","",IF($V403&gt;0,"○勝",IF($V403&lt;0,"●負","△引分")))</f>
        <v/>
      </c>
    </row>
    <row r="404" spans="1:37" ht="17.25" customHeight="1">
      <c r="A404" s="622" t="str">
        <f>IF(B404="","",HYPERLINK("https://kabutan.jp/stock/?code="&amp;B404,"株探"))</f>
        <v/>
      </c>
      <c r="D404" s="440" t="str" cm="1">
        <f t="array" ref="D404">_xll.RssMarket(B404, "銘柄名称")</f>
        <v/>
      </c>
      <c r="E404" s="717"/>
      <c r="F404" s="6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IF(OR(F404="",G404="",H404=""),"",IF(C404="売",(F404-H404)*G404,(H404-F404)*G404))</f>
        <v/>
      </c>
      <c r="L404" s="709" t="str">
        <f>IF(OR(F404="",H404=""),"",IF(C404="売",(F404-H404)/F404,(H404-F404)/F404))</f>
        <v/>
      </c>
      <c r="M404" s="599" t="str">
        <f>IF($F404="","",IF($C404="売",CEILING($F404*IF($C404="売",1-$AX$3,1+$AX$3),IF($F404*IF($C404="売",1-$AX$3,1+$AX$3)&lt;=3000,1,IF($F404*IF($C404="売",1-$AX$3,1+$AX$3)&lt;=5000,5,IF($F404*IF($C404="売",1-$AX$3,1+$AX$3)&lt;=30000,10,IF($F404*IF($C404="売",1-$AX$3,1+$AX$3)&lt;=50000,50,IF($F404*IF($C404="売",1-$AX$3,1+$AX$3)&lt;=300000,100,500)))))),FLOOR($F404*IF($C404="売",1-$AX$3,1+$AX$3),IF($F404*IF($C404="売",1-$AX$3,1+$AX$3)&lt;=3000,1,IF($F404*IF($C404="売",1-$AX$3,1+$AX$3)&lt;=5000,5,IF($F404*IF($C404="売",1-$AX$3,1+$AX$3)&lt;=30000,10,IF($F404*IF($C404="売",1-$AX$3,1+$AX$3)&lt;=50000,50,IF($F404*IF($C404="売",1-$AX$3,1+$AX$3)&lt;=300000,100,500))))))))</f>
      </c>
      <c r="N404" s="599" t="str">
        <f>IF($F404="","",IF($C404="売",CEILING($F404*IF($C404="売",1+$AX$2,1-$AX$2),IF($F404*IF($C404="売",1+$AX$2,1-$AX$2)&lt;=3000,1,IF($F404*IF($C404="売",1+$AX$2,1-$AX$2)&lt;=5000,5,IF($F404*IF($C404="売",1+$AX$2,1-$AX$2)&lt;=30000,10,IF($F404*IF($C404="売",1+$AX$2,1-$AX$2)&lt;=50000,50,IF($F404*IF($C404="売",1+$AX$2,1-$AX$2)&lt;=300000,100,500)))))),FLOOR($F404*IF($C404="売",1+$AX$2,1-$AX$2),IF($F404*IF($C404="売",1+$AX$2,1-$AX$2)&lt;=3000,1,IF($F404*IF($C404="売",1+$AX$2,1-$AX$2)&lt;=5000,5,IF($F404*IF($C404="売",1+$AX$2,1-$AX$2)&lt;=30000,10,IF($F404*IF($C404="売",1+$AX$2,1-$AX$2)&lt;=50000,50,IF($F404*IF($C404="売",1+$AX$2,1-$AX$2)&lt;=300000,100,500))))))))</f>
      </c>
      <c r="O404" s="478" t="str">
        <f>IF(OR($B404="",$F404="",$H404=""),"",IF($S404="✅売却済","―決済済―",IF($C404="売",IF($H404&lt;=$M404,"🟢利確",IF(AND($R404&lt;&gt;"",$H404&gt;=$R404),"🟠TRAIL決済",IF($H404&gt;=$N404,"🔴損切",IF($W404&gt;=$AX$5,"⏱時間決済",IF($H404&gt;=$F404*(1+$AX$2*0.7),"⚠️損切接近","保持継続"))))),IF($H404&gt;=$M404,"🟢利確",IF(AND($R404&lt;&gt;"",$H404&lt;=$R404),"🟠TRAIL決済",IF($H404&lt;=$N404,"🔴損切",IF($W404&gt;=$AX$5,"⏱時間決済",IF($H404&lt;=$F404*(1-$AX$2*0.7),"⚠️損切接近","保持継続")))))))</f>
      </c>
      <c r="P404" s="445"/>
      <c r="R404" s="440" t="str">
        <f>IF(OR($F404="",$H404="",$N404=""),"",IF($S404="✅売却済","",IF($C404="売",IF($H404&gt;$F404*(1-$AX$2),$N404,CEILING(MIN($N404,IF($Q404="",$N404,$Q404*1.03)),IF($N404&lt;=3000,1,IF($N404&lt;=5000,5,IF($N404&lt;=30000,10,IF($N404&lt;=50000,50,IF($N404&lt;=300000,100,500))))))),IF($H404&lt;$F404*(1+$AX$2),$N404,FLOOR(MAX($N404,IF($P404="",$N404,$P404*0.97)),IF($N404&lt;=3000,1,IF($N404&lt;=5000,5,IF($N404&lt;=30000,10,IF($N404&lt;=50000,50,IF($N404&lt;=300000,100,500))))))))))</f>
      </c>
      <c r="S404" s="440" t="str">
        <f>IF(B404="","",IF(T404&lt;&gt;"","✅売却済",IF(OR(H404="",L404=""),"📌保有中",IF(L404&gt;=0.06,"🟢利確推奨",IF(L404&gt;=0.05,"🟡利確直近",IF(L404&gt;=0.045,"🔵トレーリング検討",IF(L404&gt;-0.03,"📌保有中",IF(L404&gt;-0.04,"⚠️損切注意","🔴損切り"))))))))</f>
        <v/>
      </c>
      <c r="T404" s="597"/>
      <c r="U404" s="599"/>
      <c r="V404" s="704" t="str">
        <f>IF(OR(F404="",G404="",U404=""),"",IF(C404="売",(F404-U404)*G404,(U404-F404)*G404))</f>
        <v/>
      </c>
      <c r="W404" s="440" t="str">
        <f>IF(OR($E404="",$B404=""),"",IF($T404&lt;&gt;"",$T404-$E404,TODAY()-$E404)+1)</f>
        <v/>
      </c>
      <c r="X404" s="440" t="str">
        <f>IF(OR($AH404="",$AH404="保有中"),"",$AH404)</f>
        <v/>
      </c>
      <c r="Y404">
        <f>IF($B404="","",IF(COUNTIFS($B$4:$B404,$B404,$C$4:$C404,$C404)&gt;1,"⛔重複"&amp;COUNTIFS($B$4:$B404,$B404,$C$4:$C404,$C404)&amp;"回目",""))</f>
      </c>
      <c r="AB404">
        <f>IF($F404="","",MAX(100,ROUNDDOWN($AX$4/($F404*$AX$2)/100,0)*100))</f>
      </c>
      <c r="AC404">
        <f>IF(OR($F404="",$G404="",$U404=""),"",ROUND($V404-($F404+$U404)*$G404*$AX$6-IF($C404="売",$F404*$G404*$AX$7*$W404/365,0),0))</f>
      </c>
      <c r="AD404" s="608"/>
      <c r="AE404" s="600" t="str">
        <f>IF($E404="","",WORKDAY($E404,12))</f>
        <v/>
      </c>
      <c r="AF404" s="600"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0"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0" t="str">
        <f>IF(OR($B404="",$M404=""),"",IF(AND(N($AF404)=0,N($AG404)=0),IF(AND(ISNUMBER($H404),$H404&gt;0,IF($C404="売",$H404&gt;=$N404,$H404&lt;=$N404)),"損切確定",IF(AND(ISNUMBER($H404),$H404&gt;0,IF($C404="売",$H404&lt;=$M404,$H404&gt;=$M404)),"利益確定",IF($AE404&lt;=TODAY(),"日数制限","保有中"))),IF(N($AG404)=0,"利益確定",IF(N($AF404)=0,"損切確定",IF($AG404&lt;=$AF404,"損切確定","利益確定")))))</f>
        <v/>
      </c>
      <c r="AI404" s="600" t="str" cm="1">
        <f t="array" ref="AI404">IFERROR(INDEX(始値!$E$6:$BT$305,MATCH(TEXT($B404,"0"),TEXT(銘柄管理!$B$6:$B$305,"0"),0),MATCH($AE404,始値!$E$3:$BT$3,0)),"")</f>
        <v/>
      </c>
      <c r="AJ404" s="608" t="str">
        <f>IF(OR($V404="",$F404="",$G404=""),"",$V404/($F404*$G404))</f>
        <v/>
      </c>
      <c r="AK404" s="600" t="str">
        <f>IF($V404="","",IF($V404&gt;0,"○勝",IF($V404&lt;0,"●負","△引分")))</f>
        <v/>
      </c>
    </row>
    <row r="405" spans="1:37" ht="17.25" customHeight="1">
      <c r="A405" s="622" t="str">
        <f>IF(B405="","",HYPERLINK("https://kabutan.jp/stock/?code="&amp;B405,"株探"))</f>
        <v/>
      </c>
      <c r="D405" s="440" t="str" cm="1">
        <f t="array" ref="D405">_xll.RssMarket(B405, "銘柄名称")</f>
        <v/>
      </c>
      <c r="E405" s="717"/>
      <c r="F405" s="6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IF(OR(F405="",G405="",H405=""),"",IF(C405="売",(F405-H405)*G405,(H405-F405)*G405))</f>
        <v/>
      </c>
      <c r="L405" s="709" t="str">
        <f>IF(OR(F405="",H405=""),"",IF(C405="売",(F405-H405)/F405,(H405-F405)/F405))</f>
        <v/>
      </c>
      <c r="M405" s="599" t="str">
        <f>IF($F405="","",IF($C405="売",CEILING($F405*IF($C405="売",1-$AX$3,1+$AX$3),IF($F405*IF($C405="売",1-$AX$3,1+$AX$3)&lt;=3000,1,IF($F405*IF($C405="売",1-$AX$3,1+$AX$3)&lt;=5000,5,IF($F405*IF($C405="売",1-$AX$3,1+$AX$3)&lt;=30000,10,IF($F405*IF($C405="売",1-$AX$3,1+$AX$3)&lt;=50000,50,IF($F405*IF($C405="売",1-$AX$3,1+$AX$3)&lt;=300000,100,500)))))),FLOOR($F405*IF($C405="売",1-$AX$3,1+$AX$3),IF($F405*IF($C405="売",1-$AX$3,1+$AX$3)&lt;=3000,1,IF($F405*IF($C405="売",1-$AX$3,1+$AX$3)&lt;=5000,5,IF($F405*IF($C405="売",1-$AX$3,1+$AX$3)&lt;=30000,10,IF($F405*IF($C405="売",1-$AX$3,1+$AX$3)&lt;=50000,50,IF($F405*IF($C405="売",1-$AX$3,1+$AX$3)&lt;=300000,100,500))))))))</f>
      </c>
      <c r="N405" s="599" t="str">
        <f>IF($F405="","",IF($C405="売",CEILING($F405*IF($C405="売",1+$AX$2,1-$AX$2),IF($F405*IF($C405="売",1+$AX$2,1-$AX$2)&lt;=3000,1,IF($F405*IF($C405="売",1+$AX$2,1-$AX$2)&lt;=5000,5,IF($F405*IF($C405="売",1+$AX$2,1-$AX$2)&lt;=30000,10,IF($F405*IF($C405="売",1+$AX$2,1-$AX$2)&lt;=50000,50,IF($F405*IF($C405="売",1+$AX$2,1-$AX$2)&lt;=300000,100,500)))))),FLOOR($F405*IF($C405="売",1+$AX$2,1-$AX$2),IF($F405*IF($C405="売",1+$AX$2,1-$AX$2)&lt;=3000,1,IF($F405*IF($C405="売",1+$AX$2,1-$AX$2)&lt;=5000,5,IF($F405*IF($C405="売",1+$AX$2,1-$AX$2)&lt;=30000,10,IF($F405*IF($C405="売",1+$AX$2,1-$AX$2)&lt;=50000,50,IF($F405*IF($C405="売",1+$AX$2,1-$AX$2)&lt;=300000,100,500))))))))</f>
      </c>
      <c r="O405" s="478" t="str">
        <f>IF(OR($B405="",$F405="",$H405=""),"",IF($S405="✅売却済","―決済済―",IF($C405="売",IF($H405&lt;=$M405,"🟢利確",IF(AND($R405&lt;&gt;"",$H405&gt;=$R405),"🟠TRAIL決済",IF($H405&gt;=$N405,"🔴損切",IF($W405&gt;=$AX$5,"⏱時間決済",IF($H405&gt;=$F405*(1+$AX$2*0.7),"⚠️損切接近","保持継続"))))),IF($H405&gt;=$M405,"🟢利確",IF(AND($R405&lt;&gt;"",$H405&lt;=$R405),"🟠TRAIL決済",IF($H405&lt;=$N405,"🔴損切",IF($W405&gt;=$AX$5,"⏱時間決済",IF($H405&lt;=$F405*(1-$AX$2*0.7),"⚠️損切接近","保持継続")))))))</f>
      </c>
      <c r="P405" s="445"/>
      <c r="R405" s="440" t="str">
        <f>IF(OR($F405="",$H405="",$N405=""),"",IF($S405="✅売却済","",IF($C405="売",IF($H405&gt;$F405*(1-$AX$2),$N405,CEILING(MIN($N405,IF($Q405="",$N405,$Q405*1.03)),IF($N405&lt;=3000,1,IF($N405&lt;=5000,5,IF($N405&lt;=30000,10,IF($N405&lt;=50000,50,IF($N405&lt;=300000,100,500))))))),IF($H405&lt;$F405*(1+$AX$2),$N405,FLOOR(MAX($N405,IF($P405="",$N405,$P405*0.97)),IF($N405&lt;=3000,1,IF($N405&lt;=5000,5,IF($N405&lt;=30000,10,IF($N405&lt;=50000,50,IF($N405&lt;=300000,100,500))))))))))</f>
      </c>
      <c r="S405" s="440" t="str">
        <f>IF(B405="","",IF(T405&lt;&gt;"","✅売却済",IF(OR(H405="",L405=""),"📌保有中",IF(L405&gt;=0.06,"🟢利確推奨",IF(L405&gt;=0.05,"🟡利確直近",IF(L405&gt;=0.045,"🔵トレーリング検討",IF(L405&gt;-0.03,"📌保有中",IF(L405&gt;-0.04,"⚠️損切注意","🔴損切り"))))))))</f>
        <v/>
      </c>
      <c r="T405" s="597"/>
      <c r="U405" s="599"/>
      <c r="V405" s="704" t="str">
        <f>IF(OR(F405="",G405="",U405=""),"",IF(C405="売",(F405-U405)*G405,(U405-F405)*G405))</f>
        <v/>
      </c>
      <c r="W405" s="440" t="str">
        <f>IF(OR($E405="",$B405=""),"",IF($T405&lt;&gt;"",$T405-$E405,TODAY()-$E405)+1)</f>
        <v/>
      </c>
      <c r="X405" s="440" t="str">
        <f>IF(OR($AH405="",$AH405="保有中"),"",$AH405)</f>
        <v/>
      </c>
      <c r="Y405">
        <f>IF($B405="","",IF(COUNTIFS($B$4:$B405,$B405,$C$4:$C405,$C405)&gt;1,"⛔重複"&amp;COUNTIFS($B$4:$B405,$B405,$C$4:$C405,$C405)&amp;"回目",""))</f>
      </c>
      <c r="AB405">
        <f>IF($F405="","",MAX(100,ROUNDDOWN($AX$4/($F405*$AX$2)/100,0)*100))</f>
      </c>
      <c r="AC405">
        <f>IF(OR($F405="",$G405="",$U405=""),"",ROUND($V405-($F405+$U405)*$G405*$AX$6-IF($C405="売",$F405*$G405*$AX$7*$W405/365,0),0))</f>
      </c>
      <c r="AD405" s="608"/>
      <c r="AE405" s="600" t="str">
        <f>IF($E405="","",WORKDAY($E405,12))</f>
        <v/>
      </c>
      <c r="AF405" s="600"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0"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0" t="str">
        <f>IF(OR($B405="",$M405=""),"",IF(AND(N($AF405)=0,N($AG405)=0),IF(AND(ISNUMBER($H405),$H405&gt;0,IF($C405="売",$H405&gt;=$N405,$H405&lt;=$N405)),"損切確定",IF(AND(ISNUMBER($H405),$H405&gt;0,IF($C405="売",$H405&lt;=$M405,$H405&gt;=$M405)),"利益確定",IF($AE405&lt;=TODAY(),"日数制限","保有中"))),IF(N($AG405)=0,"利益確定",IF(N($AF405)=0,"損切確定",IF($AG405&lt;=$AF405,"損切確定","利益確定")))))</f>
        <v/>
      </c>
      <c r="AI405" s="600" t="str" cm="1">
        <f t="array" ref="AI405">IFERROR(INDEX(始値!$E$6:$BT$305,MATCH(TEXT($B405,"0"),TEXT(銘柄管理!$B$6:$B$305,"0"),0),MATCH($AE405,始値!$E$3:$BT$3,0)),"")</f>
        <v/>
      </c>
      <c r="AJ405" s="608" t="str">
        <f>IF(OR($V405="",$F405="",$G405=""),"",$V405/($F405*$G405))</f>
        <v/>
      </c>
      <c r="AK405" s="600" t="str">
        <f>IF($V405="","",IF($V405&gt;0,"○勝",IF($V405&lt;0,"●負","△引分")))</f>
        <v/>
      </c>
    </row>
    <row r="406" spans="1:37" ht="17.25" customHeight="1">
      <c r="A406" s="622" t="str">
        <f>IF(B406="","",HYPERLINK("https://kabutan.jp/stock/?code="&amp;B406,"株探"))</f>
        <v/>
      </c>
      <c r="D406" s="440" t="str" cm="1">
        <f t="array" ref="D406">_xll.RssMarket(B406, "銘柄名称")</f>
        <v/>
      </c>
      <c r="E406" s="717"/>
      <c r="F406" s="6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IF(OR(F406="",G406="",H406=""),"",IF(C406="売",(F406-H406)*G406,(H406-F406)*G406))</f>
        <v/>
      </c>
      <c r="L406" s="709" t="str">
        <f>IF(OR(F406="",H406=""),"",IF(C406="売",(F406-H406)/F406,(H406-F406)/F406))</f>
        <v/>
      </c>
      <c r="M406" s="599" t="str">
        <f>IF($F406="","",IF($C406="売",CEILING($F406*IF($C406="売",1-$AX$3,1+$AX$3),IF($F406*IF($C406="売",1-$AX$3,1+$AX$3)&lt;=3000,1,IF($F406*IF($C406="売",1-$AX$3,1+$AX$3)&lt;=5000,5,IF($F406*IF($C406="売",1-$AX$3,1+$AX$3)&lt;=30000,10,IF($F406*IF($C406="売",1-$AX$3,1+$AX$3)&lt;=50000,50,IF($F406*IF($C406="売",1-$AX$3,1+$AX$3)&lt;=300000,100,500)))))),FLOOR($F406*IF($C406="売",1-$AX$3,1+$AX$3),IF($F406*IF($C406="売",1-$AX$3,1+$AX$3)&lt;=3000,1,IF($F406*IF($C406="売",1-$AX$3,1+$AX$3)&lt;=5000,5,IF($F406*IF($C406="売",1-$AX$3,1+$AX$3)&lt;=30000,10,IF($F406*IF($C406="売",1-$AX$3,1+$AX$3)&lt;=50000,50,IF($F406*IF($C406="売",1-$AX$3,1+$AX$3)&lt;=300000,100,500))))))))</f>
      </c>
      <c r="N406" s="599" t="str">
        <f>IF($F406="","",IF($C406="売",CEILING($F406*IF($C406="売",1+$AX$2,1-$AX$2),IF($F406*IF($C406="売",1+$AX$2,1-$AX$2)&lt;=3000,1,IF($F406*IF($C406="売",1+$AX$2,1-$AX$2)&lt;=5000,5,IF($F406*IF($C406="売",1+$AX$2,1-$AX$2)&lt;=30000,10,IF($F406*IF($C406="売",1+$AX$2,1-$AX$2)&lt;=50000,50,IF($F406*IF($C406="売",1+$AX$2,1-$AX$2)&lt;=300000,100,500)))))),FLOOR($F406*IF($C406="売",1+$AX$2,1-$AX$2),IF($F406*IF($C406="売",1+$AX$2,1-$AX$2)&lt;=3000,1,IF($F406*IF($C406="売",1+$AX$2,1-$AX$2)&lt;=5000,5,IF($F406*IF($C406="売",1+$AX$2,1-$AX$2)&lt;=30000,10,IF($F406*IF($C406="売",1+$AX$2,1-$AX$2)&lt;=50000,50,IF($F406*IF($C406="売",1+$AX$2,1-$AX$2)&lt;=300000,100,500))))))))</f>
      </c>
      <c r="O406" s="478" t="str">
        <f>IF(OR($B406="",$F406="",$H406=""),"",IF($S406="✅売却済","―決済済―",IF($C406="売",IF($H406&lt;=$M406,"🟢利確",IF(AND($R406&lt;&gt;"",$H406&gt;=$R406),"🟠TRAIL決済",IF($H406&gt;=$N406,"🔴損切",IF($W406&gt;=$AX$5,"⏱時間決済",IF($H406&gt;=$F406*(1+$AX$2*0.7),"⚠️損切接近","保持継続"))))),IF($H406&gt;=$M406,"🟢利確",IF(AND($R406&lt;&gt;"",$H406&lt;=$R406),"🟠TRAIL決済",IF($H406&lt;=$N406,"🔴損切",IF($W406&gt;=$AX$5,"⏱時間決済",IF($H406&lt;=$F406*(1-$AX$2*0.7),"⚠️損切接近","保持継続")))))))</f>
      </c>
      <c r="P406" s="445"/>
      <c r="R406" s="440" t="str">
        <f>IF(OR($F406="",$H406="",$N406=""),"",IF($S406="✅売却済","",IF($C406="売",IF($H406&gt;$F406*(1-$AX$2),$N406,CEILING(MIN($N406,IF($Q406="",$N406,$Q406*1.03)),IF($N406&lt;=3000,1,IF($N406&lt;=5000,5,IF($N406&lt;=30000,10,IF($N406&lt;=50000,50,IF($N406&lt;=300000,100,500))))))),IF($H406&lt;$F406*(1+$AX$2),$N406,FLOOR(MAX($N406,IF($P406="",$N406,$P406*0.97)),IF($N406&lt;=3000,1,IF($N406&lt;=5000,5,IF($N406&lt;=30000,10,IF($N406&lt;=50000,50,IF($N406&lt;=300000,100,500))))))))))</f>
      </c>
      <c r="S406" s="440" t="str">
        <f>IF(B406="","",IF(T406&lt;&gt;"","✅売却済",IF(OR(H406="",L406=""),"📌保有中",IF(L406&gt;=0.06,"🟢利確推奨",IF(L406&gt;=0.05,"🟡利確直近",IF(L406&gt;=0.045,"🔵トレーリング検討",IF(L406&gt;-0.03,"📌保有中",IF(L406&gt;-0.04,"⚠️損切注意","🔴損切り"))))))))</f>
        <v/>
      </c>
      <c r="T406" s="597"/>
      <c r="U406" s="599"/>
      <c r="V406" s="704" t="str">
        <f>IF(OR(F406="",G406="",U406=""),"",IF(C406="売",(F406-U406)*G406,(U406-F406)*G406))</f>
        <v/>
      </c>
      <c r="W406" s="440" t="str">
        <f>IF(OR($E406="",$B406=""),"",IF($T406&lt;&gt;"",$T406-$E406,TODAY()-$E406)+1)</f>
        <v/>
      </c>
      <c r="X406" s="440" t="str">
        <f>IF(OR($AH406="",$AH406="保有中"),"",$AH406)</f>
        <v/>
      </c>
      <c r="Y406">
        <f>IF($B406="","",IF(COUNTIFS($B$4:$B406,$B406,$C$4:$C406,$C406)&gt;1,"⛔重複"&amp;COUNTIFS($B$4:$B406,$B406,$C$4:$C406,$C406)&amp;"回目",""))</f>
      </c>
      <c r="AB406">
        <f>IF($F406="","",MAX(100,ROUNDDOWN($AX$4/($F406*$AX$2)/100,0)*100))</f>
      </c>
      <c r="AC406">
        <f>IF(OR($F406="",$G406="",$U406=""),"",ROUND($V406-($F406+$U406)*$G406*$AX$6-IF($C406="売",$F406*$G406*$AX$7*$W406/365,0),0))</f>
      </c>
      <c r="AD406" s="608"/>
      <c r="AE406" s="600" t="str">
        <f>IF($E406="","",WORKDAY($E406,12))</f>
        <v/>
      </c>
      <c r="AF406" s="600"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0"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0" t="str">
        <f>IF(OR($B406="",$M406=""),"",IF(AND(N($AF406)=0,N($AG406)=0),IF(AND(ISNUMBER($H406),$H406&gt;0,IF($C406="売",$H406&gt;=$N406,$H406&lt;=$N406)),"損切確定",IF(AND(ISNUMBER($H406),$H406&gt;0,IF($C406="売",$H406&lt;=$M406,$H406&gt;=$M406)),"利益確定",IF($AE406&lt;=TODAY(),"日数制限","保有中"))),IF(N($AG406)=0,"利益確定",IF(N($AF406)=0,"損切確定",IF($AG406&lt;=$AF406,"損切確定","利益確定")))))</f>
        <v/>
      </c>
      <c r="AI406" s="600" t="str" cm="1">
        <f t="array" ref="AI406">IFERROR(INDEX(始値!$E$6:$BT$305,MATCH(TEXT($B406,"0"),TEXT(銘柄管理!$B$6:$B$305,"0"),0),MATCH($AE406,始値!$E$3:$BT$3,0)),"")</f>
        <v/>
      </c>
      <c r="AJ406" s="608" t="str">
        <f>IF(OR($V406="",$F406="",$G406=""),"",$V406/($F406*$G406))</f>
        <v/>
      </c>
      <c r="AK406" s="600" t="str">
        <f>IF($V406="","",IF($V406&gt;0,"○勝",IF($V406&lt;0,"●負","△引分")))</f>
        <v/>
      </c>
    </row>
    <row r="407" spans="1:37" ht="17.25" customHeight="1">
      <c r="A407" s="622" t="str">
        <f>IF(B407="","",HYPERLINK("https://kabutan.jp/stock/?code="&amp;B407,"株探"))</f>
        <v/>
      </c>
      <c r="D407" s="440" t="str" cm="1">
        <f t="array" ref="D407">_xll.RssMarket(B407, "銘柄名称")</f>
        <v/>
      </c>
      <c r="E407" s="717"/>
      <c r="F407" s="6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IF(OR(F407="",G407="",H407=""),"",IF(C407="売",(F407-H407)*G407,(H407-F407)*G407))</f>
        <v/>
      </c>
      <c r="L407" s="709" t="str">
        <f>IF(OR(F407="",H407=""),"",IF(C407="売",(F407-H407)/F407,(H407-F407)/F407))</f>
        <v/>
      </c>
      <c r="M407" s="599" t="str">
        <f>IF($F407="","",IF($C407="売",CEILING($F407*IF($C407="売",1-$AX$3,1+$AX$3),IF($F407*IF($C407="売",1-$AX$3,1+$AX$3)&lt;=3000,1,IF($F407*IF($C407="売",1-$AX$3,1+$AX$3)&lt;=5000,5,IF($F407*IF($C407="売",1-$AX$3,1+$AX$3)&lt;=30000,10,IF($F407*IF($C407="売",1-$AX$3,1+$AX$3)&lt;=50000,50,IF($F407*IF($C407="売",1-$AX$3,1+$AX$3)&lt;=300000,100,500)))))),FLOOR($F407*IF($C407="売",1-$AX$3,1+$AX$3),IF($F407*IF($C407="売",1-$AX$3,1+$AX$3)&lt;=3000,1,IF($F407*IF($C407="売",1-$AX$3,1+$AX$3)&lt;=5000,5,IF($F407*IF($C407="売",1-$AX$3,1+$AX$3)&lt;=30000,10,IF($F407*IF($C407="売",1-$AX$3,1+$AX$3)&lt;=50000,50,IF($F407*IF($C407="売",1-$AX$3,1+$AX$3)&lt;=300000,100,500))))))))</f>
      </c>
      <c r="N407" s="599" t="str">
        <f>IF($F407="","",IF($C407="売",CEILING($F407*IF($C407="売",1+$AX$2,1-$AX$2),IF($F407*IF($C407="売",1+$AX$2,1-$AX$2)&lt;=3000,1,IF($F407*IF($C407="売",1+$AX$2,1-$AX$2)&lt;=5000,5,IF($F407*IF($C407="売",1+$AX$2,1-$AX$2)&lt;=30000,10,IF($F407*IF($C407="売",1+$AX$2,1-$AX$2)&lt;=50000,50,IF($F407*IF($C407="売",1+$AX$2,1-$AX$2)&lt;=300000,100,500)))))),FLOOR($F407*IF($C407="売",1+$AX$2,1-$AX$2),IF($F407*IF($C407="売",1+$AX$2,1-$AX$2)&lt;=3000,1,IF($F407*IF($C407="売",1+$AX$2,1-$AX$2)&lt;=5000,5,IF($F407*IF($C407="売",1+$AX$2,1-$AX$2)&lt;=30000,10,IF($F407*IF($C407="売",1+$AX$2,1-$AX$2)&lt;=50000,50,IF($F407*IF($C407="売",1+$AX$2,1-$AX$2)&lt;=300000,100,500))))))))</f>
      </c>
      <c r="O407" s="478" t="str">
        <f>IF(OR($B407="",$F407="",$H407=""),"",IF($S407="✅売却済","―決済済―",IF($C407="売",IF($H407&lt;=$M407,"🟢利確",IF(AND($R407&lt;&gt;"",$H407&gt;=$R407),"🟠TRAIL決済",IF($H407&gt;=$N407,"🔴損切",IF($W407&gt;=$AX$5,"⏱時間決済",IF($H407&gt;=$F407*(1+$AX$2*0.7),"⚠️損切接近","保持継続"))))),IF($H407&gt;=$M407,"🟢利確",IF(AND($R407&lt;&gt;"",$H407&lt;=$R407),"🟠TRAIL決済",IF($H407&lt;=$N407,"🔴損切",IF($W407&gt;=$AX$5,"⏱時間決済",IF($H407&lt;=$F407*(1-$AX$2*0.7),"⚠️損切接近","保持継続")))))))</f>
      </c>
      <c r="P407" s="445"/>
      <c r="R407" s="440" t="str">
        <f>IF(OR($F407="",$H407="",$N407=""),"",IF($S407="✅売却済","",IF($C407="売",IF($H407&gt;$F407*(1-$AX$2),$N407,CEILING(MIN($N407,IF($Q407="",$N407,$Q407*1.03)),IF($N407&lt;=3000,1,IF($N407&lt;=5000,5,IF($N407&lt;=30000,10,IF($N407&lt;=50000,50,IF($N407&lt;=300000,100,500))))))),IF($H407&lt;$F407*(1+$AX$2),$N407,FLOOR(MAX($N407,IF($P407="",$N407,$P407*0.97)),IF($N407&lt;=3000,1,IF($N407&lt;=5000,5,IF($N407&lt;=30000,10,IF($N407&lt;=50000,50,IF($N407&lt;=300000,100,500))))))))))</f>
      </c>
      <c r="S407" s="440" t="str">
        <f>IF(B407="","",IF(T407&lt;&gt;"","✅売却済",IF(OR(H407="",L407=""),"📌保有中",IF(L407&gt;=0.06,"🟢利確推奨",IF(L407&gt;=0.05,"🟡利確直近",IF(L407&gt;=0.045,"🔵トレーリング検討",IF(L407&gt;-0.03,"📌保有中",IF(L407&gt;-0.04,"⚠️損切注意","🔴損切り"))))))))</f>
        <v/>
      </c>
      <c r="T407" s="597"/>
      <c r="U407" s="599"/>
      <c r="V407" s="704" t="str">
        <f>IF(OR(F407="",G407="",U407=""),"",IF(C407="売",(F407-U407)*G407,(U407-F407)*G407))</f>
        <v/>
      </c>
      <c r="W407" s="440" t="str">
        <f>IF(OR($E407="",$B407=""),"",IF($T407&lt;&gt;"",$T407-$E407,TODAY()-$E407)+1)</f>
        <v/>
      </c>
      <c r="X407" s="440" t="str">
        <f>IF(OR($AH407="",$AH407="保有中"),"",$AH407)</f>
        <v/>
      </c>
      <c r="Y407">
        <f>IF($B407="","",IF(COUNTIFS($B$4:$B407,$B407,$C$4:$C407,$C407)&gt;1,"⛔重複"&amp;COUNTIFS($B$4:$B407,$B407,$C$4:$C407,$C407)&amp;"回目",""))</f>
      </c>
      <c r="AB407">
        <f>IF($F407="","",MAX(100,ROUNDDOWN($AX$4/($F407*$AX$2)/100,0)*100))</f>
      </c>
      <c r="AC407">
        <f>IF(OR($F407="",$G407="",$U407=""),"",ROUND($V407-($F407+$U407)*$G407*$AX$6-IF($C407="売",$F407*$G407*$AX$7*$W407/365,0),0))</f>
      </c>
      <c r="AD407" s="608"/>
      <c r="AE407" s="600" t="str">
        <f>IF($E407="","",WORKDAY($E407,12))</f>
        <v/>
      </c>
      <c r="AF407" s="600"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0"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0" t="str">
        <f>IF(OR($B407="",$M407=""),"",IF(AND(N($AF407)=0,N($AG407)=0),IF(AND(ISNUMBER($H407),$H407&gt;0,IF($C407="売",$H407&gt;=$N407,$H407&lt;=$N407)),"損切確定",IF(AND(ISNUMBER($H407),$H407&gt;0,IF($C407="売",$H407&lt;=$M407,$H407&gt;=$M407)),"利益確定",IF($AE407&lt;=TODAY(),"日数制限","保有中"))),IF(N($AG407)=0,"利益確定",IF(N($AF407)=0,"損切確定",IF($AG407&lt;=$AF407,"損切確定","利益確定")))))</f>
        <v/>
      </c>
      <c r="AI407" s="600" t="str" cm="1">
        <f t="array" ref="AI407">IFERROR(INDEX(始値!$E$6:$BT$305,MATCH(TEXT($B407,"0"),TEXT(銘柄管理!$B$6:$B$305,"0"),0),MATCH($AE407,始値!$E$3:$BT$3,0)),"")</f>
        <v/>
      </c>
      <c r="AJ407" s="608" t="str">
        <f>IF(OR($V407="",$F407="",$G407=""),"",$V407/($F407*$G407))</f>
        <v/>
      </c>
      <c r="AK407" s="600" t="str">
        <f>IF($V407="","",IF($V407&gt;0,"○勝",IF($V407&lt;0,"●負","△引分")))</f>
        <v/>
      </c>
    </row>
    <row r="408" spans="1:37" ht="17.25" customHeight="1">
      <c r="A408" s="622" t="str">
        <f>IF(B408="","",HYPERLINK("https://kabutan.jp/stock/?code="&amp;B408,"株探"))</f>
        <v/>
      </c>
      <c r="D408" s="440" t="str" cm="1">
        <f t="array" ref="D408">_xll.RssMarket(B408, "銘柄名称")</f>
        <v/>
      </c>
      <c r="E408" s="717"/>
      <c r="F408" s="6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IF(OR(F408="",G408="",H408=""),"",IF(C408="売",(F408-H408)*G408,(H408-F408)*G408))</f>
        <v/>
      </c>
      <c r="L408" s="709" t="str">
        <f>IF(OR(F408="",H408=""),"",IF(C408="売",(F408-H408)/F408,(H408-F408)/F408))</f>
        <v/>
      </c>
      <c r="M408" s="599" t="str">
        <f>IF($F408="","",IF($C408="売",CEILING($F408*IF($C408="売",1-$AX$3,1+$AX$3),IF($F408*IF($C408="売",1-$AX$3,1+$AX$3)&lt;=3000,1,IF($F408*IF($C408="売",1-$AX$3,1+$AX$3)&lt;=5000,5,IF($F408*IF($C408="売",1-$AX$3,1+$AX$3)&lt;=30000,10,IF($F408*IF($C408="売",1-$AX$3,1+$AX$3)&lt;=50000,50,IF($F408*IF($C408="売",1-$AX$3,1+$AX$3)&lt;=300000,100,500)))))),FLOOR($F408*IF($C408="売",1-$AX$3,1+$AX$3),IF($F408*IF($C408="売",1-$AX$3,1+$AX$3)&lt;=3000,1,IF($F408*IF($C408="売",1-$AX$3,1+$AX$3)&lt;=5000,5,IF($F408*IF($C408="売",1-$AX$3,1+$AX$3)&lt;=30000,10,IF($F408*IF($C408="売",1-$AX$3,1+$AX$3)&lt;=50000,50,IF($F408*IF($C408="売",1-$AX$3,1+$AX$3)&lt;=300000,100,500))))))))</f>
      </c>
      <c r="N408" s="599" t="str">
        <f>IF($F408="","",IF($C408="売",CEILING($F408*IF($C408="売",1+$AX$2,1-$AX$2),IF($F408*IF($C408="売",1+$AX$2,1-$AX$2)&lt;=3000,1,IF($F408*IF($C408="売",1+$AX$2,1-$AX$2)&lt;=5000,5,IF($F408*IF($C408="売",1+$AX$2,1-$AX$2)&lt;=30000,10,IF($F408*IF($C408="売",1+$AX$2,1-$AX$2)&lt;=50000,50,IF($F408*IF($C408="売",1+$AX$2,1-$AX$2)&lt;=300000,100,500)))))),FLOOR($F408*IF($C408="売",1+$AX$2,1-$AX$2),IF($F408*IF($C408="売",1+$AX$2,1-$AX$2)&lt;=3000,1,IF($F408*IF($C408="売",1+$AX$2,1-$AX$2)&lt;=5000,5,IF($F408*IF($C408="売",1+$AX$2,1-$AX$2)&lt;=30000,10,IF($F408*IF($C408="売",1+$AX$2,1-$AX$2)&lt;=50000,50,IF($F408*IF($C408="売",1+$AX$2,1-$AX$2)&lt;=300000,100,500))))))))</f>
      </c>
      <c r="O408" s="478" t="str">
        <f>IF(OR($B408="",$F408="",$H408=""),"",IF($S408="✅売却済","―決済済―",IF($C408="売",IF($H408&lt;=$M408,"🟢利確",IF(AND($R408&lt;&gt;"",$H408&gt;=$R408),"🟠TRAIL決済",IF($H408&gt;=$N408,"🔴損切",IF($W408&gt;=$AX$5,"⏱時間決済",IF($H408&gt;=$F408*(1+$AX$2*0.7),"⚠️損切接近","保持継続"))))),IF($H408&gt;=$M408,"🟢利確",IF(AND($R408&lt;&gt;"",$H408&lt;=$R408),"🟠TRAIL決済",IF($H408&lt;=$N408,"🔴損切",IF($W408&gt;=$AX$5,"⏱時間決済",IF($H408&lt;=$F408*(1-$AX$2*0.7),"⚠️損切接近","保持継続")))))))</f>
      </c>
      <c r="P408" s="445"/>
      <c r="R408" s="440" t="str">
        <f>IF(OR($F408="",$H408="",$N408=""),"",IF($S408="✅売却済","",IF($C408="売",IF($H408&gt;$F408*(1-$AX$2),$N408,CEILING(MIN($N408,IF($Q408="",$N408,$Q408*1.03)),IF($N408&lt;=3000,1,IF($N408&lt;=5000,5,IF($N408&lt;=30000,10,IF($N408&lt;=50000,50,IF($N408&lt;=300000,100,500))))))),IF($H408&lt;$F408*(1+$AX$2),$N408,FLOOR(MAX($N408,IF($P408="",$N408,$P408*0.97)),IF($N408&lt;=3000,1,IF($N408&lt;=5000,5,IF($N408&lt;=30000,10,IF($N408&lt;=50000,50,IF($N408&lt;=300000,100,500))))))))))</f>
      </c>
      <c r="S408" s="440" t="str">
        <f>IF(B408="","",IF(T408&lt;&gt;"","✅売却済",IF(OR(H408="",L408=""),"📌保有中",IF(L408&gt;=0.06,"🟢利確推奨",IF(L408&gt;=0.05,"🟡利確直近",IF(L408&gt;=0.045,"🔵トレーリング検討",IF(L408&gt;-0.03,"📌保有中",IF(L408&gt;-0.04,"⚠️損切注意","🔴損切り"))))))))</f>
        <v/>
      </c>
      <c r="T408" s="597"/>
      <c r="U408" s="599"/>
      <c r="V408" s="704" t="str">
        <f>IF(OR(F408="",G408="",U408=""),"",IF(C408="売",(F408-U408)*G408,(U408-F408)*G408))</f>
        <v/>
      </c>
      <c r="W408" s="440" t="str">
        <f>IF(OR($E408="",$B408=""),"",IF($T408&lt;&gt;"",$T408-$E408,TODAY()-$E408)+1)</f>
        <v/>
      </c>
      <c r="X408" s="440" t="str">
        <f>IF(OR($AH408="",$AH408="保有中"),"",$AH408)</f>
        <v/>
      </c>
      <c r="Y408">
        <f>IF($B408="","",IF(COUNTIFS($B$4:$B408,$B408,$C$4:$C408,$C408)&gt;1,"⛔重複"&amp;COUNTIFS($B$4:$B408,$B408,$C$4:$C408,$C408)&amp;"回目",""))</f>
      </c>
      <c r="AB408">
        <f>IF($F408="","",MAX(100,ROUNDDOWN($AX$4/($F408*$AX$2)/100,0)*100))</f>
      </c>
      <c r="AC408">
        <f>IF(OR($F408="",$G408="",$U408=""),"",ROUND($V408-($F408+$U408)*$G408*$AX$6-IF($C408="売",$F408*$G408*$AX$7*$W408/365,0),0))</f>
      </c>
      <c r="AD408" s="608"/>
      <c r="AE408" s="600" t="str">
        <f>IF($E408="","",WORKDAY($E408,12))</f>
        <v/>
      </c>
      <c r="AF408" s="600"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0"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0" t="str">
        <f>IF(OR($B408="",$M408=""),"",IF(AND(N($AF408)=0,N($AG408)=0),IF(AND(ISNUMBER($H408),$H408&gt;0,IF($C408="売",$H408&gt;=$N408,$H408&lt;=$N408)),"損切確定",IF(AND(ISNUMBER($H408),$H408&gt;0,IF($C408="売",$H408&lt;=$M408,$H408&gt;=$M408)),"利益確定",IF($AE408&lt;=TODAY(),"日数制限","保有中"))),IF(N($AG408)=0,"利益確定",IF(N($AF408)=0,"損切確定",IF($AG408&lt;=$AF408,"損切確定","利益確定")))))</f>
        <v/>
      </c>
      <c r="AI408" s="600" t="str" cm="1">
        <f t="array" ref="AI408">IFERROR(INDEX(始値!$E$6:$BT$305,MATCH(TEXT($B408,"0"),TEXT(銘柄管理!$B$6:$B$305,"0"),0),MATCH($AE408,始値!$E$3:$BT$3,0)),"")</f>
        <v/>
      </c>
      <c r="AJ408" s="608" t="str">
        <f>IF(OR($V408="",$F408="",$G408=""),"",$V408/($F408*$G408))</f>
        <v/>
      </c>
      <c r="AK408" s="600" t="str">
        <f>IF($V408="","",IF($V408&gt;0,"○勝",IF($V408&lt;0,"●負","△引分")))</f>
        <v/>
      </c>
    </row>
    <row r="409" spans="1:37" ht="17.25" customHeight="1">
      <c r="A409" s="622" t="str">
        <f>IF(B409="","",HYPERLINK("https://kabutan.jp/stock/?code="&amp;B409,"株探"))</f>
        <v/>
      </c>
      <c r="D409" s="440" t="str" cm="1">
        <f t="array" ref="D409">_xll.RssMarket(B409, "銘柄名称")</f>
        <v/>
      </c>
      <c r="E409" s="717"/>
      <c r="F409" s="6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IF(OR(F409="",G409="",H409=""),"",IF(C409="売",(F409-H409)*G409,(H409-F409)*G409))</f>
        <v/>
      </c>
      <c r="L409" s="709" t="str">
        <f>IF(OR(F409="",H409=""),"",IF(C409="売",(F409-H409)/F409,(H409-F409)/F409))</f>
        <v/>
      </c>
      <c r="M409" s="599" t="str">
        <f>IF($F409="","",IF($C409="売",CEILING($F409*IF($C409="売",1-$AX$3,1+$AX$3),IF($F409*IF($C409="売",1-$AX$3,1+$AX$3)&lt;=3000,1,IF($F409*IF($C409="売",1-$AX$3,1+$AX$3)&lt;=5000,5,IF($F409*IF($C409="売",1-$AX$3,1+$AX$3)&lt;=30000,10,IF($F409*IF($C409="売",1-$AX$3,1+$AX$3)&lt;=50000,50,IF($F409*IF($C409="売",1-$AX$3,1+$AX$3)&lt;=300000,100,500)))))),FLOOR($F409*IF($C409="売",1-$AX$3,1+$AX$3),IF($F409*IF($C409="売",1-$AX$3,1+$AX$3)&lt;=3000,1,IF($F409*IF($C409="売",1-$AX$3,1+$AX$3)&lt;=5000,5,IF($F409*IF($C409="売",1-$AX$3,1+$AX$3)&lt;=30000,10,IF($F409*IF($C409="売",1-$AX$3,1+$AX$3)&lt;=50000,50,IF($F409*IF($C409="売",1-$AX$3,1+$AX$3)&lt;=300000,100,500))))))))</f>
      </c>
      <c r="N409" s="599" t="str">
        <f>IF($F409="","",IF($C409="売",CEILING($F409*IF($C409="売",1+$AX$2,1-$AX$2),IF($F409*IF($C409="売",1+$AX$2,1-$AX$2)&lt;=3000,1,IF($F409*IF($C409="売",1+$AX$2,1-$AX$2)&lt;=5000,5,IF($F409*IF($C409="売",1+$AX$2,1-$AX$2)&lt;=30000,10,IF($F409*IF($C409="売",1+$AX$2,1-$AX$2)&lt;=50000,50,IF($F409*IF($C409="売",1+$AX$2,1-$AX$2)&lt;=300000,100,500)))))),FLOOR($F409*IF($C409="売",1+$AX$2,1-$AX$2),IF($F409*IF($C409="売",1+$AX$2,1-$AX$2)&lt;=3000,1,IF($F409*IF($C409="売",1+$AX$2,1-$AX$2)&lt;=5000,5,IF($F409*IF($C409="売",1+$AX$2,1-$AX$2)&lt;=30000,10,IF($F409*IF($C409="売",1+$AX$2,1-$AX$2)&lt;=50000,50,IF($F409*IF($C409="売",1+$AX$2,1-$AX$2)&lt;=300000,100,500))))))))</f>
      </c>
      <c r="O409" s="478" t="str">
        <f>IF(OR($B409="",$F409="",$H409=""),"",IF($S409="✅売却済","―決済済―",IF($C409="売",IF($H409&lt;=$M409,"🟢利確",IF(AND($R409&lt;&gt;"",$H409&gt;=$R409),"🟠TRAIL決済",IF($H409&gt;=$N409,"🔴損切",IF($W409&gt;=$AX$5,"⏱時間決済",IF($H409&gt;=$F409*(1+$AX$2*0.7),"⚠️損切接近","保持継続"))))),IF($H409&gt;=$M409,"🟢利確",IF(AND($R409&lt;&gt;"",$H409&lt;=$R409),"🟠TRAIL決済",IF($H409&lt;=$N409,"🔴損切",IF($W409&gt;=$AX$5,"⏱時間決済",IF($H409&lt;=$F409*(1-$AX$2*0.7),"⚠️損切接近","保持継続")))))))</f>
      </c>
      <c r="P409" s="445"/>
      <c r="R409" s="440" t="str">
        <f>IF(OR($F409="",$H409="",$N409=""),"",IF($S409="✅売却済","",IF($C409="売",IF($H409&gt;$F409*(1-$AX$2),$N409,CEILING(MIN($N409,IF($Q409="",$N409,$Q409*1.03)),IF($N409&lt;=3000,1,IF($N409&lt;=5000,5,IF($N409&lt;=30000,10,IF($N409&lt;=50000,50,IF($N409&lt;=300000,100,500))))))),IF($H409&lt;$F409*(1+$AX$2),$N409,FLOOR(MAX($N409,IF($P409="",$N409,$P409*0.97)),IF($N409&lt;=3000,1,IF($N409&lt;=5000,5,IF($N409&lt;=30000,10,IF($N409&lt;=50000,50,IF($N409&lt;=300000,100,500))))))))))</f>
      </c>
      <c r="S409" s="440" t="str">
        <f>IF(B409="","",IF(T409&lt;&gt;"","✅売却済",IF(OR(H409="",L409=""),"📌保有中",IF(L409&gt;=0.06,"🟢利確推奨",IF(L409&gt;=0.05,"🟡利確直近",IF(L409&gt;=0.045,"🔵トレーリング検討",IF(L409&gt;-0.03,"📌保有中",IF(L409&gt;-0.04,"⚠️損切注意","🔴損切り"))))))))</f>
        <v/>
      </c>
      <c r="T409" s="597"/>
      <c r="U409" s="599"/>
      <c r="V409" s="704" t="str">
        <f>IF(OR(F409="",G409="",U409=""),"",IF(C409="売",(F409-U409)*G409,(U409-F409)*G409))</f>
        <v/>
      </c>
      <c r="W409" s="440" t="str">
        <f>IF(OR($E409="",$B409=""),"",IF($T409&lt;&gt;"",$T409-$E409,TODAY()-$E409)+1)</f>
        <v/>
      </c>
      <c r="X409" s="440" t="str">
        <f>IF(OR($AH409="",$AH409="保有中"),"",$AH409)</f>
        <v/>
      </c>
      <c r="Y409">
        <f>IF($B409="","",IF(COUNTIFS($B$4:$B409,$B409,$C$4:$C409,$C409)&gt;1,"⛔重複"&amp;COUNTIFS($B$4:$B409,$B409,$C$4:$C409,$C409)&amp;"回目",""))</f>
      </c>
      <c r="AB409">
        <f>IF($F409="","",MAX(100,ROUNDDOWN($AX$4/($F409*$AX$2)/100,0)*100))</f>
      </c>
      <c r="AC409">
        <f>IF(OR($F409="",$G409="",$U409=""),"",ROUND($V409-($F409+$U409)*$G409*$AX$6-IF($C409="売",$F409*$G409*$AX$7*$W409/365,0),0))</f>
      </c>
      <c r="AD409" s="608"/>
      <c r="AE409" s="600" t="str">
        <f>IF($E409="","",WORKDAY($E409,12))</f>
        <v/>
      </c>
      <c r="AF409" s="600"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0"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0" t="str">
        <f>IF(OR($B409="",$M409=""),"",IF(AND(N($AF409)=0,N($AG409)=0),IF(AND(ISNUMBER($H409),$H409&gt;0,IF($C409="売",$H409&gt;=$N409,$H409&lt;=$N409)),"損切確定",IF(AND(ISNUMBER($H409),$H409&gt;0,IF($C409="売",$H409&lt;=$M409,$H409&gt;=$M409)),"利益確定",IF($AE409&lt;=TODAY(),"日数制限","保有中"))),IF(N($AG409)=0,"利益確定",IF(N($AF409)=0,"損切確定",IF($AG409&lt;=$AF409,"損切確定","利益確定")))))</f>
        <v/>
      </c>
      <c r="AI409" s="600" t="str" cm="1">
        <f t="array" ref="AI409">IFERROR(INDEX(始値!$E$6:$BT$305,MATCH(TEXT($B409,"0"),TEXT(銘柄管理!$B$6:$B$305,"0"),0),MATCH($AE409,始値!$E$3:$BT$3,0)),"")</f>
        <v/>
      </c>
      <c r="AJ409" s="608" t="str">
        <f>IF(OR($V409="",$F409="",$G409=""),"",$V409/($F409*$G409))</f>
        <v/>
      </c>
      <c r="AK409" s="600" t="str">
        <f>IF($V409="","",IF($V409&gt;0,"○勝",IF($V409&lt;0,"●負","△引分")))</f>
        <v/>
      </c>
    </row>
    <row r="410" spans="1:37" ht="17.25" customHeight="1">
      <c r="A410" s="622" t="str">
        <f>IF(B410="","",HYPERLINK("https://kabutan.jp/stock/?code="&amp;B410,"株探"))</f>
        <v/>
      </c>
      <c r="D410" s="440" t="str" cm="1">
        <f t="array" ref="D410">_xll.RssMarket(B410, "銘柄名称")</f>
        <v/>
      </c>
      <c r="E410" s="717"/>
      <c r="F410" s="6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IF(OR(F410="",G410="",H410=""),"",IF(C410="売",(F410-H410)*G410,(H410-F410)*G410))</f>
        <v/>
      </c>
      <c r="L410" s="709" t="str">
        <f>IF(OR(F410="",H410=""),"",IF(C410="売",(F410-H410)/F410,(H410-F410)/F410))</f>
        <v/>
      </c>
      <c r="M410" s="599" t="str">
        <f>IF($F410="","",IF($C410="売",CEILING($F410*IF($C410="売",1-$AX$3,1+$AX$3),IF($F410*IF($C410="売",1-$AX$3,1+$AX$3)&lt;=3000,1,IF($F410*IF($C410="売",1-$AX$3,1+$AX$3)&lt;=5000,5,IF($F410*IF($C410="売",1-$AX$3,1+$AX$3)&lt;=30000,10,IF($F410*IF($C410="売",1-$AX$3,1+$AX$3)&lt;=50000,50,IF($F410*IF($C410="売",1-$AX$3,1+$AX$3)&lt;=300000,100,500)))))),FLOOR($F410*IF($C410="売",1-$AX$3,1+$AX$3),IF($F410*IF($C410="売",1-$AX$3,1+$AX$3)&lt;=3000,1,IF($F410*IF($C410="売",1-$AX$3,1+$AX$3)&lt;=5000,5,IF($F410*IF($C410="売",1-$AX$3,1+$AX$3)&lt;=30000,10,IF($F410*IF($C410="売",1-$AX$3,1+$AX$3)&lt;=50000,50,IF($F410*IF($C410="売",1-$AX$3,1+$AX$3)&lt;=300000,100,500))))))))</f>
      </c>
      <c r="N410" s="599" t="str">
        <f>IF($F410="","",IF($C410="売",CEILING($F410*IF($C410="売",1+$AX$2,1-$AX$2),IF($F410*IF($C410="売",1+$AX$2,1-$AX$2)&lt;=3000,1,IF($F410*IF($C410="売",1+$AX$2,1-$AX$2)&lt;=5000,5,IF($F410*IF($C410="売",1+$AX$2,1-$AX$2)&lt;=30000,10,IF($F410*IF($C410="売",1+$AX$2,1-$AX$2)&lt;=50000,50,IF($F410*IF($C410="売",1+$AX$2,1-$AX$2)&lt;=300000,100,500)))))),FLOOR($F410*IF($C410="売",1+$AX$2,1-$AX$2),IF($F410*IF($C410="売",1+$AX$2,1-$AX$2)&lt;=3000,1,IF($F410*IF($C410="売",1+$AX$2,1-$AX$2)&lt;=5000,5,IF($F410*IF($C410="売",1+$AX$2,1-$AX$2)&lt;=30000,10,IF($F410*IF($C410="売",1+$AX$2,1-$AX$2)&lt;=50000,50,IF($F410*IF($C410="売",1+$AX$2,1-$AX$2)&lt;=300000,100,500))))))))</f>
      </c>
      <c r="O410" s="478" t="str">
        <f>IF(OR($B410="",$F410="",$H410=""),"",IF($S410="✅売却済","―決済済―",IF($C410="売",IF($H410&lt;=$M410,"🟢利確",IF(AND($R410&lt;&gt;"",$H410&gt;=$R410),"🟠TRAIL決済",IF($H410&gt;=$N410,"🔴損切",IF($W410&gt;=$AX$5,"⏱時間決済",IF($H410&gt;=$F410*(1+$AX$2*0.7),"⚠️損切接近","保持継続"))))),IF($H410&gt;=$M410,"🟢利確",IF(AND($R410&lt;&gt;"",$H410&lt;=$R410),"🟠TRAIL決済",IF($H410&lt;=$N410,"🔴損切",IF($W410&gt;=$AX$5,"⏱時間決済",IF($H410&lt;=$F410*(1-$AX$2*0.7),"⚠️損切接近","保持継続")))))))</f>
      </c>
      <c r="P410" s="445"/>
      <c r="R410" s="440" t="str">
        <f>IF(OR($F410="",$H410="",$N410=""),"",IF($S410="✅売却済","",IF($C410="売",IF($H410&gt;$F410*(1-$AX$2),$N410,CEILING(MIN($N410,IF($Q410="",$N410,$Q410*1.03)),IF($N410&lt;=3000,1,IF($N410&lt;=5000,5,IF($N410&lt;=30000,10,IF($N410&lt;=50000,50,IF($N410&lt;=300000,100,500))))))),IF($H410&lt;$F410*(1+$AX$2),$N410,FLOOR(MAX($N410,IF($P410="",$N410,$P410*0.97)),IF($N410&lt;=3000,1,IF($N410&lt;=5000,5,IF($N410&lt;=30000,10,IF($N410&lt;=50000,50,IF($N410&lt;=300000,100,500))))))))))</f>
      </c>
      <c r="S410" s="440" t="str">
        <f>IF(B410="","",IF(T410&lt;&gt;"","✅売却済",IF(OR(H410="",L410=""),"📌保有中",IF(L410&gt;=0.06,"🟢利確推奨",IF(L410&gt;=0.05,"🟡利確直近",IF(L410&gt;=0.045,"🔵トレーリング検討",IF(L410&gt;-0.03,"📌保有中",IF(L410&gt;-0.04,"⚠️損切注意","🔴損切り"))))))))</f>
        <v/>
      </c>
      <c r="T410" s="597"/>
      <c r="U410" s="599"/>
      <c r="V410" s="704" t="str">
        <f>IF(OR(F410="",G410="",U410=""),"",IF(C410="売",(F410-U410)*G410,(U410-F410)*G410))</f>
        <v/>
      </c>
      <c r="W410" s="440" t="str">
        <f>IF(OR($E410="",$B410=""),"",IF($T410&lt;&gt;"",$T410-$E410,TODAY()-$E410)+1)</f>
        <v/>
      </c>
      <c r="X410" s="440" t="str">
        <f>IF(OR($AH410="",$AH410="保有中"),"",$AH410)</f>
        <v/>
      </c>
      <c r="Y410">
        <f>IF($B410="","",IF(COUNTIFS($B$4:$B410,$B410,$C$4:$C410,$C410)&gt;1,"⛔重複"&amp;COUNTIFS($B$4:$B410,$B410,$C$4:$C410,$C410)&amp;"回目",""))</f>
      </c>
      <c r="AB410">
        <f>IF($F410="","",MAX(100,ROUNDDOWN($AX$4/($F410*$AX$2)/100,0)*100))</f>
      </c>
      <c r="AC410">
        <f>IF(OR($F410="",$G410="",$U410=""),"",ROUND($V410-($F410+$U410)*$G410*$AX$6-IF($C410="売",$F410*$G410*$AX$7*$W410/365,0),0))</f>
      </c>
      <c r="AD410" s="608"/>
      <c r="AE410" s="600" t="str">
        <f>IF($E410="","",WORKDAY($E410,12))</f>
        <v/>
      </c>
      <c r="AF410" s="600"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0"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0" t="str">
        <f>IF(OR($B410="",$M410=""),"",IF(AND(N($AF410)=0,N($AG410)=0),IF(AND(ISNUMBER($H410),$H410&gt;0,IF($C410="売",$H410&gt;=$N410,$H410&lt;=$N410)),"損切確定",IF(AND(ISNUMBER($H410),$H410&gt;0,IF($C410="売",$H410&lt;=$M410,$H410&gt;=$M410)),"利益確定",IF($AE410&lt;=TODAY(),"日数制限","保有中"))),IF(N($AG410)=0,"利益確定",IF(N($AF410)=0,"損切確定",IF($AG410&lt;=$AF410,"損切確定","利益確定")))))</f>
        <v/>
      </c>
      <c r="AI410" s="600" t="str" cm="1">
        <f t="array" ref="AI410">IFERROR(INDEX(始値!$E$6:$BT$305,MATCH(TEXT($B410,"0"),TEXT(銘柄管理!$B$6:$B$305,"0"),0),MATCH($AE410,始値!$E$3:$BT$3,0)),"")</f>
        <v/>
      </c>
      <c r="AJ410" s="608" t="str">
        <f>IF(OR($V410="",$F410="",$G410=""),"",$V410/($F410*$G410))</f>
        <v/>
      </c>
      <c r="AK410" s="600" t="str">
        <f>IF($V410="","",IF($V410&gt;0,"○勝",IF($V410&lt;0,"●負","△引分")))</f>
        <v/>
      </c>
    </row>
    <row r="411" spans="1:37" ht="17.25" customHeight="1">
      <c r="A411" s="622" t="str">
        <f>IF(B411="","",HYPERLINK("https://kabutan.jp/stock/?code="&amp;B411,"株探"))</f>
        <v/>
      </c>
      <c r="D411" s="440" t="str" cm="1">
        <f t="array" ref="D411">_xll.RssMarket(B411, "銘柄名称")</f>
        <v/>
      </c>
      <c r="E411" s="717"/>
      <c r="F411" s="6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IF(OR(F411="",G411="",H411=""),"",IF(C411="売",(F411-H411)*G411,(H411-F411)*G411))</f>
        <v/>
      </c>
      <c r="L411" s="709" t="str">
        <f>IF(OR(F411="",H411=""),"",IF(C411="売",(F411-H411)/F411,(H411-F411)/F411))</f>
        <v/>
      </c>
      <c r="M411" s="599" t="str">
        <f>IF($F411="","",IF($C411="売",CEILING($F411*IF($C411="売",1-$AX$3,1+$AX$3),IF($F411*IF($C411="売",1-$AX$3,1+$AX$3)&lt;=3000,1,IF($F411*IF($C411="売",1-$AX$3,1+$AX$3)&lt;=5000,5,IF($F411*IF($C411="売",1-$AX$3,1+$AX$3)&lt;=30000,10,IF($F411*IF($C411="売",1-$AX$3,1+$AX$3)&lt;=50000,50,IF($F411*IF($C411="売",1-$AX$3,1+$AX$3)&lt;=300000,100,500)))))),FLOOR($F411*IF($C411="売",1-$AX$3,1+$AX$3),IF($F411*IF($C411="売",1-$AX$3,1+$AX$3)&lt;=3000,1,IF($F411*IF($C411="売",1-$AX$3,1+$AX$3)&lt;=5000,5,IF($F411*IF($C411="売",1-$AX$3,1+$AX$3)&lt;=30000,10,IF($F411*IF($C411="売",1-$AX$3,1+$AX$3)&lt;=50000,50,IF($F411*IF($C411="売",1-$AX$3,1+$AX$3)&lt;=300000,100,500))))))))</f>
      </c>
      <c r="N411" s="599" t="str">
        <f>IF($F411="","",IF($C411="売",CEILING($F411*IF($C411="売",1+$AX$2,1-$AX$2),IF($F411*IF($C411="売",1+$AX$2,1-$AX$2)&lt;=3000,1,IF($F411*IF($C411="売",1+$AX$2,1-$AX$2)&lt;=5000,5,IF($F411*IF($C411="売",1+$AX$2,1-$AX$2)&lt;=30000,10,IF($F411*IF($C411="売",1+$AX$2,1-$AX$2)&lt;=50000,50,IF($F411*IF($C411="売",1+$AX$2,1-$AX$2)&lt;=300000,100,500)))))),FLOOR($F411*IF($C411="売",1+$AX$2,1-$AX$2),IF($F411*IF($C411="売",1+$AX$2,1-$AX$2)&lt;=3000,1,IF($F411*IF($C411="売",1+$AX$2,1-$AX$2)&lt;=5000,5,IF($F411*IF($C411="売",1+$AX$2,1-$AX$2)&lt;=30000,10,IF($F411*IF($C411="売",1+$AX$2,1-$AX$2)&lt;=50000,50,IF($F411*IF($C411="売",1+$AX$2,1-$AX$2)&lt;=300000,100,500))))))))</f>
      </c>
      <c r="O411" s="478" t="str">
        <f>IF(OR($B411="",$F411="",$H411=""),"",IF($S411="✅売却済","―決済済―",IF($C411="売",IF($H411&lt;=$M411,"🟢利確",IF(AND($R411&lt;&gt;"",$H411&gt;=$R411),"🟠TRAIL決済",IF($H411&gt;=$N411,"🔴損切",IF($W411&gt;=$AX$5,"⏱時間決済",IF($H411&gt;=$F411*(1+$AX$2*0.7),"⚠️損切接近","保持継続"))))),IF($H411&gt;=$M411,"🟢利確",IF(AND($R411&lt;&gt;"",$H411&lt;=$R411),"🟠TRAIL決済",IF($H411&lt;=$N411,"🔴損切",IF($W411&gt;=$AX$5,"⏱時間決済",IF($H411&lt;=$F411*(1-$AX$2*0.7),"⚠️損切接近","保持継続")))))))</f>
      </c>
      <c r="P411" s="445"/>
      <c r="R411" s="440" t="str">
        <f>IF(OR($F411="",$H411="",$N411=""),"",IF($S411="✅売却済","",IF($C411="売",IF($H411&gt;$F411*(1-$AX$2),$N411,CEILING(MIN($N411,IF($Q411="",$N411,$Q411*1.03)),IF($N411&lt;=3000,1,IF($N411&lt;=5000,5,IF($N411&lt;=30000,10,IF($N411&lt;=50000,50,IF($N411&lt;=300000,100,500))))))),IF($H411&lt;$F411*(1+$AX$2),$N411,FLOOR(MAX($N411,IF($P411="",$N411,$P411*0.97)),IF($N411&lt;=3000,1,IF($N411&lt;=5000,5,IF($N411&lt;=30000,10,IF($N411&lt;=50000,50,IF($N411&lt;=300000,100,500))))))))))</f>
      </c>
      <c r="S411" s="440" t="str">
        <f>IF(B411="","",IF(T411&lt;&gt;"","✅売却済",IF(OR(H411="",L411=""),"📌保有中",IF(L411&gt;=0.06,"🟢利確推奨",IF(L411&gt;=0.05,"🟡利確直近",IF(L411&gt;=0.045,"🔵トレーリング検討",IF(L411&gt;-0.03,"📌保有中",IF(L411&gt;-0.04,"⚠️損切注意","🔴損切り"))))))))</f>
        <v/>
      </c>
      <c r="T411" s="597"/>
      <c r="U411" s="599"/>
      <c r="V411" s="704" t="str">
        <f>IF(OR(F411="",G411="",U411=""),"",IF(C411="売",(F411-U411)*G411,(U411-F411)*G411))</f>
        <v/>
      </c>
      <c r="W411" s="440" t="str">
        <f>IF(OR($E411="",$B411=""),"",IF($T411&lt;&gt;"",$T411-$E411,TODAY()-$E411)+1)</f>
        <v/>
      </c>
      <c r="X411" s="440" t="str">
        <f>IF(OR($AH411="",$AH411="保有中"),"",$AH411)</f>
        <v/>
      </c>
      <c r="Y411">
        <f>IF($B411="","",IF(COUNTIFS($B$4:$B411,$B411,$C$4:$C411,$C411)&gt;1,"⛔重複"&amp;COUNTIFS($B$4:$B411,$B411,$C$4:$C411,$C411)&amp;"回目",""))</f>
      </c>
      <c r="AB411">
        <f>IF($F411="","",MAX(100,ROUNDDOWN($AX$4/($F411*$AX$2)/100,0)*100))</f>
      </c>
      <c r="AC411">
        <f>IF(OR($F411="",$G411="",$U411=""),"",ROUND($V411-($F411+$U411)*$G411*$AX$6-IF($C411="売",$F411*$G411*$AX$7*$W411/365,0),0))</f>
      </c>
      <c r="AD411" s="608"/>
      <c r="AE411" s="600" t="str">
        <f>IF($E411="","",WORKDAY($E411,12))</f>
        <v/>
      </c>
      <c r="AF411" s="600"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0"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0" t="str">
        <f>IF(OR($B411="",$M411=""),"",IF(AND(N($AF411)=0,N($AG411)=0),IF(AND(ISNUMBER($H411),$H411&gt;0,IF($C411="売",$H411&gt;=$N411,$H411&lt;=$N411)),"損切確定",IF(AND(ISNUMBER($H411),$H411&gt;0,IF($C411="売",$H411&lt;=$M411,$H411&gt;=$M411)),"利益確定",IF($AE411&lt;=TODAY(),"日数制限","保有中"))),IF(N($AG411)=0,"利益確定",IF(N($AF411)=0,"損切確定",IF($AG411&lt;=$AF411,"損切確定","利益確定")))))</f>
        <v/>
      </c>
      <c r="AI411" s="600" t="str" cm="1">
        <f t="array" ref="AI411">IFERROR(INDEX(始値!$E$6:$BT$305,MATCH(TEXT($B411,"0"),TEXT(銘柄管理!$B$6:$B$305,"0"),0),MATCH($AE411,始値!$E$3:$BT$3,0)),"")</f>
        <v/>
      </c>
      <c r="AJ411" s="608" t="str">
        <f>IF(OR($V411="",$F411="",$G411=""),"",$V411/($F411*$G411))</f>
        <v/>
      </c>
      <c r="AK411" s="600" t="str">
        <f>IF($V411="","",IF($V411&gt;0,"○勝",IF($V411&lt;0,"●負","△引分")))</f>
        <v/>
      </c>
    </row>
    <row r="412" spans="1:37" ht="17.25" customHeight="1">
      <c r="A412" s="622" t="str">
        <f>IF(B412="","",HYPERLINK("https://kabutan.jp/stock/?code="&amp;B412,"株探"))</f>
        <v/>
      </c>
      <c r="D412" s="440" t="str" cm="1">
        <f t="array" ref="D412">_xll.RssMarket(B412, "銘柄名称")</f>
        <v/>
      </c>
      <c r="E412" s="717"/>
      <c r="F412" s="6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IF(OR(F412="",G412="",H412=""),"",IF(C412="売",(F412-H412)*G412,(H412-F412)*G412))</f>
        <v/>
      </c>
      <c r="L412" s="709" t="str">
        <f>IF(OR(F412="",H412=""),"",IF(C412="売",(F412-H412)/F412,(H412-F412)/F412))</f>
        <v/>
      </c>
      <c r="M412" s="599" t="str">
        <f>IF($F412="","",IF($C412="売",CEILING($F412*IF($C412="売",1-$AX$3,1+$AX$3),IF($F412*IF($C412="売",1-$AX$3,1+$AX$3)&lt;=3000,1,IF($F412*IF($C412="売",1-$AX$3,1+$AX$3)&lt;=5000,5,IF($F412*IF($C412="売",1-$AX$3,1+$AX$3)&lt;=30000,10,IF($F412*IF($C412="売",1-$AX$3,1+$AX$3)&lt;=50000,50,IF($F412*IF($C412="売",1-$AX$3,1+$AX$3)&lt;=300000,100,500)))))),FLOOR($F412*IF($C412="売",1-$AX$3,1+$AX$3),IF($F412*IF($C412="売",1-$AX$3,1+$AX$3)&lt;=3000,1,IF($F412*IF($C412="売",1-$AX$3,1+$AX$3)&lt;=5000,5,IF($F412*IF($C412="売",1-$AX$3,1+$AX$3)&lt;=30000,10,IF($F412*IF($C412="売",1-$AX$3,1+$AX$3)&lt;=50000,50,IF($F412*IF($C412="売",1-$AX$3,1+$AX$3)&lt;=300000,100,500))))))))</f>
      </c>
      <c r="N412" s="599" t="str">
        <f>IF($F412="","",IF($C412="売",CEILING($F412*IF($C412="売",1+$AX$2,1-$AX$2),IF($F412*IF($C412="売",1+$AX$2,1-$AX$2)&lt;=3000,1,IF($F412*IF($C412="売",1+$AX$2,1-$AX$2)&lt;=5000,5,IF($F412*IF($C412="売",1+$AX$2,1-$AX$2)&lt;=30000,10,IF($F412*IF($C412="売",1+$AX$2,1-$AX$2)&lt;=50000,50,IF($F412*IF($C412="売",1+$AX$2,1-$AX$2)&lt;=300000,100,500)))))),FLOOR($F412*IF($C412="売",1+$AX$2,1-$AX$2),IF($F412*IF($C412="売",1+$AX$2,1-$AX$2)&lt;=3000,1,IF($F412*IF($C412="売",1+$AX$2,1-$AX$2)&lt;=5000,5,IF($F412*IF($C412="売",1+$AX$2,1-$AX$2)&lt;=30000,10,IF($F412*IF($C412="売",1+$AX$2,1-$AX$2)&lt;=50000,50,IF($F412*IF($C412="売",1+$AX$2,1-$AX$2)&lt;=300000,100,500))))))))</f>
      </c>
      <c r="O412" s="478" t="str">
        <f>IF(OR($B412="",$F412="",$H412=""),"",IF($S412="✅売却済","―決済済―",IF($C412="売",IF($H412&lt;=$M412,"🟢利確",IF(AND($R412&lt;&gt;"",$H412&gt;=$R412),"🟠TRAIL決済",IF($H412&gt;=$N412,"🔴損切",IF($W412&gt;=$AX$5,"⏱時間決済",IF($H412&gt;=$F412*(1+$AX$2*0.7),"⚠️損切接近","保持継続"))))),IF($H412&gt;=$M412,"🟢利確",IF(AND($R412&lt;&gt;"",$H412&lt;=$R412),"🟠TRAIL決済",IF($H412&lt;=$N412,"🔴損切",IF($W412&gt;=$AX$5,"⏱時間決済",IF($H412&lt;=$F412*(1-$AX$2*0.7),"⚠️損切接近","保持継続")))))))</f>
      </c>
      <c r="P412" s="445"/>
      <c r="R412" s="440" t="str">
        <f>IF(OR($F412="",$H412="",$N412=""),"",IF($S412="✅売却済","",IF($C412="売",IF($H412&gt;$F412*(1-$AX$2),$N412,CEILING(MIN($N412,IF($Q412="",$N412,$Q412*1.03)),IF($N412&lt;=3000,1,IF($N412&lt;=5000,5,IF($N412&lt;=30000,10,IF($N412&lt;=50000,50,IF($N412&lt;=300000,100,500))))))),IF($H412&lt;$F412*(1+$AX$2),$N412,FLOOR(MAX($N412,IF($P412="",$N412,$P412*0.97)),IF($N412&lt;=3000,1,IF($N412&lt;=5000,5,IF($N412&lt;=30000,10,IF($N412&lt;=50000,50,IF($N412&lt;=300000,100,500))))))))))</f>
      </c>
      <c r="S412" s="440" t="str">
        <f>IF(B412="","",IF(T412&lt;&gt;"","✅売却済",IF(OR(H412="",L412=""),"📌保有中",IF(L412&gt;=0.06,"🟢利確推奨",IF(L412&gt;=0.05,"🟡利確直近",IF(L412&gt;=0.045,"🔵トレーリング検討",IF(L412&gt;-0.03,"📌保有中",IF(L412&gt;-0.04,"⚠️損切注意","🔴損切り"))))))))</f>
        <v/>
      </c>
      <c r="T412" s="597"/>
      <c r="U412" s="599"/>
      <c r="V412" s="704" t="str">
        <f>IF(OR(F412="",G412="",U412=""),"",IF(C412="売",(F412-U412)*G412,(U412-F412)*G412))</f>
        <v/>
      </c>
      <c r="W412" s="440" t="str">
        <f>IF(OR($E412="",$B412=""),"",IF($T412&lt;&gt;"",$T412-$E412,TODAY()-$E412)+1)</f>
        <v/>
      </c>
      <c r="X412" s="440" t="str">
        <f>IF(OR($AH412="",$AH412="保有中"),"",$AH412)</f>
        <v/>
      </c>
      <c r="Y412">
        <f>IF($B412="","",IF(COUNTIFS($B$4:$B412,$B412,$C$4:$C412,$C412)&gt;1,"⛔重複"&amp;COUNTIFS($B$4:$B412,$B412,$C$4:$C412,$C412)&amp;"回目",""))</f>
      </c>
      <c r="AB412">
        <f>IF($F412="","",MAX(100,ROUNDDOWN($AX$4/($F412*$AX$2)/100,0)*100))</f>
      </c>
      <c r="AC412">
        <f>IF(OR($F412="",$G412="",$U412=""),"",ROUND($V412-($F412+$U412)*$G412*$AX$6-IF($C412="売",$F412*$G412*$AX$7*$W412/365,0),0))</f>
      </c>
      <c r="AD412" s="608"/>
      <c r="AE412" s="600" t="str">
        <f>IF($E412="","",WORKDAY($E412,12))</f>
        <v/>
      </c>
      <c r="AF412" s="600"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0"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0" t="str">
        <f>IF(OR($B412="",$M412=""),"",IF(AND(N($AF412)=0,N($AG412)=0),IF(AND(ISNUMBER($H412),$H412&gt;0,IF($C412="売",$H412&gt;=$N412,$H412&lt;=$N412)),"損切確定",IF(AND(ISNUMBER($H412),$H412&gt;0,IF($C412="売",$H412&lt;=$M412,$H412&gt;=$M412)),"利益確定",IF($AE412&lt;=TODAY(),"日数制限","保有中"))),IF(N($AG412)=0,"利益確定",IF(N($AF412)=0,"損切確定",IF($AG412&lt;=$AF412,"損切確定","利益確定")))))</f>
        <v/>
      </c>
      <c r="AI412" s="600" t="str" cm="1">
        <f t="array" ref="AI412">IFERROR(INDEX(始値!$E$6:$BT$305,MATCH(TEXT($B412,"0"),TEXT(銘柄管理!$B$6:$B$305,"0"),0),MATCH($AE412,始値!$E$3:$BT$3,0)),"")</f>
        <v/>
      </c>
      <c r="AJ412" s="608" t="str">
        <f>IF(OR($V412="",$F412="",$G412=""),"",$V412/($F412*$G412))</f>
        <v/>
      </c>
      <c r="AK412" s="600" t="str">
        <f>IF($V412="","",IF($V412&gt;0,"○勝",IF($V412&lt;0,"●負","△引分")))</f>
        <v/>
      </c>
    </row>
    <row r="413" spans="1:37" ht="17.25" customHeight="1">
      <c r="A413" s="622" t="str">
        <f>IF(B413="","",HYPERLINK("https://kabutan.jp/stock/?code="&amp;B413,"株探"))</f>
        <v/>
      </c>
      <c r="D413" s="440" t="str" cm="1">
        <f t="array" ref="D413">_xll.RssMarket(B413, "銘柄名称")</f>
        <v/>
      </c>
      <c r="E413" s="717"/>
      <c r="F413" s="6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IF(OR(F413="",G413="",H413=""),"",IF(C413="売",(F413-H413)*G413,(H413-F413)*G413))</f>
        <v/>
      </c>
      <c r="L413" s="709" t="str">
        <f>IF(OR(F413="",H413=""),"",IF(C413="売",(F413-H413)/F413,(H413-F413)/F413))</f>
        <v/>
      </c>
      <c r="M413" s="599" t="str">
        <f>IF($F413="","",IF($C413="売",CEILING($F413*IF($C413="売",1-$AX$3,1+$AX$3),IF($F413*IF($C413="売",1-$AX$3,1+$AX$3)&lt;=3000,1,IF($F413*IF($C413="売",1-$AX$3,1+$AX$3)&lt;=5000,5,IF($F413*IF($C413="売",1-$AX$3,1+$AX$3)&lt;=30000,10,IF($F413*IF($C413="売",1-$AX$3,1+$AX$3)&lt;=50000,50,IF($F413*IF($C413="売",1-$AX$3,1+$AX$3)&lt;=300000,100,500)))))),FLOOR($F413*IF($C413="売",1-$AX$3,1+$AX$3),IF($F413*IF($C413="売",1-$AX$3,1+$AX$3)&lt;=3000,1,IF($F413*IF($C413="売",1-$AX$3,1+$AX$3)&lt;=5000,5,IF($F413*IF($C413="売",1-$AX$3,1+$AX$3)&lt;=30000,10,IF($F413*IF($C413="売",1-$AX$3,1+$AX$3)&lt;=50000,50,IF($F413*IF($C413="売",1-$AX$3,1+$AX$3)&lt;=300000,100,500))))))))</f>
      </c>
      <c r="N413" s="599" t="str">
        <f>IF($F413="","",IF($C413="売",CEILING($F413*IF($C413="売",1+$AX$2,1-$AX$2),IF($F413*IF($C413="売",1+$AX$2,1-$AX$2)&lt;=3000,1,IF($F413*IF($C413="売",1+$AX$2,1-$AX$2)&lt;=5000,5,IF($F413*IF($C413="売",1+$AX$2,1-$AX$2)&lt;=30000,10,IF($F413*IF($C413="売",1+$AX$2,1-$AX$2)&lt;=50000,50,IF($F413*IF($C413="売",1+$AX$2,1-$AX$2)&lt;=300000,100,500)))))),FLOOR($F413*IF($C413="売",1+$AX$2,1-$AX$2),IF($F413*IF($C413="売",1+$AX$2,1-$AX$2)&lt;=3000,1,IF($F413*IF($C413="売",1+$AX$2,1-$AX$2)&lt;=5000,5,IF($F413*IF($C413="売",1+$AX$2,1-$AX$2)&lt;=30000,10,IF($F413*IF($C413="売",1+$AX$2,1-$AX$2)&lt;=50000,50,IF($F413*IF($C413="売",1+$AX$2,1-$AX$2)&lt;=300000,100,500))))))))</f>
      </c>
      <c r="O413" s="478" t="str">
        <f>IF(OR($B413="",$F413="",$H413=""),"",IF($S413="✅売却済","―決済済―",IF($C413="売",IF($H413&lt;=$M413,"🟢利確",IF(AND($R413&lt;&gt;"",$H413&gt;=$R413),"🟠TRAIL決済",IF($H413&gt;=$N413,"🔴損切",IF($W413&gt;=$AX$5,"⏱時間決済",IF($H413&gt;=$F413*(1+$AX$2*0.7),"⚠️損切接近","保持継続"))))),IF($H413&gt;=$M413,"🟢利確",IF(AND($R413&lt;&gt;"",$H413&lt;=$R413),"🟠TRAIL決済",IF($H413&lt;=$N413,"🔴損切",IF($W413&gt;=$AX$5,"⏱時間決済",IF($H413&lt;=$F413*(1-$AX$2*0.7),"⚠️損切接近","保持継続")))))))</f>
      </c>
      <c r="P413" s="445"/>
      <c r="R413" s="440" t="str">
        <f>IF(OR($F413="",$H413="",$N413=""),"",IF($S413="✅売却済","",IF($C413="売",IF($H413&gt;$F413*(1-$AX$2),$N413,CEILING(MIN($N413,IF($Q413="",$N413,$Q413*1.03)),IF($N413&lt;=3000,1,IF($N413&lt;=5000,5,IF($N413&lt;=30000,10,IF($N413&lt;=50000,50,IF($N413&lt;=300000,100,500))))))),IF($H413&lt;$F413*(1+$AX$2),$N413,FLOOR(MAX($N413,IF($P413="",$N413,$P413*0.97)),IF($N413&lt;=3000,1,IF($N413&lt;=5000,5,IF($N413&lt;=30000,10,IF($N413&lt;=50000,50,IF($N413&lt;=300000,100,500))))))))))</f>
      </c>
      <c r="S413" s="440" t="str">
        <f>IF(B413="","",IF(T413&lt;&gt;"","✅売却済",IF(OR(H413="",L413=""),"📌保有中",IF(L413&gt;=0.06,"🟢利確推奨",IF(L413&gt;=0.05,"🟡利確直近",IF(L413&gt;=0.045,"🔵トレーリング検討",IF(L413&gt;-0.03,"📌保有中",IF(L413&gt;-0.04,"⚠️損切注意","🔴損切り"))))))))</f>
        <v/>
      </c>
      <c r="T413" s="597"/>
      <c r="U413" s="599"/>
      <c r="V413" s="704" t="str">
        <f>IF(OR(F413="",G413="",U413=""),"",IF(C413="売",(F413-U413)*G413,(U413-F413)*G413))</f>
        <v/>
      </c>
      <c r="W413" s="440" t="str">
        <f>IF(OR($E413="",$B413=""),"",IF($T413&lt;&gt;"",$T413-$E413,TODAY()-$E413)+1)</f>
        <v/>
      </c>
      <c r="X413" s="440" t="str">
        <f>IF(OR($AH413="",$AH413="保有中"),"",$AH413)</f>
        <v/>
      </c>
      <c r="Y413">
        <f>IF($B413="","",IF(COUNTIFS($B$4:$B413,$B413,$C$4:$C413,$C413)&gt;1,"⛔重複"&amp;COUNTIFS($B$4:$B413,$B413,$C$4:$C413,$C413)&amp;"回目",""))</f>
      </c>
      <c r="AB413">
        <f>IF($F413="","",MAX(100,ROUNDDOWN($AX$4/($F413*$AX$2)/100,0)*100))</f>
      </c>
      <c r="AC413">
        <f>IF(OR($F413="",$G413="",$U413=""),"",ROUND($V413-($F413+$U413)*$G413*$AX$6-IF($C413="売",$F413*$G413*$AX$7*$W413/365,0),0))</f>
      </c>
      <c r="AD413" s="608"/>
      <c r="AE413" s="600" t="str">
        <f>IF($E413="","",WORKDAY($E413,12))</f>
        <v/>
      </c>
      <c r="AF413" s="600"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0"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0" t="str">
        <f>IF(OR($B413="",$M413=""),"",IF(AND(N($AF413)=0,N($AG413)=0),IF(AND(ISNUMBER($H413),$H413&gt;0,IF($C413="売",$H413&gt;=$N413,$H413&lt;=$N413)),"損切確定",IF(AND(ISNUMBER($H413),$H413&gt;0,IF($C413="売",$H413&lt;=$M413,$H413&gt;=$M413)),"利益確定",IF($AE413&lt;=TODAY(),"日数制限","保有中"))),IF(N($AG413)=0,"利益確定",IF(N($AF413)=0,"損切確定",IF($AG413&lt;=$AF413,"損切確定","利益確定")))))</f>
        <v/>
      </c>
      <c r="AI413" s="600" t="str" cm="1">
        <f t="array" ref="AI413">IFERROR(INDEX(始値!$E$6:$BT$305,MATCH(TEXT($B413,"0"),TEXT(銘柄管理!$B$6:$B$305,"0"),0),MATCH($AE413,始値!$E$3:$BT$3,0)),"")</f>
        <v/>
      </c>
      <c r="AJ413" s="608" t="str">
        <f>IF(OR($V413="",$F413="",$G413=""),"",$V413/($F413*$G413))</f>
        <v/>
      </c>
      <c r="AK413" s="600" t="str">
        <f>IF($V413="","",IF($V413&gt;0,"○勝",IF($V413&lt;0,"●負","△引分")))</f>
        <v/>
      </c>
    </row>
    <row r="414" spans="1:37" ht="17.25" customHeight="1">
      <c r="A414" s="622" t="str">
        <f>IF(B414="","",HYPERLINK("https://kabutan.jp/stock/?code="&amp;B414,"株探"))</f>
        <v/>
      </c>
      <c r="D414" s="440" t="str" cm="1">
        <f t="array" ref="D414">_xll.RssMarket(B414, "銘柄名称")</f>
        <v/>
      </c>
      <c r="E414" s="717"/>
      <c r="F414" s="6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IF(OR(F414="",G414="",H414=""),"",IF(C414="売",(F414-H414)*G414,(H414-F414)*G414))</f>
        <v/>
      </c>
      <c r="L414" s="709" t="str">
        <f>IF(OR(F414="",H414=""),"",IF(C414="売",(F414-H414)/F414,(H414-F414)/F414))</f>
        <v/>
      </c>
      <c r="M414" s="599" t="str">
        <f>IF($F414="","",IF($C414="売",CEILING($F414*IF($C414="売",1-$AX$3,1+$AX$3),IF($F414*IF($C414="売",1-$AX$3,1+$AX$3)&lt;=3000,1,IF($F414*IF($C414="売",1-$AX$3,1+$AX$3)&lt;=5000,5,IF($F414*IF($C414="売",1-$AX$3,1+$AX$3)&lt;=30000,10,IF($F414*IF($C414="売",1-$AX$3,1+$AX$3)&lt;=50000,50,IF($F414*IF($C414="売",1-$AX$3,1+$AX$3)&lt;=300000,100,500)))))),FLOOR($F414*IF($C414="売",1-$AX$3,1+$AX$3),IF($F414*IF($C414="売",1-$AX$3,1+$AX$3)&lt;=3000,1,IF($F414*IF($C414="売",1-$AX$3,1+$AX$3)&lt;=5000,5,IF($F414*IF($C414="売",1-$AX$3,1+$AX$3)&lt;=30000,10,IF($F414*IF($C414="売",1-$AX$3,1+$AX$3)&lt;=50000,50,IF($F414*IF($C414="売",1-$AX$3,1+$AX$3)&lt;=300000,100,500))))))))</f>
      </c>
      <c r="N414" s="599" t="str">
        <f>IF($F414="","",IF($C414="売",CEILING($F414*IF($C414="売",1+$AX$2,1-$AX$2),IF($F414*IF($C414="売",1+$AX$2,1-$AX$2)&lt;=3000,1,IF($F414*IF($C414="売",1+$AX$2,1-$AX$2)&lt;=5000,5,IF($F414*IF($C414="売",1+$AX$2,1-$AX$2)&lt;=30000,10,IF($F414*IF($C414="売",1+$AX$2,1-$AX$2)&lt;=50000,50,IF($F414*IF($C414="売",1+$AX$2,1-$AX$2)&lt;=300000,100,500)))))),FLOOR($F414*IF($C414="売",1+$AX$2,1-$AX$2),IF($F414*IF($C414="売",1+$AX$2,1-$AX$2)&lt;=3000,1,IF($F414*IF($C414="売",1+$AX$2,1-$AX$2)&lt;=5000,5,IF($F414*IF($C414="売",1+$AX$2,1-$AX$2)&lt;=30000,10,IF($F414*IF($C414="売",1+$AX$2,1-$AX$2)&lt;=50000,50,IF($F414*IF($C414="売",1+$AX$2,1-$AX$2)&lt;=300000,100,500))))))))</f>
      </c>
      <c r="O414" s="478" t="str">
        <f>IF(OR($B414="",$F414="",$H414=""),"",IF($S414="✅売却済","―決済済―",IF($C414="売",IF($H414&lt;=$M414,"🟢利確",IF(AND($R414&lt;&gt;"",$H414&gt;=$R414),"🟠TRAIL決済",IF($H414&gt;=$N414,"🔴損切",IF($W414&gt;=$AX$5,"⏱時間決済",IF($H414&gt;=$F414*(1+$AX$2*0.7),"⚠️損切接近","保持継続"))))),IF($H414&gt;=$M414,"🟢利確",IF(AND($R414&lt;&gt;"",$H414&lt;=$R414),"🟠TRAIL決済",IF($H414&lt;=$N414,"🔴損切",IF($W414&gt;=$AX$5,"⏱時間決済",IF($H414&lt;=$F414*(1-$AX$2*0.7),"⚠️損切接近","保持継続")))))))</f>
      </c>
      <c r="P414" s="445"/>
      <c r="R414" s="440" t="str">
        <f>IF(OR($F414="",$H414="",$N414=""),"",IF($S414="✅売却済","",IF($C414="売",IF($H414&gt;$F414*(1-$AX$2),$N414,CEILING(MIN($N414,IF($Q414="",$N414,$Q414*1.03)),IF($N414&lt;=3000,1,IF($N414&lt;=5000,5,IF($N414&lt;=30000,10,IF($N414&lt;=50000,50,IF($N414&lt;=300000,100,500))))))),IF($H414&lt;$F414*(1+$AX$2),$N414,FLOOR(MAX($N414,IF($P414="",$N414,$P414*0.97)),IF($N414&lt;=3000,1,IF($N414&lt;=5000,5,IF($N414&lt;=30000,10,IF($N414&lt;=50000,50,IF($N414&lt;=300000,100,500))))))))))</f>
      </c>
      <c r="S414" s="440" t="str">
        <f>IF(B414="","",IF(T414&lt;&gt;"","✅売却済",IF(OR(H414="",L414=""),"📌保有中",IF(L414&gt;=0.06,"🟢利確推奨",IF(L414&gt;=0.05,"🟡利確直近",IF(L414&gt;=0.045,"🔵トレーリング検討",IF(L414&gt;-0.03,"📌保有中",IF(L414&gt;-0.04,"⚠️損切注意","🔴損切り"))))))))</f>
        <v/>
      </c>
      <c r="T414" s="597"/>
      <c r="U414" s="599"/>
      <c r="V414" s="704" t="str">
        <f>IF(OR(F414="",G414="",U414=""),"",IF(C414="売",(F414-U414)*G414,(U414-F414)*G414))</f>
        <v/>
      </c>
      <c r="W414" s="440" t="str">
        <f>IF(OR($E414="",$B414=""),"",IF($T414&lt;&gt;"",$T414-$E414,TODAY()-$E414)+1)</f>
        <v/>
      </c>
      <c r="X414" s="440" t="str">
        <f>IF(OR($AH414="",$AH414="保有中"),"",$AH414)</f>
        <v/>
      </c>
      <c r="Y414">
        <f>IF($B414="","",IF(COUNTIFS($B$4:$B414,$B414,$C$4:$C414,$C414)&gt;1,"⛔重複"&amp;COUNTIFS($B$4:$B414,$B414,$C$4:$C414,$C414)&amp;"回目",""))</f>
      </c>
      <c r="AB414">
        <f>IF($F414="","",MAX(100,ROUNDDOWN($AX$4/($F414*$AX$2)/100,0)*100))</f>
      </c>
      <c r="AC414">
        <f>IF(OR($F414="",$G414="",$U414=""),"",ROUND($V414-($F414+$U414)*$G414*$AX$6-IF($C414="売",$F414*$G414*$AX$7*$W414/365,0),0))</f>
      </c>
      <c r="AD414" s="608"/>
      <c r="AE414" s="600" t="str">
        <f>IF($E414="","",WORKDAY($E414,12))</f>
        <v/>
      </c>
      <c r="AF414" s="600"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0"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0" t="str">
        <f>IF(OR($B414="",$M414=""),"",IF(AND(N($AF414)=0,N($AG414)=0),IF(AND(ISNUMBER($H414),$H414&gt;0,IF($C414="売",$H414&gt;=$N414,$H414&lt;=$N414)),"損切確定",IF(AND(ISNUMBER($H414),$H414&gt;0,IF($C414="売",$H414&lt;=$M414,$H414&gt;=$M414)),"利益確定",IF($AE414&lt;=TODAY(),"日数制限","保有中"))),IF(N($AG414)=0,"利益確定",IF(N($AF414)=0,"損切確定",IF($AG414&lt;=$AF414,"損切確定","利益確定")))))</f>
        <v/>
      </c>
      <c r="AI414" s="600" t="str" cm="1">
        <f t="array" ref="AI414">IFERROR(INDEX(始値!$E$6:$BT$305,MATCH(TEXT($B414,"0"),TEXT(銘柄管理!$B$6:$B$305,"0"),0),MATCH($AE414,始値!$E$3:$BT$3,0)),"")</f>
        <v/>
      </c>
      <c r="AJ414" s="608" t="str">
        <f>IF(OR($V414="",$F414="",$G414=""),"",$V414/($F414*$G414))</f>
        <v/>
      </c>
      <c r="AK414" s="600" t="str">
        <f>IF($V414="","",IF($V414&gt;0,"○勝",IF($V414&lt;0,"●負","△引分")))</f>
        <v/>
      </c>
    </row>
    <row r="415" spans="1:37" ht="17.25" customHeight="1">
      <c r="A415" s="622" t="str">
        <f>IF(B415="","",HYPERLINK("https://kabutan.jp/stock/?code="&amp;B415,"株探"))</f>
        <v/>
      </c>
      <c r="D415" s="440" t="str" cm="1">
        <f t="array" ref="D415">_xll.RssMarket(B415, "銘柄名称")</f>
        <v/>
      </c>
      <c r="E415" s="717"/>
      <c r="F415" s="6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IF(OR(F415="",G415="",H415=""),"",IF(C415="売",(F415-H415)*G415,(H415-F415)*G415))</f>
        <v/>
      </c>
      <c r="L415" s="709" t="str">
        <f>IF(OR(F415="",H415=""),"",IF(C415="売",(F415-H415)/F415,(H415-F415)/F415))</f>
        <v/>
      </c>
      <c r="M415" s="599" t="str">
        <f>IF($F415="","",IF($C415="売",CEILING($F415*IF($C415="売",1-$AX$3,1+$AX$3),IF($F415*IF($C415="売",1-$AX$3,1+$AX$3)&lt;=3000,1,IF($F415*IF($C415="売",1-$AX$3,1+$AX$3)&lt;=5000,5,IF($F415*IF($C415="売",1-$AX$3,1+$AX$3)&lt;=30000,10,IF($F415*IF($C415="売",1-$AX$3,1+$AX$3)&lt;=50000,50,IF($F415*IF($C415="売",1-$AX$3,1+$AX$3)&lt;=300000,100,500)))))),FLOOR($F415*IF($C415="売",1-$AX$3,1+$AX$3),IF($F415*IF($C415="売",1-$AX$3,1+$AX$3)&lt;=3000,1,IF($F415*IF($C415="売",1-$AX$3,1+$AX$3)&lt;=5000,5,IF($F415*IF($C415="売",1-$AX$3,1+$AX$3)&lt;=30000,10,IF($F415*IF($C415="売",1-$AX$3,1+$AX$3)&lt;=50000,50,IF($F415*IF($C415="売",1-$AX$3,1+$AX$3)&lt;=300000,100,500))))))))</f>
      </c>
      <c r="N415" s="599" t="str">
        <f>IF($F415="","",IF($C415="売",CEILING($F415*IF($C415="売",1+$AX$2,1-$AX$2),IF($F415*IF($C415="売",1+$AX$2,1-$AX$2)&lt;=3000,1,IF($F415*IF($C415="売",1+$AX$2,1-$AX$2)&lt;=5000,5,IF($F415*IF($C415="売",1+$AX$2,1-$AX$2)&lt;=30000,10,IF($F415*IF($C415="売",1+$AX$2,1-$AX$2)&lt;=50000,50,IF($F415*IF($C415="売",1+$AX$2,1-$AX$2)&lt;=300000,100,500)))))),FLOOR($F415*IF($C415="売",1+$AX$2,1-$AX$2),IF($F415*IF($C415="売",1+$AX$2,1-$AX$2)&lt;=3000,1,IF($F415*IF($C415="売",1+$AX$2,1-$AX$2)&lt;=5000,5,IF($F415*IF($C415="売",1+$AX$2,1-$AX$2)&lt;=30000,10,IF($F415*IF($C415="売",1+$AX$2,1-$AX$2)&lt;=50000,50,IF($F415*IF($C415="売",1+$AX$2,1-$AX$2)&lt;=300000,100,500))))))))</f>
      </c>
      <c r="O415" s="478" t="str">
        <f>IF(OR($B415="",$F415="",$H415=""),"",IF($S415="✅売却済","―決済済―",IF($C415="売",IF($H415&lt;=$M415,"🟢利確",IF(AND($R415&lt;&gt;"",$H415&gt;=$R415),"🟠TRAIL決済",IF($H415&gt;=$N415,"🔴損切",IF($W415&gt;=$AX$5,"⏱時間決済",IF($H415&gt;=$F415*(1+$AX$2*0.7),"⚠️損切接近","保持継続"))))),IF($H415&gt;=$M415,"🟢利確",IF(AND($R415&lt;&gt;"",$H415&lt;=$R415),"🟠TRAIL決済",IF($H415&lt;=$N415,"🔴損切",IF($W415&gt;=$AX$5,"⏱時間決済",IF($H415&lt;=$F415*(1-$AX$2*0.7),"⚠️損切接近","保持継続")))))))</f>
      </c>
      <c r="P415" s="445"/>
      <c r="R415" s="440" t="str">
        <f>IF(OR($F415="",$H415="",$N415=""),"",IF($S415="✅売却済","",IF($C415="売",IF($H415&gt;$F415*(1-$AX$2),$N415,CEILING(MIN($N415,IF($Q415="",$N415,$Q415*1.03)),IF($N415&lt;=3000,1,IF($N415&lt;=5000,5,IF($N415&lt;=30000,10,IF($N415&lt;=50000,50,IF($N415&lt;=300000,100,500))))))),IF($H415&lt;$F415*(1+$AX$2),$N415,FLOOR(MAX($N415,IF($P415="",$N415,$P415*0.97)),IF($N415&lt;=3000,1,IF($N415&lt;=5000,5,IF($N415&lt;=30000,10,IF($N415&lt;=50000,50,IF($N415&lt;=300000,100,500))))))))))</f>
      </c>
      <c r="S415" s="440" t="str">
        <f>IF(B415="","",IF(T415&lt;&gt;"","✅売却済",IF(OR(H415="",L415=""),"📌保有中",IF(L415&gt;=0.06,"🟢利確推奨",IF(L415&gt;=0.05,"🟡利確直近",IF(L415&gt;=0.045,"🔵トレーリング検討",IF(L415&gt;-0.03,"📌保有中",IF(L415&gt;-0.04,"⚠️損切注意","🔴損切り"))))))))</f>
        <v/>
      </c>
      <c r="T415" s="597"/>
      <c r="U415" s="599"/>
      <c r="V415" s="704" t="str">
        <f>IF(OR(F415="",G415="",U415=""),"",IF(C415="売",(F415-U415)*G415,(U415-F415)*G415))</f>
        <v/>
      </c>
      <c r="W415" s="440" t="str">
        <f>IF(OR($E415="",$B415=""),"",IF($T415&lt;&gt;"",$T415-$E415,TODAY()-$E415)+1)</f>
        <v/>
      </c>
      <c r="X415" s="440" t="str">
        <f>IF(OR($AH415="",$AH415="保有中"),"",$AH415)</f>
        <v/>
      </c>
      <c r="Y415">
        <f>IF($B415="","",IF(COUNTIFS($B$4:$B415,$B415,$C$4:$C415,$C415)&gt;1,"⛔重複"&amp;COUNTIFS($B$4:$B415,$B415,$C$4:$C415,$C415)&amp;"回目",""))</f>
      </c>
      <c r="AB415">
        <f>IF($F415="","",MAX(100,ROUNDDOWN($AX$4/($F415*$AX$2)/100,0)*100))</f>
      </c>
      <c r="AC415">
        <f>IF(OR($F415="",$G415="",$U415=""),"",ROUND($V415-($F415+$U415)*$G415*$AX$6-IF($C415="売",$F415*$G415*$AX$7*$W415/365,0),0))</f>
      </c>
      <c r="AD415" s="608"/>
      <c r="AE415" s="600" t="str">
        <f>IF($E415="","",WORKDAY($E415,12))</f>
        <v/>
      </c>
      <c r="AF415" s="600"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0"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0" t="str">
        <f>IF(OR($B415="",$M415=""),"",IF(AND(N($AF415)=0,N($AG415)=0),IF(AND(ISNUMBER($H415),$H415&gt;0,IF($C415="売",$H415&gt;=$N415,$H415&lt;=$N415)),"損切確定",IF(AND(ISNUMBER($H415),$H415&gt;0,IF($C415="売",$H415&lt;=$M415,$H415&gt;=$M415)),"利益確定",IF($AE415&lt;=TODAY(),"日数制限","保有中"))),IF(N($AG415)=0,"利益確定",IF(N($AF415)=0,"損切確定",IF($AG415&lt;=$AF415,"損切確定","利益確定")))))</f>
        <v/>
      </c>
      <c r="AI415" s="600" t="str" cm="1">
        <f t="array" ref="AI415">IFERROR(INDEX(始値!$E$6:$BT$305,MATCH(TEXT($B415,"0"),TEXT(銘柄管理!$B$6:$B$305,"0"),0),MATCH($AE415,始値!$E$3:$BT$3,0)),"")</f>
        <v/>
      </c>
      <c r="AJ415" s="608" t="str">
        <f>IF(OR($V415="",$F415="",$G415=""),"",$V415/($F415*$G415))</f>
        <v/>
      </c>
      <c r="AK415" s="600" t="str">
        <f>IF($V415="","",IF($V415&gt;0,"○勝",IF($V415&lt;0,"●負","△引分")))</f>
        <v/>
      </c>
    </row>
    <row r="416" spans="1:37" ht="17.25" customHeight="1">
      <c r="A416" s="622" t="str">
        <f>IF(B416="","",HYPERLINK("https://kabutan.jp/stock/?code="&amp;B416,"株探"))</f>
        <v/>
      </c>
      <c r="D416" s="440" t="str" cm="1">
        <f t="array" ref="D416">_xll.RssMarket(B416, "銘柄名称")</f>
        <v/>
      </c>
      <c r="E416" s="717"/>
      <c r="F416" s="6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IF(OR(F416="",G416="",H416=""),"",IF(C416="売",(F416-H416)*G416,(H416-F416)*G416))</f>
        <v/>
      </c>
      <c r="L416" s="709" t="str">
        <f>IF(OR(F416="",H416=""),"",IF(C416="売",(F416-H416)/F416,(H416-F416)/F416))</f>
        <v/>
      </c>
      <c r="M416" s="599" t="str">
        <f>IF($F416="","",IF($C416="売",CEILING($F416*IF($C416="売",1-$AX$3,1+$AX$3),IF($F416*IF($C416="売",1-$AX$3,1+$AX$3)&lt;=3000,1,IF($F416*IF($C416="売",1-$AX$3,1+$AX$3)&lt;=5000,5,IF($F416*IF($C416="売",1-$AX$3,1+$AX$3)&lt;=30000,10,IF($F416*IF($C416="売",1-$AX$3,1+$AX$3)&lt;=50000,50,IF($F416*IF($C416="売",1-$AX$3,1+$AX$3)&lt;=300000,100,500)))))),FLOOR($F416*IF($C416="売",1-$AX$3,1+$AX$3),IF($F416*IF($C416="売",1-$AX$3,1+$AX$3)&lt;=3000,1,IF($F416*IF($C416="売",1-$AX$3,1+$AX$3)&lt;=5000,5,IF($F416*IF($C416="売",1-$AX$3,1+$AX$3)&lt;=30000,10,IF($F416*IF($C416="売",1-$AX$3,1+$AX$3)&lt;=50000,50,IF($F416*IF($C416="売",1-$AX$3,1+$AX$3)&lt;=300000,100,500))))))))</f>
      </c>
      <c r="N416" s="599" t="str">
        <f>IF($F416="","",IF($C416="売",CEILING($F416*IF($C416="売",1+$AX$2,1-$AX$2),IF($F416*IF($C416="売",1+$AX$2,1-$AX$2)&lt;=3000,1,IF($F416*IF($C416="売",1+$AX$2,1-$AX$2)&lt;=5000,5,IF($F416*IF($C416="売",1+$AX$2,1-$AX$2)&lt;=30000,10,IF($F416*IF($C416="売",1+$AX$2,1-$AX$2)&lt;=50000,50,IF($F416*IF($C416="売",1+$AX$2,1-$AX$2)&lt;=300000,100,500)))))),FLOOR($F416*IF($C416="売",1+$AX$2,1-$AX$2),IF($F416*IF($C416="売",1+$AX$2,1-$AX$2)&lt;=3000,1,IF($F416*IF($C416="売",1+$AX$2,1-$AX$2)&lt;=5000,5,IF($F416*IF($C416="売",1+$AX$2,1-$AX$2)&lt;=30000,10,IF($F416*IF($C416="売",1+$AX$2,1-$AX$2)&lt;=50000,50,IF($F416*IF($C416="売",1+$AX$2,1-$AX$2)&lt;=300000,100,500))))))))</f>
      </c>
      <c r="O416" s="478" t="str">
        <f>IF(OR($B416="",$F416="",$H416=""),"",IF($S416="✅売却済","―決済済―",IF($C416="売",IF($H416&lt;=$M416,"🟢利確",IF(AND($R416&lt;&gt;"",$H416&gt;=$R416),"🟠TRAIL決済",IF($H416&gt;=$N416,"🔴損切",IF($W416&gt;=$AX$5,"⏱時間決済",IF($H416&gt;=$F416*(1+$AX$2*0.7),"⚠️損切接近","保持継続"))))),IF($H416&gt;=$M416,"🟢利確",IF(AND($R416&lt;&gt;"",$H416&lt;=$R416),"🟠TRAIL決済",IF($H416&lt;=$N416,"🔴損切",IF($W416&gt;=$AX$5,"⏱時間決済",IF($H416&lt;=$F416*(1-$AX$2*0.7),"⚠️損切接近","保持継続")))))))</f>
      </c>
      <c r="P416" s="445"/>
      <c r="R416" s="440" t="str">
        <f>IF(OR($F416="",$H416="",$N416=""),"",IF($S416="✅売却済","",IF($C416="売",IF($H416&gt;$F416*(1-$AX$2),$N416,CEILING(MIN($N416,IF($Q416="",$N416,$Q416*1.03)),IF($N416&lt;=3000,1,IF($N416&lt;=5000,5,IF($N416&lt;=30000,10,IF($N416&lt;=50000,50,IF($N416&lt;=300000,100,500))))))),IF($H416&lt;$F416*(1+$AX$2),$N416,FLOOR(MAX($N416,IF($P416="",$N416,$P416*0.97)),IF($N416&lt;=3000,1,IF($N416&lt;=5000,5,IF($N416&lt;=30000,10,IF($N416&lt;=50000,50,IF($N416&lt;=300000,100,500))))))))))</f>
      </c>
      <c r="S416" s="440" t="str">
        <f>IF(B416="","",IF(T416&lt;&gt;"","✅売却済",IF(OR(H416="",L416=""),"📌保有中",IF(L416&gt;=0.06,"🟢利確推奨",IF(L416&gt;=0.05,"🟡利確直近",IF(L416&gt;=0.045,"🔵トレーリング検討",IF(L416&gt;-0.03,"📌保有中",IF(L416&gt;-0.04,"⚠️損切注意","🔴損切り"))))))))</f>
        <v/>
      </c>
      <c r="T416" s="597"/>
      <c r="U416" s="599"/>
      <c r="V416" s="704" t="str">
        <f>IF(OR(F416="",G416="",U416=""),"",IF(C416="売",(F416-U416)*G416,(U416-F416)*G416))</f>
        <v/>
      </c>
      <c r="W416" s="440" t="str">
        <f>IF(OR($E416="",$B416=""),"",IF($T416&lt;&gt;"",$T416-$E416,TODAY()-$E416)+1)</f>
        <v/>
      </c>
      <c r="X416" s="440" t="str">
        <f>IF(OR($AH416="",$AH416="保有中"),"",$AH416)</f>
        <v/>
      </c>
      <c r="Y416">
        <f>IF($B416="","",IF(COUNTIFS($B$4:$B416,$B416,$C$4:$C416,$C416)&gt;1,"⛔重複"&amp;COUNTIFS($B$4:$B416,$B416,$C$4:$C416,$C416)&amp;"回目",""))</f>
      </c>
      <c r="AB416">
        <f>IF($F416="","",MAX(100,ROUNDDOWN($AX$4/($F416*$AX$2)/100,0)*100))</f>
      </c>
      <c r="AC416">
        <f>IF(OR($F416="",$G416="",$U416=""),"",ROUND($V416-($F416+$U416)*$G416*$AX$6-IF($C416="売",$F416*$G416*$AX$7*$W416/365,0),0))</f>
      </c>
      <c r="AD416" s="608"/>
      <c r="AE416" s="600" t="str">
        <f>IF($E416="","",WORKDAY($E416,12))</f>
        <v/>
      </c>
      <c r="AF416" s="600"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0"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0" t="str">
        <f>IF(OR($B416="",$M416=""),"",IF(AND(N($AF416)=0,N($AG416)=0),IF(AND(ISNUMBER($H416),$H416&gt;0,IF($C416="売",$H416&gt;=$N416,$H416&lt;=$N416)),"損切確定",IF(AND(ISNUMBER($H416),$H416&gt;0,IF($C416="売",$H416&lt;=$M416,$H416&gt;=$M416)),"利益確定",IF($AE416&lt;=TODAY(),"日数制限","保有中"))),IF(N($AG416)=0,"利益確定",IF(N($AF416)=0,"損切確定",IF($AG416&lt;=$AF416,"損切確定","利益確定")))))</f>
        <v/>
      </c>
      <c r="AI416" s="600" t="str" cm="1">
        <f t="array" ref="AI416">IFERROR(INDEX(始値!$E$6:$BT$305,MATCH(TEXT($B416,"0"),TEXT(銘柄管理!$B$6:$B$305,"0"),0),MATCH($AE416,始値!$E$3:$BT$3,0)),"")</f>
        <v/>
      </c>
      <c r="AJ416" s="608" t="str">
        <f>IF(OR($V416="",$F416="",$G416=""),"",$V416/($F416*$G416))</f>
        <v/>
      </c>
      <c r="AK416" s="600" t="str">
        <f>IF($V416="","",IF($V416&gt;0,"○勝",IF($V416&lt;0,"●負","△引分")))</f>
        <v/>
      </c>
    </row>
    <row r="417" spans="1:37" ht="17.25" customHeight="1">
      <c r="A417" s="622" t="str">
        <f>IF(B417="","",HYPERLINK("https://kabutan.jp/stock/?code="&amp;B417,"株探"))</f>
        <v/>
      </c>
      <c r="D417" s="440" t="str" cm="1">
        <f t="array" ref="D417">_xll.RssMarket(B417, "銘柄名称")</f>
        <v/>
      </c>
      <c r="E417" s="717"/>
      <c r="F417" s="6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IF(OR(F417="",G417="",H417=""),"",IF(C417="売",(F417-H417)*G417,(H417-F417)*G417))</f>
        <v/>
      </c>
      <c r="L417" s="709" t="str">
        <f>IF(OR(F417="",H417=""),"",IF(C417="売",(F417-H417)/F417,(H417-F417)/F417))</f>
        <v/>
      </c>
      <c r="M417" s="599" t="str">
        <f>IF($F417="","",IF($C417="売",CEILING($F417*IF($C417="売",1-$AX$3,1+$AX$3),IF($F417*IF($C417="売",1-$AX$3,1+$AX$3)&lt;=3000,1,IF($F417*IF($C417="売",1-$AX$3,1+$AX$3)&lt;=5000,5,IF($F417*IF($C417="売",1-$AX$3,1+$AX$3)&lt;=30000,10,IF($F417*IF($C417="売",1-$AX$3,1+$AX$3)&lt;=50000,50,IF($F417*IF($C417="売",1-$AX$3,1+$AX$3)&lt;=300000,100,500)))))),FLOOR($F417*IF($C417="売",1-$AX$3,1+$AX$3),IF($F417*IF($C417="売",1-$AX$3,1+$AX$3)&lt;=3000,1,IF($F417*IF($C417="売",1-$AX$3,1+$AX$3)&lt;=5000,5,IF($F417*IF($C417="売",1-$AX$3,1+$AX$3)&lt;=30000,10,IF($F417*IF($C417="売",1-$AX$3,1+$AX$3)&lt;=50000,50,IF($F417*IF($C417="売",1-$AX$3,1+$AX$3)&lt;=300000,100,500))))))))</f>
      </c>
      <c r="N417" s="599" t="str">
        <f>IF($F417="","",IF($C417="売",CEILING($F417*IF($C417="売",1+$AX$2,1-$AX$2),IF($F417*IF($C417="売",1+$AX$2,1-$AX$2)&lt;=3000,1,IF($F417*IF($C417="売",1+$AX$2,1-$AX$2)&lt;=5000,5,IF($F417*IF($C417="売",1+$AX$2,1-$AX$2)&lt;=30000,10,IF($F417*IF($C417="売",1+$AX$2,1-$AX$2)&lt;=50000,50,IF($F417*IF($C417="売",1+$AX$2,1-$AX$2)&lt;=300000,100,500)))))),FLOOR($F417*IF($C417="売",1+$AX$2,1-$AX$2),IF($F417*IF($C417="売",1+$AX$2,1-$AX$2)&lt;=3000,1,IF($F417*IF($C417="売",1+$AX$2,1-$AX$2)&lt;=5000,5,IF($F417*IF($C417="売",1+$AX$2,1-$AX$2)&lt;=30000,10,IF($F417*IF($C417="売",1+$AX$2,1-$AX$2)&lt;=50000,50,IF($F417*IF($C417="売",1+$AX$2,1-$AX$2)&lt;=300000,100,500))))))))</f>
      </c>
      <c r="O417" s="478" t="str">
        <f>IF(OR($B417="",$F417="",$H417=""),"",IF($S417="✅売却済","―決済済―",IF($C417="売",IF($H417&lt;=$M417,"🟢利確",IF(AND($R417&lt;&gt;"",$H417&gt;=$R417),"🟠TRAIL決済",IF($H417&gt;=$N417,"🔴損切",IF($W417&gt;=$AX$5,"⏱時間決済",IF($H417&gt;=$F417*(1+$AX$2*0.7),"⚠️損切接近","保持継続"))))),IF($H417&gt;=$M417,"🟢利確",IF(AND($R417&lt;&gt;"",$H417&lt;=$R417),"🟠TRAIL決済",IF($H417&lt;=$N417,"🔴損切",IF($W417&gt;=$AX$5,"⏱時間決済",IF($H417&lt;=$F417*(1-$AX$2*0.7),"⚠️損切接近","保持継続")))))))</f>
      </c>
      <c r="P417" s="445"/>
      <c r="R417" s="440" t="str">
        <f>IF(OR($F417="",$H417="",$N417=""),"",IF($S417="✅売却済","",IF($C417="売",IF($H417&gt;$F417*(1-$AX$2),$N417,CEILING(MIN($N417,IF($Q417="",$N417,$Q417*1.03)),IF($N417&lt;=3000,1,IF($N417&lt;=5000,5,IF($N417&lt;=30000,10,IF($N417&lt;=50000,50,IF($N417&lt;=300000,100,500))))))),IF($H417&lt;$F417*(1+$AX$2),$N417,FLOOR(MAX($N417,IF($P417="",$N417,$P417*0.97)),IF($N417&lt;=3000,1,IF($N417&lt;=5000,5,IF($N417&lt;=30000,10,IF($N417&lt;=50000,50,IF($N417&lt;=300000,100,500))))))))))</f>
      </c>
      <c r="S417" s="440" t="str">
        <f>IF(B417="","",IF(T417&lt;&gt;"","✅売却済",IF(OR(H417="",L417=""),"📌保有中",IF(L417&gt;=0.06,"🟢利確推奨",IF(L417&gt;=0.05,"🟡利確直近",IF(L417&gt;=0.045,"🔵トレーリング検討",IF(L417&gt;-0.03,"📌保有中",IF(L417&gt;-0.04,"⚠️損切注意","🔴損切り"))))))))</f>
        <v/>
      </c>
      <c r="T417" s="597"/>
      <c r="U417" s="599"/>
      <c r="V417" s="704" t="str">
        <f>IF(OR(F417="",G417="",U417=""),"",IF(C417="売",(F417-U417)*G417,(U417-F417)*G417))</f>
        <v/>
      </c>
      <c r="W417" s="440" t="str">
        <f>IF(OR($E417="",$B417=""),"",IF($T417&lt;&gt;"",$T417-$E417,TODAY()-$E417)+1)</f>
        <v/>
      </c>
      <c r="X417" s="440" t="str">
        <f>IF(OR($AH417="",$AH417="保有中"),"",$AH417)</f>
        <v/>
      </c>
      <c r="Y417">
        <f>IF($B417="","",IF(COUNTIFS($B$4:$B417,$B417,$C$4:$C417,$C417)&gt;1,"⛔重複"&amp;COUNTIFS($B$4:$B417,$B417,$C$4:$C417,$C417)&amp;"回目",""))</f>
      </c>
      <c r="AB417">
        <f>IF($F417="","",MAX(100,ROUNDDOWN($AX$4/($F417*$AX$2)/100,0)*100))</f>
      </c>
      <c r="AC417">
        <f>IF(OR($F417="",$G417="",$U417=""),"",ROUND($V417-($F417+$U417)*$G417*$AX$6-IF($C417="売",$F417*$G417*$AX$7*$W417/365,0),0))</f>
      </c>
      <c r="AD417" s="608"/>
      <c r="AE417" s="600" t="str">
        <f>IF($E417="","",WORKDAY($E417,12))</f>
        <v/>
      </c>
      <c r="AF417" s="600"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0"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0" t="str">
        <f>IF(OR($B417="",$M417=""),"",IF(AND(N($AF417)=0,N($AG417)=0),IF(AND(ISNUMBER($H417),$H417&gt;0,IF($C417="売",$H417&gt;=$N417,$H417&lt;=$N417)),"損切確定",IF(AND(ISNUMBER($H417),$H417&gt;0,IF($C417="売",$H417&lt;=$M417,$H417&gt;=$M417)),"利益確定",IF($AE417&lt;=TODAY(),"日数制限","保有中"))),IF(N($AG417)=0,"利益確定",IF(N($AF417)=0,"損切確定",IF($AG417&lt;=$AF417,"損切確定","利益確定")))))</f>
        <v/>
      </c>
      <c r="AI417" s="600" t="str" cm="1">
        <f t="array" ref="AI417">IFERROR(INDEX(始値!$E$6:$BT$305,MATCH(TEXT($B417,"0"),TEXT(銘柄管理!$B$6:$B$305,"0"),0),MATCH($AE417,始値!$E$3:$BT$3,0)),"")</f>
        <v/>
      </c>
      <c r="AJ417" s="608" t="str">
        <f>IF(OR($V417="",$F417="",$G417=""),"",$V417/($F417*$G417))</f>
        <v/>
      </c>
      <c r="AK417" s="600" t="str">
        <f>IF($V417="","",IF($V417&gt;0,"○勝",IF($V417&lt;0,"●負","△引分")))</f>
        <v/>
      </c>
    </row>
    <row r="418" spans="1:37" ht="17.25" customHeight="1">
      <c r="A418" s="622" t="str">
        <f>IF(B418="","",HYPERLINK("https://kabutan.jp/stock/?code="&amp;B418,"株探"))</f>
        <v/>
      </c>
      <c r="D418" s="440" t="str" cm="1">
        <f t="array" ref="D418">_xll.RssMarket(B418, "銘柄名称")</f>
        <v/>
      </c>
      <c r="E418" s="717"/>
      <c r="F418" s="6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IF(OR(F418="",G418="",H418=""),"",IF(C418="売",(F418-H418)*G418,(H418-F418)*G418))</f>
        <v/>
      </c>
      <c r="L418" s="709" t="str">
        <f>IF(OR(F418="",H418=""),"",IF(C418="売",(F418-H418)/F418,(H418-F418)/F418))</f>
        <v/>
      </c>
      <c r="M418" s="599" t="str">
        <f>IF($F418="","",IF($C418="売",CEILING($F418*IF($C418="売",1-$AX$3,1+$AX$3),IF($F418*IF($C418="売",1-$AX$3,1+$AX$3)&lt;=3000,1,IF($F418*IF($C418="売",1-$AX$3,1+$AX$3)&lt;=5000,5,IF($F418*IF($C418="売",1-$AX$3,1+$AX$3)&lt;=30000,10,IF($F418*IF($C418="売",1-$AX$3,1+$AX$3)&lt;=50000,50,IF($F418*IF($C418="売",1-$AX$3,1+$AX$3)&lt;=300000,100,500)))))),FLOOR($F418*IF($C418="売",1-$AX$3,1+$AX$3),IF($F418*IF($C418="売",1-$AX$3,1+$AX$3)&lt;=3000,1,IF($F418*IF($C418="売",1-$AX$3,1+$AX$3)&lt;=5000,5,IF($F418*IF($C418="売",1-$AX$3,1+$AX$3)&lt;=30000,10,IF($F418*IF($C418="売",1-$AX$3,1+$AX$3)&lt;=50000,50,IF($F418*IF($C418="売",1-$AX$3,1+$AX$3)&lt;=300000,100,500))))))))</f>
      </c>
      <c r="N418" s="599" t="str">
        <f>IF($F418="","",IF($C418="売",CEILING($F418*IF($C418="売",1+$AX$2,1-$AX$2),IF($F418*IF($C418="売",1+$AX$2,1-$AX$2)&lt;=3000,1,IF($F418*IF($C418="売",1+$AX$2,1-$AX$2)&lt;=5000,5,IF($F418*IF($C418="売",1+$AX$2,1-$AX$2)&lt;=30000,10,IF($F418*IF($C418="売",1+$AX$2,1-$AX$2)&lt;=50000,50,IF($F418*IF($C418="売",1+$AX$2,1-$AX$2)&lt;=300000,100,500)))))),FLOOR($F418*IF($C418="売",1+$AX$2,1-$AX$2),IF($F418*IF($C418="売",1+$AX$2,1-$AX$2)&lt;=3000,1,IF($F418*IF($C418="売",1+$AX$2,1-$AX$2)&lt;=5000,5,IF($F418*IF($C418="売",1+$AX$2,1-$AX$2)&lt;=30000,10,IF($F418*IF($C418="売",1+$AX$2,1-$AX$2)&lt;=50000,50,IF($F418*IF($C418="売",1+$AX$2,1-$AX$2)&lt;=300000,100,500))))))))</f>
      </c>
      <c r="O418" s="478" t="str">
        <f>IF(OR($B418="",$F418="",$H418=""),"",IF($S418="✅売却済","―決済済―",IF($C418="売",IF($H418&lt;=$M418,"🟢利確",IF(AND($R418&lt;&gt;"",$H418&gt;=$R418),"🟠TRAIL決済",IF($H418&gt;=$N418,"🔴損切",IF($W418&gt;=$AX$5,"⏱時間決済",IF($H418&gt;=$F418*(1+$AX$2*0.7),"⚠️損切接近","保持継続"))))),IF($H418&gt;=$M418,"🟢利確",IF(AND($R418&lt;&gt;"",$H418&lt;=$R418),"🟠TRAIL決済",IF($H418&lt;=$N418,"🔴損切",IF($W418&gt;=$AX$5,"⏱時間決済",IF($H418&lt;=$F418*(1-$AX$2*0.7),"⚠️損切接近","保持継続")))))))</f>
      </c>
      <c r="P418" s="445"/>
      <c r="R418" s="440" t="str">
        <f>IF(OR($F418="",$H418="",$N418=""),"",IF($S418="✅売却済","",IF($C418="売",IF($H418&gt;$F418*(1-$AX$2),$N418,CEILING(MIN($N418,IF($Q418="",$N418,$Q418*1.03)),IF($N418&lt;=3000,1,IF($N418&lt;=5000,5,IF($N418&lt;=30000,10,IF($N418&lt;=50000,50,IF($N418&lt;=300000,100,500))))))),IF($H418&lt;$F418*(1+$AX$2),$N418,FLOOR(MAX($N418,IF($P418="",$N418,$P418*0.97)),IF($N418&lt;=3000,1,IF($N418&lt;=5000,5,IF($N418&lt;=30000,10,IF($N418&lt;=50000,50,IF($N418&lt;=300000,100,500))))))))))</f>
      </c>
      <c r="S418" s="440" t="str">
        <f>IF(B418="","",IF(T418&lt;&gt;"","✅売却済",IF(OR(H418="",L418=""),"📌保有中",IF(L418&gt;=0.06,"🟢利確推奨",IF(L418&gt;=0.05,"🟡利確直近",IF(L418&gt;=0.045,"🔵トレーリング検討",IF(L418&gt;-0.03,"📌保有中",IF(L418&gt;-0.04,"⚠️損切注意","🔴損切り"))))))))</f>
        <v/>
      </c>
      <c r="T418" s="597"/>
      <c r="U418" s="599"/>
      <c r="V418" s="704" t="str">
        <f>IF(OR(F418="",G418="",U418=""),"",IF(C418="売",(F418-U418)*G418,(U418-F418)*G418))</f>
        <v/>
      </c>
      <c r="W418" s="440" t="str">
        <f>IF(OR($E418="",$B418=""),"",IF($T418&lt;&gt;"",$T418-$E418,TODAY()-$E418)+1)</f>
        <v/>
      </c>
      <c r="X418" s="440" t="str">
        <f>IF(OR($AH418="",$AH418="保有中"),"",$AH418)</f>
        <v/>
      </c>
      <c r="Y418">
        <f>IF($B418="","",IF(COUNTIFS($B$4:$B418,$B418,$C$4:$C418,$C418)&gt;1,"⛔重複"&amp;COUNTIFS($B$4:$B418,$B418,$C$4:$C418,$C418)&amp;"回目",""))</f>
      </c>
      <c r="AB418">
        <f>IF($F418="","",MAX(100,ROUNDDOWN($AX$4/($F418*$AX$2)/100,0)*100))</f>
      </c>
      <c r="AC418">
        <f>IF(OR($F418="",$G418="",$U418=""),"",ROUND($V418-($F418+$U418)*$G418*$AX$6-IF($C418="売",$F418*$G418*$AX$7*$W418/365,0),0))</f>
      </c>
      <c r="AD418" s="608"/>
      <c r="AE418" s="600" t="str">
        <f>IF($E418="","",WORKDAY($E418,12))</f>
        <v/>
      </c>
      <c r="AF418" s="600"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0"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0" t="str">
        <f>IF(OR($B418="",$M418=""),"",IF(AND(N($AF418)=0,N($AG418)=0),IF(AND(ISNUMBER($H418),$H418&gt;0,IF($C418="売",$H418&gt;=$N418,$H418&lt;=$N418)),"損切確定",IF(AND(ISNUMBER($H418),$H418&gt;0,IF($C418="売",$H418&lt;=$M418,$H418&gt;=$M418)),"利益確定",IF($AE418&lt;=TODAY(),"日数制限","保有中"))),IF(N($AG418)=0,"利益確定",IF(N($AF418)=0,"損切確定",IF($AG418&lt;=$AF418,"損切確定","利益確定")))))</f>
        <v/>
      </c>
      <c r="AI418" s="600" t="str" cm="1">
        <f t="array" ref="AI418">IFERROR(INDEX(始値!$E$6:$BT$305,MATCH(TEXT($B418,"0"),TEXT(銘柄管理!$B$6:$B$305,"0"),0),MATCH($AE418,始値!$E$3:$BT$3,0)),"")</f>
        <v/>
      </c>
      <c r="AJ418" s="608" t="str">
        <f>IF(OR($V418="",$F418="",$G418=""),"",$V418/($F418*$G418))</f>
        <v/>
      </c>
      <c r="AK418" s="600" t="str">
        <f>IF($V418="","",IF($V418&gt;0,"○勝",IF($V418&lt;0,"●負","△引分")))</f>
        <v/>
      </c>
    </row>
    <row r="419" spans="1:37" ht="17.25" customHeight="1">
      <c r="A419" s="622" t="str">
        <f>IF(B419="","",HYPERLINK("https://kabutan.jp/stock/?code="&amp;B419,"株探"))</f>
        <v/>
      </c>
      <c r="D419" s="440" t="str" cm="1">
        <f t="array" ref="D419">_xll.RssMarket(B419, "銘柄名称")</f>
        <v/>
      </c>
      <c r="E419" s="717"/>
      <c r="F419" s="6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IF(OR(F419="",G419="",H419=""),"",IF(C419="売",(F419-H419)*G419,(H419-F419)*G419))</f>
        <v/>
      </c>
      <c r="L419" s="709" t="str">
        <f>IF(OR(F419="",H419=""),"",IF(C419="売",(F419-H419)/F419,(H419-F419)/F419))</f>
        <v/>
      </c>
      <c r="M419" s="599" t="str">
        <f>IF($F419="","",IF($C419="売",CEILING($F419*IF($C419="売",1-$AX$3,1+$AX$3),IF($F419*IF($C419="売",1-$AX$3,1+$AX$3)&lt;=3000,1,IF($F419*IF($C419="売",1-$AX$3,1+$AX$3)&lt;=5000,5,IF($F419*IF($C419="売",1-$AX$3,1+$AX$3)&lt;=30000,10,IF($F419*IF($C419="売",1-$AX$3,1+$AX$3)&lt;=50000,50,IF($F419*IF($C419="売",1-$AX$3,1+$AX$3)&lt;=300000,100,500)))))),FLOOR($F419*IF($C419="売",1-$AX$3,1+$AX$3),IF($F419*IF($C419="売",1-$AX$3,1+$AX$3)&lt;=3000,1,IF($F419*IF($C419="売",1-$AX$3,1+$AX$3)&lt;=5000,5,IF($F419*IF($C419="売",1-$AX$3,1+$AX$3)&lt;=30000,10,IF($F419*IF($C419="売",1-$AX$3,1+$AX$3)&lt;=50000,50,IF($F419*IF($C419="売",1-$AX$3,1+$AX$3)&lt;=300000,100,500))))))))</f>
      </c>
      <c r="N419" s="599" t="str">
        <f>IF($F419="","",IF($C419="売",CEILING($F419*IF($C419="売",1+$AX$2,1-$AX$2),IF($F419*IF($C419="売",1+$AX$2,1-$AX$2)&lt;=3000,1,IF($F419*IF($C419="売",1+$AX$2,1-$AX$2)&lt;=5000,5,IF($F419*IF($C419="売",1+$AX$2,1-$AX$2)&lt;=30000,10,IF($F419*IF($C419="売",1+$AX$2,1-$AX$2)&lt;=50000,50,IF($F419*IF($C419="売",1+$AX$2,1-$AX$2)&lt;=300000,100,500)))))),FLOOR($F419*IF($C419="売",1+$AX$2,1-$AX$2),IF($F419*IF($C419="売",1+$AX$2,1-$AX$2)&lt;=3000,1,IF($F419*IF($C419="売",1+$AX$2,1-$AX$2)&lt;=5000,5,IF($F419*IF($C419="売",1+$AX$2,1-$AX$2)&lt;=30000,10,IF($F419*IF($C419="売",1+$AX$2,1-$AX$2)&lt;=50000,50,IF($F419*IF($C419="売",1+$AX$2,1-$AX$2)&lt;=300000,100,500))))))))</f>
      </c>
      <c r="O419" s="478" t="str">
        <f>IF(OR($B419="",$F419="",$H419=""),"",IF($S419="✅売却済","―決済済―",IF($C419="売",IF($H419&lt;=$M419,"🟢利確",IF(AND($R419&lt;&gt;"",$H419&gt;=$R419),"🟠TRAIL決済",IF($H419&gt;=$N419,"🔴損切",IF($W419&gt;=$AX$5,"⏱時間決済",IF($H419&gt;=$F419*(1+$AX$2*0.7),"⚠️損切接近","保持継続"))))),IF($H419&gt;=$M419,"🟢利確",IF(AND($R419&lt;&gt;"",$H419&lt;=$R419),"🟠TRAIL決済",IF($H419&lt;=$N419,"🔴損切",IF($W419&gt;=$AX$5,"⏱時間決済",IF($H419&lt;=$F419*(1-$AX$2*0.7),"⚠️損切接近","保持継続")))))))</f>
      </c>
      <c r="P419" s="445"/>
      <c r="R419" s="440" t="str">
        <f>IF(OR($F419="",$H419="",$N419=""),"",IF($S419="✅売却済","",IF($C419="売",IF($H419&gt;$F419*(1-$AX$2),$N419,CEILING(MIN($N419,IF($Q419="",$N419,$Q419*1.03)),IF($N419&lt;=3000,1,IF($N419&lt;=5000,5,IF($N419&lt;=30000,10,IF($N419&lt;=50000,50,IF($N419&lt;=300000,100,500))))))),IF($H419&lt;$F419*(1+$AX$2),$N419,FLOOR(MAX($N419,IF($P419="",$N419,$P419*0.97)),IF($N419&lt;=3000,1,IF($N419&lt;=5000,5,IF($N419&lt;=30000,10,IF($N419&lt;=50000,50,IF($N419&lt;=300000,100,500))))))))))</f>
      </c>
      <c r="S419" s="440" t="str">
        <f>IF(B419="","",IF(T419&lt;&gt;"","✅売却済",IF(OR(H419="",L419=""),"📌保有中",IF(L419&gt;=0.06,"🟢利確推奨",IF(L419&gt;=0.05,"🟡利確直近",IF(L419&gt;=0.045,"🔵トレーリング検討",IF(L419&gt;-0.03,"📌保有中",IF(L419&gt;-0.04,"⚠️損切注意","🔴損切り"))))))))</f>
        <v/>
      </c>
      <c r="T419" s="597"/>
      <c r="U419" s="599"/>
      <c r="V419" s="704" t="str">
        <f>IF(OR(F419="",G419="",U419=""),"",IF(C419="売",(F419-U419)*G419,(U419-F419)*G419))</f>
        <v/>
      </c>
      <c r="W419" s="440" t="str">
        <f>IF(OR($E419="",$B419=""),"",IF($T419&lt;&gt;"",$T419-$E419,TODAY()-$E419)+1)</f>
        <v/>
      </c>
      <c r="X419" s="440" t="str">
        <f>IF(OR($AH419="",$AH419="保有中"),"",$AH419)</f>
        <v/>
      </c>
      <c r="Y419">
        <f>IF($B419="","",IF(COUNTIFS($B$4:$B419,$B419,$C$4:$C419,$C419)&gt;1,"⛔重複"&amp;COUNTIFS($B$4:$B419,$B419,$C$4:$C419,$C419)&amp;"回目",""))</f>
      </c>
      <c r="AB419">
        <f>IF($F419="","",MAX(100,ROUNDDOWN($AX$4/($F419*$AX$2)/100,0)*100))</f>
      </c>
      <c r="AC419">
        <f>IF(OR($F419="",$G419="",$U419=""),"",ROUND($V419-($F419+$U419)*$G419*$AX$6-IF($C419="売",$F419*$G419*$AX$7*$W419/365,0),0))</f>
      </c>
      <c r="AD419" s="608"/>
      <c r="AE419" s="600" t="str">
        <f>IF($E419="","",WORKDAY($E419,12))</f>
        <v/>
      </c>
      <c r="AF419" s="600"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0"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0" t="str">
        <f>IF(OR($B419="",$M419=""),"",IF(AND(N($AF419)=0,N($AG419)=0),IF(AND(ISNUMBER($H419),$H419&gt;0,IF($C419="売",$H419&gt;=$N419,$H419&lt;=$N419)),"損切確定",IF(AND(ISNUMBER($H419),$H419&gt;0,IF($C419="売",$H419&lt;=$M419,$H419&gt;=$M419)),"利益確定",IF($AE419&lt;=TODAY(),"日数制限","保有中"))),IF(N($AG419)=0,"利益確定",IF(N($AF419)=0,"損切確定",IF($AG419&lt;=$AF419,"損切確定","利益確定")))))</f>
        <v/>
      </c>
      <c r="AI419" s="600" t="str" cm="1">
        <f t="array" ref="AI419">IFERROR(INDEX(始値!$E$6:$BT$305,MATCH(TEXT($B419,"0"),TEXT(銘柄管理!$B$6:$B$305,"0"),0),MATCH($AE419,始値!$E$3:$BT$3,0)),"")</f>
        <v/>
      </c>
      <c r="AJ419" s="608" t="str">
        <f>IF(OR($V419="",$F419="",$G419=""),"",$V419/($F419*$G419))</f>
        <v/>
      </c>
      <c r="AK419" s="600" t="str">
        <f>IF($V419="","",IF($V419&gt;0,"○勝",IF($V419&lt;0,"●負","△引分")))</f>
        <v/>
      </c>
    </row>
    <row r="420" spans="1:37" ht="17.25" customHeight="1">
      <c r="A420" s="622" t="str">
        <f>IF(B420="","",HYPERLINK("https://kabutan.jp/stock/?code="&amp;B420,"株探"))</f>
        <v/>
      </c>
      <c r="D420" s="440" t="str" cm="1">
        <f t="array" ref="D420">_xll.RssMarket(B420, "銘柄名称")</f>
        <v/>
      </c>
      <c r="E420" s="717"/>
      <c r="F420" s="6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IF(OR(F420="",G420="",H420=""),"",IF(C420="売",(F420-H420)*G420,(H420-F420)*G420))</f>
        <v/>
      </c>
      <c r="L420" s="709" t="str">
        <f>IF(OR(F420="",H420=""),"",IF(C420="売",(F420-H420)/F420,(H420-F420)/F420))</f>
        <v/>
      </c>
      <c r="M420" s="599" t="str">
        <f>IF($F420="","",IF($C420="売",CEILING($F420*IF($C420="売",1-$AX$3,1+$AX$3),IF($F420*IF($C420="売",1-$AX$3,1+$AX$3)&lt;=3000,1,IF($F420*IF($C420="売",1-$AX$3,1+$AX$3)&lt;=5000,5,IF($F420*IF($C420="売",1-$AX$3,1+$AX$3)&lt;=30000,10,IF($F420*IF($C420="売",1-$AX$3,1+$AX$3)&lt;=50000,50,IF($F420*IF($C420="売",1-$AX$3,1+$AX$3)&lt;=300000,100,500)))))),FLOOR($F420*IF($C420="売",1-$AX$3,1+$AX$3),IF($F420*IF($C420="売",1-$AX$3,1+$AX$3)&lt;=3000,1,IF($F420*IF($C420="売",1-$AX$3,1+$AX$3)&lt;=5000,5,IF($F420*IF($C420="売",1-$AX$3,1+$AX$3)&lt;=30000,10,IF($F420*IF($C420="売",1-$AX$3,1+$AX$3)&lt;=50000,50,IF($F420*IF($C420="売",1-$AX$3,1+$AX$3)&lt;=300000,100,500))))))))</f>
      </c>
      <c r="N420" s="599" t="str">
        <f>IF($F420="","",IF($C420="売",CEILING($F420*IF($C420="売",1+$AX$2,1-$AX$2),IF($F420*IF($C420="売",1+$AX$2,1-$AX$2)&lt;=3000,1,IF($F420*IF($C420="売",1+$AX$2,1-$AX$2)&lt;=5000,5,IF($F420*IF($C420="売",1+$AX$2,1-$AX$2)&lt;=30000,10,IF($F420*IF($C420="売",1+$AX$2,1-$AX$2)&lt;=50000,50,IF($F420*IF($C420="売",1+$AX$2,1-$AX$2)&lt;=300000,100,500)))))),FLOOR($F420*IF($C420="売",1+$AX$2,1-$AX$2),IF($F420*IF($C420="売",1+$AX$2,1-$AX$2)&lt;=3000,1,IF($F420*IF($C420="売",1+$AX$2,1-$AX$2)&lt;=5000,5,IF($F420*IF($C420="売",1+$AX$2,1-$AX$2)&lt;=30000,10,IF($F420*IF($C420="売",1+$AX$2,1-$AX$2)&lt;=50000,50,IF($F420*IF($C420="売",1+$AX$2,1-$AX$2)&lt;=300000,100,500))))))))</f>
      </c>
      <c r="O420" s="478" t="str">
        <f>IF(OR($B420="",$F420="",$H420=""),"",IF($S420="✅売却済","―決済済―",IF($C420="売",IF($H420&lt;=$M420,"🟢利確",IF(AND($R420&lt;&gt;"",$H420&gt;=$R420),"🟠TRAIL決済",IF($H420&gt;=$N420,"🔴損切",IF($W420&gt;=$AX$5,"⏱時間決済",IF($H420&gt;=$F420*(1+$AX$2*0.7),"⚠️損切接近","保持継続"))))),IF($H420&gt;=$M420,"🟢利確",IF(AND($R420&lt;&gt;"",$H420&lt;=$R420),"🟠TRAIL決済",IF($H420&lt;=$N420,"🔴損切",IF($W420&gt;=$AX$5,"⏱時間決済",IF($H420&lt;=$F420*(1-$AX$2*0.7),"⚠️損切接近","保持継続")))))))</f>
      </c>
      <c r="P420" s="445"/>
      <c r="R420" s="440" t="str">
        <f>IF(OR($F420="",$H420="",$N420=""),"",IF($S420="✅売却済","",IF($C420="売",IF($H420&gt;$F420*(1-$AX$2),$N420,CEILING(MIN($N420,IF($Q420="",$N420,$Q420*1.03)),IF($N420&lt;=3000,1,IF($N420&lt;=5000,5,IF($N420&lt;=30000,10,IF($N420&lt;=50000,50,IF($N420&lt;=300000,100,500))))))),IF($H420&lt;$F420*(1+$AX$2),$N420,FLOOR(MAX($N420,IF($P420="",$N420,$P420*0.97)),IF($N420&lt;=3000,1,IF($N420&lt;=5000,5,IF($N420&lt;=30000,10,IF($N420&lt;=50000,50,IF($N420&lt;=300000,100,500))))))))))</f>
      </c>
      <c r="S420" s="440" t="str">
        <f>IF(B420="","",IF(T420&lt;&gt;"","✅売却済",IF(OR(H420="",L420=""),"📌保有中",IF(L420&gt;=0.06,"🟢利確推奨",IF(L420&gt;=0.05,"🟡利確直近",IF(L420&gt;=0.045,"🔵トレーリング検討",IF(L420&gt;-0.03,"📌保有中",IF(L420&gt;-0.04,"⚠️損切注意","🔴損切り"))))))))</f>
        <v/>
      </c>
      <c r="T420" s="597"/>
      <c r="U420" s="599"/>
      <c r="V420" s="704" t="str">
        <f>IF(OR(F420="",G420="",U420=""),"",IF(C420="売",(F420-U420)*G420,(U420-F420)*G420))</f>
        <v/>
      </c>
      <c r="W420" s="440" t="str">
        <f>IF(OR($E420="",$B420=""),"",IF($T420&lt;&gt;"",$T420-$E420,TODAY()-$E420)+1)</f>
        <v/>
      </c>
      <c r="X420" s="440" t="str">
        <f>IF(OR($AH420="",$AH420="保有中"),"",$AH420)</f>
        <v/>
      </c>
      <c r="Y420">
        <f>IF($B420="","",IF(COUNTIFS($B$4:$B420,$B420,$C$4:$C420,$C420)&gt;1,"⛔重複"&amp;COUNTIFS($B$4:$B420,$B420,$C$4:$C420,$C420)&amp;"回目",""))</f>
      </c>
      <c r="AB420">
        <f>IF($F420="","",MAX(100,ROUNDDOWN($AX$4/($F420*$AX$2)/100,0)*100))</f>
      </c>
      <c r="AC420">
        <f>IF(OR($F420="",$G420="",$U420=""),"",ROUND($V420-($F420+$U420)*$G420*$AX$6-IF($C420="売",$F420*$G420*$AX$7*$W420/365,0),0))</f>
      </c>
      <c r="AD420" s="608"/>
      <c r="AE420" s="600" t="str">
        <f>IF($E420="","",WORKDAY($E420,12))</f>
        <v/>
      </c>
      <c r="AF420" s="600"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0"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0" t="str">
        <f>IF(OR($B420="",$M420=""),"",IF(AND(N($AF420)=0,N($AG420)=0),IF(AND(ISNUMBER($H420),$H420&gt;0,IF($C420="売",$H420&gt;=$N420,$H420&lt;=$N420)),"損切確定",IF(AND(ISNUMBER($H420),$H420&gt;0,IF($C420="売",$H420&lt;=$M420,$H420&gt;=$M420)),"利益確定",IF($AE420&lt;=TODAY(),"日数制限","保有中"))),IF(N($AG420)=0,"利益確定",IF(N($AF420)=0,"損切確定",IF($AG420&lt;=$AF420,"損切確定","利益確定")))))</f>
        <v/>
      </c>
      <c r="AI420" s="600" t="str" cm="1">
        <f t="array" ref="AI420">IFERROR(INDEX(始値!$E$6:$BT$305,MATCH(TEXT($B420,"0"),TEXT(銘柄管理!$B$6:$B$305,"0"),0),MATCH($AE420,始値!$E$3:$BT$3,0)),"")</f>
        <v/>
      </c>
      <c r="AJ420" s="608" t="str">
        <f>IF(OR($V420="",$F420="",$G420=""),"",$V420/($F420*$G420))</f>
        <v/>
      </c>
      <c r="AK420" s="600" t="str">
        <f>IF($V420="","",IF($V420&gt;0,"○勝",IF($V420&lt;0,"●負","△引分")))</f>
        <v/>
      </c>
    </row>
    <row r="421" spans="1:37" ht="17.25" customHeight="1">
      <c r="A421" s="622" t="str">
        <f>IF(B421="","",HYPERLINK("https://kabutan.jp/stock/?code="&amp;B421,"株探"))</f>
        <v/>
      </c>
      <c r="D421" s="440" t="str" cm="1">
        <f t="array" ref="D421">_xll.RssMarket(B421, "銘柄名称")</f>
        <v/>
      </c>
      <c r="E421" s="717"/>
      <c r="F421" s="6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IF(OR(F421="",G421="",H421=""),"",IF(C421="売",(F421-H421)*G421,(H421-F421)*G421))</f>
        <v/>
      </c>
      <c r="L421" s="709" t="str">
        <f>IF(OR(F421="",H421=""),"",IF(C421="売",(F421-H421)/F421,(H421-F421)/F421))</f>
        <v/>
      </c>
      <c r="M421" s="599" t="str">
        <f>IF($F421="","",IF($C421="売",CEILING($F421*IF($C421="売",1-$AX$3,1+$AX$3),IF($F421*IF($C421="売",1-$AX$3,1+$AX$3)&lt;=3000,1,IF($F421*IF($C421="売",1-$AX$3,1+$AX$3)&lt;=5000,5,IF($F421*IF($C421="売",1-$AX$3,1+$AX$3)&lt;=30000,10,IF($F421*IF($C421="売",1-$AX$3,1+$AX$3)&lt;=50000,50,IF($F421*IF($C421="売",1-$AX$3,1+$AX$3)&lt;=300000,100,500)))))),FLOOR($F421*IF($C421="売",1-$AX$3,1+$AX$3),IF($F421*IF($C421="売",1-$AX$3,1+$AX$3)&lt;=3000,1,IF($F421*IF($C421="売",1-$AX$3,1+$AX$3)&lt;=5000,5,IF($F421*IF($C421="売",1-$AX$3,1+$AX$3)&lt;=30000,10,IF($F421*IF($C421="売",1-$AX$3,1+$AX$3)&lt;=50000,50,IF($F421*IF($C421="売",1-$AX$3,1+$AX$3)&lt;=300000,100,500))))))))</f>
      </c>
      <c r="N421" s="599" t="str">
        <f>IF($F421="","",IF($C421="売",CEILING($F421*IF($C421="売",1+$AX$2,1-$AX$2),IF($F421*IF($C421="売",1+$AX$2,1-$AX$2)&lt;=3000,1,IF($F421*IF($C421="売",1+$AX$2,1-$AX$2)&lt;=5000,5,IF($F421*IF($C421="売",1+$AX$2,1-$AX$2)&lt;=30000,10,IF($F421*IF($C421="売",1+$AX$2,1-$AX$2)&lt;=50000,50,IF($F421*IF($C421="売",1+$AX$2,1-$AX$2)&lt;=300000,100,500)))))),FLOOR($F421*IF($C421="売",1+$AX$2,1-$AX$2),IF($F421*IF($C421="売",1+$AX$2,1-$AX$2)&lt;=3000,1,IF($F421*IF($C421="売",1+$AX$2,1-$AX$2)&lt;=5000,5,IF($F421*IF($C421="売",1+$AX$2,1-$AX$2)&lt;=30000,10,IF($F421*IF($C421="売",1+$AX$2,1-$AX$2)&lt;=50000,50,IF($F421*IF($C421="売",1+$AX$2,1-$AX$2)&lt;=300000,100,500))))))))</f>
      </c>
      <c r="O421" s="478" t="str">
        <f>IF(OR($B421="",$F421="",$H421=""),"",IF($S421="✅売却済","―決済済―",IF($C421="売",IF($H421&lt;=$M421,"🟢利確",IF(AND($R421&lt;&gt;"",$H421&gt;=$R421),"🟠TRAIL決済",IF($H421&gt;=$N421,"🔴損切",IF($W421&gt;=$AX$5,"⏱時間決済",IF($H421&gt;=$F421*(1+$AX$2*0.7),"⚠️損切接近","保持継続"))))),IF($H421&gt;=$M421,"🟢利確",IF(AND($R421&lt;&gt;"",$H421&lt;=$R421),"🟠TRAIL決済",IF($H421&lt;=$N421,"🔴損切",IF($W421&gt;=$AX$5,"⏱時間決済",IF($H421&lt;=$F421*(1-$AX$2*0.7),"⚠️損切接近","保持継続")))))))</f>
      </c>
      <c r="P421" s="445"/>
      <c r="R421" s="440" t="str">
        <f>IF(OR($F421="",$H421="",$N421=""),"",IF($S421="✅売却済","",IF($C421="売",IF($H421&gt;$F421*(1-$AX$2),$N421,CEILING(MIN($N421,IF($Q421="",$N421,$Q421*1.03)),IF($N421&lt;=3000,1,IF($N421&lt;=5000,5,IF($N421&lt;=30000,10,IF($N421&lt;=50000,50,IF($N421&lt;=300000,100,500))))))),IF($H421&lt;$F421*(1+$AX$2),$N421,FLOOR(MAX($N421,IF($P421="",$N421,$P421*0.97)),IF($N421&lt;=3000,1,IF($N421&lt;=5000,5,IF($N421&lt;=30000,10,IF($N421&lt;=50000,50,IF($N421&lt;=300000,100,500))))))))))</f>
      </c>
      <c r="S421" s="440" t="str">
        <f>IF(B421="","",IF(T421&lt;&gt;"","✅売却済",IF(OR(H421="",L421=""),"📌保有中",IF(L421&gt;=0.06,"🟢利確推奨",IF(L421&gt;=0.05,"🟡利確直近",IF(L421&gt;=0.045,"🔵トレーリング検討",IF(L421&gt;-0.03,"📌保有中",IF(L421&gt;-0.04,"⚠️損切注意","🔴損切り"))))))))</f>
        <v/>
      </c>
      <c r="T421" s="597"/>
      <c r="U421" s="599"/>
      <c r="V421" s="704" t="str">
        <f>IF(OR(F421="",G421="",U421=""),"",IF(C421="売",(F421-U421)*G421,(U421-F421)*G421))</f>
        <v/>
      </c>
      <c r="W421" s="440" t="str">
        <f>IF(OR($E421="",$B421=""),"",IF($T421&lt;&gt;"",$T421-$E421,TODAY()-$E421)+1)</f>
        <v/>
      </c>
      <c r="X421" s="440" t="str">
        <f>IF(OR($AH421="",$AH421="保有中"),"",$AH421)</f>
        <v/>
      </c>
      <c r="Y421">
        <f>IF($B421="","",IF(COUNTIFS($B$4:$B421,$B421,$C$4:$C421,$C421)&gt;1,"⛔重複"&amp;COUNTIFS($B$4:$B421,$B421,$C$4:$C421,$C421)&amp;"回目",""))</f>
      </c>
      <c r="AB421">
        <f>IF($F421="","",MAX(100,ROUNDDOWN($AX$4/($F421*$AX$2)/100,0)*100))</f>
      </c>
      <c r="AC421">
        <f>IF(OR($F421="",$G421="",$U421=""),"",ROUND($V421-($F421+$U421)*$G421*$AX$6-IF($C421="売",$F421*$G421*$AX$7*$W421/365,0),0))</f>
      </c>
      <c r="AD421" s="608"/>
      <c r="AE421" s="600" t="str">
        <f>IF($E421="","",WORKDAY($E421,12))</f>
        <v/>
      </c>
      <c r="AF421" s="600"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0"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0" t="str">
        <f>IF(OR($B421="",$M421=""),"",IF(AND(N($AF421)=0,N($AG421)=0),IF(AND(ISNUMBER($H421),$H421&gt;0,IF($C421="売",$H421&gt;=$N421,$H421&lt;=$N421)),"損切確定",IF(AND(ISNUMBER($H421),$H421&gt;0,IF($C421="売",$H421&lt;=$M421,$H421&gt;=$M421)),"利益確定",IF($AE421&lt;=TODAY(),"日数制限","保有中"))),IF(N($AG421)=0,"利益確定",IF(N($AF421)=0,"損切確定",IF($AG421&lt;=$AF421,"損切確定","利益確定")))))</f>
        <v/>
      </c>
      <c r="AI421" s="600" t="str" cm="1">
        <f t="array" ref="AI421">IFERROR(INDEX(始値!$E$6:$BT$305,MATCH(TEXT($B421,"0"),TEXT(銘柄管理!$B$6:$B$305,"0"),0),MATCH($AE421,始値!$E$3:$BT$3,0)),"")</f>
        <v/>
      </c>
      <c r="AJ421" s="608" t="str">
        <f>IF(OR($V421="",$F421="",$G421=""),"",$V421/($F421*$G421))</f>
        <v/>
      </c>
      <c r="AK421" s="600" t="str">
        <f>IF($V421="","",IF($V421&gt;0,"○勝",IF($V421&lt;0,"●負","△引分")))</f>
        <v/>
      </c>
    </row>
    <row r="422" spans="1:37" ht="17.25" customHeight="1">
      <c r="A422" s="622" t="str">
        <f>IF(B422="","",HYPERLINK("https://kabutan.jp/stock/?code="&amp;B422,"株探"))</f>
        <v/>
      </c>
      <c r="D422" s="440" t="str" cm="1">
        <f t="array" ref="D422">_xll.RssMarket(B422, "銘柄名称")</f>
        <v/>
      </c>
      <c r="E422" s="717"/>
      <c r="F422" s="6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IF(OR(F422="",G422="",H422=""),"",IF(C422="売",(F422-H422)*G422,(H422-F422)*G422))</f>
        <v/>
      </c>
      <c r="L422" s="709" t="str">
        <f>IF(OR(F422="",H422=""),"",IF(C422="売",(F422-H422)/F422,(H422-F422)/F422))</f>
        <v/>
      </c>
      <c r="M422" s="599" t="str">
        <f>IF($F422="","",IF($C422="売",CEILING($F422*IF($C422="売",1-$AX$3,1+$AX$3),IF($F422*IF($C422="売",1-$AX$3,1+$AX$3)&lt;=3000,1,IF($F422*IF($C422="売",1-$AX$3,1+$AX$3)&lt;=5000,5,IF($F422*IF($C422="売",1-$AX$3,1+$AX$3)&lt;=30000,10,IF($F422*IF($C422="売",1-$AX$3,1+$AX$3)&lt;=50000,50,IF($F422*IF($C422="売",1-$AX$3,1+$AX$3)&lt;=300000,100,500)))))),FLOOR($F422*IF($C422="売",1-$AX$3,1+$AX$3),IF($F422*IF($C422="売",1-$AX$3,1+$AX$3)&lt;=3000,1,IF($F422*IF($C422="売",1-$AX$3,1+$AX$3)&lt;=5000,5,IF($F422*IF($C422="売",1-$AX$3,1+$AX$3)&lt;=30000,10,IF($F422*IF($C422="売",1-$AX$3,1+$AX$3)&lt;=50000,50,IF($F422*IF($C422="売",1-$AX$3,1+$AX$3)&lt;=300000,100,500))))))))</f>
      </c>
      <c r="N422" s="599" t="str">
        <f>IF($F422="","",IF($C422="売",CEILING($F422*IF($C422="売",1+$AX$2,1-$AX$2),IF($F422*IF($C422="売",1+$AX$2,1-$AX$2)&lt;=3000,1,IF($F422*IF($C422="売",1+$AX$2,1-$AX$2)&lt;=5000,5,IF($F422*IF($C422="売",1+$AX$2,1-$AX$2)&lt;=30000,10,IF($F422*IF($C422="売",1+$AX$2,1-$AX$2)&lt;=50000,50,IF($F422*IF($C422="売",1+$AX$2,1-$AX$2)&lt;=300000,100,500)))))),FLOOR($F422*IF($C422="売",1+$AX$2,1-$AX$2),IF($F422*IF($C422="売",1+$AX$2,1-$AX$2)&lt;=3000,1,IF($F422*IF($C422="売",1+$AX$2,1-$AX$2)&lt;=5000,5,IF($F422*IF($C422="売",1+$AX$2,1-$AX$2)&lt;=30000,10,IF($F422*IF($C422="売",1+$AX$2,1-$AX$2)&lt;=50000,50,IF($F422*IF($C422="売",1+$AX$2,1-$AX$2)&lt;=300000,100,500))))))))</f>
      </c>
      <c r="O422" s="478" t="str">
        <f>IF(OR($B422="",$F422="",$H422=""),"",IF($S422="✅売却済","―決済済―",IF($C422="売",IF($H422&lt;=$M422,"🟢利確",IF(AND($R422&lt;&gt;"",$H422&gt;=$R422),"🟠TRAIL決済",IF($H422&gt;=$N422,"🔴損切",IF($W422&gt;=$AX$5,"⏱時間決済",IF($H422&gt;=$F422*(1+$AX$2*0.7),"⚠️損切接近","保持継続"))))),IF($H422&gt;=$M422,"🟢利確",IF(AND($R422&lt;&gt;"",$H422&lt;=$R422),"🟠TRAIL決済",IF($H422&lt;=$N422,"🔴損切",IF($W422&gt;=$AX$5,"⏱時間決済",IF($H422&lt;=$F422*(1-$AX$2*0.7),"⚠️損切接近","保持継続")))))))</f>
      </c>
      <c r="P422" s="445"/>
      <c r="R422" s="440" t="str">
        <f>IF(OR($F422="",$H422="",$N422=""),"",IF($S422="✅売却済","",IF($C422="売",IF($H422&gt;$F422*(1-$AX$2),$N422,CEILING(MIN($N422,IF($Q422="",$N422,$Q422*1.03)),IF($N422&lt;=3000,1,IF($N422&lt;=5000,5,IF($N422&lt;=30000,10,IF($N422&lt;=50000,50,IF($N422&lt;=300000,100,500))))))),IF($H422&lt;$F422*(1+$AX$2),$N422,FLOOR(MAX($N422,IF($P422="",$N422,$P422*0.97)),IF($N422&lt;=3000,1,IF($N422&lt;=5000,5,IF($N422&lt;=30000,10,IF($N422&lt;=50000,50,IF($N422&lt;=300000,100,500))))))))))</f>
      </c>
      <c r="S422" s="440" t="str">
        <f>IF(B422="","",IF(T422&lt;&gt;"","✅売却済",IF(OR(H422="",L422=""),"📌保有中",IF(L422&gt;=0.06,"🟢利確推奨",IF(L422&gt;=0.05,"🟡利確直近",IF(L422&gt;=0.045,"🔵トレーリング検討",IF(L422&gt;-0.03,"📌保有中",IF(L422&gt;-0.04,"⚠️損切注意","🔴損切り"))))))))</f>
        <v/>
      </c>
      <c r="T422" s="597"/>
      <c r="U422" s="599"/>
      <c r="V422" s="704" t="str">
        <f>IF(OR(F422="",G422="",U422=""),"",IF(C422="売",(F422-U422)*G422,(U422-F422)*G422))</f>
        <v/>
      </c>
      <c r="W422" s="440" t="str">
        <f>IF(OR($E422="",$B422=""),"",IF($T422&lt;&gt;"",$T422-$E422,TODAY()-$E422)+1)</f>
        <v/>
      </c>
      <c r="X422" s="440" t="str">
        <f>IF(OR($AH422="",$AH422="保有中"),"",$AH422)</f>
        <v/>
      </c>
      <c r="Y422">
        <f>IF($B422="","",IF(COUNTIFS($B$4:$B422,$B422,$C$4:$C422,$C422)&gt;1,"⛔重複"&amp;COUNTIFS($B$4:$B422,$B422,$C$4:$C422,$C422)&amp;"回目",""))</f>
      </c>
      <c r="AB422">
        <f>IF($F422="","",MAX(100,ROUNDDOWN($AX$4/($F422*$AX$2)/100,0)*100))</f>
      </c>
      <c r="AC422">
        <f>IF(OR($F422="",$G422="",$U422=""),"",ROUND($V422-($F422+$U422)*$G422*$AX$6-IF($C422="売",$F422*$G422*$AX$7*$W422/365,0),0))</f>
      </c>
      <c r="AD422" s="608"/>
      <c r="AE422" s="600" t="str">
        <f>IF($E422="","",WORKDAY($E422,12))</f>
        <v/>
      </c>
      <c r="AF422" s="600"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0"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0" t="str">
        <f>IF(OR($B422="",$M422=""),"",IF(AND(N($AF422)=0,N($AG422)=0),IF(AND(ISNUMBER($H422),$H422&gt;0,IF($C422="売",$H422&gt;=$N422,$H422&lt;=$N422)),"損切確定",IF(AND(ISNUMBER($H422),$H422&gt;0,IF($C422="売",$H422&lt;=$M422,$H422&gt;=$M422)),"利益確定",IF($AE422&lt;=TODAY(),"日数制限","保有中"))),IF(N($AG422)=0,"利益確定",IF(N($AF422)=0,"損切確定",IF($AG422&lt;=$AF422,"損切確定","利益確定")))))</f>
        <v/>
      </c>
      <c r="AI422" s="600" t="str" cm="1">
        <f t="array" ref="AI422">IFERROR(INDEX(始値!$E$6:$BT$305,MATCH(TEXT($B422,"0"),TEXT(銘柄管理!$B$6:$B$305,"0"),0),MATCH($AE422,始値!$E$3:$BT$3,0)),"")</f>
        <v/>
      </c>
      <c r="AJ422" s="608" t="str">
        <f>IF(OR($V422="",$F422="",$G422=""),"",$V422/($F422*$G422))</f>
        <v/>
      </c>
      <c r="AK422" s="600" t="str">
        <f>IF($V422="","",IF($V422&gt;0,"○勝",IF($V422&lt;0,"●負","△引分")))</f>
        <v/>
      </c>
    </row>
    <row r="423" spans="1:37" ht="17.25" customHeight="1">
      <c r="A423" s="622" t="str">
        <f>IF(B423="","",HYPERLINK("https://kabutan.jp/stock/?code="&amp;B423,"株探"))</f>
        <v/>
      </c>
      <c r="D423" s="440" t="str" cm="1">
        <f t="array" ref="D423">_xll.RssMarket(B423, "銘柄名称")</f>
        <v/>
      </c>
      <c r="E423" s="717"/>
      <c r="F423" s="6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IF(OR(F423="",G423="",H423=""),"",IF(C423="売",(F423-H423)*G423,(H423-F423)*G423))</f>
        <v/>
      </c>
      <c r="L423" s="709" t="str">
        <f>IF(OR(F423="",H423=""),"",IF(C423="売",(F423-H423)/F423,(H423-F423)/F423))</f>
        <v/>
      </c>
      <c r="M423" s="599" t="str">
        <f>IF($F423="","",IF($C423="売",CEILING($F423*IF($C423="売",1-$AX$3,1+$AX$3),IF($F423*IF($C423="売",1-$AX$3,1+$AX$3)&lt;=3000,1,IF($F423*IF($C423="売",1-$AX$3,1+$AX$3)&lt;=5000,5,IF($F423*IF($C423="売",1-$AX$3,1+$AX$3)&lt;=30000,10,IF($F423*IF($C423="売",1-$AX$3,1+$AX$3)&lt;=50000,50,IF($F423*IF($C423="売",1-$AX$3,1+$AX$3)&lt;=300000,100,500)))))),FLOOR($F423*IF($C423="売",1-$AX$3,1+$AX$3),IF($F423*IF($C423="売",1-$AX$3,1+$AX$3)&lt;=3000,1,IF($F423*IF($C423="売",1-$AX$3,1+$AX$3)&lt;=5000,5,IF($F423*IF($C423="売",1-$AX$3,1+$AX$3)&lt;=30000,10,IF($F423*IF($C423="売",1-$AX$3,1+$AX$3)&lt;=50000,50,IF($F423*IF($C423="売",1-$AX$3,1+$AX$3)&lt;=300000,100,500))))))))</f>
      </c>
      <c r="N423" s="599" t="str">
        <f>IF($F423="","",IF($C423="売",CEILING($F423*IF($C423="売",1+$AX$2,1-$AX$2),IF($F423*IF($C423="売",1+$AX$2,1-$AX$2)&lt;=3000,1,IF($F423*IF($C423="売",1+$AX$2,1-$AX$2)&lt;=5000,5,IF($F423*IF($C423="売",1+$AX$2,1-$AX$2)&lt;=30000,10,IF($F423*IF($C423="売",1+$AX$2,1-$AX$2)&lt;=50000,50,IF($F423*IF($C423="売",1+$AX$2,1-$AX$2)&lt;=300000,100,500)))))),FLOOR($F423*IF($C423="売",1+$AX$2,1-$AX$2),IF($F423*IF($C423="売",1+$AX$2,1-$AX$2)&lt;=3000,1,IF($F423*IF($C423="売",1+$AX$2,1-$AX$2)&lt;=5000,5,IF($F423*IF($C423="売",1+$AX$2,1-$AX$2)&lt;=30000,10,IF($F423*IF($C423="売",1+$AX$2,1-$AX$2)&lt;=50000,50,IF($F423*IF($C423="売",1+$AX$2,1-$AX$2)&lt;=300000,100,500))))))))</f>
      </c>
      <c r="O423" s="478" t="str">
        <f>IF(OR($B423="",$F423="",$H423=""),"",IF($S423="✅売却済","―決済済―",IF($C423="売",IF($H423&lt;=$M423,"🟢利確",IF(AND($R423&lt;&gt;"",$H423&gt;=$R423),"🟠TRAIL決済",IF($H423&gt;=$N423,"🔴損切",IF($W423&gt;=$AX$5,"⏱時間決済",IF($H423&gt;=$F423*(1+$AX$2*0.7),"⚠️損切接近","保持継続"))))),IF($H423&gt;=$M423,"🟢利確",IF(AND($R423&lt;&gt;"",$H423&lt;=$R423),"🟠TRAIL決済",IF($H423&lt;=$N423,"🔴損切",IF($W423&gt;=$AX$5,"⏱時間決済",IF($H423&lt;=$F423*(1-$AX$2*0.7),"⚠️損切接近","保持継続")))))))</f>
      </c>
      <c r="P423" s="445"/>
      <c r="R423" s="440" t="str">
        <f>IF(OR($F423="",$H423="",$N423=""),"",IF($S423="✅売却済","",IF($C423="売",IF($H423&gt;$F423*(1-$AX$2),$N423,CEILING(MIN($N423,IF($Q423="",$N423,$Q423*1.03)),IF($N423&lt;=3000,1,IF($N423&lt;=5000,5,IF($N423&lt;=30000,10,IF($N423&lt;=50000,50,IF($N423&lt;=300000,100,500))))))),IF($H423&lt;$F423*(1+$AX$2),$N423,FLOOR(MAX($N423,IF($P423="",$N423,$P423*0.97)),IF($N423&lt;=3000,1,IF($N423&lt;=5000,5,IF($N423&lt;=30000,10,IF($N423&lt;=50000,50,IF($N423&lt;=300000,100,500))))))))))</f>
      </c>
      <c r="S423" s="440" t="str">
        <f>IF(B423="","",IF(T423&lt;&gt;"","✅売却済",IF(OR(H423="",L423=""),"📌保有中",IF(L423&gt;=0.06,"🟢利確推奨",IF(L423&gt;=0.05,"🟡利確直近",IF(L423&gt;=0.045,"🔵トレーリング検討",IF(L423&gt;-0.03,"📌保有中",IF(L423&gt;-0.04,"⚠️損切注意","🔴損切り"))))))))</f>
        <v/>
      </c>
      <c r="T423" s="597"/>
      <c r="U423" s="599"/>
      <c r="V423" s="704" t="str">
        <f>IF(OR(F423="",G423="",U423=""),"",IF(C423="売",(F423-U423)*G423,(U423-F423)*G423))</f>
        <v/>
      </c>
      <c r="W423" s="440" t="str">
        <f>IF(OR($E423="",$B423=""),"",IF($T423&lt;&gt;"",$T423-$E423,TODAY()-$E423)+1)</f>
        <v/>
      </c>
      <c r="X423" s="440" t="str">
        <f>IF(OR($AH423="",$AH423="保有中"),"",$AH423)</f>
        <v/>
      </c>
      <c r="Y423">
        <f>IF($B423="","",IF(COUNTIFS($B$4:$B423,$B423,$C$4:$C423,$C423)&gt;1,"⛔重複"&amp;COUNTIFS($B$4:$B423,$B423,$C$4:$C423,$C423)&amp;"回目",""))</f>
      </c>
      <c r="AB423">
        <f>IF($F423="","",MAX(100,ROUNDDOWN($AX$4/($F423*$AX$2)/100,0)*100))</f>
      </c>
      <c r="AC423">
        <f>IF(OR($F423="",$G423="",$U423=""),"",ROUND($V423-($F423+$U423)*$G423*$AX$6-IF($C423="売",$F423*$G423*$AX$7*$W423/365,0),0))</f>
      </c>
      <c r="AD423" s="608"/>
      <c r="AE423" s="600" t="str">
        <f>IF($E423="","",WORKDAY($E423,12))</f>
        <v/>
      </c>
      <c r="AF423" s="600"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0"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0" t="str">
        <f>IF(OR($B423="",$M423=""),"",IF(AND(N($AF423)=0,N($AG423)=0),IF(AND(ISNUMBER($H423),$H423&gt;0,IF($C423="売",$H423&gt;=$N423,$H423&lt;=$N423)),"損切確定",IF(AND(ISNUMBER($H423),$H423&gt;0,IF($C423="売",$H423&lt;=$M423,$H423&gt;=$M423)),"利益確定",IF($AE423&lt;=TODAY(),"日数制限","保有中"))),IF(N($AG423)=0,"利益確定",IF(N($AF423)=0,"損切確定",IF($AG423&lt;=$AF423,"損切確定","利益確定")))))</f>
        <v/>
      </c>
      <c r="AI423" s="600" t="str" cm="1">
        <f t="array" ref="AI423">IFERROR(INDEX(始値!$E$6:$BT$305,MATCH(TEXT($B423,"0"),TEXT(銘柄管理!$B$6:$B$305,"0"),0),MATCH($AE423,始値!$E$3:$BT$3,0)),"")</f>
        <v/>
      </c>
      <c r="AJ423" s="608" t="str">
        <f>IF(OR($V423="",$F423="",$G423=""),"",$V423/($F423*$G423))</f>
        <v/>
      </c>
      <c r="AK423" s="600" t="str">
        <f>IF($V423="","",IF($V423&gt;0,"○勝",IF($V423&lt;0,"●負","△引分")))</f>
        <v/>
      </c>
    </row>
    <row r="424" spans="1:37" ht="17.25" customHeight="1">
      <c r="A424" s="622" t="str">
        <f>IF(B424="","",HYPERLINK("https://kabutan.jp/stock/?code="&amp;B424,"株探"))</f>
        <v/>
      </c>
      <c r="D424" s="440" t="str" cm="1">
        <f t="array" ref="D424">_xll.RssMarket(B424, "銘柄名称")</f>
        <v/>
      </c>
      <c r="E424" s="717"/>
      <c r="F424" s="6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IF(OR(F424="",G424="",H424=""),"",IF(C424="売",(F424-H424)*G424,(H424-F424)*G424))</f>
        <v/>
      </c>
      <c r="L424" s="709" t="str">
        <f>IF(OR(F424="",H424=""),"",IF(C424="売",(F424-H424)/F424,(H424-F424)/F424))</f>
        <v/>
      </c>
      <c r="M424" s="599" t="str">
        <f>IF($F424="","",IF($C424="売",CEILING($F424*IF($C424="売",1-$AX$3,1+$AX$3),IF($F424*IF($C424="売",1-$AX$3,1+$AX$3)&lt;=3000,1,IF($F424*IF($C424="売",1-$AX$3,1+$AX$3)&lt;=5000,5,IF($F424*IF($C424="売",1-$AX$3,1+$AX$3)&lt;=30000,10,IF($F424*IF($C424="売",1-$AX$3,1+$AX$3)&lt;=50000,50,IF($F424*IF($C424="売",1-$AX$3,1+$AX$3)&lt;=300000,100,500)))))),FLOOR($F424*IF($C424="売",1-$AX$3,1+$AX$3),IF($F424*IF($C424="売",1-$AX$3,1+$AX$3)&lt;=3000,1,IF($F424*IF($C424="売",1-$AX$3,1+$AX$3)&lt;=5000,5,IF($F424*IF($C424="売",1-$AX$3,1+$AX$3)&lt;=30000,10,IF($F424*IF($C424="売",1-$AX$3,1+$AX$3)&lt;=50000,50,IF($F424*IF($C424="売",1-$AX$3,1+$AX$3)&lt;=300000,100,500))))))))</f>
      </c>
      <c r="N424" s="599" t="str">
        <f>IF($F424="","",IF($C424="売",CEILING($F424*IF($C424="売",1+$AX$2,1-$AX$2),IF($F424*IF($C424="売",1+$AX$2,1-$AX$2)&lt;=3000,1,IF($F424*IF($C424="売",1+$AX$2,1-$AX$2)&lt;=5000,5,IF($F424*IF($C424="売",1+$AX$2,1-$AX$2)&lt;=30000,10,IF($F424*IF($C424="売",1+$AX$2,1-$AX$2)&lt;=50000,50,IF($F424*IF($C424="売",1+$AX$2,1-$AX$2)&lt;=300000,100,500)))))),FLOOR($F424*IF($C424="売",1+$AX$2,1-$AX$2),IF($F424*IF($C424="売",1+$AX$2,1-$AX$2)&lt;=3000,1,IF($F424*IF($C424="売",1+$AX$2,1-$AX$2)&lt;=5000,5,IF($F424*IF($C424="売",1+$AX$2,1-$AX$2)&lt;=30000,10,IF($F424*IF($C424="売",1+$AX$2,1-$AX$2)&lt;=50000,50,IF($F424*IF($C424="売",1+$AX$2,1-$AX$2)&lt;=300000,100,500))))))))</f>
      </c>
      <c r="O424" s="478" t="str">
        <f>IF(OR($B424="",$F424="",$H424=""),"",IF($S424="✅売却済","―決済済―",IF($C424="売",IF($H424&lt;=$M424,"🟢利確",IF(AND($R424&lt;&gt;"",$H424&gt;=$R424),"🟠TRAIL決済",IF($H424&gt;=$N424,"🔴損切",IF($W424&gt;=$AX$5,"⏱時間決済",IF($H424&gt;=$F424*(1+$AX$2*0.7),"⚠️損切接近","保持継続"))))),IF($H424&gt;=$M424,"🟢利確",IF(AND($R424&lt;&gt;"",$H424&lt;=$R424),"🟠TRAIL決済",IF($H424&lt;=$N424,"🔴損切",IF($W424&gt;=$AX$5,"⏱時間決済",IF($H424&lt;=$F424*(1-$AX$2*0.7),"⚠️損切接近","保持継続")))))))</f>
      </c>
      <c r="P424" s="445"/>
      <c r="R424" s="440" t="str">
        <f>IF(OR($F424="",$H424="",$N424=""),"",IF($S424="✅売却済","",IF($C424="売",IF($H424&gt;$F424*(1-$AX$2),$N424,CEILING(MIN($N424,IF($Q424="",$N424,$Q424*1.03)),IF($N424&lt;=3000,1,IF($N424&lt;=5000,5,IF($N424&lt;=30000,10,IF($N424&lt;=50000,50,IF($N424&lt;=300000,100,500))))))),IF($H424&lt;$F424*(1+$AX$2),$N424,FLOOR(MAX($N424,IF($P424="",$N424,$P424*0.97)),IF($N424&lt;=3000,1,IF($N424&lt;=5000,5,IF($N424&lt;=30000,10,IF($N424&lt;=50000,50,IF($N424&lt;=300000,100,500))))))))))</f>
      </c>
      <c r="S424" s="440" t="str">
        <f>IF(B424="","",IF(T424&lt;&gt;"","✅売却済",IF(OR(H424="",L424=""),"📌保有中",IF(L424&gt;=0.06,"🟢利確推奨",IF(L424&gt;=0.05,"🟡利確直近",IF(L424&gt;=0.045,"🔵トレーリング検討",IF(L424&gt;-0.03,"📌保有中",IF(L424&gt;-0.04,"⚠️損切注意","🔴損切り"))))))))</f>
        <v/>
      </c>
      <c r="T424" s="597"/>
      <c r="U424" s="599"/>
      <c r="V424" s="704" t="str">
        <f>IF(OR(F424="",G424="",U424=""),"",IF(C424="売",(F424-U424)*G424,(U424-F424)*G424))</f>
        <v/>
      </c>
      <c r="W424" s="440" t="str">
        <f>IF(OR($E424="",$B424=""),"",IF($T424&lt;&gt;"",$T424-$E424,TODAY()-$E424)+1)</f>
        <v/>
      </c>
      <c r="X424" s="440" t="str">
        <f>IF(OR($AH424="",$AH424="保有中"),"",$AH424)</f>
        <v/>
      </c>
      <c r="Y424">
        <f>IF($B424="","",IF(COUNTIFS($B$4:$B424,$B424,$C$4:$C424,$C424)&gt;1,"⛔重複"&amp;COUNTIFS($B$4:$B424,$B424,$C$4:$C424,$C424)&amp;"回目",""))</f>
      </c>
      <c r="AB424">
        <f>IF($F424="","",MAX(100,ROUNDDOWN($AX$4/($F424*$AX$2)/100,0)*100))</f>
      </c>
      <c r="AC424">
        <f>IF(OR($F424="",$G424="",$U424=""),"",ROUND($V424-($F424+$U424)*$G424*$AX$6-IF($C424="売",$F424*$G424*$AX$7*$W424/365,0),0))</f>
      </c>
      <c r="AD424" s="608"/>
      <c r="AE424" s="600" t="str">
        <f>IF($E424="","",WORKDAY($E424,12))</f>
        <v/>
      </c>
      <c r="AF424" s="600"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0"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0" t="str">
        <f>IF(OR($B424="",$M424=""),"",IF(AND(N($AF424)=0,N($AG424)=0),IF(AND(ISNUMBER($H424),$H424&gt;0,IF($C424="売",$H424&gt;=$N424,$H424&lt;=$N424)),"損切確定",IF(AND(ISNUMBER($H424),$H424&gt;0,IF($C424="売",$H424&lt;=$M424,$H424&gt;=$M424)),"利益確定",IF($AE424&lt;=TODAY(),"日数制限","保有中"))),IF(N($AG424)=0,"利益確定",IF(N($AF424)=0,"損切確定",IF($AG424&lt;=$AF424,"損切確定","利益確定")))))</f>
        <v/>
      </c>
      <c r="AI424" s="600" t="str" cm="1">
        <f t="array" ref="AI424">IFERROR(INDEX(始値!$E$6:$BT$305,MATCH(TEXT($B424,"0"),TEXT(銘柄管理!$B$6:$B$305,"0"),0),MATCH($AE424,始値!$E$3:$BT$3,0)),"")</f>
        <v/>
      </c>
      <c r="AJ424" s="608" t="str">
        <f>IF(OR($V424="",$F424="",$G424=""),"",$V424/($F424*$G424))</f>
        <v/>
      </c>
      <c r="AK424" s="600" t="str">
        <f>IF($V424="","",IF($V424&gt;0,"○勝",IF($V424&lt;0,"●負","△引分")))</f>
        <v/>
      </c>
    </row>
    <row r="425" spans="1:37" ht="17.25" customHeight="1">
      <c r="A425" s="622" t="str">
        <f>IF(B425="","",HYPERLINK("https://kabutan.jp/stock/?code="&amp;B425,"株探"))</f>
        <v/>
      </c>
      <c r="D425" s="440" t="str" cm="1">
        <f t="array" ref="D425">_xll.RssMarket(B425, "銘柄名称")</f>
        <v/>
      </c>
      <c r="E425" s="717"/>
      <c r="F425" s="6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IF(OR(F425="",G425="",H425=""),"",IF(C425="売",(F425-H425)*G425,(H425-F425)*G425))</f>
        <v/>
      </c>
      <c r="L425" s="709" t="str">
        <f>IF(OR(F425="",H425=""),"",IF(C425="売",(F425-H425)/F425,(H425-F425)/F425))</f>
        <v/>
      </c>
      <c r="M425" s="599" t="str">
        <f>IF($F425="","",IF($C425="売",CEILING($F425*IF($C425="売",1-$AX$3,1+$AX$3),IF($F425*IF($C425="売",1-$AX$3,1+$AX$3)&lt;=3000,1,IF($F425*IF($C425="売",1-$AX$3,1+$AX$3)&lt;=5000,5,IF($F425*IF($C425="売",1-$AX$3,1+$AX$3)&lt;=30000,10,IF($F425*IF($C425="売",1-$AX$3,1+$AX$3)&lt;=50000,50,IF($F425*IF($C425="売",1-$AX$3,1+$AX$3)&lt;=300000,100,500)))))),FLOOR($F425*IF($C425="売",1-$AX$3,1+$AX$3),IF($F425*IF($C425="売",1-$AX$3,1+$AX$3)&lt;=3000,1,IF($F425*IF($C425="売",1-$AX$3,1+$AX$3)&lt;=5000,5,IF($F425*IF($C425="売",1-$AX$3,1+$AX$3)&lt;=30000,10,IF($F425*IF($C425="売",1-$AX$3,1+$AX$3)&lt;=50000,50,IF($F425*IF($C425="売",1-$AX$3,1+$AX$3)&lt;=300000,100,500))))))))</f>
      </c>
      <c r="N425" s="599" t="str">
        <f>IF($F425="","",IF($C425="売",CEILING($F425*IF($C425="売",1+$AX$2,1-$AX$2),IF($F425*IF($C425="売",1+$AX$2,1-$AX$2)&lt;=3000,1,IF($F425*IF($C425="売",1+$AX$2,1-$AX$2)&lt;=5000,5,IF($F425*IF($C425="売",1+$AX$2,1-$AX$2)&lt;=30000,10,IF($F425*IF($C425="売",1+$AX$2,1-$AX$2)&lt;=50000,50,IF($F425*IF($C425="売",1+$AX$2,1-$AX$2)&lt;=300000,100,500)))))),FLOOR($F425*IF($C425="売",1+$AX$2,1-$AX$2),IF($F425*IF($C425="売",1+$AX$2,1-$AX$2)&lt;=3000,1,IF($F425*IF($C425="売",1+$AX$2,1-$AX$2)&lt;=5000,5,IF($F425*IF($C425="売",1+$AX$2,1-$AX$2)&lt;=30000,10,IF($F425*IF($C425="売",1+$AX$2,1-$AX$2)&lt;=50000,50,IF($F425*IF($C425="売",1+$AX$2,1-$AX$2)&lt;=300000,100,500))))))))</f>
      </c>
      <c r="O425" s="478" t="str">
        <f>IF(OR($B425="",$F425="",$H425=""),"",IF($S425="✅売却済","―決済済―",IF($C425="売",IF($H425&lt;=$M425,"🟢利確",IF(AND($R425&lt;&gt;"",$H425&gt;=$R425),"🟠TRAIL決済",IF($H425&gt;=$N425,"🔴損切",IF($W425&gt;=$AX$5,"⏱時間決済",IF($H425&gt;=$F425*(1+$AX$2*0.7),"⚠️損切接近","保持継続"))))),IF($H425&gt;=$M425,"🟢利確",IF(AND($R425&lt;&gt;"",$H425&lt;=$R425),"🟠TRAIL決済",IF($H425&lt;=$N425,"🔴損切",IF($W425&gt;=$AX$5,"⏱時間決済",IF($H425&lt;=$F425*(1-$AX$2*0.7),"⚠️損切接近","保持継続")))))))</f>
      </c>
      <c r="P425" s="445"/>
      <c r="R425" s="440" t="str">
        <f>IF(OR($F425="",$H425="",$N425=""),"",IF($S425="✅売却済","",IF($C425="売",IF($H425&gt;$F425*(1-$AX$2),$N425,CEILING(MIN($N425,IF($Q425="",$N425,$Q425*1.03)),IF($N425&lt;=3000,1,IF($N425&lt;=5000,5,IF($N425&lt;=30000,10,IF($N425&lt;=50000,50,IF($N425&lt;=300000,100,500))))))),IF($H425&lt;$F425*(1+$AX$2),$N425,FLOOR(MAX($N425,IF($P425="",$N425,$P425*0.97)),IF($N425&lt;=3000,1,IF($N425&lt;=5000,5,IF($N425&lt;=30000,10,IF($N425&lt;=50000,50,IF($N425&lt;=300000,100,500))))))))))</f>
      </c>
      <c r="S425" s="440" t="str">
        <f>IF(B425="","",IF(T425&lt;&gt;"","✅売却済",IF(OR(H425="",L425=""),"📌保有中",IF(L425&gt;=0.06,"🟢利確推奨",IF(L425&gt;=0.05,"🟡利確直近",IF(L425&gt;=0.045,"🔵トレーリング検討",IF(L425&gt;-0.03,"📌保有中",IF(L425&gt;-0.04,"⚠️損切注意","🔴損切り"))))))))</f>
        <v/>
      </c>
      <c r="T425" s="597"/>
      <c r="U425" s="599"/>
      <c r="V425" s="704" t="str">
        <f>IF(OR(F425="",G425="",U425=""),"",IF(C425="売",(F425-U425)*G425,(U425-F425)*G425))</f>
        <v/>
      </c>
      <c r="W425" s="440" t="str">
        <f>IF(OR($E425="",$B425=""),"",IF($T425&lt;&gt;"",$T425-$E425,TODAY()-$E425)+1)</f>
        <v/>
      </c>
      <c r="X425" s="440" t="str">
        <f>IF(OR($AH425="",$AH425="保有中"),"",$AH425)</f>
        <v/>
      </c>
      <c r="Y425">
        <f>IF($B425="","",IF(COUNTIFS($B$4:$B425,$B425,$C$4:$C425,$C425)&gt;1,"⛔重複"&amp;COUNTIFS($B$4:$B425,$B425,$C$4:$C425,$C425)&amp;"回目",""))</f>
      </c>
      <c r="AB425">
        <f>IF($F425="","",MAX(100,ROUNDDOWN($AX$4/($F425*$AX$2)/100,0)*100))</f>
      </c>
      <c r="AC425">
        <f>IF(OR($F425="",$G425="",$U425=""),"",ROUND($V425-($F425+$U425)*$G425*$AX$6-IF($C425="売",$F425*$G425*$AX$7*$W425/365,0),0))</f>
      </c>
      <c r="AD425" s="608"/>
      <c r="AE425" s="600" t="str">
        <f>IF($E425="","",WORKDAY($E425,12))</f>
        <v/>
      </c>
      <c r="AF425" s="600"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0"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0" t="str">
        <f>IF(OR($B425="",$M425=""),"",IF(AND(N($AF425)=0,N($AG425)=0),IF(AND(ISNUMBER($H425),$H425&gt;0,IF($C425="売",$H425&gt;=$N425,$H425&lt;=$N425)),"損切確定",IF(AND(ISNUMBER($H425),$H425&gt;0,IF($C425="売",$H425&lt;=$M425,$H425&gt;=$M425)),"利益確定",IF($AE425&lt;=TODAY(),"日数制限","保有中"))),IF(N($AG425)=0,"利益確定",IF(N($AF425)=0,"損切確定",IF($AG425&lt;=$AF425,"損切確定","利益確定")))))</f>
        <v/>
      </c>
      <c r="AI425" s="600" t="str" cm="1">
        <f t="array" ref="AI425">IFERROR(INDEX(始値!$E$6:$BT$305,MATCH(TEXT($B425,"0"),TEXT(銘柄管理!$B$6:$B$305,"0"),0),MATCH($AE425,始値!$E$3:$BT$3,0)),"")</f>
        <v/>
      </c>
      <c r="AJ425" s="608" t="str">
        <f>IF(OR($V425="",$F425="",$G425=""),"",$V425/($F425*$G425))</f>
        <v/>
      </c>
      <c r="AK425" s="600" t="str">
        <f>IF($V425="","",IF($V425&gt;0,"○勝",IF($V425&lt;0,"●負","△引分")))</f>
        <v/>
      </c>
    </row>
    <row r="426" spans="1:37" ht="17.25" customHeight="1">
      <c r="A426" s="622" t="str">
        <f>IF(B426="","",HYPERLINK("https://kabutan.jp/stock/?code="&amp;B426,"株探"))</f>
        <v/>
      </c>
      <c r="D426" s="440" t="str" cm="1">
        <f t="array" ref="D426">_xll.RssMarket(B426, "銘柄名称")</f>
        <v/>
      </c>
      <c r="E426" s="717"/>
      <c r="F426" s="6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IF(OR(F426="",G426="",H426=""),"",IF(C426="売",(F426-H426)*G426,(H426-F426)*G426))</f>
        <v/>
      </c>
      <c r="L426" s="709" t="str">
        <f>IF(OR(F426="",H426=""),"",IF(C426="売",(F426-H426)/F426,(H426-F426)/F426))</f>
        <v/>
      </c>
      <c r="M426" s="599" t="str">
        <f>IF($F426="","",IF($C426="売",CEILING($F426*IF($C426="売",1-$AX$3,1+$AX$3),IF($F426*IF($C426="売",1-$AX$3,1+$AX$3)&lt;=3000,1,IF($F426*IF($C426="売",1-$AX$3,1+$AX$3)&lt;=5000,5,IF($F426*IF($C426="売",1-$AX$3,1+$AX$3)&lt;=30000,10,IF($F426*IF($C426="売",1-$AX$3,1+$AX$3)&lt;=50000,50,IF($F426*IF($C426="売",1-$AX$3,1+$AX$3)&lt;=300000,100,500)))))),FLOOR($F426*IF($C426="売",1-$AX$3,1+$AX$3),IF($F426*IF($C426="売",1-$AX$3,1+$AX$3)&lt;=3000,1,IF($F426*IF($C426="売",1-$AX$3,1+$AX$3)&lt;=5000,5,IF($F426*IF($C426="売",1-$AX$3,1+$AX$3)&lt;=30000,10,IF($F426*IF($C426="売",1-$AX$3,1+$AX$3)&lt;=50000,50,IF($F426*IF($C426="売",1-$AX$3,1+$AX$3)&lt;=300000,100,500))))))))</f>
      </c>
      <c r="N426" s="599" t="str">
        <f>IF($F426="","",IF($C426="売",CEILING($F426*IF($C426="売",1+$AX$2,1-$AX$2),IF($F426*IF($C426="売",1+$AX$2,1-$AX$2)&lt;=3000,1,IF($F426*IF($C426="売",1+$AX$2,1-$AX$2)&lt;=5000,5,IF($F426*IF($C426="売",1+$AX$2,1-$AX$2)&lt;=30000,10,IF($F426*IF($C426="売",1+$AX$2,1-$AX$2)&lt;=50000,50,IF($F426*IF($C426="売",1+$AX$2,1-$AX$2)&lt;=300000,100,500)))))),FLOOR($F426*IF($C426="売",1+$AX$2,1-$AX$2),IF($F426*IF($C426="売",1+$AX$2,1-$AX$2)&lt;=3000,1,IF($F426*IF($C426="売",1+$AX$2,1-$AX$2)&lt;=5000,5,IF($F426*IF($C426="売",1+$AX$2,1-$AX$2)&lt;=30000,10,IF($F426*IF($C426="売",1+$AX$2,1-$AX$2)&lt;=50000,50,IF($F426*IF($C426="売",1+$AX$2,1-$AX$2)&lt;=300000,100,500))))))))</f>
      </c>
      <c r="O426" s="478" t="str">
        <f>IF(OR($B426="",$F426="",$H426=""),"",IF($S426="✅売却済","―決済済―",IF($C426="売",IF($H426&lt;=$M426,"🟢利確",IF(AND($R426&lt;&gt;"",$H426&gt;=$R426),"🟠TRAIL決済",IF($H426&gt;=$N426,"🔴損切",IF($W426&gt;=$AX$5,"⏱時間決済",IF($H426&gt;=$F426*(1+$AX$2*0.7),"⚠️損切接近","保持継続"))))),IF($H426&gt;=$M426,"🟢利確",IF(AND($R426&lt;&gt;"",$H426&lt;=$R426),"🟠TRAIL決済",IF($H426&lt;=$N426,"🔴損切",IF($W426&gt;=$AX$5,"⏱時間決済",IF($H426&lt;=$F426*(1-$AX$2*0.7),"⚠️損切接近","保持継続")))))))</f>
      </c>
      <c r="P426" s="445"/>
      <c r="R426" s="440" t="str">
        <f>IF(OR($F426="",$H426="",$N426=""),"",IF($S426="✅売却済","",IF($C426="売",IF($H426&gt;$F426*(1-$AX$2),$N426,CEILING(MIN($N426,IF($Q426="",$N426,$Q426*1.03)),IF($N426&lt;=3000,1,IF($N426&lt;=5000,5,IF($N426&lt;=30000,10,IF($N426&lt;=50000,50,IF($N426&lt;=300000,100,500))))))),IF($H426&lt;$F426*(1+$AX$2),$N426,FLOOR(MAX($N426,IF($P426="",$N426,$P426*0.97)),IF($N426&lt;=3000,1,IF($N426&lt;=5000,5,IF($N426&lt;=30000,10,IF($N426&lt;=50000,50,IF($N426&lt;=300000,100,500))))))))))</f>
      </c>
      <c r="S426" s="440" t="str">
        <f>IF(B426="","",IF(T426&lt;&gt;"","✅売却済",IF(OR(H426="",L426=""),"📌保有中",IF(L426&gt;=0.06,"🟢利確推奨",IF(L426&gt;=0.05,"🟡利確直近",IF(L426&gt;=0.045,"🔵トレーリング検討",IF(L426&gt;-0.03,"📌保有中",IF(L426&gt;-0.04,"⚠️損切注意","🔴損切り"))))))))</f>
        <v/>
      </c>
      <c r="T426" s="597"/>
      <c r="U426" s="599"/>
      <c r="V426" s="704" t="str">
        <f>IF(OR(F426="",G426="",U426=""),"",IF(C426="売",(F426-U426)*G426,(U426-F426)*G426))</f>
        <v/>
      </c>
      <c r="W426" s="440" t="str">
        <f>IF(OR($E426="",$B426=""),"",IF($T426&lt;&gt;"",$T426-$E426,TODAY()-$E426)+1)</f>
        <v/>
      </c>
      <c r="X426" s="440" t="str">
        <f>IF(OR($AH426="",$AH426="保有中"),"",$AH426)</f>
        <v/>
      </c>
      <c r="Y426">
        <f>IF($B426="","",IF(COUNTIFS($B$4:$B426,$B426,$C$4:$C426,$C426)&gt;1,"⛔重複"&amp;COUNTIFS($B$4:$B426,$B426,$C$4:$C426,$C426)&amp;"回目",""))</f>
      </c>
      <c r="AB426">
        <f>IF($F426="","",MAX(100,ROUNDDOWN($AX$4/($F426*$AX$2)/100,0)*100))</f>
      </c>
      <c r="AC426">
        <f>IF(OR($F426="",$G426="",$U426=""),"",ROUND($V426-($F426+$U426)*$G426*$AX$6-IF($C426="売",$F426*$G426*$AX$7*$W426/365,0),0))</f>
      </c>
      <c r="AD426" s="608"/>
      <c r="AE426" s="600" t="str">
        <f>IF($E426="","",WORKDAY($E426,12))</f>
        <v/>
      </c>
      <c r="AF426" s="600"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0"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0" t="str">
        <f>IF(OR($B426="",$M426=""),"",IF(AND(N($AF426)=0,N($AG426)=0),IF(AND(ISNUMBER($H426),$H426&gt;0,IF($C426="売",$H426&gt;=$N426,$H426&lt;=$N426)),"損切確定",IF(AND(ISNUMBER($H426),$H426&gt;0,IF($C426="売",$H426&lt;=$M426,$H426&gt;=$M426)),"利益確定",IF($AE426&lt;=TODAY(),"日数制限","保有中"))),IF(N($AG426)=0,"利益確定",IF(N($AF426)=0,"損切確定",IF($AG426&lt;=$AF426,"損切確定","利益確定")))))</f>
        <v/>
      </c>
      <c r="AI426" s="600" t="str" cm="1">
        <f t="array" ref="AI426">IFERROR(INDEX(始値!$E$6:$BT$305,MATCH(TEXT($B426,"0"),TEXT(銘柄管理!$B$6:$B$305,"0"),0),MATCH($AE426,始値!$E$3:$BT$3,0)),"")</f>
        <v/>
      </c>
      <c r="AJ426" s="608" t="str">
        <f>IF(OR($V426="",$F426="",$G426=""),"",$V426/($F426*$G426))</f>
        <v/>
      </c>
      <c r="AK426" s="600" t="str">
        <f>IF($V426="","",IF($V426&gt;0,"○勝",IF($V426&lt;0,"●負","△引分")))</f>
        <v/>
      </c>
    </row>
    <row r="427" spans="1:37" ht="17.25" customHeight="1">
      <c r="A427" s="622" t="str">
        <f>IF(B427="","",HYPERLINK("https://kabutan.jp/stock/?code="&amp;B427,"株探"))</f>
        <v/>
      </c>
      <c r="D427" s="440" t="str" cm="1">
        <f t="array" ref="D427">_xll.RssMarket(B427, "銘柄名称")</f>
        <v/>
      </c>
      <c r="E427" s="717"/>
      <c r="F427" s="6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IF(OR(F427="",G427="",H427=""),"",IF(C427="売",(F427-H427)*G427,(H427-F427)*G427))</f>
        <v/>
      </c>
      <c r="L427" s="709" t="str">
        <f>IF(OR(F427="",H427=""),"",IF(C427="売",(F427-H427)/F427,(H427-F427)/F427))</f>
        <v/>
      </c>
      <c r="M427" s="599" t="str">
        <f>IF($F427="","",IF($C427="売",CEILING($F427*IF($C427="売",1-$AX$3,1+$AX$3),IF($F427*IF($C427="売",1-$AX$3,1+$AX$3)&lt;=3000,1,IF($F427*IF($C427="売",1-$AX$3,1+$AX$3)&lt;=5000,5,IF($F427*IF($C427="売",1-$AX$3,1+$AX$3)&lt;=30000,10,IF($F427*IF($C427="売",1-$AX$3,1+$AX$3)&lt;=50000,50,IF($F427*IF($C427="売",1-$AX$3,1+$AX$3)&lt;=300000,100,500)))))),FLOOR($F427*IF($C427="売",1-$AX$3,1+$AX$3),IF($F427*IF($C427="売",1-$AX$3,1+$AX$3)&lt;=3000,1,IF($F427*IF($C427="売",1-$AX$3,1+$AX$3)&lt;=5000,5,IF($F427*IF($C427="売",1-$AX$3,1+$AX$3)&lt;=30000,10,IF($F427*IF($C427="売",1-$AX$3,1+$AX$3)&lt;=50000,50,IF($F427*IF($C427="売",1-$AX$3,1+$AX$3)&lt;=300000,100,500))))))))</f>
      </c>
      <c r="N427" s="599" t="str">
        <f>IF($F427="","",IF($C427="売",CEILING($F427*IF($C427="売",1+$AX$2,1-$AX$2),IF($F427*IF($C427="売",1+$AX$2,1-$AX$2)&lt;=3000,1,IF($F427*IF($C427="売",1+$AX$2,1-$AX$2)&lt;=5000,5,IF($F427*IF($C427="売",1+$AX$2,1-$AX$2)&lt;=30000,10,IF($F427*IF($C427="売",1+$AX$2,1-$AX$2)&lt;=50000,50,IF($F427*IF($C427="売",1+$AX$2,1-$AX$2)&lt;=300000,100,500)))))),FLOOR($F427*IF($C427="売",1+$AX$2,1-$AX$2),IF($F427*IF($C427="売",1+$AX$2,1-$AX$2)&lt;=3000,1,IF($F427*IF($C427="売",1+$AX$2,1-$AX$2)&lt;=5000,5,IF($F427*IF($C427="売",1+$AX$2,1-$AX$2)&lt;=30000,10,IF($F427*IF($C427="売",1+$AX$2,1-$AX$2)&lt;=50000,50,IF($F427*IF($C427="売",1+$AX$2,1-$AX$2)&lt;=300000,100,500))))))))</f>
      </c>
      <c r="O427" s="478" t="str">
        <f>IF(OR($B427="",$F427="",$H427=""),"",IF($S427="✅売却済","―決済済―",IF($C427="売",IF($H427&lt;=$M427,"🟢利確",IF(AND($R427&lt;&gt;"",$H427&gt;=$R427),"🟠TRAIL決済",IF($H427&gt;=$N427,"🔴損切",IF($W427&gt;=$AX$5,"⏱時間決済",IF($H427&gt;=$F427*(1+$AX$2*0.7),"⚠️損切接近","保持継続"))))),IF($H427&gt;=$M427,"🟢利確",IF(AND($R427&lt;&gt;"",$H427&lt;=$R427),"🟠TRAIL決済",IF($H427&lt;=$N427,"🔴損切",IF($W427&gt;=$AX$5,"⏱時間決済",IF($H427&lt;=$F427*(1-$AX$2*0.7),"⚠️損切接近","保持継続")))))))</f>
      </c>
      <c r="P427" s="445"/>
      <c r="R427" s="440" t="str">
        <f>IF(OR($F427="",$H427="",$N427=""),"",IF($S427="✅売却済","",IF($C427="売",IF($H427&gt;$F427*(1-$AX$2),$N427,CEILING(MIN($N427,IF($Q427="",$N427,$Q427*1.03)),IF($N427&lt;=3000,1,IF($N427&lt;=5000,5,IF($N427&lt;=30000,10,IF($N427&lt;=50000,50,IF($N427&lt;=300000,100,500))))))),IF($H427&lt;$F427*(1+$AX$2),$N427,FLOOR(MAX($N427,IF($P427="",$N427,$P427*0.97)),IF($N427&lt;=3000,1,IF($N427&lt;=5000,5,IF($N427&lt;=30000,10,IF($N427&lt;=50000,50,IF($N427&lt;=300000,100,500))))))))))</f>
      </c>
      <c r="S427" s="440" t="str">
        <f>IF(B427="","",IF(T427&lt;&gt;"","✅売却済",IF(OR(H427="",L427=""),"📌保有中",IF(L427&gt;=0.06,"🟢利確推奨",IF(L427&gt;=0.05,"🟡利確直近",IF(L427&gt;=0.045,"🔵トレーリング検討",IF(L427&gt;-0.03,"📌保有中",IF(L427&gt;-0.04,"⚠️損切注意","🔴損切り"))))))))</f>
        <v/>
      </c>
      <c r="T427" s="597"/>
      <c r="U427" s="599"/>
      <c r="V427" s="704" t="str">
        <f>IF(OR(F427="",G427="",U427=""),"",IF(C427="売",(F427-U427)*G427,(U427-F427)*G427))</f>
        <v/>
      </c>
      <c r="W427" s="440" t="str">
        <f>IF(OR($E427="",$B427=""),"",IF($T427&lt;&gt;"",$T427-$E427,TODAY()-$E427)+1)</f>
        <v/>
      </c>
      <c r="X427" s="440" t="str">
        <f>IF(OR($AH427="",$AH427="保有中"),"",$AH427)</f>
        <v/>
      </c>
      <c r="Y427">
        <f>IF($B427="","",IF(COUNTIFS($B$4:$B427,$B427,$C$4:$C427,$C427)&gt;1,"⛔重複"&amp;COUNTIFS($B$4:$B427,$B427,$C$4:$C427,$C427)&amp;"回目",""))</f>
      </c>
      <c r="AB427">
        <f>IF($F427="","",MAX(100,ROUNDDOWN($AX$4/($F427*$AX$2)/100,0)*100))</f>
      </c>
      <c r="AC427">
        <f>IF(OR($F427="",$G427="",$U427=""),"",ROUND($V427-($F427+$U427)*$G427*$AX$6-IF($C427="売",$F427*$G427*$AX$7*$W427/365,0),0))</f>
      </c>
      <c r="AD427" s="608"/>
      <c r="AE427" s="600" t="str">
        <f>IF($E427="","",WORKDAY($E427,12))</f>
        <v/>
      </c>
      <c r="AF427" s="600"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0"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0" t="str">
        <f>IF(OR($B427="",$M427=""),"",IF(AND(N($AF427)=0,N($AG427)=0),IF(AND(ISNUMBER($H427),$H427&gt;0,IF($C427="売",$H427&gt;=$N427,$H427&lt;=$N427)),"損切確定",IF(AND(ISNUMBER($H427),$H427&gt;0,IF($C427="売",$H427&lt;=$M427,$H427&gt;=$M427)),"利益確定",IF($AE427&lt;=TODAY(),"日数制限","保有中"))),IF(N($AG427)=0,"利益確定",IF(N($AF427)=0,"損切確定",IF($AG427&lt;=$AF427,"損切確定","利益確定")))))</f>
        <v/>
      </c>
      <c r="AI427" s="600" t="str" cm="1">
        <f t="array" ref="AI427">IFERROR(INDEX(始値!$E$6:$BT$305,MATCH(TEXT($B427,"0"),TEXT(銘柄管理!$B$6:$B$305,"0"),0),MATCH($AE427,始値!$E$3:$BT$3,0)),"")</f>
        <v/>
      </c>
      <c r="AJ427" s="608" t="str">
        <f>IF(OR($V427="",$F427="",$G427=""),"",$V427/($F427*$G427))</f>
        <v/>
      </c>
      <c r="AK427" s="600" t="str">
        <f>IF($V427="","",IF($V427&gt;0,"○勝",IF($V427&lt;0,"●負","△引分")))</f>
        <v/>
      </c>
    </row>
    <row r="428" spans="1:37" ht="17.25" customHeight="1">
      <c r="A428" s="622" t="str">
        <f>IF(B428="","",HYPERLINK("https://kabutan.jp/stock/?code="&amp;B428,"株探"))</f>
        <v/>
      </c>
      <c r="D428" s="440" t="str" cm="1">
        <f t="array" ref="D428">_xll.RssMarket(B428, "銘柄名称")</f>
        <v/>
      </c>
      <c r="E428" s="717"/>
      <c r="F428" s="6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IF(OR(F428="",G428="",H428=""),"",IF(C428="売",(F428-H428)*G428,(H428-F428)*G428))</f>
        <v/>
      </c>
      <c r="L428" s="709" t="str">
        <f>IF(OR(F428="",H428=""),"",IF(C428="売",(F428-H428)/F428,(H428-F428)/F428))</f>
        <v/>
      </c>
      <c r="M428" s="599" t="str">
        <f>IF($F428="","",IF($C428="売",CEILING($F428*IF($C428="売",1-$AX$3,1+$AX$3),IF($F428*IF($C428="売",1-$AX$3,1+$AX$3)&lt;=3000,1,IF($F428*IF($C428="売",1-$AX$3,1+$AX$3)&lt;=5000,5,IF($F428*IF($C428="売",1-$AX$3,1+$AX$3)&lt;=30000,10,IF($F428*IF($C428="売",1-$AX$3,1+$AX$3)&lt;=50000,50,IF($F428*IF($C428="売",1-$AX$3,1+$AX$3)&lt;=300000,100,500)))))),FLOOR($F428*IF($C428="売",1-$AX$3,1+$AX$3),IF($F428*IF($C428="売",1-$AX$3,1+$AX$3)&lt;=3000,1,IF($F428*IF($C428="売",1-$AX$3,1+$AX$3)&lt;=5000,5,IF($F428*IF($C428="売",1-$AX$3,1+$AX$3)&lt;=30000,10,IF($F428*IF($C428="売",1-$AX$3,1+$AX$3)&lt;=50000,50,IF($F428*IF($C428="売",1-$AX$3,1+$AX$3)&lt;=300000,100,500))))))))</f>
      </c>
      <c r="N428" s="599" t="str">
        <f>IF($F428="","",IF($C428="売",CEILING($F428*IF($C428="売",1+$AX$2,1-$AX$2),IF($F428*IF($C428="売",1+$AX$2,1-$AX$2)&lt;=3000,1,IF($F428*IF($C428="売",1+$AX$2,1-$AX$2)&lt;=5000,5,IF($F428*IF($C428="売",1+$AX$2,1-$AX$2)&lt;=30000,10,IF($F428*IF($C428="売",1+$AX$2,1-$AX$2)&lt;=50000,50,IF($F428*IF($C428="売",1+$AX$2,1-$AX$2)&lt;=300000,100,500)))))),FLOOR($F428*IF($C428="売",1+$AX$2,1-$AX$2),IF($F428*IF($C428="売",1+$AX$2,1-$AX$2)&lt;=3000,1,IF($F428*IF($C428="売",1+$AX$2,1-$AX$2)&lt;=5000,5,IF($F428*IF($C428="売",1+$AX$2,1-$AX$2)&lt;=30000,10,IF($F428*IF($C428="売",1+$AX$2,1-$AX$2)&lt;=50000,50,IF($F428*IF($C428="売",1+$AX$2,1-$AX$2)&lt;=300000,100,500))))))))</f>
      </c>
      <c r="O428" s="478" t="str">
        <f>IF(OR($B428="",$F428="",$H428=""),"",IF($S428="✅売却済","―決済済―",IF($C428="売",IF($H428&lt;=$M428,"🟢利確",IF(AND($R428&lt;&gt;"",$H428&gt;=$R428),"🟠TRAIL決済",IF($H428&gt;=$N428,"🔴損切",IF($W428&gt;=$AX$5,"⏱時間決済",IF($H428&gt;=$F428*(1+$AX$2*0.7),"⚠️損切接近","保持継続"))))),IF($H428&gt;=$M428,"🟢利確",IF(AND($R428&lt;&gt;"",$H428&lt;=$R428),"🟠TRAIL決済",IF($H428&lt;=$N428,"🔴損切",IF($W428&gt;=$AX$5,"⏱時間決済",IF($H428&lt;=$F428*(1-$AX$2*0.7),"⚠️損切接近","保持継続")))))))</f>
      </c>
      <c r="P428" s="445"/>
      <c r="R428" s="440" t="str">
        <f>IF(OR($F428="",$H428="",$N428=""),"",IF($S428="✅売却済","",IF($C428="売",IF($H428&gt;$F428*(1-$AX$2),$N428,CEILING(MIN($N428,IF($Q428="",$N428,$Q428*1.03)),IF($N428&lt;=3000,1,IF($N428&lt;=5000,5,IF($N428&lt;=30000,10,IF($N428&lt;=50000,50,IF($N428&lt;=300000,100,500))))))),IF($H428&lt;$F428*(1+$AX$2),$N428,FLOOR(MAX($N428,IF($P428="",$N428,$P428*0.97)),IF($N428&lt;=3000,1,IF($N428&lt;=5000,5,IF($N428&lt;=30000,10,IF($N428&lt;=50000,50,IF($N428&lt;=300000,100,500))))))))))</f>
      </c>
      <c r="S428" s="440" t="str">
        <f>IF(B428="","",IF(T428&lt;&gt;"","✅売却済",IF(OR(H428="",L428=""),"📌保有中",IF(L428&gt;=0.06,"🟢利確推奨",IF(L428&gt;=0.05,"🟡利確直近",IF(L428&gt;=0.045,"🔵トレーリング検討",IF(L428&gt;-0.03,"📌保有中",IF(L428&gt;-0.04,"⚠️損切注意","🔴損切り"))))))))</f>
        <v/>
      </c>
      <c r="T428" s="597"/>
      <c r="U428" s="599"/>
      <c r="V428" s="704" t="str">
        <f>IF(OR(F428="",G428="",U428=""),"",IF(C428="売",(F428-U428)*G428,(U428-F428)*G428))</f>
        <v/>
      </c>
      <c r="W428" s="440" t="str">
        <f>IF(OR($E428="",$B428=""),"",IF($T428&lt;&gt;"",$T428-$E428,TODAY()-$E428)+1)</f>
        <v/>
      </c>
      <c r="X428" s="440" t="str">
        <f>IF(OR($AH428="",$AH428="保有中"),"",$AH428)</f>
        <v/>
      </c>
      <c r="Y428">
        <f>IF($B428="","",IF(COUNTIFS($B$4:$B428,$B428,$C$4:$C428,$C428)&gt;1,"⛔重複"&amp;COUNTIFS($B$4:$B428,$B428,$C$4:$C428,$C428)&amp;"回目",""))</f>
      </c>
      <c r="AB428">
        <f>IF($F428="","",MAX(100,ROUNDDOWN($AX$4/($F428*$AX$2)/100,0)*100))</f>
      </c>
      <c r="AC428">
        <f>IF(OR($F428="",$G428="",$U428=""),"",ROUND($V428-($F428+$U428)*$G428*$AX$6-IF($C428="売",$F428*$G428*$AX$7*$W428/365,0),0))</f>
      </c>
      <c r="AD428" s="608"/>
      <c r="AE428" s="600" t="str">
        <f>IF($E428="","",WORKDAY($E428,12))</f>
        <v/>
      </c>
      <c r="AF428" s="600"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0"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0" t="str">
        <f>IF(OR($B428="",$M428=""),"",IF(AND(N($AF428)=0,N($AG428)=0),IF(AND(ISNUMBER($H428),$H428&gt;0,IF($C428="売",$H428&gt;=$N428,$H428&lt;=$N428)),"損切確定",IF(AND(ISNUMBER($H428),$H428&gt;0,IF($C428="売",$H428&lt;=$M428,$H428&gt;=$M428)),"利益確定",IF($AE428&lt;=TODAY(),"日数制限","保有中"))),IF(N($AG428)=0,"利益確定",IF(N($AF428)=0,"損切確定",IF($AG428&lt;=$AF428,"損切確定","利益確定")))))</f>
        <v/>
      </c>
      <c r="AI428" s="600" t="str" cm="1">
        <f t="array" ref="AI428">IFERROR(INDEX(始値!$E$6:$BT$305,MATCH(TEXT($B428,"0"),TEXT(銘柄管理!$B$6:$B$305,"0"),0),MATCH($AE428,始値!$E$3:$BT$3,0)),"")</f>
        <v/>
      </c>
      <c r="AJ428" s="608" t="str">
        <f>IF(OR($V428="",$F428="",$G428=""),"",$V428/($F428*$G428))</f>
        <v/>
      </c>
      <c r="AK428" s="600" t="str">
        <f>IF($V428="","",IF($V428&gt;0,"○勝",IF($V428&lt;0,"●負","△引分")))</f>
        <v/>
      </c>
    </row>
    <row r="429" spans="1:37" ht="17.25" customHeight="1">
      <c r="A429" s="622" t="str">
        <f>IF(B429="","",HYPERLINK("https://kabutan.jp/stock/?code="&amp;B429,"株探"))</f>
        <v/>
      </c>
      <c r="D429" s="440" t="str" cm="1">
        <f t="array" ref="D429">_xll.RssMarket(B429, "銘柄名称")</f>
        <v/>
      </c>
      <c r="E429" s="717"/>
      <c r="F429" s="6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IF(OR(F429="",G429="",H429=""),"",IF(C429="売",(F429-H429)*G429,(H429-F429)*G429))</f>
        <v/>
      </c>
      <c r="L429" s="709" t="str">
        <f>IF(OR(F429="",H429=""),"",IF(C429="売",(F429-H429)/F429,(H429-F429)/F429))</f>
        <v/>
      </c>
      <c r="M429" s="599" t="str">
        <f>IF($F429="","",IF($C429="売",CEILING($F429*IF($C429="売",1-$AX$3,1+$AX$3),IF($F429*IF($C429="売",1-$AX$3,1+$AX$3)&lt;=3000,1,IF($F429*IF($C429="売",1-$AX$3,1+$AX$3)&lt;=5000,5,IF($F429*IF($C429="売",1-$AX$3,1+$AX$3)&lt;=30000,10,IF($F429*IF($C429="売",1-$AX$3,1+$AX$3)&lt;=50000,50,IF($F429*IF($C429="売",1-$AX$3,1+$AX$3)&lt;=300000,100,500)))))),FLOOR($F429*IF($C429="売",1-$AX$3,1+$AX$3),IF($F429*IF($C429="売",1-$AX$3,1+$AX$3)&lt;=3000,1,IF($F429*IF($C429="売",1-$AX$3,1+$AX$3)&lt;=5000,5,IF($F429*IF($C429="売",1-$AX$3,1+$AX$3)&lt;=30000,10,IF($F429*IF($C429="売",1-$AX$3,1+$AX$3)&lt;=50000,50,IF($F429*IF($C429="売",1-$AX$3,1+$AX$3)&lt;=300000,100,500))))))))</f>
      </c>
      <c r="N429" s="599" t="str">
        <f>IF($F429="","",IF($C429="売",CEILING($F429*IF($C429="売",1+$AX$2,1-$AX$2),IF($F429*IF($C429="売",1+$AX$2,1-$AX$2)&lt;=3000,1,IF($F429*IF($C429="売",1+$AX$2,1-$AX$2)&lt;=5000,5,IF($F429*IF($C429="売",1+$AX$2,1-$AX$2)&lt;=30000,10,IF($F429*IF($C429="売",1+$AX$2,1-$AX$2)&lt;=50000,50,IF($F429*IF($C429="売",1+$AX$2,1-$AX$2)&lt;=300000,100,500)))))),FLOOR($F429*IF($C429="売",1+$AX$2,1-$AX$2),IF($F429*IF($C429="売",1+$AX$2,1-$AX$2)&lt;=3000,1,IF($F429*IF($C429="売",1+$AX$2,1-$AX$2)&lt;=5000,5,IF($F429*IF($C429="売",1+$AX$2,1-$AX$2)&lt;=30000,10,IF($F429*IF($C429="売",1+$AX$2,1-$AX$2)&lt;=50000,50,IF($F429*IF($C429="売",1+$AX$2,1-$AX$2)&lt;=300000,100,500))))))))</f>
      </c>
      <c r="O429" s="478" t="str">
        <f>IF(OR($B429="",$F429="",$H429=""),"",IF($S429="✅売却済","―決済済―",IF($C429="売",IF($H429&lt;=$M429,"🟢利確",IF(AND($R429&lt;&gt;"",$H429&gt;=$R429),"🟠TRAIL決済",IF($H429&gt;=$N429,"🔴損切",IF($W429&gt;=$AX$5,"⏱時間決済",IF($H429&gt;=$F429*(1+$AX$2*0.7),"⚠️損切接近","保持継続"))))),IF($H429&gt;=$M429,"🟢利確",IF(AND($R429&lt;&gt;"",$H429&lt;=$R429),"🟠TRAIL決済",IF($H429&lt;=$N429,"🔴損切",IF($W429&gt;=$AX$5,"⏱時間決済",IF($H429&lt;=$F429*(1-$AX$2*0.7),"⚠️損切接近","保持継続")))))))</f>
      </c>
      <c r="P429" s="445"/>
      <c r="R429" s="440" t="str">
        <f>IF(OR($F429="",$H429="",$N429=""),"",IF($S429="✅売却済","",IF($C429="売",IF($H429&gt;$F429*(1-$AX$2),$N429,CEILING(MIN($N429,IF($Q429="",$N429,$Q429*1.03)),IF($N429&lt;=3000,1,IF($N429&lt;=5000,5,IF($N429&lt;=30000,10,IF($N429&lt;=50000,50,IF($N429&lt;=300000,100,500))))))),IF($H429&lt;$F429*(1+$AX$2),$N429,FLOOR(MAX($N429,IF($P429="",$N429,$P429*0.97)),IF($N429&lt;=3000,1,IF($N429&lt;=5000,5,IF($N429&lt;=30000,10,IF($N429&lt;=50000,50,IF($N429&lt;=300000,100,500))))))))))</f>
      </c>
      <c r="S429" s="440" t="str">
        <f>IF(B429="","",IF(T429&lt;&gt;"","✅売却済",IF(OR(H429="",L429=""),"📌保有中",IF(L429&gt;=0.06,"🟢利確推奨",IF(L429&gt;=0.05,"🟡利確直近",IF(L429&gt;=0.045,"🔵トレーリング検討",IF(L429&gt;-0.03,"📌保有中",IF(L429&gt;-0.04,"⚠️損切注意","🔴損切り"))))))))</f>
        <v/>
      </c>
      <c r="T429" s="597"/>
      <c r="U429" s="599"/>
      <c r="V429" s="704" t="str">
        <f>IF(OR(F429="",G429="",U429=""),"",IF(C429="売",(F429-U429)*G429,(U429-F429)*G429))</f>
        <v/>
      </c>
      <c r="W429" s="440" t="str">
        <f>IF(OR($E429="",$B429=""),"",IF($T429&lt;&gt;"",$T429-$E429,TODAY()-$E429)+1)</f>
        <v/>
      </c>
      <c r="X429" s="440" t="str">
        <f>IF(OR($AH429="",$AH429="保有中"),"",$AH429)</f>
        <v/>
      </c>
      <c r="Y429">
        <f>IF($B429="","",IF(COUNTIFS($B$4:$B429,$B429,$C$4:$C429,$C429)&gt;1,"⛔重複"&amp;COUNTIFS($B$4:$B429,$B429,$C$4:$C429,$C429)&amp;"回目",""))</f>
      </c>
      <c r="AB429">
        <f>IF($F429="","",MAX(100,ROUNDDOWN($AX$4/($F429*$AX$2)/100,0)*100))</f>
      </c>
      <c r="AC429">
        <f>IF(OR($F429="",$G429="",$U429=""),"",ROUND($V429-($F429+$U429)*$G429*$AX$6-IF($C429="売",$F429*$G429*$AX$7*$W429/365,0),0))</f>
      </c>
      <c r="AD429" s="608"/>
      <c r="AE429" s="600" t="str">
        <f>IF($E429="","",WORKDAY($E429,12))</f>
        <v/>
      </c>
      <c r="AF429" s="600"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0"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0" t="str">
        <f>IF(OR($B429="",$M429=""),"",IF(AND(N($AF429)=0,N($AG429)=0),IF(AND(ISNUMBER($H429),$H429&gt;0,IF($C429="売",$H429&gt;=$N429,$H429&lt;=$N429)),"損切確定",IF(AND(ISNUMBER($H429),$H429&gt;0,IF($C429="売",$H429&lt;=$M429,$H429&gt;=$M429)),"利益確定",IF($AE429&lt;=TODAY(),"日数制限","保有中"))),IF(N($AG429)=0,"利益確定",IF(N($AF429)=0,"損切確定",IF($AG429&lt;=$AF429,"損切確定","利益確定")))))</f>
        <v/>
      </c>
      <c r="AI429" s="600" t="str" cm="1">
        <f t="array" ref="AI429">IFERROR(INDEX(始値!$E$6:$BT$305,MATCH(TEXT($B429,"0"),TEXT(銘柄管理!$B$6:$B$305,"0"),0),MATCH($AE429,始値!$E$3:$BT$3,0)),"")</f>
        <v/>
      </c>
      <c r="AJ429" s="608" t="str">
        <f>IF(OR($V429="",$F429="",$G429=""),"",$V429/($F429*$G429))</f>
        <v/>
      </c>
      <c r="AK429" s="600" t="str">
        <f>IF($V429="","",IF($V429&gt;0,"○勝",IF($V429&lt;0,"●負","△引分")))</f>
        <v/>
      </c>
    </row>
    <row r="430" spans="1:37" ht="17.25" customHeight="1">
      <c r="A430" s="622" t="str">
        <f>IF(B430="","",HYPERLINK("https://kabutan.jp/stock/?code="&amp;B430,"株探"))</f>
        <v/>
      </c>
      <c r="D430" s="440" t="str" cm="1">
        <f t="array" ref="D430">_xll.RssMarket(B430, "銘柄名称")</f>
        <v/>
      </c>
      <c r="E430" s="717"/>
      <c r="F430" s="6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IF(OR(F430="",G430="",H430=""),"",IF(C430="売",(F430-H430)*G430,(H430-F430)*G430))</f>
        <v/>
      </c>
      <c r="L430" s="709" t="str">
        <f>IF(OR(F430="",H430=""),"",IF(C430="売",(F430-H430)/F430,(H430-F430)/F430))</f>
        <v/>
      </c>
      <c r="M430" s="599" t="str">
        <f>IF($F430="","",IF($C430="売",CEILING($F430*IF($C430="売",1-$AX$3,1+$AX$3),IF($F430*IF($C430="売",1-$AX$3,1+$AX$3)&lt;=3000,1,IF($F430*IF($C430="売",1-$AX$3,1+$AX$3)&lt;=5000,5,IF($F430*IF($C430="売",1-$AX$3,1+$AX$3)&lt;=30000,10,IF($F430*IF($C430="売",1-$AX$3,1+$AX$3)&lt;=50000,50,IF($F430*IF($C430="売",1-$AX$3,1+$AX$3)&lt;=300000,100,500)))))),FLOOR($F430*IF($C430="売",1-$AX$3,1+$AX$3),IF($F430*IF($C430="売",1-$AX$3,1+$AX$3)&lt;=3000,1,IF($F430*IF($C430="売",1-$AX$3,1+$AX$3)&lt;=5000,5,IF($F430*IF($C430="売",1-$AX$3,1+$AX$3)&lt;=30000,10,IF($F430*IF($C430="売",1-$AX$3,1+$AX$3)&lt;=50000,50,IF($F430*IF($C430="売",1-$AX$3,1+$AX$3)&lt;=300000,100,500))))))))</f>
      </c>
      <c r="N430" s="599" t="str">
        <f>IF($F430="","",IF($C430="売",CEILING($F430*IF($C430="売",1+$AX$2,1-$AX$2),IF($F430*IF($C430="売",1+$AX$2,1-$AX$2)&lt;=3000,1,IF($F430*IF($C430="売",1+$AX$2,1-$AX$2)&lt;=5000,5,IF($F430*IF($C430="売",1+$AX$2,1-$AX$2)&lt;=30000,10,IF($F430*IF($C430="売",1+$AX$2,1-$AX$2)&lt;=50000,50,IF($F430*IF($C430="売",1+$AX$2,1-$AX$2)&lt;=300000,100,500)))))),FLOOR($F430*IF($C430="売",1+$AX$2,1-$AX$2),IF($F430*IF($C430="売",1+$AX$2,1-$AX$2)&lt;=3000,1,IF($F430*IF($C430="売",1+$AX$2,1-$AX$2)&lt;=5000,5,IF($F430*IF($C430="売",1+$AX$2,1-$AX$2)&lt;=30000,10,IF($F430*IF($C430="売",1+$AX$2,1-$AX$2)&lt;=50000,50,IF($F430*IF($C430="売",1+$AX$2,1-$AX$2)&lt;=300000,100,500))))))))</f>
      </c>
      <c r="O430" s="478" t="str">
        <f>IF(OR($B430="",$F430="",$H430=""),"",IF($S430="✅売却済","―決済済―",IF($C430="売",IF($H430&lt;=$M430,"🟢利確",IF(AND($R430&lt;&gt;"",$H430&gt;=$R430),"🟠TRAIL決済",IF($H430&gt;=$N430,"🔴損切",IF($W430&gt;=$AX$5,"⏱時間決済",IF($H430&gt;=$F430*(1+$AX$2*0.7),"⚠️損切接近","保持継続"))))),IF($H430&gt;=$M430,"🟢利確",IF(AND($R430&lt;&gt;"",$H430&lt;=$R430),"🟠TRAIL決済",IF($H430&lt;=$N430,"🔴損切",IF($W430&gt;=$AX$5,"⏱時間決済",IF($H430&lt;=$F430*(1-$AX$2*0.7),"⚠️損切接近","保持継続")))))))</f>
      </c>
      <c r="P430" s="445"/>
      <c r="R430" s="440" t="str">
        <f>IF(OR($F430="",$H430="",$N430=""),"",IF($S430="✅売却済","",IF($C430="売",IF($H430&gt;$F430*(1-$AX$2),$N430,CEILING(MIN($N430,IF($Q430="",$N430,$Q430*1.03)),IF($N430&lt;=3000,1,IF($N430&lt;=5000,5,IF($N430&lt;=30000,10,IF($N430&lt;=50000,50,IF($N430&lt;=300000,100,500))))))),IF($H430&lt;$F430*(1+$AX$2),$N430,FLOOR(MAX($N430,IF($P430="",$N430,$P430*0.97)),IF($N430&lt;=3000,1,IF($N430&lt;=5000,5,IF($N430&lt;=30000,10,IF($N430&lt;=50000,50,IF($N430&lt;=300000,100,500))))))))))</f>
      </c>
      <c r="S430" s="440" t="str">
        <f>IF(B430="","",IF(T430&lt;&gt;"","✅売却済",IF(OR(H430="",L430=""),"📌保有中",IF(L430&gt;=0.06,"🟢利確推奨",IF(L430&gt;=0.05,"🟡利確直近",IF(L430&gt;=0.045,"🔵トレーリング検討",IF(L430&gt;-0.03,"📌保有中",IF(L430&gt;-0.04,"⚠️損切注意","🔴損切り"))))))))</f>
        <v/>
      </c>
      <c r="T430" s="597"/>
      <c r="U430" s="599"/>
      <c r="V430" s="704" t="str">
        <f>IF(OR(F430="",G430="",U430=""),"",IF(C430="売",(F430-U430)*G430,(U430-F430)*G430))</f>
        <v/>
      </c>
      <c r="W430" s="440" t="str">
        <f>IF(OR($E430="",$B430=""),"",IF($T430&lt;&gt;"",$T430-$E430,TODAY()-$E430)+1)</f>
        <v/>
      </c>
      <c r="X430" s="440" t="str">
        <f>IF(OR($AH430="",$AH430="保有中"),"",$AH430)</f>
        <v/>
      </c>
      <c r="Y430">
        <f>IF($B430="","",IF(COUNTIFS($B$4:$B430,$B430,$C$4:$C430,$C430)&gt;1,"⛔重複"&amp;COUNTIFS($B$4:$B430,$B430,$C$4:$C430,$C430)&amp;"回目",""))</f>
      </c>
      <c r="AB430">
        <f>IF($F430="","",MAX(100,ROUNDDOWN($AX$4/($F430*$AX$2)/100,0)*100))</f>
      </c>
      <c r="AC430">
        <f>IF(OR($F430="",$G430="",$U430=""),"",ROUND($V430-($F430+$U430)*$G430*$AX$6-IF($C430="売",$F430*$G430*$AX$7*$W430/365,0),0))</f>
      </c>
      <c r="AD430" s="608"/>
      <c r="AE430" s="600" t="str">
        <f>IF($E430="","",WORKDAY($E430,12))</f>
        <v/>
      </c>
      <c r="AF430" s="600"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0"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0" t="str">
        <f>IF(OR($B430="",$M430=""),"",IF(AND(N($AF430)=0,N($AG430)=0),IF(AND(ISNUMBER($H430),$H430&gt;0,IF($C430="売",$H430&gt;=$N430,$H430&lt;=$N430)),"損切確定",IF(AND(ISNUMBER($H430),$H430&gt;0,IF($C430="売",$H430&lt;=$M430,$H430&gt;=$M430)),"利益確定",IF($AE430&lt;=TODAY(),"日数制限","保有中"))),IF(N($AG430)=0,"利益確定",IF(N($AF430)=0,"損切確定",IF($AG430&lt;=$AF430,"損切確定","利益確定")))))</f>
        <v/>
      </c>
      <c r="AI430" s="600" t="str" cm="1">
        <f t="array" ref="AI430">IFERROR(INDEX(始値!$E$6:$BT$305,MATCH(TEXT($B430,"0"),TEXT(銘柄管理!$B$6:$B$305,"0"),0),MATCH($AE430,始値!$E$3:$BT$3,0)),"")</f>
        <v/>
      </c>
      <c r="AJ430" s="608" t="str">
        <f>IF(OR($V430="",$F430="",$G430=""),"",$V430/($F430*$G430))</f>
        <v/>
      </c>
      <c r="AK430" s="600" t="str">
        <f>IF($V430="","",IF($V430&gt;0,"○勝",IF($V430&lt;0,"●負","△引分")))</f>
        <v/>
      </c>
    </row>
    <row r="431" spans="1:37" ht="17.25" customHeight="1">
      <c r="A431" s="622" t="str">
        <f>IF(B431="","",HYPERLINK("https://kabutan.jp/stock/?code="&amp;B431,"株探"))</f>
        <v/>
      </c>
      <c r="D431" s="440" t="str" cm="1">
        <f t="array" ref="D431">_xll.RssMarket(B431, "銘柄名称")</f>
        <v/>
      </c>
      <c r="E431" s="717"/>
      <c r="F431" s="6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IF(OR(F431="",G431="",H431=""),"",IF(C431="売",(F431-H431)*G431,(H431-F431)*G431))</f>
        <v/>
      </c>
      <c r="L431" s="709" t="str">
        <f>IF(OR(F431="",H431=""),"",IF(C431="売",(F431-H431)/F431,(H431-F431)/F431))</f>
        <v/>
      </c>
      <c r="M431" s="599" t="str">
        <f>IF($F431="","",IF($C431="売",CEILING($F431*IF($C431="売",1-$AX$3,1+$AX$3),IF($F431*IF($C431="売",1-$AX$3,1+$AX$3)&lt;=3000,1,IF($F431*IF($C431="売",1-$AX$3,1+$AX$3)&lt;=5000,5,IF($F431*IF($C431="売",1-$AX$3,1+$AX$3)&lt;=30000,10,IF($F431*IF($C431="売",1-$AX$3,1+$AX$3)&lt;=50000,50,IF($F431*IF($C431="売",1-$AX$3,1+$AX$3)&lt;=300000,100,500)))))),FLOOR($F431*IF($C431="売",1-$AX$3,1+$AX$3),IF($F431*IF($C431="売",1-$AX$3,1+$AX$3)&lt;=3000,1,IF($F431*IF($C431="売",1-$AX$3,1+$AX$3)&lt;=5000,5,IF($F431*IF($C431="売",1-$AX$3,1+$AX$3)&lt;=30000,10,IF($F431*IF($C431="売",1-$AX$3,1+$AX$3)&lt;=50000,50,IF($F431*IF($C431="売",1-$AX$3,1+$AX$3)&lt;=300000,100,500))))))))</f>
      </c>
      <c r="N431" s="599" t="str">
        <f>IF($F431="","",IF($C431="売",CEILING($F431*IF($C431="売",1+$AX$2,1-$AX$2),IF($F431*IF($C431="売",1+$AX$2,1-$AX$2)&lt;=3000,1,IF($F431*IF($C431="売",1+$AX$2,1-$AX$2)&lt;=5000,5,IF($F431*IF($C431="売",1+$AX$2,1-$AX$2)&lt;=30000,10,IF($F431*IF($C431="売",1+$AX$2,1-$AX$2)&lt;=50000,50,IF($F431*IF($C431="売",1+$AX$2,1-$AX$2)&lt;=300000,100,500)))))),FLOOR($F431*IF($C431="売",1+$AX$2,1-$AX$2),IF($F431*IF($C431="売",1+$AX$2,1-$AX$2)&lt;=3000,1,IF($F431*IF($C431="売",1+$AX$2,1-$AX$2)&lt;=5000,5,IF($F431*IF($C431="売",1+$AX$2,1-$AX$2)&lt;=30000,10,IF($F431*IF($C431="売",1+$AX$2,1-$AX$2)&lt;=50000,50,IF($F431*IF($C431="売",1+$AX$2,1-$AX$2)&lt;=300000,100,500))))))))</f>
      </c>
      <c r="O431" s="478" t="str">
        <f>IF(OR($B431="",$F431="",$H431=""),"",IF($S431="✅売却済","―決済済―",IF($C431="売",IF($H431&lt;=$M431,"🟢利確",IF(AND($R431&lt;&gt;"",$H431&gt;=$R431),"🟠TRAIL決済",IF($H431&gt;=$N431,"🔴損切",IF($W431&gt;=$AX$5,"⏱時間決済",IF($H431&gt;=$F431*(1+$AX$2*0.7),"⚠️損切接近","保持継続"))))),IF($H431&gt;=$M431,"🟢利確",IF(AND($R431&lt;&gt;"",$H431&lt;=$R431),"🟠TRAIL決済",IF($H431&lt;=$N431,"🔴損切",IF($W431&gt;=$AX$5,"⏱時間決済",IF($H431&lt;=$F431*(1-$AX$2*0.7),"⚠️損切接近","保持継続")))))))</f>
      </c>
      <c r="P431" s="445"/>
      <c r="R431" s="440" t="str">
        <f>IF(OR($F431="",$H431="",$N431=""),"",IF($S431="✅売却済","",IF($C431="売",IF($H431&gt;$F431*(1-$AX$2),$N431,CEILING(MIN($N431,IF($Q431="",$N431,$Q431*1.03)),IF($N431&lt;=3000,1,IF($N431&lt;=5000,5,IF($N431&lt;=30000,10,IF($N431&lt;=50000,50,IF($N431&lt;=300000,100,500))))))),IF($H431&lt;$F431*(1+$AX$2),$N431,FLOOR(MAX($N431,IF($P431="",$N431,$P431*0.97)),IF($N431&lt;=3000,1,IF($N431&lt;=5000,5,IF($N431&lt;=30000,10,IF($N431&lt;=50000,50,IF($N431&lt;=300000,100,500))))))))))</f>
      </c>
      <c r="S431" s="440" t="str">
        <f>IF(B431="","",IF(T431&lt;&gt;"","✅売却済",IF(OR(H431="",L431=""),"📌保有中",IF(L431&gt;=0.06,"🟢利確推奨",IF(L431&gt;=0.05,"🟡利確直近",IF(L431&gt;=0.045,"🔵トレーリング検討",IF(L431&gt;-0.03,"📌保有中",IF(L431&gt;-0.04,"⚠️損切注意","🔴損切り"))))))))</f>
        <v/>
      </c>
      <c r="T431" s="597"/>
      <c r="U431" s="599"/>
      <c r="V431" s="704" t="str">
        <f>IF(OR(F431="",G431="",U431=""),"",IF(C431="売",(F431-U431)*G431,(U431-F431)*G431))</f>
        <v/>
      </c>
      <c r="W431" s="440" t="str">
        <f>IF(OR($E431="",$B431=""),"",IF($T431&lt;&gt;"",$T431-$E431,TODAY()-$E431)+1)</f>
        <v/>
      </c>
      <c r="X431" s="440" t="str">
        <f>IF(OR($AH431="",$AH431="保有中"),"",$AH431)</f>
        <v/>
      </c>
      <c r="Y431">
        <f>IF($B431="","",IF(COUNTIFS($B$4:$B431,$B431,$C$4:$C431,$C431)&gt;1,"⛔重複"&amp;COUNTIFS($B$4:$B431,$B431,$C$4:$C431,$C431)&amp;"回目",""))</f>
      </c>
      <c r="AB431">
        <f>IF($F431="","",MAX(100,ROUNDDOWN($AX$4/($F431*$AX$2)/100,0)*100))</f>
      </c>
      <c r="AC431">
        <f>IF(OR($F431="",$G431="",$U431=""),"",ROUND($V431-($F431+$U431)*$G431*$AX$6-IF($C431="売",$F431*$G431*$AX$7*$W431/365,0),0))</f>
      </c>
      <c r="AD431" s="608"/>
      <c r="AE431" s="600" t="str">
        <f>IF($E431="","",WORKDAY($E431,12))</f>
        <v/>
      </c>
      <c r="AF431" s="600"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0"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0" t="str">
        <f>IF(OR($B431="",$M431=""),"",IF(AND(N($AF431)=0,N($AG431)=0),IF(AND(ISNUMBER($H431),$H431&gt;0,IF($C431="売",$H431&gt;=$N431,$H431&lt;=$N431)),"損切確定",IF(AND(ISNUMBER($H431),$H431&gt;0,IF($C431="売",$H431&lt;=$M431,$H431&gt;=$M431)),"利益確定",IF($AE431&lt;=TODAY(),"日数制限","保有中"))),IF(N($AG431)=0,"利益確定",IF(N($AF431)=0,"損切確定",IF($AG431&lt;=$AF431,"損切確定","利益確定")))))</f>
        <v/>
      </c>
      <c r="AI431" s="600" t="str" cm="1">
        <f t="array" ref="AI431">IFERROR(INDEX(始値!$E$6:$BT$305,MATCH(TEXT($B431,"0"),TEXT(銘柄管理!$B$6:$B$305,"0"),0),MATCH($AE431,始値!$E$3:$BT$3,0)),"")</f>
        <v/>
      </c>
      <c r="AJ431" s="608" t="str">
        <f>IF(OR($V431="",$F431="",$G431=""),"",$V431/($F431*$G431))</f>
        <v/>
      </c>
      <c r="AK431" s="600" t="str">
        <f>IF($V431="","",IF($V431&gt;0,"○勝",IF($V431&lt;0,"●負","△引分")))</f>
        <v/>
      </c>
    </row>
    <row r="432" spans="1:37" ht="17.25" customHeight="1">
      <c r="A432" s="622" t="str">
        <f>IF(B432="","",HYPERLINK("https://kabutan.jp/stock/?code="&amp;B432,"株探"))</f>
        <v/>
      </c>
      <c r="D432" s="440" t="str" cm="1">
        <f t="array" ref="D432">_xll.RssMarket(B432, "銘柄名称")</f>
        <v/>
      </c>
      <c r="E432" s="717"/>
      <c r="F432" s="6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IF(OR(F432="",G432="",H432=""),"",IF(C432="売",(F432-H432)*G432,(H432-F432)*G432))</f>
        <v/>
      </c>
      <c r="L432" s="709" t="str">
        <f>IF(OR(F432="",H432=""),"",IF(C432="売",(F432-H432)/F432,(H432-F432)/F432))</f>
        <v/>
      </c>
      <c r="M432" s="599" t="str">
        <f>IF($F432="","",IF($C432="売",CEILING($F432*IF($C432="売",1-$AX$3,1+$AX$3),IF($F432*IF($C432="売",1-$AX$3,1+$AX$3)&lt;=3000,1,IF($F432*IF($C432="売",1-$AX$3,1+$AX$3)&lt;=5000,5,IF($F432*IF($C432="売",1-$AX$3,1+$AX$3)&lt;=30000,10,IF($F432*IF($C432="売",1-$AX$3,1+$AX$3)&lt;=50000,50,IF($F432*IF($C432="売",1-$AX$3,1+$AX$3)&lt;=300000,100,500)))))),FLOOR($F432*IF($C432="売",1-$AX$3,1+$AX$3),IF($F432*IF($C432="売",1-$AX$3,1+$AX$3)&lt;=3000,1,IF($F432*IF($C432="売",1-$AX$3,1+$AX$3)&lt;=5000,5,IF($F432*IF($C432="売",1-$AX$3,1+$AX$3)&lt;=30000,10,IF($F432*IF($C432="売",1-$AX$3,1+$AX$3)&lt;=50000,50,IF($F432*IF($C432="売",1-$AX$3,1+$AX$3)&lt;=300000,100,500))))))))</f>
      </c>
      <c r="N432" s="599" t="str">
        <f>IF($F432="","",IF($C432="売",CEILING($F432*IF($C432="売",1+$AX$2,1-$AX$2),IF($F432*IF($C432="売",1+$AX$2,1-$AX$2)&lt;=3000,1,IF($F432*IF($C432="売",1+$AX$2,1-$AX$2)&lt;=5000,5,IF($F432*IF($C432="売",1+$AX$2,1-$AX$2)&lt;=30000,10,IF($F432*IF($C432="売",1+$AX$2,1-$AX$2)&lt;=50000,50,IF($F432*IF($C432="売",1+$AX$2,1-$AX$2)&lt;=300000,100,500)))))),FLOOR($F432*IF($C432="売",1+$AX$2,1-$AX$2),IF($F432*IF($C432="売",1+$AX$2,1-$AX$2)&lt;=3000,1,IF($F432*IF($C432="売",1+$AX$2,1-$AX$2)&lt;=5000,5,IF($F432*IF($C432="売",1+$AX$2,1-$AX$2)&lt;=30000,10,IF($F432*IF($C432="売",1+$AX$2,1-$AX$2)&lt;=50000,50,IF($F432*IF($C432="売",1+$AX$2,1-$AX$2)&lt;=300000,100,500))))))))</f>
      </c>
      <c r="O432" s="478" t="str">
        <f>IF(OR($B432="",$F432="",$H432=""),"",IF($S432="✅売却済","―決済済―",IF($C432="売",IF($H432&lt;=$M432,"🟢利確",IF(AND($R432&lt;&gt;"",$H432&gt;=$R432),"🟠TRAIL決済",IF($H432&gt;=$N432,"🔴損切",IF($W432&gt;=$AX$5,"⏱時間決済",IF($H432&gt;=$F432*(1+$AX$2*0.7),"⚠️損切接近","保持継続"))))),IF($H432&gt;=$M432,"🟢利確",IF(AND($R432&lt;&gt;"",$H432&lt;=$R432),"🟠TRAIL決済",IF($H432&lt;=$N432,"🔴損切",IF($W432&gt;=$AX$5,"⏱時間決済",IF($H432&lt;=$F432*(1-$AX$2*0.7),"⚠️損切接近","保持継続")))))))</f>
      </c>
      <c r="P432" s="445"/>
      <c r="R432" s="440" t="str">
        <f>IF(OR($F432="",$H432="",$N432=""),"",IF($S432="✅売却済","",IF($C432="売",IF($H432&gt;$F432*(1-$AX$2),$N432,CEILING(MIN($N432,IF($Q432="",$N432,$Q432*1.03)),IF($N432&lt;=3000,1,IF($N432&lt;=5000,5,IF($N432&lt;=30000,10,IF($N432&lt;=50000,50,IF($N432&lt;=300000,100,500))))))),IF($H432&lt;$F432*(1+$AX$2),$N432,FLOOR(MAX($N432,IF($P432="",$N432,$P432*0.97)),IF($N432&lt;=3000,1,IF($N432&lt;=5000,5,IF($N432&lt;=30000,10,IF($N432&lt;=50000,50,IF($N432&lt;=300000,100,500))))))))))</f>
      </c>
      <c r="S432" s="440" t="str">
        <f>IF(B432="","",IF(T432&lt;&gt;"","✅売却済",IF(OR(H432="",L432=""),"📌保有中",IF(L432&gt;=0.06,"🟢利確推奨",IF(L432&gt;=0.05,"🟡利確直近",IF(L432&gt;=0.045,"🔵トレーリング検討",IF(L432&gt;-0.03,"📌保有中",IF(L432&gt;-0.04,"⚠️損切注意","🔴損切り"))))))))</f>
        <v/>
      </c>
      <c r="T432" s="597"/>
      <c r="U432" s="599"/>
      <c r="V432" s="704" t="str">
        <f>IF(OR(F432="",G432="",U432=""),"",IF(C432="売",(F432-U432)*G432,(U432-F432)*G432))</f>
        <v/>
      </c>
      <c r="W432" s="440" t="str">
        <f>IF(OR($E432="",$B432=""),"",IF($T432&lt;&gt;"",$T432-$E432,TODAY()-$E432)+1)</f>
        <v/>
      </c>
      <c r="X432" s="440" t="str">
        <f>IF(OR($AH432="",$AH432="保有中"),"",$AH432)</f>
        <v/>
      </c>
      <c r="Y432">
        <f>IF($B432="","",IF(COUNTIFS($B$4:$B432,$B432,$C$4:$C432,$C432)&gt;1,"⛔重複"&amp;COUNTIFS($B$4:$B432,$B432,$C$4:$C432,$C432)&amp;"回目",""))</f>
      </c>
      <c r="AB432">
        <f>IF($F432="","",MAX(100,ROUNDDOWN($AX$4/($F432*$AX$2)/100,0)*100))</f>
      </c>
      <c r="AC432">
        <f>IF(OR($F432="",$G432="",$U432=""),"",ROUND($V432-($F432+$U432)*$G432*$AX$6-IF($C432="売",$F432*$G432*$AX$7*$W432/365,0),0))</f>
      </c>
      <c r="AD432" s="608"/>
      <c r="AE432" s="600" t="str">
        <f>IF($E432="","",WORKDAY($E432,12))</f>
        <v/>
      </c>
      <c r="AF432" s="600"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0"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0" t="str">
        <f>IF(OR($B432="",$M432=""),"",IF(AND(N($AF432)=0,N($AG432)=0),IF(AND(ISNUMBER($H432),$H432&gt;0,IF($C432="売",$H432&gt;=$N432,$H432&lt;=$N432)),"損切確定",IF(AND(ISNUMBER($H432),$H432&gt;0,IF($C432="売",$H432&lt;=$M432,$H432&gt;=$M432)),"利益確定",IF($AE432&lt;=TODAY(),"日数制限","保有中"))),IF(N($AG432)=0,"利益確定",IF(N($AF432)=0,"損切確定",IF($AG432&lt;=$AF432,"損切確定","利益確定")))))</f>
        <v/>
      </c>
      <c r="AI432" s="600" t="str" cm="1">
        <f t="array" ref="AI432">IFERROR(INDEX(始値!$E$6:$BT$305,MATCH(TEXT($B432,"0"),TEXT(銘柄管理!$B$6:$B$305,"0"),0),MATCH($AE432,始値!$E$3:$BT$3,0)),"")</f>
        <v/>
      </c>
      <c r="AJ432" s="608" t="str">
        <f>IF(OR($V432="",$F432="",$G432=""),"",$V432/($F432*$G432))</f>
        <v/>
      </c>
      <c r="AK432" s="600" t="str">
        <f>IF($V432="","",IF($V432&gt;0,"○勝",IF($V432&lt;0,"●負","△引分")))</f>
        <v/>
      </c>
    </row>
    <row r="433" spans="1:37" ht="17.25" customHeight="1">
      <c r="A433" s="622" t="str">
        <f>IF(B433="","",HYPERLINK("https://kabutan.jp/stock/?code="&amp;B433,"株探"))</f>
        <v/>
      </c>
      <c r="D433" s="440" t="str" cm="1">
        <f t="array" ref="D433">_xll.RssMarket(B433, "銘柄名称")</f>
        <v/>
      </c>
      <c r="E433" s="717"/>
      <c r="F433" s="6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IF(OR(F433="",G433="",H433=""),"",IF(C433="売",(F433-H433)*G433,(H433-F433)*G433))</f>
        <v/>
      </c>
      <c r="L433" s="709" t="str">
        <f>IF(OR(F433="",H433=""),"",IF(C433="売",(F433-H433)/F433,(H433-F433)/F433))</f>
        <v/>
      </c>
      <c r="M433" s="599" t="str">
        <f>IF($F433="","",IF($C433="売",CEILING($F433*IF($C433="売",1-$AX$3,1+$AX$3),IF($F433*IF($C433="売",1-$AX$3,1+$AX$3)&lt;=3000,1,IF($F433*IF($C433="売",1-$AX$3,1+$AX$3)&lt;=5000,5,IF($F433*IF($C433="売",1-$AX$3,1+$AX$3)&lt;=30000,10,IF($F433*IF($C433="売",1-$AX$3,1+$AX$3)&lt;=50000,50,IF($F433*IF($C433="売",1-$AX$3,1+$AX$3)&lt;=300000,100,500)))))),FLOOR($F433*IF($C433="売",1-$AX$3,1+$AX$3),IF($F433*IF($C433="売",1-$AX$3,1+$AX$3)&lt;=3000,1,IF($F433*IF($C433="売",1-$AX$3,1+$AX$3)&lt;=5000,5,IF($F433*IF($C433="売",1-$AX$3,1+$AX$3)&lt;=30000,10,IF($F433*IF($C433="売",1-$AX$3,1+$AX$3)&lt;=50000,50,IF($F433*IF($C433="売",1-$AX$3,1+$AX$3)&lt;=300000,100,500))))))))</f>
      </c>
      <c r="N433" s="599" t="str">
        <f>IF($F433="","",IF($C433="売",CEILING($F433*IF($C433="売",1+$AX$2,1-$AX$2),IF($F433*IF($C433="売",1+$AX$2,1-$AX$2)&lt;=3000,1,IF($F433*IF($C433="売",1+$AX$2,1-$AX$2)&lt;=5000,5,IF($F433*IF($C433="売",1+$AX$2,1-$AX$2)&lt;=30000,10,IF($F433*IF($C433="売",1+$AX$2,1-$AX$2)&lt;=50000,50,IF($F433*IF($C433="売",1+$AX$2,1-$AX$2)&lt;=300000,100,500)))))),FLOOR($F433*IF($C433="売",1+$AX$2,1-$AX$2),IF($F433*IF($C433="売",1+$AX$2,1-$AX$2)&lt;=3000,1,IF($F433*IF($C433="売",1+$AX$2,1-$AX$2)&lt;=5000,5,IF($F433*IF($C433="売",1+$AX$2,1-$AX$2)&lt;=30000,10,IF($F433*IF($C433="売",1+$AX$2,1-$AX$2)&lt;=50000,50,IF($F433*IF($C433="売",1+$AX$2,1-$AX$2)&lt;=300000,100,500))))))))</f>
      </c>
      <c r="O433" s="478" t="str">
        <f>IF(OR($B433="",$F433="",$H433=""),"",IF($S433="✅売却済","―決済済―",IF($C433="売",IF($H433&lt;=$M433,"🟢利確",IF(AND($R433&lt;&gt;"",$H433&gt;=$R433),"🟠TRAIL決済",IF($H433&gt;=$N433,"🔴損切",IF($W433&gt;=$AX$5,"⏱時間決済",IF($H433&gt;=$F433*(1+$AX$2*0.7),"⚠️損切接近","保持継続"))))),IF($H433&gt;=$M433,"🟢利確",IF(AND($R433&lt;&gt;"",$H433&lt;=$R433),"🟠TRAIL決済",IF($H433&lt;=$N433,"🔴損切",IF($W433&gt;=$AX$5,"⏱時間決済",IF($H433&lt;=$F433*(1-$AX$2*0.7),"⚠️損切接近","保持継続")))))))</f>
      </c>
      <c r="P433" s="445"/>
      <c r="R433" s="440" t="str">
        <f>IF(OR($F433="",$H433="",$N433=""),"",IF($S433="✅売却済","",IF($C433="売",IF($H433&gt;$F433*(1-$AX$2),$N433,CEILING(MIN($N433,IF($Q433="",$N433,$Q433*1.03)),IF($N433&lt;=3000,1,IF($N433&lt;=5000,5,IF($N433&lt;=30000,10,IF($N433&lt;=50000,50,IF($N433&lt;=300000,100,500))))))),IF($H433&lt;$F433*(1+$AX$2),$N433,FLOOR(MAX($N433,IF($P433="",$N433,$P433*0.97)),IF($N433&lt;=3000,1,IF($N433&lt;=5000,5,IF($N433&lt;=30000,10,IF($N433&lt;=50000,50,IF($N433&lt;=300000,100,500))))))))))</f>
      </c>
      <c r="S433" s="440" t="str">
        <f>IF(B433="","",IF(T433&lt;&gt;"","✅売却済",IF(OR(H433="",L433=""),"📌保有中",IF(L433&gt;=0.06,"🟢利確推奨",IF(L433&gt;=0.05,"🟡利確直近",IF(L433&gt;=0.045,"🔵トレーリング検討",IF(L433&gt;-0.03,"📌保有中",IF(L433&gt;-0.04,"⚠️損切注意","🔴損切り"))))))))</f>
        <v/>
      </c>
      <c r="T433" s="597"/>
      <c r="U433" s="599"/>
      <c r="V433" s="704" t="str">
        <f>IF(OR(F433="",G433="",U433=""),"",IF(C433="売",(F433-U433)*G433,(U433-F433)*G433))</f>
        <v/>
      </c>
      <c r="W433" s="440" t="str">
        <f>IF(OR($E433="",$B433=""),"",IF($T433&lt;&gt;"",$T433-$E433,TODAY()-$E433)+1)</f>
        <v/>
      </c>
      <c r="X433" s="440" t="str">
        <f>IF(OR($AH433="",$AH433="保有中"),"",$AH433)</f>
        <v/>
      </c>
      <c r="Y433">
        <f>IF($B433="","",IF(COUNTIFS($B$4:$B433,$B433,$C$4:$C433,$C433)&gt;1,"⛔重複"&amp;COUNTIFS($B$4:$B433,$B433,$C$4:$C433,$C433)&amp;"回目",""))</f>
      </c>
      <c r="AB433">
        <f>IF($F433="","",MAX(100,ROUNDDOWN($AX$4/($F433*$AX$2)/100,0)*100))</f>
      </c>
      <c r="AC433">
        <f>IF(OR($F433="",$G433="",$U433=""),"",ROUND($V433-($F433+$U433)*$G433*$AX$6-IF($C433="売",$F433*$G433*$AX$7*$W433/365,0),0))</f>
      </c>
      <c r="AD433" s="608"/>
      <c r="AE433" s="600" t="str">
        <f>IF($E433="","",WORKDAY($E433,12))</f>
        <v/>
      </c>
      <c r="AF433" s="600"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0"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0" t="str">
        <f>IF(OR($B433="",$M433=""),"",IF(AND(N($AF433)=0,N($AG433)=0),IF(AND(ISNUMBER($H433),$H433&gt;0,IF($C433="売",$H433&gt;=$N433,$H433&lt;=$N433)),"損切確定",IF(AND(ISNUMBER($H433),$H433&gt;0,IF($C433="売",$H433&lt;=$M433,$H433&gt;=$M433)),"利益確定",IF($AE433&lt;=TODAY(),"日数制限","保有中"))),IF(N($AG433)=0,"利益確定",IF(N($AF433)=0,"損切確定",IF($AG433&lt;=$AF433,"損切確定","利益確定")))))</f>
        <v/>
      </c>
      <c r="AI433" s="600" t="str" cm="1">
        <f t="array" ref="AI433">IFERROR(INDEX(始値!$E$6:$BT$305,MATCH(TEXT($B433,"0"),TEXT(銘柄管理!$B$6:$B$305,"0"),0),MATCH($AE433,始値!$E$3:$BT$3,0)),"")</f>
        <v/>
      </c>
      <c r="AJ433" s="608" t="str">
        <f>IF(OR($V433="",$F433="",$G433=""),"",$V433/($F433*$G433))</f>
        <v/>
      </c>
      <c r="AK433" s="600" t="str">
        <f>IF($V433="","",IF($V433&gt;0,"○勝",IF($V433&lt;0,"●負","△引分")))</f>
        <v/>
      </c>
    </row>
    <row r="434" spans="1:37" ht="17.25" customHeight="1">
      <c r="A434" s="622" t="str">
        <f>IF(B434="","",HYPERLINK("https://kabutan.jp/stock/?code="&amp;B434,"株探"))</f>
        <v/>
      </c>
      <c r="D434" s="440" t="str" cm="1">
        <f t="array" ref="D434">_xll.RssMarket(B434, "銘柄名称")</f>
        <v/>
      </c>
      <c r="E434" s="717"/>
      <c r="F434" s="6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IF(OR(F434="",G434="",H434=""),"",IF(C434="売",(F434-H434)*G434,(H434-F434)*G434))</f>
        <v/>
      </c>
      <c r="L434" s="709" t="str">
        <f>IF(OR(F434="",H434=""),"",IF(C434="売",(F434-H434)/F434,(H434-F434)/F434))</f>
        <v/>
      </c>
      <c r="M434" s="599" t="str">
        <f>IF($F434="","",IF($C434="売",CEILING($F434*IF($C434="売",1-$AX$3,1+$AX$3),IF($F434*IF($C434="売",1-$AX$3,1+$AX$3)&lt;=3000,1,IF($F434*IF($C434="売",1-$AX$3,1+$AX$3)&lt;=5000,5,IF($F434*IF($C434="売",1-$AX$3,1+$AX$3)&lt;=30000,10,IF($F434*IF($C434="売",1-$AX$3,1+$AX$3)&lt;=50000,50,IF($F434*IF($C434="売",1-$AX$3,1+$AX$3)&lt;=300000,100,500)))))),FLOOR($F434*IF($C434="売",1-$AX$3,1+$AX$3),IF($F434*IF($C434="売",1-$AX$3,1+$AX$3)&lt;=3000,1,IF($F434*IF($C434="売",1-$AX$3,1+$AX$3)&lt;=5000,5,IF($F434*IF($C434="売",1-$AX$3,1+$AX$3)&lt;=30000,10,IF($F434*IF($C434="売",1-$AX$3,1+$AX$3)&lt;=50000,50,IF($F434*IF($C434="売",1-$AX$3,1+$AX$3)&lt;=300000,100,500))))))))</f>
      </c>
      <c r="N434" s="599" t="str">
        <f>IF($F434="","",IF($C434="売",CEILING($F434*IF($C434="売",1+$AX$2,1-$AX$2),IF($F434*IF($C434="売",1+$AX$2,1-$AX$2)&lt;=3000,1,IF($F434*IF($C434="売",1+$AX$2,1-$AX$2)&lt;=5000,5,IF($F434*IF($C434="売",1+$AX$2,1-$AX$2)&lt;=30000,10,IF($F434*IF($C434="売",1+$AX$2,1-$AX$2)&lt;=50000,50,IF($F434*IF($C434="売",1+$AX$2,1-$AX$2)&lt;=300000,100,500)))))),FLOOR($F434*IF($C434="売",1+$AX$2,1-$AX$2),IF($F434*IF($C434="売",1+$AX$2,1-$AX$2)&lt;=3000,1,IF($F434*IF($C434="売",1+$AX$2,1-$AX$2)&lt;=5000,5,IF($F434*IF($C434="売",1+$AX$2,1-$AX$2)&lt;=30000,10,IF($F434*IF($C434="売",1+$AX$2,1-$AX$2)&lt;=50000,50,IF($F434*IF($C434="売",1+$AX$2,1-$AX$2)&lt;=300000,100,500))))))))</f>
      </c>
      <c r="O434" s="478" t="str">
        <f>IF(OR($B434="",$F434="",$H434=""),"",IF($S434="✅売却済","―決済済―",IF($C434="売",IF($H434&lt;=$M434,"🟢利確",IF(AND($R434&lt;&gt;"",$H434&gt;=$R434),"🟠TRAIL決済",IF($H434&gt;=$N434,"🔴損切",IF($W434&gt;=$AX$5,"⏱時間決済",IF($H434&gt;=$F434*(1+$AX$2*0.7),"⚠️損切接近","保持継続"))))),IF($H434&gt;=$M434,"🟢利確",IF(AND($R434&lt;&gt;"",$H434&lt;=$R434),"🟠TRAIL決済",IF($H434&lt;=$N434,"🔴損切",IF($W434&gt;=$AX$5,"⏱時間決済",IF($H434&lt;=$F434*(1-$AX$2*0.7),"⚠️損切接近","保持継続")))))))</f>
      </c>
      <c r="P434" s="445"/>
      <c r="R434" s="440" t="str">
        <f>IF(OR($F434="",$H434="",$N434=""),"",IF($S434="✅売却済","",IF($C434="売",IF($H434&gt;$F434*(1-$AX$2),$N434,CEILING(MIN($N434,IF($Q434="",$N434,$Q434*1.03)),IF($N434&lt;=3000,1,IF($N434&lt;=5000,5,IF($N434&lt;=30000,10,IF($N434&lt;=50000,50,IF($N434&lt;=300000,100,500))))))),IF($H434&lt;$F434*(1+$AX$2),$N434,FLOOR(MAX($N434,IF($P434="",$N434,$P434*0.97)),IF($N434&lt;=3000,1,IF($N434&lt;=5000,5,IF($N434&lt;=30000,10,IF($N434&lt;=50000,50,IF($N434&lt;=300000,100,500))))))))))</f>
      </c>
      <c r="S434" s="440" t="str">
        <f>IF(B434="","",IF(T434&lt;&gt;"","✅売却済",IF(OR(H434="",L434=""),"📌保有中",IF(L434&gt;=0.06,"🟢利確推奨",IF(L434&gt;=0.05,"🟡利確直近",IF(L434&gt;=0.045,"🔵トレーリング検討",IF(L434&gt;-0.03,"📌保有中",IF(L434&gt;-0.04,"⚠️損切注意","🔴損切り"))))))))</f>
        <v/>
      </c>
      <c r="T434" s="597"/>
      <c r="U434" s="599"/>
      <c r="V434" s="704" t="str">
        <f>IF(OR(F434="",G434="",U434=""),"",IF(C434="売",(F434-U434)*G434,(U434-F434)*G434))</f>
        <v/>
      </c>
      <c r="W434" s="440" t="str">
        <f>IF(OR($E434="",$B434=""),"",IF($T434&lt;&gt;"",$T434-$E434,TODAY()-$E434)+1)</f>
        <v/>
      </c>
      <c r="X434" s="440" t="str">
        <f>IF(OR($AH434="",$AH434="保有中"),"",$AH434)</f>
        <v/>
      </c>
      <c r="Y434">
        <f>IF($B434="","",IF(COUNTIFS($B$4:$B434,$B434,$C$4:$C434,$C434)&gt;1,"⛔重複"&amp;COUNTIFS($B$4:$B434,$B434,$C$4:$C434,$C434)&amp;"回目",""))</f>
      </c>
      <c r="AB434">
        <f>IF($F434="","",MAX(100,ROUNDDOWN($AX$4/($F434*$AX$2)/100,0)*100))</f>
      </c>
      <c r="AC434">
        <f>IF(OR($F434="",$G434="",$U434=""),"",ROUND($V434-($F434+$U434)*$G434*$AX$6-IF($C434="売",$F434*$G434*$AX$7*$W434/365,0),0))</f>
      </c>
      <c r="AD434" s="608"/>
      <c r="AE434" s="600" t="str">
        <f>IF($E434="","",WORKDAY($E434,12))</f>
        <v/>
      </c>
      <c r="AF434" s="600"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0"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0" t="str">
        <f>IF(OR($B434="",$M434=""),"",IF(AND(N($AF434)=0,N($AG434)=0),IF(AND(ISNUMBER($H434),$H434&gt;0,IF($C434="売",$H434&gt;=$N434,$H434&lt;=$N434)),"損切確定",IF(AND(ISNUMBER($H434),$H434&gt;0,IF($C434="売",$H434&lt;=$M434,$H434&gt;=$M434)),"利益確定",IF($AE434&lt;=TODAY(),"日数制限","保有中"))),IF(N($AG434)=0,"利益確定",IF(N($AF434)=0,"損切確定",IF($AG434&lt;=$AF434,"損切確定","利益確定")))))</f>
        <v/>
      </c>
      <c r="AI434" s="600" t="str" cm="1">
        <f t="array" ref="AI434">IFERROR(INDEX(始値!$E$6:$BT$305,MATCH(TEXT($B434,"0"),TEXT(銘柄管理!$B$6:$B$305,"0"),0),MATCH($AE434,始値!$E$3:$BT$3,0)),"")</f>
        <v/>
      </c>
      <c r="AJ434" s="608" t="str">
        <f>IF(OR($V434="",$F434="",$G434=""),"",$V434/($F434*$G434))</f>
        <v/>
      </c>
      <c r="AK434" s="600" t="str">
        <f>IF($V434="","",IF($V434&gt;0,"○勝",IF($V434&lt;0,"●負","△引分")))</f>
        <v/>
      </c>
    </row>
    <row r="435" spans="1:37" ht="17.25" customHeight="1">
      <c r="A435" s="622" t="str">
        <f>IF(B435="","",HYPERLINK("https://kabutan.jp/stock/?code="&amp;B435,"株探"))</f>
        <v/>
      </c>
      <c r="D435" s="440" t="str" cm="1">
        <f t="array" ref="D435">_xll.RssMarket(B435, "銘柄名称")</f>
        <v/>
      </c>
      <c r="E435" s="717"/>
      <c r="F435" s="6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IF(OR(F435="",G435="",H435=""),"",IF(C435="売",(F435-H435)*G435,(H435-F435)*G435))</f>
        <v/>
      </c>
      <c r="L435" s="709" t="str">
        <f>IF(OR(F435="",H435=""),"",IF(C435="売",(F435-H435)/F435,(H435-F435)/F435))</f>
        <v/>
      </c>
      <c r="M435" s="599" t="str">
        <f>IF($F435="","",IF($C435="売",CEILING($F435*IF($C435="売",1-$AX$3,1+$AX$3),IF($F435*IF($C435="売",1-$AX$3,1+$AX$3)&lt;=3000,1,IF($F435*IF($C435="売",1-$AX$3,1+$AX$3)&lt;=5000,5,IF($F435*IF($C435="売",1-$AX$3,1+$AX$3)&lt;=30000,10,IF($F435*IF($C435="売",1-$AX$3,1+$AX$3)&lt;=50000,50,IF($F435*IF($C435="売",1-$AX$3,1+$AX$3)&lt;=300000,100,500)))))),FLOOR($F435*IF($C435="売",1-$AX$3,1+$AX$3),IF($F435*IF($C435="売",1-$AX$3,1+$AX$3)&lt;=3000,1,IF($F435*IF($C435="売",1-$AX$3,1+$AX$3)&lt;=5000,5,IF($F435*IF($C435="売",1-$AX$3,1+$AX$3)&lt;=30000,10,IF($F435*IF($C435="売",1-$AX$3,1+$AX$3)&lt;=50000,50,IF($F435*IF($C435="売",1-$AX$3,1+$AX$3)&lt;=300000,100,500))))))))</f>
      </c>
      <c r="N435" s="599" t="str">
        <f>IF($F435="","",IF($C435="売",CEILING($F435*IF($C435="売",1+$AX$2,1-$AX$2),IF($F435*IF($C435="売",1+$AX$2,1-$AX$2)&lt;=3000,1,IF($F435*IF($C435="売",1+$AX$2,1-$AX$2)&lt;=5000,5,IF($F435*IF($C435="売",1+$AX$2,1-$AX$2)&lt;=30000,10,IF($F435*IF($C435="売",1+$AX$2,1-$AX$2)&lt;=50000,50,IF($F435*IF($C435="売",1+$AX$2,1-$AX$2)&lt;=300000,100,500)))))),FLOOR($F435*IF($C435="売",1+$AX$2,1-$AX$2),IF($F435*IF($C435="売",1+$AX$2,1-$AX$2)&lt;=3000,1,IF($F435*IF($C435="売",1+$AX$2,1-$AX$2)&lt;=5000,5,IF($F435*IF($C435="売",1+$AX$2,1-$AX$2)&lt;=30000,10,IF($F435*IF($C435="売",1+$AX$2,1-$AX$2)&lt;=50000,50,IF($F435*IF($C435="売",1+$AX$2,1-$AX$2)&lt;=300000,100,500))))))))</f>
      </c>
      <c r="O435" s="478" t="str">
        <f>IF(OR($B435="",$F435="",$H435=""),"",IF($S435="✅売却済","―決済済―",IF($C435="売",IF($H435&lt;=$M435,"🟢利確",IF(AND($R435&lt;&gt;"",$H435&gt;=$R435),"🟠TRAIL決済",IF($H435&gt;=$N435,"🔴損切",IF($W435&gt;=$AX$5,"⏱時間決済",IF($H435&gt;=$F435*(1+$AX$2*0.7),"⚠️損切接近","保持継続"))))),IF($H435&gt;=$M435,"🟢利確",IF(AND($R435&lt;&gt;"",$H435&lt;=$R435),"🟠TRAIL決済",IF($H435&lt;=$N435,"🔴損切",IF($W435&gt;=$AX$5,"⏱時間決済",IF($H435&lt;=$F435*(1-$AX$2*0.7),"⚠️損切接近","保持継続")))))))</f>
      </c>
      <c r="P435" s="445"/>
      <c r="R435" s="440" t="str">
        <f>IF(OR($F435="",$H435="",$N435=""),"",IF($S435="✅売却済","",IF($C435="売",IF($H435&gt;$F435*(1-$AX$2),$N435,CEILING(MIN($N435,IF($Q435="",$N435,$Q435*1.03)),IF($N435&lt;=3000,1,IF($N435&lt;=5000,5,IF($N435&lt;=30000,10,IF($N435&lt;=50000,50,IF($N435&lt;=300000,100,500))))))),IF($H435&lt;$F435*(1+$AX$2),$N435,FLOOR(MAX($N435,IF($P435="",$N435,$P435*0.97)),IF($N435&lt;=3000,1,IF($N435&lt;=5000,5,IF($N435&lt;=30000,10,IF($N435&lt;=50000,50,IF($N435&lt;=300000,100,500))))))))))</f>
      </c>
      <c r="S435" s="440" t="str">
        <f>IF(B435="","",IF(T435&lt;&gt;"","✅売却済",IF(OR(H435="",L435=""),"📌保有中",IF(L435&gt;=0.06,"🟢利確推奨",IF(L435&gt;=0.05,"🟡利確直近",IF(L435&gt;=0.045,"🔵トレーリング検討",IF(L435&gt;-0.03,"📌保有中",IF(L435&gt;-0.04,"⚠️損切注意","🔴損切り"))))))))</f>
        <v/>
      </c>
      <c r="T435" s="597"/>
      <c r="U435" s="599"/>
      <c r="V435" s="704" t="str">
        <f>IF(OR(F435="",G435="",U435=""),"",IF(C435="売",(F435-U435)*G435,(U435-F435)*G435))</f>
        <v/>
      </c>
      <c r="W435" s="440" t="str">
        <f>IF(OR($E435="",$B435=""),"",IF($T435&lt;&gt;"",$T435-$E435,TODAY()-$E435)+1)</f>
        <v/>
      </c>
      <c r="X435" s="440" t="str">
        <f>IF(OR($AH435="",$AH435="保有中"),"",$AH435)</f>
        <v/>
      </c>
      <c r="Y435">
        <f>IF($B435="","",IF(COUNTIFS($B$4:$B435,$B435,$C$4:$C435,$C435)&gt;1,"⛔重複"&amp;COUNTIFS($B$4:$B435,$B435,$C$4:$C435,$C435)&amp;"回目",""))</f>
      </c>
      <c r="AB435">
        <f>IF($F435="","",MAX(100,ROUNDDOWN($AX$4/($F435*$AX$2)/100,0)*100))</f>
      </c>
      <c r="AC435">
        <f>IF(OR($F435="",$G435="",$U435=""),"",ROUND($V435-($F435+$U435)*$G435*$AX$6-IF($C435="売",$F435*$G435*$AX$7*$W435/365,0),0))</f>
      </c>
      <c r="AD435" s="608"/>
      <c r="AE435" s="600" t="str">
        <f>IF($E435="","",WORKDAY($E435,12))</f>
        <v/>
      </c>
      <c r="AF435" s="600"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0"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0" t="str">
        <f>IF(OR($B435="",$M435=""),"",IF(AND(N($AF435)=0,N($AG435)=0),IF(AND(ISNUMBER($H435),$H435&gt;0,IF($C435="売",$H435&gt;=$N435,$H435&lt;=$N435)),"損切確定",IF(AND(ISNUMBER($H435),$H435&gt;0,IF($C435="売",$H435&lt;=$M435,$H435&gt;=$M435)),"利益確定",IF($AE435&lt;=TODAY(),"日数制限","保有中"))),IF(N($AG435)=0,"利益確定",IF(N($AF435)=0,"損切確定",IF($AG435&lt;=$AF435,"損切確定","利益確定")))))</f>
        <v/>
      </c>
      <c r="AI435" s="600" t="str" cm="1">
        <f t="array" ref="AI435">IFERROR(INDEX(始値!$E$6:$BT$305,MATCH(TEXT($B435,"0"),TEXT(銘柄管理!$B$6:$B$305,"0"),0),MATCH($AE435,始値!$E$3:$BT$3,0)),"")</f>
        <v/>
      </c>
      <c r="AJ435" s="608" t="str">
        <f>IF(OR($V435="",$F435="",$G435=""),"",$V435/($F435*$G435))</f>
        <v/>
      </c>
      <c r="AK435" s="600" t="str">
        <f>IF($V435="","",IF($V435&gt;0,"○勝",IF($V435&lt;0,"●負","△引分")))</f>
        <v/>
      </c>
    </row>
    <row r="436" spans="1:37" ht="17.25" customHeight="1">
      <c r="A436" s="622" t="str">
        <f>IF(B436="","",HYPERLINK("https://kabutan.jp/stock/?code="&amp;B436,"株探"))</f>
        <v/>
      </c>
      <c r="D436" s="440" t="str" cm="1">
        <f t="array" ref="D436">_xll.RssMarket(B436, "銘柄名称")</f>
        <v/>
      </c>
      <c r="E436" s="717"/>
      <c r="F436" s="6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IF(OR(F436="",G436="",H436=""),"",IF(C436="売",(F436-H436)*G436,(H436-F436)*G436))</f>
        <v/>
      </c>
      <c r="L436" s="709" t="str">
        <f>IF(OR(F436="",H436=""),"",IF(C436="売",(F436-H436)/F436,(H436-F436)/F436))</f>
        <v/>
      </c>
      <c r="M436" s="599" t="str">
        <f>IF($F436="","",IF($C436="売",CEILING($F436*IF($C436="売",1-$AX$3,1+$AX$3),IF($F436*IF($C436="売",1-$AX$3,1+$AX$3)&lt;=3000,1,IF($F436*IF($C436="売",1-$AX$3,1+$AX$3)&lt;=5000,5,IF($F436*IF($C436="売",1-$AX$3,1+$AX$3)&lt;=30000,10,IF($F436*IF($C436="売",1-$AX$3,1+$AX$3)&lt;=50000,50,IF($F436*IF($C436="売",1-$AX$3,1+$AX$3)&lt;=300000,100,500)))))),FLOOR($F436*IF($C436="売",1-$AX$3,1+$AX$3),IF($F436*IF($C436="売",1-$AX$3,1+$AX$3)&lt;=3000,1,IF($F436*IF($C436="売",1-$AX$3,1+$AX$3)&lt;=5000,5,IF($F436*IF($C436="売",1-$AX$3,1+$AX$3)&lt;=30000,10,IF($F436*IF($C436="売",1-$AX$3,1+$AX$3)&lt;=50000,50,IF($F436*IF($C436="売",1-$AX$3,1+$AX$3)&lt;=300000,100,500))))))))</f>
      </c>
      <c r="N436" s="599" t="str">
        <f>IF($F436="","",IF($C436="売",CEILING($F436*IF($C436="売",1+$AX$2,1-$AX$2),IF($F436*IF($C436="売",1+$AX$2,1-$AX$2)&lt;=3000,1,IF($F436*IF($C436="売",1+$AX$2,1-$AX$2)&lt;=5000,5,IF($F436*IF($C436="売",1+$AX$2,1-$AX$2)&lt;=30000,10,IF($F436*IF($C436="売",1+$AX$2,1-$AX$2)&lt;=50000,50,IF($F436*IF($C436="売",1+$AX$2,1-$AX$2)&lt;=300000,100,500)))))),FLOOR($F436*IF($C436="売",1+$AX$2,1-$AX$2),IF($F436*IF($C436="売",1+$AX$2,1-$AX$2)&lt;=3000,1,IF($F436*IF($C436="売",1+$AX$2,1-$AX$2)&lt;=5000,5,IF($F436*IF($C436="売",1+$AX$2,1-$AX$2)&lt;=30000,10,IF($F436*IF($C436="売",1+$AX$2,1-$AX$2)&lt;=50000,50,IF($F436*IF($C436="売",1+$AX$2,1-$AX$2)&lt;=300000,100,500))))))))</f>
      </c>
      <c r="O436" s="478" t="str">
        <f>IF(OR($B436="",$F436="",$H436=""),"",IF($S436="✅売却済","―決済済―",IF($C436="売",IF($H436&lt;=$M436,"🟢利確",IF(AND($R436&lt;&gt;"",$H436&gt;=$R436),"🟠TRAIL決済",IF($H436&gt;=$N436,"🔴損切",IF($W436&gt;=$AX$5,"⏱時間決済",IF($H436&gt;=$F436*(1+$AX$2*0.7),"⚠️損切接近","保持継続"))))),IF($H436&gt;=$M436,"🟢利確",IF(AND($R436&lt;&gt;"",$H436&lt;=$R436),"🟠TRAIL決済",IF($H436&lt;=$N436,"🔴損切",IF($W436&gt;=$AX$5,"⏱時間決済",IF($H436&lt;=$F436*(1-$AX$2*0.7),"⚠️損切接近","保持継続")))))))</f>
      </c>
      <c r="P436" s="445"/>
      <c r="R436" s="440" t="str">
        <f>IF(OR($F436="",$H436="",$N436=""),"",IF($S436="✅売却済","",IF($C436="売",IF($H436&gt;$F436*(1-$AX$2),$N436,CEILING(MIN($N436,IF($Q436="",$N436,$Q436*1.03)),IF($N436&lt;=3000,1,IF($N436&lt;=5000,5,IF($N436&lt;=30000,10,IF($N436&lt;=50000,50,IF($N436&lt;=300000,100,500))))))),IF($H436&lt;$F436*(1+$AX$2),$N436,FLOOR(MAX($N436,IF($P436="",$N436,$P436*0.97)),IF($N436&lt;=3000,1,IF($N436&lt;=5000,5,IF($N436&lt;=30000,10,IF($N436&lt;=50000,50,IF($N436&lt;=300000,100,500))))))))))</f>
      </c>
      <c r="S436" s="440" t="str">
        <f>IF(B436="","",IF(T436&lt;&gt;"","✅売却済",IF(OR(H436="",L436=""),"📌保有中",IF(L436&gt;=0.06,"🟢利確推奨",IF(L436&gt;=0.05,"🟡利確直近",IF(L436&gt;=0.045,"🔵トレーリング検討",IF(L436&gt;-0.03,"📌保有中",IF(L436&gt;-0.04,"⚠️損切注意","🔴損切り"))))))))</f>
        <v/>
      </c>
      <c r="T436" s="597"/>
      <c r="U436" s="599"/>
      <c r="V436" s="704" t="str">
        <f>IF(OR(F436="",G436="",U436=""),"",IF(C436="売",(F436-U436)*G436,(U436-F436)*G436))</f>
        <v/>
      </c>
      <c r="W436" s="440" t="str">
        <f>IF(OR($E436="",$B436=""),"",IF($T436&lt;&gt;"",$T436-$E436,TODAY()-$E436)+1)</f>
        <v/>
      </c>
      <c r="X436" s="440" t="str">
        <f>IF(OR($AH436="",$AH436="保有中"),"",$AH436)</f>
        <v/>
      </c>
      <c r="Y436">
        <f>IF($B436="","",IF(COUNTIFS($B$4:$B436,$B436,$C$4:$C436,$C436)&gt;1,"⛔重複"&amp;COUNTIFS($B$4:$B436,$B436,$C$4:$C436,$C436)&amp;"回目",""))</f>
      </c>
      <c r="AB436">
        <f>IF($F436="","",MAX(100,ROUNDDOWN($AX$4/($F436*$AX$2)/100,0)*100))</f>
      </c>
      <c r="AC436">
        <f>IF(OR($F436="",$G436="",$U436=""),"",ROUND($V436-($F436+$U436)*$G436*$AX$6-IF($C436="売",$F436*$G436*$AX$7*$W436/365,0),0))</f>
      </c>
      <c r="AD436" s="608"/>
      <c r="AE436" s="600" t="str">
        <f>IF($E436="","",WORKDAY($E436,12))</f>
        <v/>
      </c>
      <c r="AF436" s="600"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0"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0" t="str">
        <f>IF(OR($B436="",$M436=""),"",IF(AND(N($AF436)=0,N($AG436)=0),IF(AND(ISNUMBER($H436),$H436&gt;0,IF($C436="売",$H436&gt;=$N436,$H436&lt;=$N436)),"損切確定",IF(AND(ISNUMBER($H436),$H436&gt;0,IF($C436="売",$H436&lt;=$M436,$H436&gt;=$M436)),"利益確定",IF($AE436&lt;=TODAY(),"日数制限","保有中"))),IF(N($AG436)=0,"利益確定",IF(N($AF436)=0,"損切確定",IF($AG436&lt;=$AF436,"損切確定","利益確定")))))</f>
        <v/>
      </c>
      <c r="AI436" s="600" t="str" cm="1">
        <f t="array" ref="AI436">IFERROR(INDEX(始値!$E$6:$BT$305,MATCH(TEXT($B436,"0"),TEXT(銘柄管理!$B$6:$B$305,"0"),0),MATCH($AE436,始値!$E$3:$BT$3,0)),"")</f>
        <v/>
      </c>
      <c r="AJ436" s="608" t="str">
        <f>IF(OR($V436="",$F436="",$G436=""),"",$V436/($F436*$G436))</f>
        <v/>
      </c>
      <c r="AK436" s="600" t="str">
        <f>IF($V436="","",IF($V436&gt;0,"○勝",IF($V436&lt;0,"●負","△引分")))</f>
        <v/>
      </c>
    </row>
    <row r="437" spans="1:37" ht="17.25" customHeight="1">
      <c r="A437" s="622" t="str">
        <f>IF(B437="","",HYPERLINK("https://kabutan.jp/stock/?code="&amp;B437,"株探"))</f>
        <v/>
      </c>
      <c r="D437" s="440" t="str" cm="1">
        <f t="array" ref="D437">_xll.RssMarket(B437, "銘柄名称")</f>
        <v/>
      </c>
      <c r="E437" s="717"/>
      <c r="F437" s="6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IF(OR(F437="",G437="",H437=""),"",IF(C437="売",(F437-H437)*G437,(H437-F437)*G437))</f>
        <v/>
      </c>
      <c r="L437" s="709" t="str">
        <f>IF(OR(F437="",H437=""),"",IF(C437="売",(F437-H437)/F437,(H437-F437)/F437))</f>
        <v/>
      </c>
      <c r="M437" s="599" t="str">
        <f>IF($F437="","",IF($C437="売",CEILING($F437*IF($C437="売",1-$AX$3,1+$AX$3),IF($F437*IF($C437="売",1-$AX$3,1+$AX$3)&lt;=3000,1,IF($F437*IF($C437="売",1-$AX$3,1+$AX$3)&lt;=5000,5,IF($F437*IF($C437="売",1-$AX$3,1+$AX$3)&lt;=30000,10,IF($F437*IF($C437="売",1-$AX$3,1+$AX$3)&lt;=50000,50,IF($F437*IF($C437="売",1-$AX$3,1+$AX$3)&lt;=300000,100,500)))))),FLOOR($F437*IF($C437="売",1-$AX$3,1+$AX$3),IF($F437*IF($C437="売",1-$AX$3,1+$AX$3)&lt;=3000,1,IF($F437*IF($C437="売",1-$AX$3,1+$AX$3)&lt;=5000,5,IF($F437*IF($C437="売",1-$AX$3,1+$AX$3)&lt;=30000,10,IF($F437*IF($C437="売",1-$AX$3,1+$AX$3)&lt;=50000,50,IF($F437*IF($C437="売",1-$AX$3,1+$AX$3)&lt;=300000,100,500))))))))</f>
      </c>
      <c r="N437" s="599" t="str">
        <f>IF($F437="","",IF($C437="売",CEILING($F437*IF($C437="売",1+$AX$2,1-$AX$2),IF($F437*IF($C437="売",1+$AX$2,1-$AX$2)&lt;=3000,1,IF($F437*IF($C437="売",1+$AX$2,1-$AX$2)&lt;=5000,5,IF($F437*IF($C437="売",1+$AX$2,1-$AX$2)&lt;=30000,10,IF($F437*IF($C437="売",1+$AX$2,1-$AX$2)&lt;=50000,50,IF($F437*IF($C437="売",1+$AX$2,1-$AX$2)&lt;=300000,100,500)))))),FLOOR($F437*IF($C437="売",1+$AX$2,1-$AX$2),IF($F437*IF($C437="売",1+$AX$2,1-$AX$2)&lt;=3000,1,IF($F437*IF($C437="売",1+$AX$2,1-$AX$2)&lt;=5000,5,IF($F437*IF($C437="売",1+$AX$2,1-$AX$2)&lt;=30000,10,IF($F437*IF($C437="売",1+$AX$2,1-$AX$2)&lt;=50000,50,IF($F437*IF($C437="売",1+$AX$2,1-$AX$2)&lt;=300000,100,500))))))))</f>
      </c>
      <c r="O437" s="478" t="str">
        <f>IF(OR($B437="",$F437="",$H437=""),"",IF($S437="✅売却済","―決済済―",IF($C437="売",IF($H437&lt;=$M437,"🟢利確",IF(AND($R437&lt;&gt;"",$H437&gt;=$R437),"🟠TRAIL決済",IF($H437&gt;=$N437,"🔴損切",IF($W437&gt;=$AX$5,"⏱時間決済",IF($H437&gt;=$F437*(1+$AX$2*0.7),"⚠️損切接近","保持継続"))))),IF($H437&gt;=$M437,"🟢利確",IF(AND($R437&lt;&gt;"",$H437&lt;=$R437),"🟠TRAIL決済",IF($H437&lt;=$N437,"🔴損切",IF($W437&gt;=$AX$5,"⏱時間決済",IF($H437&lt;=$F437*(1-$AX$2*0.7),"⚠️損切接近","保持継続")))))))</f>
      </c>
      <c r="P437" s="445"/>
      <c r="R437" s="440" t="str">
        <f>IF(OR($F437="",$H437="",$N437=""),"",IF($S437="✅売却済","",IF($C437="売",IF($H437&gt;$F437*(1-$AX$2),$N437,CEILING(MIN($N437,IF($Q437="",$N437,$Q437*1.03)),IF($N437&lt;=3000,1,IF($N437&lt;=5000,5,IF($N437&lt;=30000,10,IF($N437&lt;=50000,50,IF($N437&lt;=300000,100,500))))))),IF($H437&lt;$F437*(1+$AX$2),$N437,FLOOR(MAX($N437,IF($P437="",$N437,$P437*0.97)),IF($N437&lt;=3000,1,IF($N437&lt;=5000,5,IF($N437&lt;=30000,10,IF($N437&lt;=50000,50,IF($N437&lt;=300000,100,500))))))))))</f>
      </c>
      <c r="S437" s="440" t="str">
        <f>IF(B437="","",IF(T437&lt;&gt;"","✅売却済",IF(OR(H437="",L437=""),"📌保有中",IF(L437&gt;=0.06,"🟢利確推奨",IF(L437&gt;=0.05,"🟡利確直近",IF(L437&gt;=0.045,"🔵トレーリング検討",IF(L437&gt;-0.03,"📌保有中",IF(L437&gt;-0.04,"⚠️損切注意","🔴損切り"))))))))</f>
        <v/>
      </c>
      <c r="T437" s="597"/>
      <c r="U437" s="599"/>
      <c r="V437" s="704" t="str">
        <f>IF(OR(F437="",G437="",U437=""),"",IF(C437="売",(F437-U437)*G437,(U437-F437)*G437))</f>
        <v/>
      </c>
      <c r="W437" s="440" t="str">
        <f>IF(OR($E437="",$B437=""),"",IF($T437&lt;&gt;"",$T437-$E437,TODAY()-$E437)+1)</f>
        <v/>
      </c>
      <c r="X437" s="440" t="str">
        <f>IF(OR($AH437="",$AH437="保有中"),"",$AH437)</f>
        <v/>
      </c>
      <c r="Y437">
        <f>IF($B437="","",IF(COUNTIFS($B$4:$B437,$B437,$C$4:$C437,$C437)&gt;1,"⛔重複"&amp;COUNTIFS($B$4:$B437,$B437,$C$4:$C437,$C437)&amp;"回目",""))</f>
      </c>
      <c r="AB437">
        <f>IF($F437="","",MAX(100,ROUNDDOWN($AX$4/($F437*$AX$2)/100,0)*100))</f>
      </c>
      <c r="AC437">
        <f>IF(OR($F437="",$G437="",$U437=""),"",ROUND($V437-($F437+$U437)*$G437*$AX$6-IF($C437="売",$F437*$G437*$AX$7*$W437/365,0),0))</f>
      </c>
      <c r="AD437" s="608"/>
      <c r="AE437" s="600" t="str">
        <f>IF($E437="","",WORKDAY($E437,12))</f>
        <v/>
      </c>
      <c r="AF437" s="600"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0"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0" t="str">
        <f>IF(OR($B437="",$M437=""),"",IF(AND(N($AF437)=0,N($AG437)=0),IF(AND(ISNUMBER($H437),$H437&gt;0,IF($C437="売",$H437&gt;=$N437,$H437&lt;=$N437)),"損切確定",IF(AND(ISNUMBER($H437),$H437&gt;0,IF($C437="売",$H437&lt;=$M437,$H437&gt;=$M437)),"利益確定",IF($AE437&lt;=TODAY(),"日数制限","保有中"))),IF(N($AG437)=0,"利益確定",IF(N($AF437)=0,"損切確定",IF($AG437&lt;=$AF437,"損切確定","利益確定")))))</f>
        <v/>
      </c>
      <c r="AI437" s="600" t="str" cm="1">
        <f t="array" ref="AI437">IFERROR(INDEX(始値!$E$6:$BT$305,MATCH(TEXT($B437,"0"),TEXT(銘柄管理!$B$6:$B$305,"0"),0),MATCH($AE437,始値!$E$3:$BT$3,0)),"")</f>
        <v/>
      </c>
      <c r="AJ437" s="608" t="str">
        <f>IF(OR($V437="",$F437="",$G437=""),"",$V437/($F437*$G437))</f>
        <v/>
      </c>
      <c r="AK437" s="600" t="str">
        <f>IF($V437="","",IF($V437&gt;0,"○勝",IF($V437&lt;0,"●負","△引分")))</f>
        <v/>
      </c>
    </row>
    <row r="438" spans="1:37" ht="17.25" customHeight="1">
      <c r="A438" s="622" t="str">
        <f>IF(B438="","",HYPERLINK("https://kabutan.jp/stock/?code="&amp;B438,"株探"))</f>
        <v/>
      </c>
      <c r="D438" s="440" t="str" cm="1">
        <f t="array" ref="D438">_xll.RssMarket(B438, "銘柄名称")</f>
        <v/>
      </c>
      <c r="E438" s="717"/>
      <c r="F438" s="6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IF(OR(F438="",G438="",H438=""),"",IF(C438="売",(F438-H438)*G438,(H438-F438)*G438))</f>
        <v/>
      </c>
      <c r="L438" s="709" t="str">
        <f>IF(OR(F438="",H438=""),"",IF(C438="売",(F438-H438)/F438,(H438-F438)/F438))</f>
        <v/>
      </c>
      <c r="M438" s="599" t="str">
        <f>IF($F438="","",IF($C438="売",CEILING($F438*IF($C438="売",1-$AX$3,1+$AX$3),IF($F438*IF($C438="売",1-$AX$3,1+$AX$3)&lt;=3000,1,IF($F438*IF($C438="売",1-$AX$3,1+$AX$3)&lt;=5000,5,IF($F438*IF($C438="売",1-$AX$3,1+$AX$3)&lt;=30000,10,IF($F438*IF($C438="売",1-$AX$3,1+$AX$3)&lt;=50000,50,IF($F438*IF($C438="売",1-$AX$3,1+$AX$3)&lt;=300000,100,500)))))),FLOOR($F438*IF($C438="売",1-$AX$3,1+$AX$3),IF($F438*IF($C438="売",1-$AX$3,1+$AX$3)&lt;=3000,1,IF($F438*IF($C438="売",1-$AX$3,1+$AX$3)&lt;=5000,5,IF($F438*IF($C438="売",1-$AX$3,1+$AX$3)&lt;=30000,10,IF($F438*IF($C438="売",1-$AX$3,1+$AX$3)&lt;=50000,50,IF($F438*IF($C438="売",1-$AX$3,1+$AX$3)&lt;=300000,100,500))))))))</f>
      </c>
      <c r="N438" s="599" t="str">
        <f>IF($F438="","",IF($C438="売",CEILING($F438*IF($C438="売",1+$AX$2,1-$AX$2),IF($F438*IF($C438="売",1+$AX$2,1-$AX$2)&lt;=3000,1,IF($F438*IF($C438="売",1+$AX$2,1-$AX$2)&lt;=5000,5,IF($F438*IF($C438="売",1+$AX$2,1-$AX$2)&lt;=30000,10,IF($F438*IF($C438="売",1+$AX$2,1-$AX$2)&lt;=50000,50,IF($F438*IF($C438="売",1+$AX$2,1-$AX$2)&lt;=300000,100,500)))))),FLOOR($F438*IF($C438="売",1+$AX$2,1-$AX$2),IF($F438*IF($C438="売",1+$AX$2,1-$AX$2)&lt;=3000,1,IF($F438*IF($C438="売",1+$AX$2,1-$AX$2)&lt;=5000,5,IF($F438*IF($C438="売",1+$AX$2,1-$AX$2)&lt;=30000,10,IF($F438*IF($C438="売",1+$AX$2,1-$AX$2)&lt;=50000,50,IF($F438*IF($C438="売",1+$AX$2,1-$AX$2)&lt;=300000,100,500))))))))</f>
      </c>
      <c r="O438" s="478" t="str">
        <f>IF(OR($B438="",$F438="",$H438=""),"",IF($S438="✅売却済","―決済済―",IF($C438="売",IF($H438&lt;=$M438,"🟢利確",IF(AND($R438&lt;&gt;"",$H438&gt;=$R438),"🟠TRAIL決済",IF($H438&gt;=$N438,"🔴損切",IF($W438&gt;=$AX$5,"⏱時間決済",IF($H438&gt;=$F438*(1+$AX$2*0.7),"⚠️損切接近","保持継続"))))),IF($H438&gt;=$M438,"🟢利確",IF(AND($R438&lt;&gt;"",$H438&lt;=$R438),"🟠TRAIL決済",IF($H438&lt;=$N438,"🔴損切",IF($W438&gt;=$AX$5,"⏱時間決済",IF($H438&lt;=$F438*(1-$AX$2*0.7),"⚠️損切接近","保持継続")))))))</f>
      </c>
      <c r="P438" s="445"/>
      <c r="R438" s="440" t="str">
        <f>IF(OR($F438="",$H438="",$N438=""),"",IF($S438="✅売却済","",IF($C438="売",IF($H438&gt;$F438*(1-$AX$2),$N438,CEILING(MIN($N438,IF($Q438="",$N438,$Q438*1.03)),IF($N438&lt;=3000,1,IF($N438&lt;=5000,5,IF($N438&lt;=30000,10,IF($N438&lt;=50000,50,IF($N438&lt;=300000,100,500))))))),IF($H438&lt;$F438*(1+$AX$2),$N438,FLOOR(MAX($N438,IF($P438="",$N438,$P438*0.97)),IF($N438&lt;=3000,1,IF($N438&lt;=5000,5,IF($N438&lt;=30000,10,IF($N438&lt;=50000,50,IF($N438&lt;=300000,100,500))))))))))</f>
      </c>
      <c r="S438" s="440" t="str">
        <f>IF(B438="","",IF(T438&lt;&gt;"","✅売却済",IF(OR(H438="",L438=""),"📌保有中",IF(L438&gt;=0.06,"🟢利確推奨",IF(L438&gt;=0.05,"🟡利確直近",IF(L438&gt;=0.045,"🔵トレーリング検討",IF(L438&gt;-0.03,"📌保有中",IF(L438&gt;-0.04,"⚠️損切注意","🔴損切り"))))))))</f>
        <v/>
      </c>
      <c r="T438" s="597"/>
      <c r="U438" s="599"/>
      <c r="V438" s="704" t="str">
        <f>IF(OR(F438="",G438="",U438=""),"",IF(C438="売",(F438-U438)*G438,(U438-F438)*G438))</f>
        <v/>
      </c>
      <c r="W438" s="440" t="str">
        <f>IF(OR($E438="",$B438=""),"",IF($T438&lt;&gt;"",$T438-$E438,TODAY()-$E438)+1)</f>
        <v/>
      </c>
      <c r="X438" s="440" t="str">
        <f>IF(OR($AH438="",$AH438="保有中"),"",$AH438)</f>
        <v/>
      </c>
      <c r="Y438">
        <f>IF($B438="","",IF(COUNTIFS($B$4:$B438,$B438,$C$4:$C438,$C438)&gt;1,"⛔重複"&amp;COUNTIFS($B$4:$B438,$B438,$C$4:$C438,$C438)&amp;"回目",""))</f>
      </c>
      <c r="AB438">
        <f>IF($F438="","",MAX(100,ROUNDDOWN($AX$4/($F438*$AX$2)/100,0)*100))</f>
      </c>
      <c r="AC438">
        <f>IF(OR($F438="",$G438="",$U438=""),"",ROUND($V438-($F438+$U438)*$G438*$AX$6-IF($C438="売",$F438*$G438*$AX$7*$W438/365,0),0))</f>
      </c>
      <c r="AD438" s="608"/>
      <c r="AE438" s="600" t="str">
        <f>IF($E438="","",WORKDAY($E438,12))</f>
        <v/>
      </c>
      <c r="AF438" s="600"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0"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0" t="str">
        <f>IF(OR($B438="",$M438=""),"",IF(AND(N($AF438)=0,N($AG438)=0),IF(AND(ISNUMBER($H438),$H438&gt;0,IF($C438="売",$H438&gt;=$N438,$H438&lt;=$N438)),"損切確定",IF(AND(ISNUMBER($H438),$H438&gt;0,IF($C438="売",$H438&lt;=$M438,$H438&gt;=$M438)),"利益確定",IF($AE438&lt;=TODAY(),"日数制限","保有中"))),IF(N($AG438)=0,"利益確定",IF(N($AF438)=0,"損切確定",IF($AG438&lt;=$AF438,"損切確定","利益確定")))))</f>
        <v/>
      </c>
      <c r="AI438" s="600" t="str" cm="1">
        <f t="array" ref="AI438">IFERROR(INDEX(始値!$E$6:$BT$305,MATCH(TEXT($B438,"0"),TEXT(銘柄管理!$B$6:$B$305,"0"),0),MATCH($AE438,始値!$E$3:$BT$3,0)),"")</f>
        <v/>
      </c>
      <c r="AJ438" s="608" t="str">
        <f>IF(OR($V438="",$F438="",$G438=""),"",$V438/($F438*$G438))</f>
        <v/>
      </c>
      <c r="AK438" s="600" t="str">
        <f>IF($V438="","",IF($V438&gt;0,"○勝",IF($V438&lt;0,"●負","△引分")))</f>
        <v/>
      </c>
    </row>
    <row r="439" spans="1:37" ht="17.25" customHeight="1">
      <c r="A439" s="622" t="str">
        <f>IF(B439="","",HYPERLINK("https://kabutan.jp/stock/?code="&amp;B439,"株探"))</f>
        <v/>
      </c>
      <c r="D439" s="440" t="str" cm="1">
        <f t="array" ref="D439">_xll.RssMarket(B439, "銘柄名称")</f>
        <v/>
      </c>
      <c r="E439" s="717"/>
      <c r="F439" s="6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IF(OR(F439="",G439="",H439=""),"",IF(C439="売",(F439-H439)*G439,(H439-F439)*G439))</f>
        <v/>
      </c>
      <c r="L439" s="709" t="str">
        <f>IF(OR(F439="",H439=""),"",IF(C439="売",(F439-H439)/F439,(H439-F439)/F439))</f>
        <v/>
      </c>
      <c r="M439" s="599" t="str">
        <f>IF($F439="","",IF($C439="売",CEILING($F439*IF($C439="売",1-$AX$3,1+$AX$3),IF($F439*IF($C439="売",1-$AX$3,1+$AX$3)&lt;=3000,1,IF($F439*IF($C439="売",1-$AX$3,1+$AX$3)&lt;=5000,5,IF($F439*IF($C439="売",1-$AX$3,1+$AX$3)&lt;=30000,10,IF($F439*IF($C439="売",1-$AX$3,1+$AX$3)&lt;=50000,50,IF($F439*IF($C439="売",1-$AX$3,1+$AX$3)&lt;=300000,100,500)))))),FLOOR($F439*IF($C439="売",1-$AX$3,1+$AX$3),IF($F439*IF($C439="売",1-$AX$3,1+$AX$3)&lt;=3000,1,IF($F439*IF($C439="売",1-$AX$3,1+$AX$3)&lt;=5000,5,IF($F439*IF($C439="売",1-$AX$3,1+$AX$3)&lt;=30000,10,IF($F439*IF($C439="売",1-$AX$3,1+$AX$3)&lt;=50000,50,IF($F439*IF($C439="売",1-$AX$3,1+$AX$3)&lt;=300000,100,500))))))))</f>
      </c>
      <c r="N439" s="599" t="str">
        <f>IF($F439="","",IF($C439="売",CEILING($F439*IF($C439="売",1+$AX$2,1-$AX$2),IF($F439*IF($C439="売",1+$AX$2,1-$AX$2)&lt;=3000,1,IF($F439*IF($C439="売",1+$AX$2,1-$AX$2)&lt;=5000,5,IF($F439*IF($C439="売",1+$AX$2,1-$AX$2)&lt;=30000,10,IF($F439*IF($C439="売",1+$AX$2,1-$AX$2)&lt;=50000,50,IF($F439*IF($C439="売",1+$AX$2,1-$AX$2)&lt;=300000,100,500)))))),FLOOR($F439*IF($C439="売",1+$AX$2,1-$AX$2),IF($F439*IF($C439="売",1+$AX$2,1-$AX$2)&lt;=3000,1,IF($F439*IF($C439="売",1+$AX$2,1-$AX$2)&lt;=5000,5,IF($F439*IF($C439="売",1+$AX$2,1-$AX$2)&lt;=30000,10,IF($F439*IF($C439="売",1+$AX$2,1-$AX$2)&lt;=50000,50,IF($F439*IF($C439="売",1+$AX$2,1-$AX$2)&lt;=300000,100,500))))))))</f>
      </c>
      <c r="O439" s="478" t="str">
        <f>IF(OR($B439="",$F439="",$H439=""),"",IF($S439="✅売却済","―決済済―",IF($C439="売",IF($H439&lt;=$M439,"🟢利確",IF(AND($R439&lt;&gt;"",$H439&gt;=$R439),"🟠TRAIL決済",IF($H439&gt;=$N439,"🔴損切",IF($W439&gt;=$AX$5,"⏱時間決済",IF($H439&gt;=$F439*(1+$AX$2*0.7),"⚠️損切接近","保持継続"))))),IF($H439&gt;=$M439,"🟢利確",IF(AND($R439&lt;&gt;"",$H439&lt;=$R439),"🟠TRAIL決済",IF($H439&lt;=$N439,"🔴損切",IF($W439&gt;=$AX$5,"⏱時間決済",IF($H439&lt;=$F439*(1-$AX$2*0.7),"⚠️損切接近","保持継続")))))))</f>
      </c>
      <c r="P439" s="445"/>
      <c r="R439" s="440" t="str">
        <f>IF(OR($F439="",$H439="",$N439=""),"",IF($S439="✅売却済","",IF($C439="売",IF($H439&gt;$F439*(1-$AX$2),$N439,CEILING(MIN($N439,IF($Q439="",$N439,$Q439*1.03)),IF($N439&lt;=3000,1,IF($N439&lt;=5000,5,IF($N439&lt;=30000,10,IF($N439&lt;=50000,50,IF($N439&lt;=300000,100,500))))))),IF($H439&lt;$F439*(1+$AX$2),$N439,FLOOR(MAX($N439,IF($P439="",$N439,$P439*0.97)),IF($N439&lt;=3000,1,IF($N439&lt;=5000,5,IF($N439&lt;=30000,10,IF($N439&lt;=50000,50,IF($N439&lt;=300000,100,500))))))))))</f>
      </c>
      <c r="S439" s="440" t="str">
        <f>IF(B439="","",IF(T439&lt;&gt;"","✅売却済",IF(OR(H439="",L439=""),"📌保有中",IF(L439&gt;=0.06,"🟢利確推奨",IF(L439&gt;=0.05,"🟡利確直近",IF(L439&gt;=0.045,"🔵トレーリング検討",IF(L439&gt;-0.03,"📌保有中",IF(L439&gt;-0.04,"⚠️損切注意","🔴損切り"))))))))</f>
        <v/>
      </c>
      <c r="T439" s="597"/>
      <c r="U439" s="599"/>
      <c r="V439" s="704" t="str">
        <f>IF(OR(F439="",G439="",U439=""),"",IF(C439="売",(F439-U439)*G439,(U439-F439)*G439))</f>
        <v/>
      </c>
      <c r="W439" s="440" t="str">
        <f>IF(OR($E439="",$B439=""),"",IF($T439&lt;&gt;"",$T439-$E439,TODAY()-$E439)+1)</f>
        <v/>
      </c>
      <c r="X439" s="440" t="str">
        <f>IF(OR($AH439="",$AH439="保有中"),"",$AH439)</f>
        <v/>
      </c>
      <c r="Y439">
        <f>IF($B439="","",IF(COUNTIFS($B$4:$B439,$B439,$C$4:$C439,$C439)&gt;1,"⛔重複"&amp;COUNTIFS($B$4:$B439,$B439,$C$4:$C439,$C439)&amp;"回目",""))</f>
      </c>
      <c r="AB439">
        <f>IF($F439="","",MAX(100,ROUNDDOWN($AX$4/($F439*$AX$2)/100,0)*100))</f>
      </c>
      <c r="AC439">
        <f>IF(OR($F439="",$G439="",$U439=""),"",ROUND($V439-($F439+$U439)*$G439*$AX$6-IF($C439="売",$F439*$G439*$AX$7*$W439/365,0),0))</f>
      </c>
      <c r="AD439" s="608"/>
      <c r="AE439" s="600" t="str">
        <f>IF($E439="","",WORKDAY($E439,12))</f>
        <v/>
      </c>
      <c r="AF439" s="600"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0"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0" t="str">
        <f>IF(OR($B439="",$M439=""),"",IF(AND(N($AF439)=0,N($AG439)=0),IF(AND(ISNUMBER($H439),$H439&gt;0,IF($C439="売",$H439&gt;=$N439,$H439&lt;=$N439)),"損切確定",IF(AND(ISNUMBER($H439),$H439&gt;0,IF($C439="売",$H439&lt;=$M439,$H439&gt;=$M439)),"利益確定",IF($AE439&lt;=TODAY(),"日数制限","保有中"))),IF(N($AG439)=0,"利益確定",IF(N($AF439)=0,"損切確定",IF($AG439&lt;=$AF439,"損切確定","利益確定")))))</f>
        <v/>
      </c>
      <c r="AI439" s="600" t="str" cm="1">
        <f t="array" ref="AI439">IFERROR(INDEX(始値!$E$6:$BT$305,MATCH(TEXT($B439,"0"),TEXT(銘柄管理!$B$6:$B$305,"0"),0),MATCH($AE439,始値!$E$3:$BT$3,0)),"")</f>
        <v/>
      </c>
      <c r="AJ439" s="608" t="str">
        <f>IF(OR($V439="",$F439="",$G439=""),"",$V439/($F439*$G439))</f>
        <v/>
      </c>
      <c r="AK439" s="600" t="str">
        <f>IF($V439="","",IF($V439&gt;0,"○勝",IF($V439&lt;0,"●負","△引分")))</f>
        <v/>
      </c>
    </row>
    <row r="440" spans="1:37" ht="17.25" customHeight="1">
      <c r="A440" s="622" t="str">
        <f>IF(B440="","",HYPERLINK("https://kabutan.jp/stock/?code="&amp;B440,"株探"))</f>
        <v/>
      </c>
      <c r="D440" s="440" t="str" cm="1">
        <f t="array" ref="D440">_xll.RssMarket(B440, "銘柄名称")</f>
        <v/>
      </c>
      <c r="E440" s="717"/>
      <c r="F440" s="6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IF(OR(F440="",G440="",H440=""),"",IF(C440="売",(F440-H440)*G440,(H440-F440)*G440))</f>
        <v/>
      </c>
      <c r="L440" s="709" t="str">
        <f>IF(OR(F440="",H440=""),"",IF(C440="売",(F440-H440)/F440,(H440-F440)/F440))</f>
        <v/>
      </c>
      <c r="M440" s="599" t="str">
        <f>IF($F440="","",IF($C440="売",CEILING($F440*IF($C440="売",1-$AX$3,1+$AX$3),IF($F440*IF($C440="売",1-$AX$3,1+$AX$3)&lt;=3000,1,IF($F440*IF($C440="売",1-$AX$3,1+$AX$3)&lt;=5000,5,IF($F440*IF($C440="売",1-$AX$3,1+$AX$3)&lt;=30000,10,IF($F440*IF($C440="売",1-$AX$3,1+$AX$3)&lt;=50000,50,IF($F440*IF($C440="売",1-$AX$3,1+$AX$3)&lt;=300000,100,500)))))),FLOOR($F440*IF($C440="売",1-$AX$3,1+$AX$3),IF($F440*IF($C440="売",1-$AX$3,1+$AX$3)&lt;=3000,1,IF($F440*IF($C440="売",1-$AX$3,1+$AX$3)&lt;=5000,5,IF($F440*IF($C440="売",1-$AX$3,1+$AX$3)&lt;=30000,10,IF($F440*IF($C440="売",1-$AX$3,1+$AX$3)&lt;=50000,50,IF($F440*IF($C440="売",1-$AX$3,1+$AX$3)&lt;=300000,100,500))))))))</f>
      </c>
      <c r="N440" s="599" t="str">
        <f>IF($F440="","",IF($C440="売",CEILING($F440*IF($C440="売",1+$AX$2,1-$AX$2),IF($F440*IF($C440="売",1+$AX$2,1-$AX$2)&lt;=3000,1,IF($F440*IF($C440="売",1+$AX$2,1-$AX$2)&lt;=5000,5,IF($F440*IF($C440="売",1+$AX$2,1-$AX$2)&lt;=30000,10,IF($F440*IF($C440="売",1+$AX$2,1-$AX$2)&lt;=50000,50,IF($F440*IF($C440="売",1+$AX$2,1-$AX$2)&lt;=300000,100,500)))))),FLOOR($F440*IF($C440="売",1+$AX$2,1-$AX$2),IF($F440*IF($C440="売",1+$AX$2,1-$AX$2)&lt;=3000,1,IF($F440*IF($C440="売",1+$AX$2,1-$AX$2)&lt;=5000,5,IF($F440*IF($C440="売",1+$AX$2,1-$AX$2)&lt;=30000,10,IF($F440*IF($C440="売",1+$AX$2,1-$AX$2)&lt;=50000,50,IF($F440*IF($C440="売",1+$AX$2,1-$AX$2)&lt;=300000,100,500))))))))</f>
      </c>
      <c r="O440" s="478" t="str">
        <f>IF(OR($B440="",$F440="",$H440=""),"",IF($S440="✅売却済","―決済済―",IF($C440="売",IF($H440&lt;=$M440,"🟢利確",IF(AND($R440&lt;&gt;"",$H440&gt;=$R440),"🟠TRAIL決済",IF($H440&gt;=$N440,"🔴損切",IF($W440&gt;=$AX$5,"⏱時間決済",IF($H440&gt;=$F440*(1+$AX$2*0.7),"⚠️損切接近","保持継続"))))),IF($H440&gt;=$M440,"🟢利確",IF(AND($R440&lt;&gt;"",$H440&lt;=$R440),"🟠TRAIL決済",IF($H440&lt;=$N440,"🔴損切",IF($W440&gt;=$AX$5,"⏱時間決済",IF($H440&lt;=$F440*(1-$AX$2*0.7),"⚠️損切接近","保持継続")))))))</f>
      </c>
      <c r="P440" s="445"/>
      <c r="R440" s="440" t="str">
        <f>IF(OR($F440="",$H440="",$N440=""),"",IF($S440="✅売却済","",IF($C440="売",IF($H440&gt;$F440*(1-$AX$2),$N440,CEILING(MIN($N440,IF($Q440="",$N440,$Q440*1.03)),IF($N440&lt;=3000,1,IF($N440&lt;=5000,5,IF($N440&lt;=30000,10,IF($N440&lt;=50000,50,IF($N440&lt;=300000,100,500))))))),IF($H440&lt;$F440*(1+$AX$2),$N440,FLOOR(MAX($N440,IF($P440="",$N440,$P440*0.97)),IF($N440&lt;=3000,1,IF($N440&lt;=5000,5,IF($N440&lt;=30000,10,IF($N440&lt;=50000,50,IF($N440&lt;=300000,100,500))))))))))</f>
      </c>
      <c r="S440" s="440" t="str">
        <f>IF(B440="","",IF(T440&lt;&gt;"","✅売却済",IF(OR(H440="",L440=""),"📌保有中",IF(L440&gt;=0.06,"🟢利確推奨",IF(L440&gt;=0.05,"🟡利確直近",IF(L440&gt;=0.045,"🔵トレーリング検討",IF(L440&gt;-0.03,"📌保有中",IF(L440&gt;-0.04,"⚠️損切注意","🔴損切り"))))))))</f>
        <v/>
      </c>
      <c r="T440" s="597"/>
      <c r="U440" s="599"/>
      <c r="V440" s="704" t="str">
        <f>IF(OR(F440="",G440="",U440=""),"",IF(C440="売",(F440-U440)*G440,(U440-F440)*G440))</f>
        <v/>
      </c>
      <c r="W440" s="440" t="str">
        <f>IF(OR($E440="",$B440=""),"",IF($T440&lt;&gt;"",$T440-$E440,TODAY()-$E440)+1)</f>
        <v/>
      </c>
      <c r="X440" s="440" t="str">
        <f>IF(OR($AH440="",$AH440="保有中"),"",$AH440)</f>
        <v/>
      </c>
      <c r="Y440">
        <f>IF($B440="","",IF(COUNTIFS($B$4:$B440,$B440,$C$4:$C440,$C440)&gt;1,"⛔重複"&amp;COUNTIFS($B$4:$B440,$B440,$C$4:$C440,$C440)&amp;"回目",""))</f>
      </c>
      <c r="AB440">
        <f>IF($F440="","",MAX(100,ROUNDDOWN($AX$4/($F440*$AX$2)/100,0)*100))</f>
      </c>
      <c r="AC440">
        <f>IF(OR($F440="",$G440="",$U440=""),"",ROUND($V440-($F440+$U440)*$G440*$AX$6-IF($C440="売",$F440*$G440*$AX$7*$W440/365,0),0))</f>
      </c>
      <c r="AD440" s="608"/>
      <c r="AE440" s="600" t="str">
        <f>IF($E440="","",WORKDAY($E440,12))</f>
        <v/>
      </c>
      <c r="AF440" s="600"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0"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0" t="str">
        <f>IF(OR($B440="",$M440=""),"",IF(AND(N($AF440)=0,N($AG440)=0),IF(AND(ISNUMBER($H440),$H440&gt;0,IF($C440="売",$H440&gt;=$N440,$H440&lt;=$N440)),"損切確定",IF(AND(ISNUMBER($H440),$H440&gt;0,IF($C440="売",$H440&lt;=$M440,$H440&gt;=$M440)),"利益確定",IF($AE440&lt;=TODAY(),"日数制限","保有中"))),IF(N($AG440)=0,"利益確定",IF(N($AF440)=0,"損切確定",IF($AG440&lt;=$AF440,"損切確定","利益確定")))))</f>
        <v/>
      </c>
      <c r="AI440" s="600" t="str" cm="1">
        <f t="array" ref="AI440">IFERROR(INDEX(始値!$E$6:$BT$305,MATCH(TEXT($B440,"0"),TEXT(銘柄管理!$B$6:$B$305,"0"),0),MATCH($AE440,始値!$E$3:$BT$3,0)),"")</f>
        <v/>
      </c>
      <c r="AJ440" s="608" t="str">
        <f>IF(OR($V440="",$F440="",$G440=""),"",$V440/($F440*$G440))</f>
        <v/>
      </c>
      <c r="AK440" s="600" t="str">
        <f>IF($V440="","",IF($V440&gt;0,"○勝",IF($V440&lt;0,"●負","△引分")))</f>
        <v/>
      </c>
    </row>
    <row r="441" spans="1:37" ht="17.25" customHeight="1">
      <c r="A441" s="622" t="str">
        <f>IF(B441="","",HYPERLINK("https://kabutan.jp/stock/?code="&amp;B441,"株探"))</f>
        <v/>
      </c>
      <c r="D441" s="440" t="str" cm="1">
        <f t="array" ref="D441">_xll.RssMarket(B441, "銘柄名称")</f>
        <v/>
      </c>
      <c r="E441" s="717"/>
      <c r="F441" s="6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IF(OR(F441="",G441="",H441=""),"",IF(C441="売",(F441-H441)*G441,(H441-F441)*G441))</f>
        <v/>
      </c>
      <c r="L441" s="709" t="str">
        <f>IF(OR(F441="",H441=""),"",IF(C441="売",(F441-H441)/F441,(H441-F441)/F441))</f>
        <v/>
      </c>
      <c r="M441" s="599" t="str">
        <f>IF($F441="","",IF($C441="売",CEILING($F441*IF($C441="売",1-$AX$3,1+$AX$3),IF($F441*IF($C441="売",1-$AX$3,1+$AX$3)&lt;=3000,1,IF($F441*IF($C441="売",1-$AX$3,1+$AX$3)&lt;=5000,5,IF($F441*IF($C441="売",1-$AX$3,1+$AX$3)&lt;=30000,10,IF($F441*IF($C441="売",1-$AX$3,1+$AX$3)&lt;=50000,50,IF($F441*IF($C441="売",1-$AX$3,1+$AX$3)&lt;=300000,100,500)))))),FLOOR($F441*IF($C441="売",1-$AX$3,1+$AX$3),IF($F441*IF($C441="売",1-$AX$3,1+$AX$3)&lt;=3000,1,IF($F441*IF($C441="売",1-$AX$3,1+$AX$3)&lt;=5000,5,IF($F441*IF($C441="売",1-$AX$3,1+$AX$3)&lt;=30000,10,IF($F441*IF($C441="売",1-$AX$3,1+$AX$3)&lt;=50000,50,IF($F441*IF($C441="売",1-$AX$3,1+$AX$3)&lt;=300000,100,500))))))))</f>
      </c>
      <c r="N441" s="599" t="str">
        <f>IF($F441="","",IF($C441="売",CEILING($F441*IF($C441="売",1+$AX$2,1-$AX$2),IF($F441*IF($C441="売",1+$AX$2,1-$AX$2)&lt;=3000,1,IF($F441*IF($C441="売",1+$AX$2,1-$AX$2)&lt;=5000,5,IF($F441*IF($C441="売",1+$AX$2,1-$AX$2)&lt;=30000,10,IF($F441*IF($C441="売",1+$AX$2,1-$AX$2)&lt;=50000,50,IF($F441*IF($C441="売",1+$AX$2,1-$AX$2)&lt;=300000,100,500)))))),FLOOR($F441*IF($C441="売",1+$AX$2,1-$AX$2),IF($F441*IF($C441="売",1+$AX$2,1-$AX$2)&lt;=3000,1,IF($F441*IF($C441="売",1+$AX$2,1-$AX$2)&lt;=5000,5,IF($F441*IF($C441="売",1+$AX$2,1-$AX$2)&lt;=30000,10,IF($F441*IF($C441="売",1+$AX$2,1-$AX$2)&lt;=50000,50,IF($F441*IF($C441="売",1+$AX$2,1-$AX$2)&lt;=300000,100,500))))))))</f>
      </c>
      <c r="O441" s="478" t="str">
        <f>IF(OR($B441="",$F441="",$H441=""),"",IF($S441="✅売却済","―決済済―",IF($C441="売",IF($H441&lt;=$M441,"🟢利確",IF(AND($R441&lt;&gt;"",$H441&gt;=$R441),"🟠TRAIL決済",IF($H441&gt;=$N441,"🔴損切",IF($W441&gt;=$AX$5,"⏱時間決済",IF($H441&gt;=$F441*(1+$AX$2*0.7),"⚠️損切接近","保持継続"))))),IF($H441&gt;=$M441,"🟢利確",IF(AND($R441&lt;&gt;"",$H441&lt;=$R441),"🟠TRAIL決済",IF($H441&lt;=$N441,"🔴損切",IF($W441&gt;=$AX$5,"⏱時間決済",IF($H441&lt;=$F441*(1-$AX$2*0.7),"⚠️損切接近","保持継続")))))))</f>
      </c>
      <c r="P441" s="445"/>
      <c r="R441" s="440" t="str">
        <f>IF(OR($F441="",$H441="",$N441=""),"",IF($S441="✅売却済","",IF($C441="売",IF($H441&gt;$F441*(1-$AX$2),$N441,CEILING(MIN($N441,IF($Q441="",$N441,$Q441*1.03)),IF($N441&lt;=3000,1,IF($N441&lt;=5000,5,IF($N441&lt;=30000,10,IF($N441&lt;=50000,50,IF($N441&lt;=300000,100,500))))))),IF($H441&lt;$F441*(1+$AX$2),$N441,FLOOR(MAX($N441,IF($P441="",$N441,$P441*0.97)),IF($N441&lt;=3000,1,IF($N441&lt;=5000,5,IF($N441&lt;=30000,10,IF($N441&lt;=50000,50,IF($N441&lt;=300000,100,500))))))))))</f>
      </c>
      <c r="S441" s="440" t="str">
        <f>IF(B441="","",IF(T441&lt;&gt;"","✅売却済",IF(OR(H441="",L441=""),"📌保有中",IF(L441&gt;=0.06,"🟢利確推奨",IF(L441&gt;=0.05,"🟡利確直近",IF(L441&gt;=0.045,"🔵トレーリング検討",IF(L441&gt;-0.03,"📌保有中",IF(L441&gt;-0.04,"⚠️損切注意","🔴損切り"))))))))</f>
        <v/>
      </c>
      <c r="T441" s="597"/>
      <c r="U441" s="599"/>
      <c r="V441" s="704" t="str">
        <f>IF(OR(F441="",G441="",U441=""),"",IF(C441="売",(F441-U441)*G441,(U441-F441)*G441))</f>
        <v/>
      </c>
      <c r="W441" s="440" t="str">
        <f>IF(OR($E441="",$B441=""),"",IF($T441&lt;&gt;"",$T441-$E441,TODAY()-$E441)+1)</f>
        <v/>
      </c>
      <c r="X441" s="440" t="str">
        <f>IF(OR($AH441="",$AH441="保有中"),"",$AH441)</f>
        <v/>
      </c>
      <c r="Y441">
        <f>IF($B441="","",IF(COUNTIFS($B$4:$B441,$B441,$C$4:$C441,$C441)&gt;1,"⛔重複"&amp;COUNTIFS($B$4:$B441,$B441,$C$4:$C441,$C441)&amp;"回目",""))</f>
      </c>
      <c r="AB441">
        <f>IF($F441="","",MAX(100,ROUNDDOWN($AX$4/($F441*$AX$2)/100,0)*100))</f>
      </c>
      <c r="AC441">
        <f>IF(OR($F441="",$G441="",$U441=""),"",ROUND($V441-($F441+$U441)*$G441*$AX$6-IF($C441="売",$F441*$G441*$AX$7*$W441/365,0),0))</f>
      </c>
      <c r="AD441" s="608"/>
      <c r="AE441" s="600" t="str">
        <f>IF($E441="","",WORKDAY($E441,12))</f>
        <v/>
      </c>
      <c r="AF441" s="600"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0"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0" t="str">
        <f>IF(OR($B441="",$M441=""),"",IF(AND(N($AF441)=0,N($AG441)=0),IF(AND(ISNUMBER($H441),$H441&gt;0,IF($C441="売",$H441&gt;=$N441,$H441&lt;=$N441)),"損切確定",IF(AND(ISNUMBER($H441),$H441&gt;0,IF($C441="売",$H441&lt;=$M441,$H441&gt;=$M441)),"利益確定",IF($AE441&lt;=TODAY(),"日数制限","保有中"))),IF(N($AG441)=0,"利益確定",IF(N($AF441)=0,"損切確定",IF($AG441&lt;=$AF441,"損切確定","利益確定")))))</f>
        <v/>
      </c>
      <c r="AI441" s="600" t="str" cm="1">
        <f t="array" ref="AI441">IFERROR(INDEX(始値!$E$6:$BT$305,MATCH(TEXT($B441,"0"),TEXT(銘柄管理!$B$6:$B$305,"0"),0),MATCH($AE441,始値!$E$3:$BT$3,0)),"")</f>
        <v/>
      </c>
      <c r="AJ441" s="608" t="str">
        <f>IF(OR($V441="",$F441="",$G441=""),"",$V441/($F441*$G441))</f>
        <v/>
      </c>
      <c r="AK441" s="600" t="str">
        <f>IF($V441="","",IF($V441&gt;0,"○勝",IF($V441&lt;0,"●負","△引分")))</f>
        <v/>
      </c>
    </row>
    <row r="442" spans="1:37" ht="17.25" customHeight="1">
      <c r="A442" s="622" t="str">
        <f>IF(B442="","",HYPERLINK("https://kabutan.jp/stock/?code="&amp;B442,"株探"))</f>
        <v/>
      </c>
      <c r="D442" s="440" t="str" cm="1">
        <f t="array" ref="D442">_xll.RssMarket(B442, "銘柄名称")</f>
        <v/>
      </c>
      <c r="E442" s="717"/>
      <c r="F442" s="6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IF(OR(F442="",G442="",H442=""),"",IF(C442="売",(F442-H442)*G442,(H442-F442)*G442))</f>
        <v/>
      </c>
      <c r="L442" s="709" t="str">
        <f>IF(OR(F442="",H442=""),"",IF(C442="売",(F442-H442)/F442,(H442-F442)/F442))</f>
        <v/>
      </c>
      <c r="M442" s="599" t="str">
        <f>IF($F442="","",IF($C442="売",CEILING($F442*IF($C442="売",1-$AX$3,1+$AX$3),IF($F442*IF($C442="売",1-$AX$3,1+$AX$3)&lt;=3000,1,IF($F442*IF($C442="売",1-$AX$3,1+$AX$3)&lt;=5000,5,IF($F442*IF($C442="売",1-$AX$3,1+$AX$3)&lt;=30000,10,IF($F442*IF($C442="売",1-$AX$3,1+$AX$3)&lt;=50000,50,IF($F442*IF($C442="売",1-$AX$3,1+$AX$3)&lt;=300000,100,500)))))),FLOOR($F442*IF($C442="売",1-$AX$3,1+$AX$3),IF($F442*IF($C442="売",1-$AX$3,1+$AX$3)&lt;=3000,1,IF($F442*IF($C442="売",1-$AX$3,1+$AX$3)&lt;=5000,5,IF($F442*IF($C442="売",1-$AX$3,1+$AX$3)&lt;=30000,10,IF($F442*IF($C442="売",1-$AX$3,1+$AX$3)&lt;=50000,50,IF($F442*IF($C442="売",1-$AX$3,1+$AX$3)&lt;=300000,100,500))))))))</f>
      </c>
      <c r="N442" s="599" t="str">
        <f>IF($F442="","",IF($C442="売",CEILING($F442*IF($C442="売",1+$AX$2,1-$AX$2),IF($F442*IF($C442="売",1+$AX$2,1-$AX$2)&lt;=3000,1,IF($F442*IF($C442="売",1+$AX$2,1-$AX$2)&lt;=5000,5,IF($F442*IF($C442="売",1+$AX$2,1-$AX$2)&lt;=30000,10,IF($F442*IF($C442="売",1+$AX$2,1-$AX$2)&lt;=50000,50,IF($F442*IF($C442="売",1+$AX$2,1-$AX$2)&lt;=300000,100,500)))))),FLOOR($F442*IF($C442="売",1+$AX$2,1-$AX$2),IF($F442*IF($C442="売",1+$AX$2,1-$AX$2)&lt;=3000,1,IF($F442*IF($C442="売",1+$AX$2,1-$AX$2)&lt;=5000,5,IF($F442*IF($C442="売",1+$AX$2,1-$AX$2)&lt;=30000,10,IF($F442*IF($C442="売",1+$AX$2,1-$AX$2)&lt;=50000,50,IF($F442*IF($C442="売",1+$AX$2,1-$AX$2)&lt;=300000,100,500))))))))</f>
      </c>
      <c r="O442" s="478" t="str">
        <f>IF(OR($B442="",$F442="",$H442=""),"",IF($S442="✅売却済","―決済済―",IF($C442="売",IF($H442&lt;=$M442,"🟢利確",IF(AND($R442&lt;&gt;"",$H442&gt;=$R442),"🟠TRAIL決済",IF($H442&gt;=$N442,"🔴損切",IF($W442&gt;=$AX$5,"⏱時間決済",IF($H442&gt;=$F442*(1+$AX$2*0.7),"⚠️損切接近","保持継続"))))),IF($H442&gt;=$M442,"🟢利確",IF(AND($R442&lt;&gt;"",$H442&lt;=$R442),"🟠TRAIL決済",IF($H442&lt;=$N442,"🔴損切",IF($W442&gt;=$AX$5,"⏱時間決済",IF($H442&lt;=$F442*(1-$AX$2*0.7),"⚠️損切接近","保持継続")))))))</f>
      </c>
      <c r="P442" s="445"/>
      <c r="R442" s="440" t="str">
        <f>IF(OR($F442="",$H442="",$N442=""),"",IF($S442="✅売却済","",IF($C442="売",IF($H442&gt;$F442*(1-$AX$2),$N442,CEILING(MIN($N442,IF($Q442="",$N442,$Q442*1.03)),IF($N442&lt;=3000,1,IF($N442&lt;=5000,5,IF($N442&lt;=30000,10,IF($N442&lt;=50000,50,IF($N442&lt;=300000,100,500))))))),IF($H442&lt;$F442*(1+$AX$2),$N442,FLOOR(MAX($N442,IF($P442="",$N442,$P442*0.97)),IF($N442&lt;=3000,1,IF($N442&lt;=5000,5,IF($N442&lt;=30000,10,IF($N442&lt;=50000,50,IF($N442&lt;=300000,100,500))))))))))</f>
      </c>
      <c r="S442" s="440" t="str">
        <f>IF(B442="","",IF(T442&lt;&gt;"","✅売却済",IF(OR(H442="",L442=""),"📌保有中",IF(L442&gt;=0.06,"🟢利確推奨",IF(L442&gt;=0.05,"🟡利確直近",IF(L442&gt;=0.045,"🔵トレーリング検討",IF(L442&gt;-0.03,"📌保有中",IF(L442&gt;-0.04,"⚠️損切注意","🔴損切り"))))))))</f>
        <v/>
      </c>
      <c r="T442" s="597"/>
      <c r="U442" s="599"/>
      <c r="V442" s="704" t="str">
        <f>IF(OR(F442="",G442="",U442=""),"",IF(C442="売",(F442-U442)*G442,(U442-F442)*G442))</f>
        <v/>
      </c>
      <c r="W442" s="440" t="str">
        <f>IF(OR($E442="",$B442=""),"",IF($T442&lt;&gt;"",$T442-$E442,TODAY()-$E442)+1)</f>
        <v/>
      </c>
      <c r="X442" s="440" t="str">
        <f>IF(OR($AH442="",$AH442="保有中"),"",$AH442)</f>
        <v/>
      </c>
      <c r="Y442">
        <f>IF($B442="","",IF(COUNTIFS($B$4:$B442,$B442,$C$4:$C442,$C442)&gt;1,"⛔重複"&amp;COUNTIFS($B$4:$B442,$B442,$C$4:$C442,$C442)&amp;"回目",""))</f>
      </c>
      <c r="AB442">
        <f>IF($F442="","",MAX(100,ROUNDDOWN($AX$4/($F442*$AX$2)/100,0)*100))</f>
      </c>
      <c r="AC442">
        <f>IF(OR($F442="",$G442="",$U442=""),"",ROUND($V442-($F442+$U442)*$G442*$AX$6-IF($C442="売",$F442*$G442*$AX$7*$W442/365,0),0))</f>
      </c>
      <c r="AD442" s="608"/>
      <c r="AE442" s="600" t="str">
        <f>IF($E442="","",WORKDAY($E442,12))</f>
        <v/>
      </c>
      <c r="AF442" s="600"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0"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0" t="str">
        <f>IF(OR($B442="",$M442=""),"",IF(AND(N($AF442)=0,N($AG442)=0),IF(AND(ISNUMBER($H442),$H442&gt;0,IF($C442="売",$H442&gt;=$N442,$H442&lt;=$N442)),"損切確定",IF(AND(ISNUMBER($H442),$H442&gt;0,IF($C442="売",$H442&lt;=$M442,$H442&gt;=$M442)),"利益確定",IF($AE442&lt;=TODAY(),"日数制限","保有中"))),IF(N($AG442)=0,"利益確定",IF(N($AF442)=0,"損切確定",IF($AG442&lt;=$AF442,"損切確定","利益確定")))))</f>
        <v/>
      </c>
      <c r="AI442" s="600" t="str" cm="1">
        <f t="array" ref="AI442">IFERROR(INDEX(始値!$E$6:$BT$305,MATCH(TEXT($B442,"0"),TEXT(銘柄管理!$B$6:$B$305,"0"),0),MATCH($AE442,始値!$E$3:$BT$3,0)),"")</f>
        <v/>
      </c>
      <c r="AJ442" s="608" t="str">
        <f>IF(OR($V442="",$F442="",$G442=""),"",$V442/($F442*$G442))</f>
        <v/>
      </c>
      <c r="AK442" s="600" t="str">
        <f>IF($V442="","",IF($V442&gt;0,"○勝",IF($V442&lt;0,"●負","△引分")))</f>
        <v/>
      </c>
    </row>
    <row r="443" spans="1:37" ht="17.25" customHeight="1">
      <c r="A443" s="622" t="str">
        <f>IF(B443="","",HYPERLINK("https://kabutan.jp/stock/?code="&amp;B443,"株探"))</f>
        <v/>
      </c>
      <c r="D443" s="440" t="str" cm="1">
        <f t="array" ref="D443">_xll.RssMarket(B443, "銘柄名称")</f>
        <v/>
      </c>
      <c r="E443" s="717"/>
      <c r="F443" s="6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IF(OR(F443="",G443="",H443=""),"",IF(C443="売",(F443-H443)*G443,(H443-F443)*G443))</f>
        <v/>
      </c>
      <c r="L443" s="709" t="str">
        <f>IF(OR(F443="",H443=""),"",IF(C443="売",(F443-H443)/F443,(H443-F443)/F443))</f>
        <v/>
      </c>
      <c r="M443" s="599" t="str">
        <f>IF($F443="","",IF($C443="売",CEILING($F443*IF($C443="売",1-$AX$3,1+$AX$3),IF($F443*IF($C443="売",1-$AX$3,1+$AX$3)&lt;=3000,1,IF($F443*IF($C443="売",1-$AX$3,1+$AX$3)&lt;=5000,5,IF($F443*IF($C443="売",1-$AX$3,1+$AX$3)&lt;=30000,10,IF($F443*IF($C443="売",1-$AX$3,1+$AX$3)&lt;=50000,50,IF($F443*IF($C443="売",1-$AX$3,1+$AX$3)&lt;=300000,100,500)))))),FLOOR($F443*IF($C443="売",1-$AX$3,1+$AX$3),IF($F443*IF($C443="売",1-$AX$3,1+$AX$3)&lt;=3000,1,IF($F443*IF($C443="売",1-$AX$3,1+$AX$3)&lt;=5000,5,IF($F443*IF($C443="売",1-$AX$3,1+$AX$3)&lt;=30000,10,IF($F443*IF($C443="売",1-$AX$3,1+$AX$3)&lt;=50000,50,IF($F443*IF($C443="売",1-$AX$3,1+$AX$3)&lt;=300000,100,500))))))))</f>
      </c>
      <c r="N443" s="599" t="str">
        <f>IF($F443="","",IF($C443="売",CEILING($F443*IF($C443="売",1+$AX$2,1-$AX$2),IF($F443*IF($C443="売",1+$AX$2,1-$AX$2)&lt;=3000,1,IF($F443*IF($C443="売",1+$AX$2,1-$AX$2)&lt;=5000,5,IF($F443*IF($C443="売",1+$AX$2,1-$AX$2)&lt;=30000,10,IF($F443*IF($C443="売",1+$AX$2,1-$AX$2)&lt;=50000,50,IF($F443*IF($C443="売",1+$AX$2,1-$AX$2)&lt;=300000,100,500)))))),FLOOR($F443*IF($C443="売",1+$AX$2,1-$AX$2),IF($F443*IF($C443="売",1+$AX$2,1-$AX$2)&lt;=3000,1,IF($F443*IF($C443="売",1+$AX$2,1-$AX$2)&lt;=5000,5,IF($F443*IF($C443="売",1+$AX$2,1-$AX$2)&lt;=30000,10,IF($F443*IF($C443="売",1+$AX$2,1-$AX$2)&lt;=50000,50,IF($F443*IF($C443="売",1+$AX$2,1-$AX$2)&lt;=300000,100,500))))))))</f>
      </c>
      <c r="O443" s="478" t="str">
        <f>IF(OR($B443="",$F443="",$H443=""),"",IF($S443="✅売却済","―決済済―",IF($C443="売",IF($H443&lt;=$M443,"🟢利確",IF(AND($R443&lt;&gt;"",$H443&gt;=$R443),"🟠TRAIL決済",IF($H443&gt;=$N443,"🔴損切",IF($W443&gt;=$AX$5,"⏱時間決済",IF($H443&gt;=$F443*(1+$AX$2*0.7),"⚠️損切接近","保持継続"))))),IF($H443&gt;=$M443,"🟢利確",IF(AND($R443&lt;&gt;"",$H443&lt;=$R443),"🟠TRAIL決済",IF($H443&lt;=$N443,"🔴損切",IF($W443&gt;=$AX$5,"⏱時間決済",IF($H443&lt;=$F443*(1-$AX$2*0.7),"⚠️損切接近","保持継続")))))))</f>
      </c>
      <c r="P443" s="445"/>
      <c r="R443" s="440" t="str">
        <f>IF(OR($F443="",$H443="",$N443=""),"",IF($S443="✅売却済","",IF($C443="売",IF($H443&gt;$F443*(1-$AX$2),$N443,CEILING(MIN($N443,IF($Q443="",$N443,$Q443*1.03)),IF($N443&lt;=3000,1,IF($N443&lt;=5000,5,IF($N443&lt;=30000,10,IF($N443&lt;=50000,50,IF($N443&lt;=300000,100,500))))))),IF($H443&lt;$F443*(1+$AX$2),$N443,FLOOR(MAX($N443,IF($P443="",$N443,$P443*0.97)),IF($N443&lt;=3000,1,IF($N443&lt;=5000,5,IF($N443&lt;=30000,10,IF($N443&lt;=50000,50,IF($N443&lt;=300000,100,500))))))))))</f>
      </c>
      <c r="S443" s="440" t="str">
        <f>IF(B443="","",IF(T443&lt;&gt;"","✅売却済",IF(OR(H443="",L443=""),"📌保有中",IF(L443&gt;=0.06,"🟢利確推奨",IF(L443&gt;=0.05,"🟡利確直近",IF(L443&gt;=0.045,"🔵トレーリング検討",IF(L443&gt;-0.03,"📌保有中",IF(L443&gt;-0.04,"⚠️損切注意","🔴損切り"))))))))</f>
        <v/>
      </c>
      <c r="T443" s="597"/>
      <c r="U443" s="599"/>
      <c r="V443" s="704" t="str">
        <f>IF(OR(F443="",G443="",U443=""),"",IF(C443="売",(F443-U443)*G443,(U443-F443)*G443))</f>
        <v/>
      </c>
      <c r="W443" s="440" t="str">
        <f>IF(OR($E443="",$B443=""),"",IF($T443&lt;&gt;"",$T443-$E443,TODAY()-$E443)+1)</f>
        <v/>
      </c>
      <c r="X443" s="440" t="str">
        <f>IF(OR($AH443="",$AH443="保有中"),"",$AH443)</f>
        <v/>
      </c>
      <c r="Y443">
        <f>IF($B443="","",IF(COUNTIFS($B$4:$B443,$B443,$C$4:$C443,$C443)&gt;1,"⛔重複"&amp;COUNTIFS($B$4:$B443,$B443,$C$4:$C443,$C443)&amp;"回目",""))</f>
      </c>
      <c r="AB443">
        <f>IF($F443="","",MAX(100,ROUNDDOWN($AX$4/($F443*$AX$2)/100,0)*100))</f>
      </c>
      <c r="AC443">
        <f>IF(OR($F443="",$G443="",$U443=""),"",ROUND($V443-($F443+$U443)*$G443*$AX$6-IF($C443="売",$F443*$G443*$AX$7*$W443/365,0),0))</f>
      </c>
      <c r="AD443" s="608"/>
      <c r="AE443" s="600" t="str">
        <f>IF($E443="","",WORKDAY($E443,12))</f>
        <v/>
      </c>
      <c r="AF443" s="600"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0"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0" t="str">
        <f>IF(OR($B443="",$M443=""),"",IF(AND(N($AF443)=0,N($AG443)=0),IF(AND(ISNUMBER($H443),$H443&gt;0,IF($C443="売",$H443&gt;=$N443,$H443&lt;=$N443)),"損切確定",IF(AND(ISNUMBER($H443),$H443&gt;0,IF($C443="売",$H443&lt;=$M443,$H443&gt;=$M443)),"利益確定",IF($AE443&lt;=TODAY(),"日数制限","保有中"))),IF(N($AG443)=0,"利益確定",IF(N($AF443)=0,"損切確定",IF($AG443&lt;=$AF443,"損切確定","利益確定")))))</f>
        <v/>
      </c>
      <c r="AI443" s="600" t="str" cm="1">
        <f t="array" ref="AI443">IFERROR(INDEX(始値!$E$6:$BT$305,MATCH(TEXT($B443,"0"),TEXT(銘柄管理!$B$6:$B$305,"0"),0),MATCH($AE443,始値!$E$3:$BT$3,0)),"")</f>
        <v/>
      </c>
      <c r="AJ443" s="608" t="str">
        <f>IF(OR($V443="",$F443="",$G443=""),"",$V443/($F443*$G443))</f>
        <v/>
      </c>
      <c r="AK443" s="600" t="str">
        <f>IF($V443="","",IF($V443&gt;0,"○勝",IF($V443&lt;0,"●負","△引分")))</f>
        <v/>
      </c>
    </row>
    <row r="444" spans="1:37" ht="17.25" customHeight="1">
      <c r="A444" s="622" t="str">
        <f>IF(B444="","",HYPERLINK("https://kabutan.jp/stock/?code="&amp;B444,"株探"))</f>
        <v/>
      </c>
      <c r="D444" s="440" t="str" cm="1">
        <f t="array" ref="D444">_xll.RssMarket(B444, "銘柄名称")</f>
        <v/>
      </c>
      <c r="E444" s="717"/>
      <c r="F444" s="6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IF(OR(F444="",G444="",H444=""),"",IF(C444="売",(F444-H444)*G444,(H444-F444)*G444))</f>
        <v/>
      </c>
      <c r="L444" s="709" t="str">
        <f>IF(OR(F444="",H444=""),"",IF(C444="売",(F444-H444)/F444,(H444-F444)/F444))</f>
        <v/>
      </c>
      <c r="M444" s="599" t="str">
        <f>IF($F444="","",IF($C444="売",CEILING($F444*IF($C444="売",1-$AX$3,1+$AX$3),IF($F444*IF($C444="売",1-$AX$3,1+$AX$3)&lt;=3000,1,IF($F444*IF($C444="売",1-$AX$3,1+$AX$3)&lt;=5000,5,IF($F444*IF($C444="売",1-$AX$3,1+$AX$3)&lt;=30000,10,IF($F444*IF($C444="売",1-$AX$3,1+$AX$3)&lt;=50000,50,IF($F444*IF($C444="売",1-$AX$3,1+$AX$3)&lt;=300000,100,500)))))),FLOOR($F444*IF($C444="売",1-$AX$3,1+$AX$3),IF($F444*IF($C444="売",1-$AX$3,1+$AX$3)&lt;=3000,1,IF($F444*IF($C444="売",1-$AX$3,1+$AX$3)&lt;=5000,5,IF($F444*IF($C444="売",1-$AX$3,1+$AX$3)&lt;=30000,10,IF($F444*IF($C444="売",1-$AX$3,1+$AX$3)&lt;=50000,50,IF($F444*IF($C444="売",1-$AX$3,1+$AX$3)&lt;=300000,100,500))))))))</f>
      </c>
      <c r="N444" s="599" t="str">
        <f>IF($F444="","",IF($C444="売",CEILING($F444*IF($C444="売",1+$AX$2,1-$AX$2),IF($F444*IF($C444="売",1+$AX$2,1-$AX$2)&lt;=3000,1,IF($F444*IF($C444="売",1+$AX$2,1-$AX$2)&lt;=5000,5,IF($F444*IF($C444="売",1+$AX$2,1-$AX$2)&lt;=30000,10,IF($F444*IF($C444="売",1+$AX$2,1-$AX$2)&lt;=50000,50,IF($F444*IF($C444="売",1+$AX$2,1-$AX$2)&lt;=300000,100,500)))))),FLOOR($F444*IF($C444="売",1+$AX$2,1-$AX$2),IF($F444*IF($C444="売",1+$AX$2,1-$AX$2)&lt;=3000,1,IF($F444*IF($C444="売",1+$AX$2,1-$AX$2)&lt;=5000,5,IF($F444*IF($C444="売",1+$AX$2,1-$AX$2)&lt;=30000,10,IF($F444*IF($C444="売",1+$AX$2,1-$AX$2)&lt;=50000,50,IF($F444*IF($C444="売",1+$AX$2,1-$AX$2)&lt;=300000,100,500))))))))</f>
      </c>
      <c r="O444" s="478" t="str">
        <f>IF(OR($B444="",$F444="",$H444=""),"",IF($S444="✅売却済","―決済済―",IF($C444="売",IF($H444&lt;=$M444,"🟢利確",IF(AND($R444&lt;&gt;"",$H444&gt;=$R444),"🟠TRAIL決済",IF($H444&gt;=$N444,"🔴損切",IF($W444&gt;=$AX$5,"⏱時間決済",IF($H444&gt;=$F444*(1+$AX$2*0.7),"⚠️損切接近","保持継続"))))),IF($H444&gt;=$M444,"🟢利確",IF(AND($R444&lt;&gt;"",$H444&lt;=$R444),"🟠TRAIL決済",IF($H444&lt;=$N444,"🔴損切",IF($W444&gt;=$AX$5,"⏱時間決済",IF($H444&lt;=$F444*(1-$AX$2*0.7),"⚠️損切接近","保持継続")))))))</f>
      </c>
      <c r="P444" s="445"/>
      <c r="R444" s="440" t="str">
        <f>IF(OR($F444="",$H444="",$N444=""),"",IF($S444="✅売却済","",IF($C444="売",IF($H444&gt;$F444*(1-$AX$2),$N444,CEILING(MIN($N444,IF($Q444="",$N444,$Q444*1.03)),IF($N444&lt;=3000,1,IF($N444&lt;=5000,5,IF($N444&lt;=30000,10,IF($N444&lt;=50000,50,IF($N444&lt;=300000,100,500))))))),IF($H444&lt;$F444*(1+$AX$2),$N444,FLOOR(MAX($N444,IF($P444="",$N444,$P444*0.97)),IF($N444&lt;=3000,1,IF($N444&lt;=5000,5,IF($N444&lt;=30000,10,IF($N444&lt;=50000,50,IF($N444&lt;=300000,100,500))))))))))</f>
      </c>
      <c r="S444" s="440" t="str">
        <f>IF(B444="","",IF(T444&lt;&gt;"","✅売却済",IF(OR(H444="",L444=""),"📌保有中",IF(L444&gt;=0.06,"🟢利確推奨",IF(L444&gt;=0.05,"🟡利確直近",IF(L444&gt;=0.045,"🔵トレーリング検討",IF(L444&gt;-0.03,"📌保有中",IF(L444&gt;-0.04,"⚠️損切注意","🔴損切り"))))))))</f>
        <v/>
      </c>
      <c r="T444" s="597"/>
      <c r="U444" s="599"/>
      <c r="V444" s="704" t="str">
        <f>IF(OR(F444="",G444="",U444=""),"",IF(C444="売",(F444-U444)*G444,(U444-F444)*G444))</f>
        <v/>
      </c>
      <c r="W444" s="440" t="str">
        <f>IF(OR($E444="",$B444=""),"",IF($T444&lt;&gt;"",$T444-$E444,TODAY()-$E444)+1)</f>
        <v/>
      </c>
      <c r="X444" s="440" t="str">
        <f>IF(OR($AH444="",$AH444="保有中"),"",$AH444)</f>
        <v/>
      </c>
      <c r="Y444">
        <f>IF($B444="","",IF(COUNTIFS($B$4:$B444,$B444,$C$4:$C444,$C444)&gt;1,"⛔重複"&amp;COUNTIFS($B$4:$B444,$B444,$C$4:$C444,$C444)&amp;"回目",""))</f>
      </c>
      <c r="AB444">
        <f>IF($F444="","",MAX(100,ROUNDDOWN($AX$4/($F444*$AX$2)/100,0)*100))</f>
      </c>
      <c r="AC444">
        <f>IF(OR($F444="",$G444="",$U444=""),"",ROUND($V444-($F444+$U444)*$G444*$AX$6-IF($C444="売",$F444*$G444*$AX$7*$W444/365,0),0))</f>
      </c>
      <c r="AD444" s="608"/>
      <c r="AE444" s="600" t="str">
        <f>IF($E444="","",WORKDAY($E444,12))</f>
        <v/>
      </c>
      <c r="AF444" s="600"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0"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0" t="str">
        <f>IF(OR($B444="",$M444=""),"",IF(AND(N($AF444)=0,N($AG444)=0),IF(AND(ISNUMBER($H444),$H444&gt;0,IF($C444="売",$H444&gt;=$N444,$H444&lt;=$N444)),"損切確定",IF(AND(ISNUMBER($H444),$H444&gt;0,IF($C444="売",$H444&lt;=$M444,$H444&gt;=$M444)),"利益確定",IF($AE444&lt;=TODAY(),"日数制限","保有中"))),IF(N($AG444)=0,"利益確定",IF(N($AF444)=0,"損切確定",IF($AG444&lt;=$AF444,"損切確定","利益確定")))))</f>
        <v/>
      </c>
      <c r="AI444" s="600" t="str" cm="1">
        <f t="array" ref="AI444">IFERROR(INDEX(始値!$E$6:$BT$305,MATCH(TEXT($B444,"0"),TEXT(銘柄管理!$B$6:$B$305,"0"),0),MATCH($AE444,始値!$E$3:$BT$3,0)),"")</f>
        <v/>
      </c>
      <c r="AJ444" s="608" t="str">
        <f>IF(OR($V444="",$F444="",$G444=""),"",$V444/($F444*$G444))</f>
        <v/>
      </c>
      <c r="AK444" s="600" t="str">
        <f>IF($V444="","",IF($V444&gt;0,"○勝",IF($V444&lt;0,"●負","△引分")))</f>
        <v/>
      </c>
    </row>
    <row r="445" spans="1:37" ht="17.25" customHeight="1">
      <c r="A445" s="622" t="str">
        <f>IF(B445="","",HYPERLINK("https://kabutan.jp/stock/?code="&amp;B445,"株探"))</f>
        <v/>
      </c>
      <c r="D445" s="440" t="str" cm="1">
        <f t="array" ref="D445">_xll.RssMarket(B445, "銘柄名称")</f>
        <v/>
      </c>
      <c r="E445" s="717"/>
      <c r="F445" s="6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IF(OR(F445="",G445="",H445=""),"",IF(C445="売",(F445-H445)*G445,(H445-F445)*G445))</f>
        <v/>
      </c>
      <c r="L445" s="709" t="str">
        <f>IF(OR(F445="",H445=""),"",IF(C445="売",(F445-H445)/F445,(H445-F445)/F445))</f>
        <v/>
      </c>
      <c r="M445" s="599" t="str">
        <f>IF($F445="","",IF($C445="売",CEILING($F445*IF($C445="売",1-$AX$3,1+$AX$3),IF($F445*IF($C445="売",1-$AX$3,1+$AX$3)&lt;=3000,1,IF($F445*IF($C445="売",1-$AX$3,1+$AX$3)&lt;=5000,5,IF($F445*IF($C445="売",1-$AX$3,1+$AX$3)&lt;=30000,10,IF($F445*IF($C445="売",1-$AX$3,1+$AX$3)&lt;=50000,50,IF($F445*IF($C445="売",1-$AX$3,1+$AX$3)&lt;=300000,100,500)))))),FLOOR($F445*IF($C445="売",1-$AX$3,1+$AX$3),IF($F445*IF($C445="売",1-$AX$3,1+$AX$3)&lt;=3000,1,IF($F445*IF($C445="売",1-$AX$3,1+$AX$3)&lt;=5000,5,IF($F445*IF($C445="売",1-$AX$3,1+$AX$3)&lt;=30000,10,IF($F445*IF($C445="売",1-$AX$3,1+$AX$3)&lt;=50000,50,IF($F445*IF($C445="売",1-$AX$3,1+$AX$3)&lt;=300000,100,500))))))))</f>
      </c>
      <c r="N445" s="599" t="str">
        <f>IF($F445="","",IF($C445="売",CEILING($F445*IF($C445="売",1+$AX$2,1-$AX$2),IF($F445*IF($C445="売",1+$AX$2,1-$AX$2)&lt;=3000,1,IF($F445*IF($C445="売",1+$AX$2,1-$AX$2)&lt;=5000,5,IF($F445*IF($C445="売",1+$AX$2,1-$AX$2)&lt;=30000,10,IF($F445*IF($C445="売",1+$AX$2,1-$AX$2)&lt;=50000,50,IF($F445*IF($C445="売",1+$AX$2,1-$AX$2)&lt;=300000,100,500)))))),FLOOR($F445*IF($C445="売",1+$AX$2,1-$AX$2),IF($F445*IF($C445="売",1+$AX$2,1-$AX$2)&lt;=3000,1,IF($F445*IF($C445="売",1+$AX$2,1-$AX$2)&lt;=5000,5,IF($F445*IF($C445="売",1+$AX$2,1-$AX$2)&lt;=30000,10,IF($F445*IF($C445="売",1+$AX$2,1-$AX$2)&lt;=50000,50,IF($F445*IF($C445="売",1+$AX$2,1-$AX$2)&lt;=300000,100,500))))))))</f>
      </c>
      <c r="O445" s="478" t="str">
        <f>IF(OR($B445="",$F445="",$H445=""),"",IF($S445="✅売却済","―決済済―",IF($C445="売",IF($H445&lt;=$M445,"🟢利確",IF(AND($R445&lt;&gt;"",$H445&gt;=$R445),"🟠TRAIL決済",IF($H445&gt;=$N445,"🔴損切",IF($W445&gt;=$AX$5,"⏱時間決済",IF($H445&gt;=$F445*(1+$AX$2*0.7),"⚠️損切接近","保持継続"))))),IF($H445&gt;=$M445,"🟢利確",IF(AND($R445&lt;&gt;"",$H445&lt;=$R445),"🟠TRAIL決済",IF($H445&lt;=$N445,"🔴損切",IF($W445&gt;=$AX$5,"⏱時間決済",IF($H445&lt;=$F445*(1-$AX$2*0.7),"⚠️損切接近","保持継続")))))))</f>
      </c>
      <c r="P445" s="445"/>
      <c r="R445" s="440" t="str">
        <f>IF(OR($F445="",$H445="",$N445=""),"",IF($S445="✅売却済","",IF($C445="売",IF($H445&gt;$F445*(1-$AX$2),$N445,CEILING(MIN($N445,IF($Q445="",$N445,$Q445*1.03)),IF($N445&lt;=3000,1,IF($N445&lt;=5000,5,IF($N445&lt;=30000,10,IF($N445&lt;=50000,50,IF($N445&lt;=300000,100,500))))))),IF($H445&lt;$F445*(1+$AX$2),$N445,FLOOR(MAX($N445,IF($P445="",$N445,$P445*0.97)),IF($N445&lt;=3000,1,IF($N445&lt;=5000,5,IF($N445&lt;=30000,10,IF($N445&lt;=50000,50,IF($N445&lt;=300000,100,500))))))))))</f>
      </c>
      <c r="S445" s="440" t="str">
        <f>IF(B445="","",IF(T445&lt;&gt;"","✅売却済",IF(OR(H445="",L445=""),"📌保有中",IF(L445&gt;=0.06,"🟢利確推奨",IF(L445&gt;=0.05,"🟡利確直近",IF(L445&gt;=0.045,"🔵トレーリング検討",IF(L445&gt;-0.03,"📌保有中",IF(L445&gt;-0.04,"⚠️損切注意","🔴損切り"))))))))</f>
        <v/>
      </c>
      <c r="T445" s="597"/>
      <c r="U445" s="599"/>
      <c r="V445" s="704" t="str">
        <f>IF(OR(F445="",G445="",U445=""),"",IF(C445="売",(F445-U445)*G445,(U445-F445)*G445))</f>
        <v/>
      </c>
      <c r="W445" s="440" t="str">
        <f>IF(OR($E445="",$B445=""),"",IF($T445&lt;&gt;"",$T445-$E445,TODAY()-$E445)+1)</f>
        <v/>
      </c>
      <c r="X445" s="440" t="str">
        <f>IF(OR($AH445="",$AH445="保有中"),"",$AH445)</f>
        <v/>
      </c>
      <c r="Y445">
        <f>IF($B445="","",IF(COUNTIFS($B$4:$B445,$B445,$C$4:$C445,$C445)&gt;1,"⛔重複"&amp;COUNTIFS($B$4:$B445,$B445,$C$4:$C445,$C445)&amp;"回目",""))</f>
      </c>
      <c r="AB445">
        <f>IF($F445="","",MAX(100,ROUNDDOWN($AX$4/($F445*$AX$2)/100,0)*100))</f>
      </c>
      <c r="AC445">
        <f>IF(OR($F445="",$G445="",$U445=""),"",ROUND($V445-($F445+$U445)*$G445*$AX$6-IF($C445="売",$F445*$G445*$AX$7*$W445/365,0),0))</f>
      </c>
      <c r="AD445" s="608"/>
      <c r="AE445" s="600" t="str">
        <f>IF($E445="","",WORKDAY($E445,12))</f>
        <v/>
      </c>
      <c r="AF445" s="600"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0"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0" t="str">
        <f>IF(OR($B445="",$M445=""),"",IF(AND(N($AF445)=0,N($AG445)=0),IF(AND(ISNUMBER($H445),$H445&gt;0,IF($C445="売",$H445&gt;=$N445,$H445&lt;=$N445)),"損切確定",IF(AND(ISNUMBER($H445),$H445&gt;0,IF($C445="売",$H445&lt;=$M445,$H445&gt;=$M445)),"利益確定",IF($AE445&lt;=TODAY(),"日数制限","保有中"))),IF(N($AG445)=0,"利益確定",IF(N($AF445)=0,"損切確定",IF($AG445&lt;=$AF445,"損切確定","利益確定")))))</f>
        <v/>
      </c>
      <c r="AI445" s="600" t="str" cm="1">
        <f t="array" ref="AI445">IFERROR(INDEX(始値!$E$6:$BT$305,MATCH(TEXT($B445,"0"),TEXT(銘柄管理!$B$6:$B$305,"0"),0),MATCH($AE445,始値!$E$3:$BT$3,0)),"")</f>
        <v/>
      </c>
      <c r="AJ445" s="608" t="str">
        <f>IF(OR($V445="",$F445="",$G445=""),"",$V445/($F445*$G445))</f>
        <v/>
      </c>
      <c r="AK445" s="600" t="str">
        <f>IF($V445="","",IF($V445&gt;0,"○勝",IF($V445&lt;0,"●負","△引分")))</f>
        <v/>
      </c>
    </row>
    <row r="446" spans="1:37" ht="17.25" customHeight="1">
      <c r="A446" s="622" t="str">
        <f>IF(B446="","",HYPERLINK("https://kabutan.jp/stock/?code="&amp;B446,"株探"))</f>
        <v/>
      </c>
      <c r="D446" s="440" t="str" cm="1">
        <f t="array" ref="D446">_xll.RssMarket(B446, "銘柄名称")</f>
        <v/>
      </c>
      <c r="E446" s="717"/>
      <c r="F446" s="6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IF(OR(F446="",G446="",H446=""),"",IF(C446="売",(F446-H446)*G446,(H446-F446)*G446))</f>
        <v/>
      </c>
      <c r="L446" s="709" t="str">
        <f>IF(OR(F446="",H446=""),"",IF(C446="売",(F446-H446)/F446,(H446-F446)/F446))</f>
        <v/>
      </c>
      <c r="M446" s="599" t="str">
        <f>IF($F446="","",IF($C446="売",CEILING($F446*IF($C446="売",1-$AX$3,1+$AX$3),IF($F446*IF($C446="売",1-$AX$3,1+$AX$3)&lt;=3000,1,IF($F446*IF($C446="売",1-$AX$3,1+$AX$3)&lt;=5000,5,IF($F446*IF($C446="売",1-$AX$3,1+$AX$3)&lt;=30000,10,IF($F446*IF($C446="売",1-$AX$3,1+$AX$3)&lt;=50000,50,IF($F446*IF($C446="売",1-$AX$3,1+$AX$3)&lt;=300000,100,500)))))),FLOOR($F446*IF($C446="売",1-$AX$3,1+$AX$3),IF($F446*IF($C446="売",1-$AX$3,1+$AX$3)&lt;=3000,1,IF($F446*IF($C446="売",1-$AX$3,1+$AX$3)&lt;=5000,5,IF($F446*IF($C446="売",1-$AX$3,1+$AX$3)&lt;=30000,10,IF($F446*IF($C446="売",1-$AX$3,1+$AX$3)&lt;=50000,50,IF($F446*IF($C446="売",1-$AX$3,1+$AX$3)&lt;=300000,100,500))))))))</f>
      </c>
      <c r="N446" s="599" t="str">
        <f>IF($F446="","",IF($C446="売",CEILING($F446*IF($C446="売",1+$AX$2,1-$AX$2),IF($F446*IF($C446="売",1+$AX$2,1-$AX$2)&lt;=3000,1,IF($F446*IF($C446="売",1+$AX$2,1-$AX$2)&lt;=5000,5,IF($F446*IF($C446="売",1+$AX$2,1-$AX$2)&lt;=30000,10,IF($F446*IF($C446="売",1+$AX$2,1-$AX$2)&lt;=50000,50,IF($F446*IF($C446="売",1+$AX$2,1-$AX$2)&lt;=300000,100,500)))))),FLOOR($F446*IF($C446="売",1+$AX$2,1-$AX$2),IF($F446*IF($C446="売",1+$AX$2,1-$AX$2)&lt;=3000,1,IF($F446*IF($C446="売",1+$AX$2,1-$AX$2)&lt;=5000,5,IF($F446*IF($C446="売",1+$AX$2,1-$AX$2)&lt;=30000,10,IF($F446*IF($C446="売",1+$AX$2,1-$AX$2)&lt;=50000,50,IF($F446*IF($C446="売",1+$AX$2,1-$AX$2)&lt;=300000,100,500))))))))</f>
      </c>
      <c r="O446" s="478" t="str">
        <f>IF(OR($B446="",$F446="",$H446=""),"",IF($S446="✅売却済","―決済済―",IF($C446="売",IF($H446&lt;=$M446,"🟢利確",IF(AND($R446&lt;&gt;"",$H446&gt;=$R446),"🟠TRAIL決済",IF($H446&gt;=$N446,"🔴損切",IF($W446&gt;=$AX$5,"⏱時間決済",IF($H446&gt;=$F446*(1+$AX$2*0.7),"⚠️損切接近","保持継続"))))),IF($H446&gt;=$M446,"🟢利確",IF(AND($R446&lt;&gt;"",$H446&lt;=$R446),"🟠TRAIL決済",IF($H446&lt;=$N446,"🔴損切",IF($W446&gt;=$AX$5,"⏱時間決済",IF($H446&lt;=$F446*(1-$AX$2*0.7),"⚠️損切接近","保持継続")))))))</f>
      </c>
      <c r="P446" s="445"/>
      <c r="R446" s="440" t="str">
        <f>IF(OR($F446="",$H446="",$N446=""),"",IF($S446="✅売却済","",IF($C446="売",IF($H446&gt;$F446*(1-$AX$2),$N446,CEILING(MIN($N446,IF($Q446="",$N446,$Q446*1.03)),IF($N446&lt;=3000,1,IF($N446&lt;=5000,5,IF($N446&lt;=30000,10,IF($N446&lt;=50000,50,IF($N446&lt;=300000,100,500))))))),IF($H446&lt;$F446*(1+$AX$2),$N446,FLOOR(MAX($N446,IF($P446="",$N446,$P446*0.97)),IF($N446&lt;=3000,1,IF($N446&lt;=5000,5,IF($N446&lt;=30000,10,IF($N446&lt;=50000,50,IF($N446&lt;=300000,100,500))))))))))</f>
      </c>
      <c r="S446" s="440" t="str">
        <f>IF(B446="","",IF(T446&lt;&gt;"","✅売却済",IF(OR(H446="",L446=""),"📌保有中",IF(L446&gt;=0.06,"🟢利確推奨",IF(L446&gt;=0.05,"🟡利確直近",IF(L446&gt;=0.045,"🔵トレーリング検討",IF(L446&gt;-0.03,"📌保有中",IF(L446&gt;-0.04,"⚠️損切注意","🔴損切り"))))))))</f>
        <v/>
      </c>
      <c r="T446" s="597"/>
      <c r="U446" s="599"/>
      <c r="V446" s="704" t="str">
        <f>IF(OR(F446="",G446="",U446=""),"",IF(C446="売",(F446-U446)*G446,(U446-F446)*G446))</f>
        <v/>
      </c>
      <c r="W446" s="440" t="str">
        <f>IF(OR($E446="",$B446=""),"",IF($T446&lt;&gt;"",$T446-$E446,TODAY()-$E446)+1)</f>
        <v/>
      </c>
      <c r="X446" s="440" t="str">
        <f>IF(OR($AH446="",$AH446="保有中"),"",$AH446)</f>
        <v/>
      </c>
      <c r="Y446">
        <f>IF($B446="","",IF(COUNTIFS($B$4:$B446,$B446,$C$4:$C446,$C446)&gt;1,"⛔重複"&amp;COUNTIFS($B$4:$B446,$B446,$C$4:$C446,$C446)&amp;"回目",""))</f>
      </c>
      <c r="AB446">
        <f>IF($F446="","",MAX(100,ROUNDDOWN($AX$4/($F446*$AX$2)/100,0)*100))</f>
      </c>
      <c r="AC446">
        <f>IF(OR($F446="",$G446="",$U446=""),"",ROUND($V446-($F446+$U446)*$G446*$AX$6-IF($C446="売",$F446*$G446*$AX$7*$W446/365,0),0))</f>
      </c>
      <c r="AD446" s="608"/>
      <c r="AE446" s="600" t="str">
        <f>IF($E446="","",WORKDAY($E446,12))</f>
        <v/>
      </c>
      <c r="AF446" s="600"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0"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0" t="str">
        <f>IF(OR($B446="",$M446=""),"",IF(AND(N($AF446)=0,N($AG446)=0),IF(AND(ISNUMBER($H446),$H446&gt;0,IF($C446="売",$H446&gt;=$N446,$H446&lt;=$N446)),"損切確定",IF(AND(ISNUMBER($H446),$H446&gt;0,IF($C446="売",$H446&lt;=$M446,$H446&gt;=$M446)),"利益確定",IF($AE446&lt;=TODAY(),"日数制限","保有中"))),IF(N($AG446)=0,"利益確定",IF(N($AF446)=0,"損切確定",IF($AG446&lt;=$AF446,"損切確定","利益確定")))))</f>
        <v/>
      </c>
      <c r="AI446" s="600" t="str" cm="1">
        <f t="array" ref="AI446">IFERROR(INDEX(始値!$E$6:$BT$305,MATCH(TEXT($B446,"0"),TEXT(銘柄管理!$B$6:$B$305,"0"),0),MATCH($AE446,始値!$E$3:$BT$3,0)),"")</f>
        <v/>
      </c>
      <c r="AJ446" s="608" t="str">
        <f>IF(OR($V446="",$F446="",$G446=""),"",$V446/($F446*$G446))</f>
        <v/>
      </c>
      <c r="AK446" s="600" t="str">
        <f>IF($V446="","",IF($V446&gt;0,"○勝",IF($V446&lt;0,"●負","△引分")))</f>
        <v/>
      </c>
    </row>
    <row r="447" spans="1:37" ht="17.25" customHeight="1">
      <c r="A447" s="622" t="str">
        <f>IF(B447="","",HYPERLINK("https://kabutan.jp/stock/?code="&amp;B447,"株探"))</f>
        <v/>
      </c>
      <c r="D447" s="440" t="str" cm="1">
        <f t="array" ref="D447">_xll.RssMarket(B447, "銘柄名称")</f>
        <v/>
      </c>
      <c r="E447" s="717"/>
      <c r="F447" s="6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IF(OR(F447="",G447="",H447=""),"",IF(C447="売",(F447-H447)*G447,(H447-F447)*G447))</f>
        <v/>
      </c>
      <c r="L447" s="709" t="str">
        <f>IF(OR(F447="",H447=""),"",IF(C447="売",(F447-H447)/F447,(H447-F447)/F447))</f>
        <v/>
      </c>
      <c r="M447" s="599" t="str">
        <f>IF($F447="","",IF($C447="売",CEILING($F447*IF($C447="売",1-$AX$3,1+$AX$3),IF($F447*IF($C447="売",1-$AX$3,1+$AX$3)&lt;=3000,1,IF($F447*IF($C447="売",1-$AX$3,1+$AX$3)&lt;=5000,5,IF($F447*IF($C447="売",1-$AX$3,1+$AX$3)&lt;=30000,10,IF($F447*IF($C447="売",1-$AX$3,1+$AX$3)&lt;=50000,50,IF($F447*IF($C447="売",1-$AX$3,1+$AX$3)&lt;=300000,100,500)))))),FLOOR($F447*IF($C447="売",1-$AX$3,1+$AX$3),IF($F447*IF($C447="売",1-$AX$3,1+$AX$3)&lt;=3000,1,IF($F447*IF($C447="売",1-$AX$3,1+$AX$3)&lt;=5000,5,IF($F447*IF($C447="売",1-$AX$3,1+$AX$3)&lt;=30000,10,IF($F447*IF($C447="売",1-$AX$3,1+$AX$3)&lt;=50000,50,IF($F447*IF($C447="売",1-$AX$3,1+$AX$3)&lt;=300000,100,500))))))))</f>
      </c>
      <c r="N447" s="599" t="str">
        <f>IF($F447="","",IF($C447="売",CEILING($F447*IF($C447="売",1+$AX$2,1-$AX$2),IF($F447*IF($C447="売",1+$AX$2,1-$AX$2)&lt;=3000,1,IF($F447*IF($C447="売",1+$AX$2,1-$AX$2)&lt;=5000,5,IF($F447*IF($C447="売",1+$AX$2,1-$AX$2)&lt;=30000,10,IF($F447*IF($C447="売",1+$AX$2,1-$AX$2)&lt;=50000,50,IF($F447*IF($C447="売",1+$AX$2,1-$AX$2)&lt;=300000,100,500)))))),FLOOR($F447*IF($C447="売",1+$AX$2,1-$AX$2),IF($F447*IF($C447="売",1+$AX$2,1-$AX$2)&lt;=3000,1,IF($F447*IF($C447="売",1+$AX$2,1-$AX$2)&lt;=5000,5,IF($F447*IF($C447="売",1+$AX$2,1-$AX$2)&lt;=30000,10,IF($F447*IF($C447="売",1+$AX$2,1-$AX$2)&lt;=50000,50,IF($F447*IF($C447="売",1+$AX$2,1-$AX$2)&lt;=300000,100,500))))))))</f>
      </c>
      <c r="O447" s="478" t="str">
        <f>IF(OR($B447="",$F447="",$H447=""),"",IF($S447="✅売却済","―決済済―",IF($C447="売",IF($H447&lt;=$M447,"🟢利確",IF(AND($R447&lt;&gt;"",$H447&gt;=$R447),"🟠TRAIL決済",IF($H447&gt;=$N447,"🔴損切",IF($W447&gt;=$AX$5,"⏱時間決済",IF($H447&gt;=$F447*(1+$AX$2*0.7),"⚠️損切接近","保持継続"))))),IF($H447&gt;=$M447,"🟢利確",IF(AND($R447&lt;&gt;"",$H447&lt;=$R447),"🟠TRAIL決済",IF($H447&lt;=$N447,"🔴損切",IF($W447&gt;=$AX$5,"⏱時間決済",IF($H447&lt;=$F447*(1-$AX$2*0.7),"⚠️損切接近","保持継続")))))))</f>
      </c>
      <c r="P447" s="445"/>
      <c r="R447" s="440" t="str">
        <f>IF(OR($F447="",$H447="",$N447=""),"",IF($S447="✅売却済","",IF($C447="売",IF($H447&gt;$F447*(1-$AX$2),$N447,CEILING(MIN($N447,IF($Q447="",$N447,$Q447*1.03)),IF($N447&lt;=3000,1,IF($N447&lt;=5000,5,IF($N447&lt;=30000,10,IF($N447&lt;=50000,50,IF($N447&lt;=300000,100,500))))))),IF($H447&lt;$F447*(1+$AX$2),$N447,FLOOR(MAX($N447,IF($P447="",$N447,$P447*0.97)),IF($N447&lt;=3000,1,IF($N447&lt;=5000,5,IF($N447&lt;=30000,10,IF($N447&lt;=50000,50,IF($N447&lt;=300000,100,500))))))))))</f>
      </c>
      <c r="S447" s="440" t="str">
        <f>IF(B447="","",IF(T447&lt;&gt;"","✅売却済",IF(OR(H447="",L447=""),"📌保有中",IF(L447&gt;=0.06,"🟢利確推奨",IF(L447&gt;=0.05,"🟡利確直近",IF(L447&gt;=0.045,"🔵トレーリング検討",IF(L447&gt;-0.03,"📌保有中",IF(L447&gt;-0.04,"⚠️損切注意","🔴損切り"))))))))</f>
        <v/>
      </c>
      <c r="T447" s="597"/>
      <c r="U447" s="599"/>
      <c r="V447" s="704" t="str">
        <f>IF(OR(F447="",G447="",U447=""),"",IF(C447="売",(F447-U447)*G447,(U447-F447)*G447))</f>
        <v/>
      </c>
      <c r="W447" s="440" t="str">
        <f>IF(OR($E447="",$B447=""),"",IF($T447&lt;&gt;"",$T447-$E447,TODAY()-$E447)+1)</f>
        <v/>
      </c>
      <c r="X447" s="440" t="str">
        <f>IF(OR($AH447="",$AH447="保有中"),"",$AH447)</f>
        <v/>
      </c>
      <c r="Y447">
        <f>IF($B447="","",IF(COUNTIFS($B$4:$B447,$B447,$C$4:$C447,$C447)&gt;1,"⛔重複"&amp;COUNTIFS($B$4:$B447,$B447,$C$4:$C447,$C447)&amp;"回目",""))</f>
      </c>
      <c r="AB447">
        <f>IF($F447="","",MAX(100,ROUNDDOWN($AX$4/($F447*$AX$2)/100,0)*100))</f>
      </c>
      <c r="AC447">
        <f>IF(OR($F447="",$G447="",$U447=""),"",ROUND($V447-($F447+$U447)*$G447*$AX$6-IF($C447="売",$F447*$G447*$AX$7*$W447/365,0),0))</f>
      </c>
      <c r="AD447" s="608"/>
      <c r="AE447" s="600" t="str">
        <f>IF($E447="","",WORKDAY($E447,12))</f>
        <v/>
      </c>
      <c r="AF447" s="600"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0"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0" t="str">
        <f>IF(OR($B447="",$M447=""),"",IF(AND(N($AF447)=0,N($AG447)=0),IF(AND(ISNUMBER($H447),$H447&gt;0,IF($C447="売",$H447&gt;=$N447,$H447&lt;=$N447)),"損切確定",IF(AND(ISNUMBER($H447),$H447&gt;0,IF($C447="売",$H447&lt;=$M447,$H447&gt;=$M447)),"利益確定",IF($AE447&lt;=TODAY(),"日数制限","保有中"))),IF(N($AG447)=0,"利益確定",IF(N($AF447)=0,"損切確定",IF($AG447&lt;=$AF447,"損切確定","利益確定")))))</f>
        <v/>
      </c>
      <c r="AI447" s="600" t="str" cm="1">
        <f t="array" ref="AI447">IFERROR(INDEX(始値!$E$6:$BT$305,MATCH(TEXT($B447,"0"),TEXT(銘柄管理!$B$6:$B$305,"0"),0),MATCH($AE447,始値!$E$3:$BT$3,0)),"")</f>
        <v/>
      </c>
      <c r="AJ447" s="608" t="str">
        <f>IF(OR($V447="",$F447="",$G447=""),"",$V447/($F447*$G447))</f>
        <v/>
      </c>
      <c r="AK447" s="600" t="str">
        <f>IF($V447="","",IF($V447&gt;0,"○勝",IF($V447&lt;0,"●負","△引分")))</f>
        <v/>
      </c>
    </row>
    <row r="448" spans="1:37" ht="17.25" customHeight="1">
      <c r="A448" s="622" t="str">
        <f>IF(B448="","",HYPERLINK("https://kabutan.jp/stock/?code="&amp;B448,"株探"))</f>
        <v/>
      </c>
      <c r="D448" s="440" t="str" cm="1">
        <f t="array" ref="D448">_xll.RssMarket(B448, "銘柄名称")</f>
        <v/>
      </c>
      <c r="E448" s="717"/>
      <c r="F448" s="6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IF(OR(F448="",G448="",H448=""),"",IF(C448="売",(F448-H448)*G448,(H448-F448)*G448))</f>
        <v/>
      </c>
      <c r="L448" s="709" t="str">
        <f>IF(OR(F448="",H448=""),"",IF(C448="売",(F448-H448)/F448,(H448-F448)/F448))</f>
        <v/>
      </c>
      <c r="M448" s="599" t="str">
        <f>IF($F448="","",IF($C448="売",CEILING($F448*IF($C448="売",1-$AX$3,1+$AX$3),IF($F448*IF($C448="売",1-$AX$3,1+$AX$3)&lt;=3000,1,IF($F448*IF($C448="売",1-$AX$3,1+$AX$3)&lt;=5000,5,IF($F448*IF($C448="売",1-$AX$3,1+$AX$3)&lt;=30000,10,IF($F448*IF($C448="売",1-$AX$3,1+$AX$3)&lt;=50000,50,IF($F448*IF($C448="売",1-$AX$3,1+$AX$3)&lt;=300000,100,500)))))),FLOOR($F448*IF($C448="売",1-$AX$3,1+$AX$3),IF($F448*IF($C448="売",1-$AX$3,1+$AX$3)&lt;=3000,1,IF($F448*IF($C448="売",1-$AX$3,1+$AX$3)&lt;=5000,5,IF($F448*IF($C448="売",1-$AX$3,1+$AX$3)&lt;=30000,10,IF($F448*IF($C448="売",1-$AX$3,1+$AX$3)&lt;=50000,50,IF($F448*IF($C448="売",1-$AX$3,1+$AX$3)&lt;=300000,100,500))))))))</f>
      </c>
      <c r="N448" s="599" t="str">
        <f>IF($F448="","",IF($C448="売",CEILING($F448*IF($C448="売",1+$AX$2,1-$AX$2),IF($F448*IF($C448="売",1+$AX$2,1-$AX$2)&lt;=3000,1,IF($F448*IF($C448="売",1+$AX$2,1-$AX$2)&lt;=5000,5,IF($F448*IF($C448="売",1+$AX$2,1-$AX$2)&lt;=30000,10,IF($F448*IF($C448="売",1+$AX$2,1-$AX$2)&lt;=50000,50,IF($F448*IF($C448="売",1+$AX$2,1-$AX$2)&lt;=300000,100,500)))))),FLOOR($F448*IF($C448="売",1+$AX$2,1-$AX$2),IF($F448*IF($C448="売",1+$AX$2,1-$AX$2)&lt;=3000,1,IF($F448*IF($C448="売",1+$AX$2,1-$AX$2)&lt;=5000,5,IF($F448*IF($C448="売",1+$AX$2,1-$AX$2)&lt;=30000,10,IF($F448*IF($C448="売",1+$AX$2,1-$AX$2)&lt;=50000,50,IF($F448*IF($C448="売",1+$AX$2,1-$AX$2)&lt;=300000,100,500))))))))</f>
      </c>
      <c r="O448" s="478" t="str">
        <f>IF(OR($B448="",$F448="",$H448=""),"",IF($S448="✅売却済","―決済済―",IF($C448="売",IF($H448&lt;=$M448,"🟢利確",IF(AND($R448&lt;&gt;"",$H448&gt;=$R448),"🟠TRAIL決済",IF($H448&gt;=$N448,"🔴損切",IF($W448&gt;=$AX$5,"⏱時間決済",IF($H448&gt;=$F448*(1+$AX$2*0.7),"⚠️損切接近","保持継続"))))),IF($H448&gt;=$M448,"🟢利確",IF(AND($R448&lt;&gt;"",$H448&lt;=$R448),"🟠TRAIL決済",IF($H448&lt;=$N448,"🔴損切",IF($W448&gt;=$AX$5,"⏱時間決済",IF($H448&lt;=$F448*(1-$AX$2*0.7),"⚠️損切接近","保持継続")))))))</f>
      </c>
      <c r="P448" s="445"/>
      <c r="R448" s="440" t="str">
        <f>IF(OR($F448="",$H448="",$N448=""),"",IF($S448="✅売却済","",IF($C448="売",IF($H448&gt;$F448*(1-$AX$2),$N448,CEILING(MIN($N448,IF($Q448="",$N448,$Q448*1.03)),IF($N448&lt;=3000,1,IF($N448&lt;=5000,5,IF($N448&lt;=30000,10,IF($N448&lt;=50000,50,IF($N448&lt;=300000,100,500))))))),IF($H448&lt;$F448*(1+$AX$2),$N448,FLOOR(MAX($N448,IF($P448="",$N448,$P448*0.97)),IF($N448&lt;=3000,1,IF($N448&lt;=5000,5,IF($N448&lt;=30000,10,IF($N448&lt;=50000,50,IF($N448&lt;=300000,100,500))))))))))</f>
      </c>
      <c r="S448" s="440" t="str">
        <f>IF(B448="","",IF(T448&lt;&gt;"","✅売却済",IF(OR(H448="",L448=""),"📌保有中",IF(L448&gt;=0.06,"🟢利確推奨",IF(L448&gt;=0.05,"🟡利確直近",IF(L448&gt;=0.045,"🔵トレーリング検討",IF(L448&gt;-0.03,"📌保有中",IF(L448&gt;-0.04,"⚠️損切注意","🔴損切り"))))))))</f>
        <v/>
      </c>
      <c r="T448" s="597"/>
      <c r="U448" s="599"/>
      <c r="V448" s="704" t="str">
        <f>IF(OR(F448="",G448="",U448=""),"",IF(C448="売",(F448-U448)*G448,(U448-F448)*G448))</f>
        <v/>
      </c>
      <c r="W448" s="440" t="str">
        <f>IF(OR($E448="",$B448=""),"",IF($T448&lt;&gt;"",$T448-$E448,TODAY()-$E448)+1)</f>
        <v/>
      </c>
      <c r="X448" s="440" t="str">
        <f>IF(OR($AH448="",$AH448="保有中"),"",$AH448)</f>
        <v/>
      </c>
      <c r="Y448">
        <f>IF($B448="","",IF(COUNTIFS($B$4:$B448,$B448,$C$4:$C448,$C448)&gt;1,"⛔重複"&amp;COUNTIFS($B$4:$B448,$B448,$C$4:$C448,$C448)&amp;"回目",""))</f>
      </c>
      <c r="AB448">
        <f>IF($F448="","",MAX(100,ROUNDDOWN($AX$4/($F448*$AX$2)/100,0)*100))</f>
      </c>
      <c r="AC448">
        <f>IF(OR($F448="",$G448="",$U448=""),"",ROUND($V448-($F448+$U448)*$G448*$AX$6-IF($C448="売",$F448*$G448*$AX$7*$W448/365,0),0))</f>
      </c>
      <c r="AD448" s="608"/>
      <c r="AE448" s="600" t="str">
        <f>IF($E448="","",WORKDAY($E448,12))</f>
        <v/>
      </c>
      <c r="AF448" s="600"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0"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0" t="str">
        <f>IF(OR($B448="",$M448=""),"",IF(AND(N($AF448)=0,N($AG448)=0),IF(AND(ISNUMBER($H448),$H448&gt;0,IF($C448="売",$H448&gt;=$N448,$H448&lt;=$N448)),"損切確定",IF(AND(ISNUMBER($H448),$H448&gt;0,IF($C448="売",$H448&lt;=$M448,$H448&gt;=$M448)),"利益確定",IF($AE448&lt;=TODAY(),"日数制限","保有中"))),IF(N($AG448)=0,"利益確定",IF(N($AF448)=0,"損切確定",IF($AG448&lt;=$AF448,"損切確定","利益確定")))))</f>
        <v/>
      </c>
      <c r="AI448" s="600" t="str" cm="1">
        <f t="array" ref="AI448">IFERROR(INDEX(始値!$E$6:$BT$305,MATCH(TEXT($B448,"0"),TEXT(銘柄管理!$B$6:$B$305,"0"),0),MATCH($AE448,始値!$E$3:$BT$3,0)),"")</f>
        <v/>
      </c>
      <c r="AJ448" s="608" t="str">
        <f>IF(OR($V448="",$F448="",$G448=""),"",$V448/($F448*$G448))</f>
        <v/>
      </c>
      <c r="AK448" s="600" t="str">
        <f>IF($V448="","",IF($V448&gt;0,"○勝",IF($V448&lt;0,"●負","△引分")))</f>
        <v/>
      </c>
    </row>
    <row r="449" spans="1:37" ht="17.25" customHeight="1">
      <c r="A449" s="622" t="str">
        <f>IF(B449="","",HYPERLINK("https://kabutan.jp/stock/?code="&amp;B449,"株探"))</f>
        <v/>
      </c>
      <c r="D449" s="440" t="str" cm="1">
        <f t="array" ref="D449">_xll.RssMarket(B449, "銘柄名称")</f>
        <v/>
      </c>
      <c r="E449" s="717"/>
      <c r="F449" s="6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IF(OR(F449="",G449="",H449=""),"",IF(C449="売",(F449-H449)*G449,(H449-F449)*G449))</f>
        <v/>
      </c>
      <c r="L449" s="709" t="str">
        <f>IF(OR(F449="",H449=""),"",IF(C449="売",(F449-H449)/F449,(H449-F449)/F449))</f>
        <v/>
      </c>
      <c r="M449" s="599" t="str">
        <f>IF($F449="","",IF($C449="売",CEILING($F449*IF($C449="売",1-$AX$3,1+$AX$3),IF($F449*IF($C449="売",1-$AX$3,1+$AX$3)&lt;=3000,1,IF($F449*IF($C449="売",1-$AX$3,1+$AX$3)&lt;=5000,5,IF($F449*IF($C449="売",1-$AX$3,1+$AX$3)&lt;=30000,10,IF($F449*IF($C449="売",1-$AX$3,1+$AX$3)&lt;=50000,50,IF($F449*IF($C449="売",1-$AX$3,1+$AX$3)&lt;=300000,100,500)))))),FLOOR($F449*IF($C449="売",1-$AX$3,1+$AX$3),IF($F449*IF($C449="売",1-$AX$3,1+$AX$3)&lt;=3000,1,IF($F449*IF($C449="売",1-$AX$3,1+$AX$3)&lt;=5000,5,IF($F449*IF($C449="売",1-$AX$3,1+$AX$3)&lt;=30000,10,IF($F449*IF($C449="売",1-$AX$3,1+$AX$3)&lt;=50000,50,IF($F449*IF($C449="売",1-$AX$3,1+$AX$3)&lt;=300000,100,500))))))))</f>
      </c>
      <c r="N449" s="599" t="str">
        <f>IF($F449="","",IF($C449="売",CEILING($F449*IF($C449="売",1+$AX$2,1-$AX$2),IF($F449*IF($C449="売",1+$AX$2,1-$AX$2)&lt;=3000,1,IF($F449*IF($C449="売",1+$AX$2,1-$AX$2)&lt;=5000,5,IF($F449*IF($C449="売",1+$AX$2,1-$AX$2)&lt;=30000,10,IF($F449*IF($C449="売",1+$AX$2,1-$AX$2)&lt;=50000,50,IF($F449*IF($C449="売",1+$AX$2,1-$AX$2)&lt;=300000,100,500)))))),FLOOR($F449*IF($C449="売",1+$AX$2,1-$AX$2),IF($F449*IF($C449="売",1+$AX$2,1-$AX$2)&lt;=3000,1,IF($F449*IF($C449="売",1+$AX$2,1-$AX$2)&lt;=5000,5,IF($F449*IF($C449="売",1+$AX$2,1-$AX$2)&lt;=30000,10,IF($F449*IF($C449="売",1+$AX$2,1-$AX$2)&lt;=50000,50,IF($F449*IF($C449="売",1+$AX$2,1-$AX$2)&lt;=300000,100,500))))))))</f>
      </c>
      <c r="O449" s="478" t="str">
        <f>IF(OR($B449="",$F449="",$H449=""),"",IF($S449="✅売却済","―決済済―",IF($C449="売",IF($H449&lt;=$M449,"🟢利確",IF(AND($R449&lt;&gt;"",$H449&gt;=$R449),"🟠TRAIL決済",IF($H449&gt;=$N449,"🔴損切",IF($W449&gt;=$AX$5,"⏱時間決済",IF($H449&gt;=$F449*(1+$AX$2*0.7),"⚠️損切接近","保持継続"))))),IF($H449&gt;=$M449,"🟢利確",IF(AND($R449&lt;&gt;"",$H449&lt;=$R449),"🟠TRAIL決済",IF($H449&lt;=$N449,"🔴損切",IF($W449&gt;=$AX$5,"⏱時間決済",IF($H449&lt;=$F449*(1-$AX$2*0.7),"⚠️損切接近","保持継続")))))))</f>
      </c>
      <c r="P449" s="445"/>
      <c r="R449" s="440" t="str">
        <f>IF(OR($F449="",$H449="",$N449=""),"",IF($S449="✅売却済","",IF($C449="売",IF($H449&gt;$F449*(1-$AX$2),$N449,CEILING(MIN($N449,IF($Q449="",$N449,$Q449*1.03)),IF($N449&lt;=3000,1,IF($N449&lt;=5000,5,IF($N449&lt;=30000,10,IF($N449&lt;=50000,50,IF($N449&lt;=300000,100,500))))))),IF($H449&lt;$F449*(1+$AX$2),$N449,FLOOR(MAX($N449,IF($P449="",$N449,$P449*0.97)),IF($N449&lt;=3000,1,IF($N449&lt;=5000,5,IF($N449&lt;=30000,10,IF($N449&lt;=50000,50,IF($N449&lt;=300000,100,500))))))))))</f>
      </c>
      <c r="S449" s="440" t="str">
        <f>IF(B449="","",IF(T449&lt;&gt;"","✅売却済",IF(OR(H449="",L449=""),"📌保有中",IF(L449&gt;=0.06,"🟢利確推奨",IF(L449&gt;=0.05,"🟡利確直近",IF(L449&gt;=0.045,"🔵トレーリング検討",IF(L449&gt;-0.03,"📌保有中",IF(L449&gt;-0.04,"⚠️損切注意","🔴損切り"))))))))</f>
        <v/>
      </c>
      <c r="T449" s="597"/>
      <c r="U449" s="599"/>
      <c r="V449" s="704" t="str">
        <f>IF(OR(F449="",G449="",U449=""),"",IF(C449="売",(F449-U449)*G449,(U449-F449)*G449))</f>
        <v/>
      </c>
      <c r="W449" s="440" t="str">
        <f>IF(OR($E449="",$B449=""),"",IF($T449&lt;&gt;"",$T449-$E449,TODAY()-$E449)+1)</f>
        <v/>
      </c>
      <c r="X449" s="440" t="str">
        <f>IF(OR($AH449="",$AH449="保有中"),"",$AH449)</f>
        <v/>
      </c>
      <c r="Y449">
        <f>IF($B449="","",IF(COUNTIFS($B$4:$B449,$B449,$C$4:$C449,$C449)&gt;1,"⛔重複"&amp;COUNTIFS($B$4:$B449,$B449,$C$4:$C449,$C449)&amp;"回目",""))</f>
      </c>
      <c r="AB449">
        <f>IF($F449="","",MAX(100,ROUNDDOWN($AX$4/($F449*$AX$2)/100,0)*100))</f>
      </c>
      <c r="AC449">
        <f>IF(OR($F449="",$G449="",$U449=""),"",ROUND($V449-($F449+$U449)*$G449*$AX$6-IF($C449="売",$F449*$G449*$AX$7*$W449/365,0),0))</f>
      </c>
      <c r="AD449" s="608"/>
      <c r="AE449" s="600" t="str">
        <f>IF($E449="","",WORKDAY($E449,12))</f>
        <v/>
      </c>
      <c r="AF449" s="600"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0"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0" t="str">
        <f>IF(OR($B449="",$M449=""),"",IF(AND(N($AF449)=0,N($AG449)=0),IF(AND(ISNUMBER($H449),$H449&gt;0,IF($C449="売",$H449&gt;=$N449,$H449&lt;=$N449)),"損切確定",IF(AND(ISNUMBER($H449),$H449&gt;0,IF($C449="売",$H449&lt;=$M449,$H449&gt;=$M449)),"利益確定",IF($AE449&lt;=TODAY(),"日数制限","保有中"))),IF(N($AG449)=0,"利益確定",IF(N($AF449)=0,"損切確定",IF($AG449&lt;=$AF449,"損切確定","利益確定")))))</f>
        <v/>
      </c>
      <c r="AI449" s="600" t="str" cm="1">
        <f t="array" ref="AI449">IFERROR(INDEX(始値!$E$6:$BT$305,MATCH(TEXT($B449,"0"),TEXT(銘柄管理!$B$6:$B$305,"0"),0),MATCH($AE449,始値!$E$3:$BT$3,0)),"")</f>
        <v/>
      </c>
      <c r="AJ449" s="608" t="str">
        <f>IF(OR($V449="",$F449="",$G449=""),"",$V449/($F449*$G449))</f>
        <v/>
      </c>
      <c r="AK449" s="600" t="str">
        <f>IF($V449="","",IF($V449&gt;0,"○勝",IF($V449&lt;0,"●負","△引分")))</f>
        <v/>
      </c>
    </row>
    <row r="450" spans="1:37" ht="17.25" customHeight="1">
      <c r="A450" s="622" t="str">
        <f>IF(B450="","",HYPERLINK("https://kabutan.jp/stock/?code="&amp;B450,"株探"))</f>
        <v/>
      </c>
      <c r="D450" s="440" t="str" cm="1">
        <f t="array" ref="D450">_xll.RssMarket(B450, "銘柄名称")</f>
        <v/>
      </c>
      <c r="E450" s="717"/>
      <c r="F450" s="6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IF(OR(F450="",G450="",H450=""),"",IF(C450="売",(F450-H450)*G450,(H450-F450)*G450))</f>
        <v/>
      </c>
      <c r="L450" s="709" t="str">
        <f>IF(OR(F450="",H450=""),"",IF(C450="売",(F450-H450)/F450,(H450-F450)/F450))</f>
        <v/>
      </c>
      <c r="M450" s="599" t="str">
        <f>IF($F450="","",IF($C450="売",CEILING($F450*IF($C450="売",1-$AX$3,1+$AX$3),IF($F450*IF($C450="売",1-$AX$3,1+$AX$3)&lt;=3000,1,IF($F450*IF($C450="売",1-$AX$3,1+$AX$3)&lt;=5000,5,IF($F450*IF($C450="売",1-$AX$3,1+$AX$3)&lt;=30000,10,IF($F450*IF($C450="売",1-$AX$3,1+$AX$3)&lt;=50000,50,IF($F450*IF($C450="売",1-$AX$3,1+$AX$3)&lt;=300000,100,500)))))),FLOOR($F450*IF($C450="売",1-$AX$3,1+$AX$3),IF($F450*IF($C450="売",1-$AX$3,1+$AX$3)&lt;=3000,1,IF($F450*IF($C450="売",1-$AX$3,1+$AX$3)&lt;=5000,5,IF($F450*IF($C450="売",1-$AX$3,1+$AX$3)&lt;=30000,10,IF($F450*IF($C450="売",1-$AX$3,1+$AX$3)&lt;=50000,50,IF($F450*IF($C450="売",1-$AX$3,1+$AX$3)&lt;=300000,100,500))))))))</f>
      </c>
      <c r="N450" s="599" t="str">
        <f>IF($F450="","",IF($C450="売",CEILING($F450*IF($C450="売",1+$AX$2,1-$AX$2),IF($F450*IF($C450="売",1+$AX$2,1-$AX$2)&lt;=3000,1,IF($F450*IF($C450="売",1+$AX$2,1-$AX$2)&lt;=5000,5,IF($F450*IF($C450="売",1+$AX$2,1-$AX$2)&lt;=30000,10,IF($F450*IF($C450="売",1+$AX$2,1-$AX$2)&lt;=50000,50,IF($F450*IF($C450="売",1+$AX$2,1-$AX$2)&lt;=300000,100,500)))))),FLOOR($F450*IF($C450="売",1+$AX$2,1-$AX$2),IF($F450*IF($C450="売",1+$AX$2,1-$AX$2)&lt;=3000,1,IF($F450*IF($C450="売",1+$AX$2,1-$AX$2)&lt;=5000,5,IF($F450*IF($C450="売",1+$AX$2,1-$AX$2)&lt;=30000,10,IF($F450*IF($C450="売",1+$AX$2,1-$AX$2)&lt;=50000,50,IF($F450*IF($C450="売",1+$AX$2,1-$AX$2)&lt;=300000,100,500))))))))</f>
      </c>
      <c r="O450" s="478" t="str">
        <f>IF(OR($B450="",$F450="",$H450=""),"",IF($S450="✅売却済","―決済済―",IF($C450="売",IF($H450&lt;=$M450,"🟢利確",IF(AND($R450&lt;&gt;"",$H450&gt;=$R450),"🟠TRAIL決済",IF($H450&gt;=$N450,"🔴損切",IF($W450&gt;=$AX$5,"⏱時間決済",IF($H450&gt;=$F450*(1+$AX$2*0.7),"⚠️損切接近","保持継続"))))),IF($H450&gt;=$M450,"🟢利確",IF(AND($R450&lt;&gt;"",$H450&lt;=$R450),"🟠TRAIL決済",IF($H450&lt;=$N450,"🔴損切",IF($W450&gt;=$AX$5,"⏱時間決済",IF($H450&lt;=$F450*(1-$AX$2*0.7),"⚠️損切接近","保持継続")))))))</f>
      </c>
      <c r="P450" s="445"/>
      <c r="R450" s="440" t="str">
        <f>IF(OR($F450="",$H450="",$N450=""),"",IF($S450="✅売却済","",IF($C450="売",IF($H450&gt;$F450*(1-$AX$2),$N450,CEILING(MIN($N450,IF($Q450="",$N450,$Q450*1.03)),IF($N450&lt;=3000,1,IF($N450&lt;=5000,5,IF($N450&lt;=30000,10,IF($N450&lt;=50000,50,IF($N450&lt;=300000,100,500))))))),IF($H450&lt;$F450*(1+$AX$2),$N450,FLOOR(MAX($N450,IF($P450="",$N450,$P450*0.97)),IF($N450&lt;=3000,1,IF($N450&lt;=5000,5,IF($N450&lt;=30000,10,IF($N450&lt;=50000,50,IF($N450&lt;=300000,100,500))))))))))</f>
      </c>
      <c r="S450" s="440" t="str">
        <f>IF(B450="","",IF(T450&lt;&gt;"","✅売却済",IF(OR(H450="",L450=""),"📌保有中",IF(L450&gt;=0.06,"🟢利確推奨",IF(L450&gt;=0.05,"🟡利確直近",IF(L450&gt;=0.045,"🔵トレーリング検討",IF(L450&gt;-0.03,"📌保有中",IF(L450&gt;-0.04,"⚠️損切注意","🔴損切り"))))))))</f>
        <v/>
      </c>
      <c r="T450" s="597"/>
      <c r="U450" s="599"/>
      <c r="V450" s="704" t="str">
        <f>IF(OR(F450="",G450="",U450=""),"",IF(C450="売",(F450-U450)*G450,(U450-F450)*G450))</f>
        <v/>
      </c>
      <c r="W450" s="440" t="str">
        <f>IF(OR($E450="",$B450=""),"",IF($T450&lt;&gt;"",$T450-$E450,TODAY()-$E450)+1)</f>
        <v/>
      </c>
      <c r="X450" s="440" t="str">
        <f>IF(OR($AH450="",$AH450="保有中"),"",$AH450)</f>
        <v/>
      </c>
      <c r="Y450">
        <f>IF($B450="","",IF(COUNTIFS($B$4:$B450,$B450,$C$4:$C450,$C450)&gt;1,"⛔重複"&amp;COUNTIFS($B$4:$B450,$B450,$C$4:$C450,$C450)&amp;"回目",""))</f>
      </c>
      <c r="AB450">
        <f>IF($F450="","",MAX(100,ROUNDDOWN($AX$4/($F450*$AX$2)/100,0)*100))</f>
      </c>
      <c r="AC450">
        <f>IF(OR($F450="",$G450="",$U450=""),"",ROUND($V450-($F450+$U450)*$G450*$AX$6-IF($C450="売",$F450*$G450*$AX$7*$W450/365,0),0))</f>
      </c>
      <c r="AD450" s="608"/>
      <c r="AE450" s="600" t="str">
        <f>IF($E450="","",WORKDAY($E450,12))</f>
        <v/>
      </c>
      <c r="AF450" s="600"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0"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0" t="str">
        <f>IF(OR($B450="",$M450=""),"",IF(AND(N($AF450)=0,N($AG450)=0),IF(AND(ISNUMBER($H450),$H450&gt;0,IF($C450="売",$H450&gt;=$N450,$H450&lt;=$N450)),"損切確定",IF(AND(ISNUMBER($H450),$H450&gt;0,IF($C450="売",$H450&lt;=$M450,$H450&gt;=$M450)),"利益確定",IF($AE450&lt;=TODAY(),"日数制限","保有中"))),IF(N($AG450)=0,"利益確定",IF(N($AF450)=0,"損切確定",IF($AG450&lt;=$AF450,"損切確定","利益確定")))))</f>
        <v/>
      </c>
      <c r="AI450" s="600" t="str" cm="1">
        <f t="array" ref="AI450">IFERROR(INDEX(始値!$E$6:$BT$305,MATCH(TEXT($B450,"0"),TEXT(銘柄管理!$B$6:$B$305,"0"),0),MATCH($AE450,始値!$E$3:$BT$3,0)),"")</f>
        <v/>
      </c>
      <c r="AJ450" s="608" t="str">
        <f>IF(OR($V450="",$F450="",$G450=""),"",$V450/($F450*$G450))</f>
        <v/>
      </c>
      <c r="AK450" s="600" t="str">
        <f>IF($V450="","",IF($V450&gt;0,"○勝",IF($V450&lt;0,"●負","△引分")))</f>
        <v/>
      </c>
    </row>
    <row r="451" spans="1:37" ht="17.25" customHeight="1">
      <c r="A451" s="622" t="str">
        <f>IF(B451="","",HYPERLINK("https://kabutan.jp/stock/?code="&amp;B451,"株探"))</f>
        <v/>
      </c>
      <c r="D451" s="440" t="str" cm="1">
        <f t="array" ref="D451">_xll.RssMarket(B451, "銘柄名称")</f>
        <v/>
      </c>
      <c r="E451" s="717"/>
      <c r="F451" s="6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IF(OR(F451="",G451="",H451=""),"",IF(C451="売",(F451-H451)*G451,(H451-F451)*G451))</f>
        <v/>
      </c>
      <c r="L451" s="709" t="str">
        <f>IF(OR(F451="",H451=""),"",IF(C451="売",(F451-H451)/F451,(H451-F451)/F451))</f>
        <v/>
      </c>
      <c r="M451" s="599" t="str">
        <f>IF($F451="","",IF($C451="売",CEILING($F451*IF($C451="売",1-$AX$3,1+$AX$3),IF($F451*IF($C451="売",1-$AX$3,1+$AX$3)&lt;=3000,1,IF($F451*IF($C451="売",1-$AX$3,1+$AX$3)&lt;=5000,5,IF($F451*IF($C451="売",1-$AX$3,1+$AX$3)&lt;=30000,10,IF($F451*IF($C451="売",1-$AX$3,1+$AX$3)&lt;=50000,50,IF($F451*IF($C451="売",1-$AX$3,1+$AX$3)&lt;=300000,100,500)))))),FLOOR($F451*IF($C451="売",1-$AX$3,1+$AX$3),IF($F451*IF($C451="売",1-$AX$3,1+$AX$3)&lt;=3000,1,IF($F451*IF($C451="売",1-$AX$3,1+$AX$3)&lt;=5000,5,IF($F451*IF($C451="売",1-$AX$3,1+$AX$3)&lt;=30000,10,IF($F451*IF($C451="売",1-$AX$3,1+$AX$3)&lt;=50000,50,IF($F451*IF($C451="売",1-$AX$3,1+$AX$3)&lt;=300000,100,500))))))))</f>
      </c>
      <c r="N451" s="599" t="str">
        <f>IF($F451="","",IF($C451="売",CEILING($F451*IF($C451="売",1+$AX$2,1-$AX$2),IF($F451*IF($C451="売",1+$AX$2,1-$AX$2)&lt;=3000,1,IF($F451*IF($C451="売",1+$AX$2,1-$AX$2)&lt;=5000,5,IF($F451*IF($C451="売",1+$AX$2,1-$AX$2)&lt;=30000,10,IF($F451*IF($C451="売",1+$AX$2,1-$AX$2)&lt;=50000,50,IF($F451*IF($C451="売",1+$AX$2,1-$AX$2)&lt;=300000,100,500)))))),FLOOR($F451*IF($C451="売",1+$AX$2,1-$AX$2),IF($F451*IF($C451="売",1+$AX$2,1-$AX$2)&lt;=3000,1,IF($F451*IF($C451="売",1+$AX$2,1-$AX$2)&lt;=5000,5,IF($F451*IF($C451="売",1+$AX$2,1-$AX$2)&lt;=30000,10,IF($F451*IF($C451="売",1+$AX$2,1-$AX$2)&lt;=50000,50,IF($F451*IF($C451="売",1+$AX$2,1-$AX$2)&lt;=300000,100,500))))))))</f>
      </c>
      <c r="O451" s="478" t="str">
        <f>IF(OR($B451="",$F451="",$H451=""),"",IF($S451="✅売却済","―決済済―",IF($C451="売",IF($H451&lt;=$M451,"🟢利確",IF(AND($R451&lt;&gt;"",$H451&gt;=$R451),"🟠TRAIL決済",IF($H451&gt;=$N451,"🔴損切",IF($W451&gt;=$AX$5,"⏱時間決済",IF($H451&gt;=$F451*(1+$AX$2*0.7),"⚠️損切接近","保持継続"))))),IF($H451&gt;=$M451,"🟢利確",IF(AND($R451&lt;&gt;"",$H451&lt;=$R451),"🟠TRAIL決済",IF($H451&lt;=$N451,"🔴損切",IF($W451&gt;=$AX$5,"⏱時間決済",IF($H451&lt;=$F451*(1-$AX$2*0.7),"⚠️損切接近","保持継続")))))))</f>
      </c>
      <c r="P451" s="445"/>
      <c r="R451" s="440" t="str">
        <f>IF(OR($F451="",$H451="",$N451=""),"",IF($S451="✅売却済","",IF($C451="売",IF($H451&gt;$F451*(1-$AX$2),$N451,CEILING(MIN($N451,IF($Q451="",$N451,$Q451*1.03)),IF($N451&lt;=3000,1,IF($N451&lt;=5000,5,IF($N451&lt;=30000,10,IF($N451&lt;=50000,50,IF($N451&lt;=300000,100,500))))))),IF($H451&lt;$F451*(1+$AX$2),$N451,FLOOR(MAX($N451,IF($P451="",$N451,$P451*0.97)),IF($N451&lt;=3000,1,IF($N451&lt;=5000,5,IF($N451&lt;=30000,10,IF($N451&lt;=50000,50,IF($N451&lt;=300000,100,500))))))))))</f>
      </c>
      <c r="S451" s="440" t="str">
        <f>IF(B451="","",IF(T451&lt;&gt;"","✅売却済",IF(OR(H451="",L451=""),"📌保有中",IF(L451&gt;=0.06,"🟢利確推奨",IF(L451&gt;=0.05,"🟡利確直近",IF(L451&gt;=0.045,"🔵トレーリング検討",IF(L451&gt;-0.03,"📌保有中",IF(L451&gt;-0.04,"⚠️損切注意","🔴損切り"))))))))</f>
        <v/>
      </c>
      <c r="T451" s="597"/>
      <c r="U451" s="599"/>
      <c r="V451" s="704" t="str">
        <f>IF(OR(F451="",G451="",U451=""),"",IF(C451="売",(F451-U451)*G451,(U451-F451)*G451))</f>
        <v/>
      </c>
      <c r="W451" s="440" t="str">
        <f>IF(OR($E451="",$B451=""),"",IF($T451&lt;&gt;"",$T451-$E451,TODAY()-$E451)+1)</f>
        <v/>
      </c>
      <c r="X451" s="440" t="str">
        <f>IF(OR($AH451="",$AH451="保有中"),"",$AH451)</f>
        <v/>
      </c>
      <c r="Y451">
        <f>IF($B451="","",IF(COUNTIFS($B$4:$B451,$B451,$C$4:$C451,$C451)&gt;1,"⛔重複"&amp;COUNTIFS($B$4:$B451,$B451,$C$4:$C451,$C451)&amp;"回目",""))</f>
      </c>
      <c r="AB451">
        <f>IF($F451="","",MAX(100,ROUNDDOWN($AX$4/($F451*$AX$2)/100,0)*100))</f>
      </c>
      <c r="AC451">
        <f>IF(OR($F451="",$G451="",$U451=""),"",ROUND($V451-($F451+$U451)*$G451*$AX$6-IF($C451="売",$F451*$G451*$AX$7*$W451/365,0),0))</f>
      </c>
      <c r="AD451" s="608"/>
      <c r="AE451" s="600" t="str">
        <f>IF($E451="","",WORKDAY($E451,12))</f>
        <v/>
      </c>
      <c r="AF451" s="600"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0"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0" t="str">
        <f>IF(OR($B451="",$M451=""),"",IF(AND(N($AF451)=0,N($AG451)=0),IF(AND(ISNUMBER($H451),$H451&gt;0,IF($C451="売",$H451&gt;=$N451,$H451&lt;=$N451)),"損切確定",IF(AND(ISNUMBER($H451),$H451&gt;0,IF($C451="売",$H451&lt;=$M451,$H451&gt;=$M451)),"利益確定",IF($AE451&lt;=TODAY(),"日数制限","保有中"))),IF(N($AG451)=0,"利益確定",IF(N($AF451)=0,"損切確定",IF($AG451&lt;=$AF451,"損切確定","利益確定")))))</f>
        <v/>
      </c>
      <c r="AI451" s="600" t="str" cm="1">
        <f t="array" ref="AI451">IFERROR(INDEX(始値!$E$6:$BT$305,MATCH(TEXT($B451,"0"),TEXT(銘柄管理!$B$6:$B$305,"0"),0),MATCH($AE451,始値!$E$3:$BT$3,0)),"")</f>
        <v/>
      </c>
      <c r="AJ451" s="608" t="str">
        <f>IF(OR($V451="",$F451="",$G451=""),"",$V451/($F451*$G451))</f>
        <v/>
      </c>
      <c r="AK451" s="600" t="str">
        <f>IF($V451="","",IF($V451&gt;0,"○勝",IF($V451&lt;0,"●負","△引分")))</f>
        <v/>
      </c>
    </row>
    <row r="452" spans="1:37" ht="17.25" customHeight="1">
      <c r="A452" s="622" t="str">
        <f>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IF(OR(F452="",G452="",H452=""),"",IF(C452="売",(F452-H452)*G452,(H452-F452)*G452))</f>
        <v/>
      </c>
      <c r="L452" s="709" t="str">
        <f>IF(OR(F452="",H452=""),"",IF(C452="売",(F452-H452)/F452,(H452-F452)/F452))</f>
        <v/>
      </c>
      <c r="M452" s="599" t="str">
        <f>IF($F452="","",IF($C452="売",CEILING($F452*IF($C452="売",1-$AX$3,1+$AX$3),IF($F452*IF($C452="売",1-$AX$3,1+$AX$3)&lt;=3000,1,IF($F452*IF($C452="売",1-$AX$3,1+$AX$3)&lt;=5000,5,IF($F452*IF($C452="売",1-$AX$3,1+$AX$3)&lt;=30000,10,IF($F452*IF($C452="売",1-$AX$3,1+$AX$3)&lt;=50000,50,IF($F452*IF($C452="売",1-$AX$3,1+$AX$3)&lt;=300000,100,500)))))),FLOOR($F452*IF($C452="売",1-$AX$3,1+$AX$3),IF($F452*IF($C452="売",1-$AX$3,1+$AX$3)&lt;=3000,1,IF($F452*IF($C452="売",1-$AX$3,1+$AX$3)&lt;=5000,5,IF($F452*IF($C452="売",1-$AX$3,1+$AX$3)&lt;=30000,10,IF($F452*IF($C452="売",1-$AX$3,1+$AX$3)&lt;=50000,50,IF($F452*IF($C452="売",1-$AX$3,1+$AX$3)&lt;=300000,100,500))))))))</f>
      </c>
      <c r="N452" s="599" t="str">
        <f>IF($F452="","",IF($C452="売",CEILING($F452*IF($C452="売",1+$AX$2,1-$AX$2),IF($F452*IF($C452="売",1+$AX$2,1-$AX$2)&lt;=3000,1,IF($F452*IF($C452="売",1+$AX$2,1-$AX$2)&lt;=5000,5,IF($F452*IF($C452="売",1+$AX$2,1-$AX$2)&lt;=30000,10,IF($F452*IF($C452="売",1+$AX$2,1-$AX$2)&lt;=50000,50,IF($F452*IF($C452="売",1+$AX$2,1-$AX$2)&lt;=300000,100,500)))))),FLOOR($F452*IF($C452="売",1+$AX$2,1-$AX$2),IF($F452*IF($C452="売",1+$AX$2,1-$AX$2)&lt;=3000,1,IF($F452*IF($C452="売",1+$AX$2,1-$AX$2)&lt;=5000,5,IF($F452*IF($C452="売",1+$AX$2,1-$AX$2)&lt;=30000,10,IF($F452*IF($C452="売",1+$AX$2,1-$AX$2)&lt;=50000,50,IF($F452*IF($C452="売",1+$AX$2,1-$AX$2)&lt;=300000,100,500))))))))</f>
      </c>
      <c r="O452" s="478" t="str">
        <f>IF(OR($B452="",$F452="",$H452=""),"",IF($S452="✅売却済","―決済済―",IF($C452="売",IF($H452&lt;=$M452,"🟢利確",IF(AND($R452&lt;&gt;"",$H452&gt;=$R452),"🟠TRAIL決済",IF($H452&gt;=$N452,"🔴損切",IF($W452&gt;=$AX$5,"⏱時間決済",IF($H452&gt;=$F452*(1+$AX$2*0.7),"⚠️損切接近","保持継続"))))),IF($H452&gt;=$M452,"🟢利確",IF(AND($R452&lt;&gt;"",$H452&lt;=$R452),"🟠TRAIL決済",IF($H452&lt;=$N452,"🔴損切",IF($W452&gt;=$AX$5,"⏱時間決済",IF($H452&lt;=$F452*(1-$AX$2*0.7),"⚠️損切接近","保持継続")))))))</f>
      </c>
      <c r="P452" s="445"/>
      <c r="R452" s="440" t="str">
        <f>IF(OR($F452="",$H452="",$N452=""),"",IF($S452="✅売却済","",IF($C452="売",IF($H452&gt;$F452*(1-$AX$2),$N452,CEILING(MIN($N452,IF($Q452="",$N452,$Q452*1.03)),IF($N452&lt;=3000,1,IF($N452&lt;=5000,5,IF($N452&lt;=30000,10,IF($N452&lt;=50000,50,IF($N452&lt;=300000,100,500))))))),IF($H452&lt;$F452*(1+$AX$2),$N452,FLOOR(MAX($N452,IF($P452="",$N452,$P452*0.97)),IF($N452&lt;=3000,1,IF($N452&lt;=5000,5,IF($N452&lt;=30000,10,IF($N452&lt;=50000,50,IF($N452&lt;=300000,100,500))))))))))</f>
      </c>
      <c r="S452" s="440" t="str">
        <f>IF(B452="","",IF(T452&lt;&gt;"","✅売却済",IF(OR(H452="",L452=""),"📌保有中",IF(L452&gt;=0.06,"🟢利確推奨",IF(L452&gt;=0.05,"🟡利確直近",IF(L452&gt;=0.045,"🔵トレーリング検討",IF(L452&gt;-0.03,"📌保有中",IF(L452&gt;-0.04,"⚠️損切注意","🔴損切り"))))))))</f>
        <v/>
      </c>
      <c r="T452" s="597"/>
      <c r="U452" s="599"/>
      <c r="V452" s="704" t="str">
        <f>IF(OR(F452="",G452="",U452=""),"",IF(C452="売",(F452-U452)*G452,(U452-F452)*G452))</f>
        <v/>
      </c>
      <c r="W452" s="440" t="str">
        <f>IF(OR($E452="",$B452=""),"",IF($T452&lt;&gt;"",$T452-$E452,TODAY()-$E452)+1)</f>
        <v/>
      </c>
      <c r="X452" s="440" t="str">
        <f>IF(OR($AH452="",$AH452="保有中"),"",$AH452)</f>
        <v/>
      </c>
      <c r="Y452">
        <f>IF($B452="","",IF(COUNTIFS($B$4:$B452,$B452,$C$4:$C452,$C452)&gt;1,"⛔重複"&amp;COUNTIFS($B$4:$B452,$B452,$C$4:$C452,$C452)&amp;"回目",""))</f>
      </c>
      <c r="AB452">
        <f>IF($F452="","",MAX(100,ROUNDDOWN($AX$4/($F452*$AX$2)/100,0)*100))</f>
      </c>
      <c r="AC452">
        <f>IF(OR($F452="",$G452="",$U452=""),"",ROUND($V452-($F452+$U452)*$G452*$AX$6-IF($C452="売",$F452*$G452*$AX$7*$W452/365,0),0))</f>
      </c>
      <c r="AD452" s="608"/>
      <c r="AE452" s="600" t="str">
        <f>IF($E452="","",WORKDAY($E452,12))</f>
        <v/>
      </c>
      <c r="AF452" s="600"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0"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0" t="str">
        <f>IF(OR($B452="",$M452=""),"",IF(AND(N($AF452)=0,N($AG452)=0),IF(AND(ISNUMBER($H452),$H452&gt;0,IF($C452="売",$H452&gt;=$N452,$H452&lt;=$N452)),"損切確定",IF(AND(ISNUMBER($H452),$H452&gt;0,IF($C452="売",$H452&lt;=$M452,$H452&gt;=$M452)),"利益確定",IF($AE452&lt;=TODAY(),"日数制限","保有中"))),IF(N($AG452)=0,"利益確定",IF(N($AF452)=0,"損切確定",IF($AG452&lt;=$AF452,"損切確定","利益確定")))))</f>
        <v/>
      </c>
      <c r="AI452" s="600" t="str" cm="1">
        <f t="array" ref="AI452">IFERROR(INDEX(始値!$E$6:$BT$305,MATCH(TEXT($B452,"0"),TEXT(銘柄管理!$B$6:$B$305,"0"),0),MATCH($AE452,始値!$E$3:$BT$3,0)),"")</f>
        <v/>
      </c>
      <c r="AJ452" s="608" t="str">
        <f>IF(OR($V452="",$F452="",$G452=""),"",$V452/($F452*$G452))</f>
        <v/>
      </c>
      <c r="AK452" s="600" t="str">
        <f>IF($V452="","",IF($V452&gt;0,"○勝",IF($V452&lt;0,"●負","△引分")))</f>
        <v/>
      </c>
    </row>
    <row r="453" spans="1:37" ht="17.25" customHeight="1">
      <c r="A453" s="622" t="str">
        <f>IF(B453="","",HYPERLINK("https://kabutan.jp/stock/?code="&amp;B453,"株探"))</f>
        <v/>
      </c>
      <c r="D453" s="440" t="str" cm="1">
        <f t="array" ref="D453">_xll.RssMarket(B453, "銘柄名称")</f>
        <v/>
      </c>
      <c r="E453" s="717"/>
      <c r="F453" s="6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IF(OR(F453="",G453="",H453=""),"",IF(C453="売",(F453-H453)*G453,(H453-F453)*G453))</f>
        <v/>
      </c>
      <c r="L453" s="709" t="str">
        <f>IF(OR(F453="",H453=""),"",IF(C453="売",(F453-H453)/F453,(H453-F453)/F453))</f>
        <v/>
      </c>
      <c r="M453" s="599" t="str">
        <f>IF($F453="","",IF($C453="売",CEILING($F453*IF($C453="売",1-$AX$3,1+$AX$3),IF($F453*IF($C453="売",1-$AX$3,1+$AX$3)&lt;=3000,1,IF($F453*IF($C453="売",1-$AX$3,1+$AX$3)&lt;=5000,5,IF($F453*IF($C453="売",1-$AX$3,1+$AX$3)&lt;=30000,10,IF($F453*IF($C453="売",1-$AX$3,1+$AX$3)&lt;=50000,50,IF($F453*IF($C453="売",1-$AX$3,1+$AX$3)&lt;=300000,100,500)))))),FLOOR($F453*IF($C453="売",1-$AX$3,1+$AX$3),IF($F453*IF($C453="売",1-$AX$3,1+$AX$3)&lt;=3000,1,IF($F453*IF($C453="売",1-$AX$3,1+$AX$3)&lt;=5000,5,IF($F453*IF($C453="売",1-$AX$3,1+$AX$3)&lt;=30000,10,IF($F453*IF($C453="売",1-$AX$3,1+$AX$3)&lt;=50000,50,IF($F453*IF($C453="売",1-$AX$3,1+$AX$3)&lt;=300000,100,500))))))))</f>
      </c>
      <c r="N453" s="599" t="str">
        <f>IF($F453="","",IF($C453="売",CEILING($F453*IF($C453="売",1+$AX$2,1-$AX$2),IF($F453*IF($C453="売",1+$AX$2,1-$AX$2)&lt;=3000,1,IF($F453*IF($C453="売",1+$AX$2,1-$AX$2)&lt;=5000,5,IF($F453*IF($C453="売",1+$AX$2,1-$AX$2)&lt;=30000,10,IF($F453*IF($C453="売",1+$AX$2,1-$AX$2)&lt;=50000,50,IF($F453*IF($C453="売",1+$AX$2,1-$AX$2)&lt;=300000,100,500)))))),FLOOR($F453*IF($C453="売",1+$AX$2,1-$AX$2),IF($F453*IF($C453="売",1+$AX$2,1-$AX$2)&lt;=3000,1,IF($F453*IF($C453="売",1+$AX$2,1-$AX$2)&lt;=5000,5,IF($F453*IF($C453="売",1+$AX$2,1-$AX$2)&lt;=30000,10,IF($F453*IF($C453="売",1+$AX$2,1-$AX$2)&lt;=50000,50,IF($F453*IF($C453="売",1+$AX$2,1-$AX$2)&lt;=300000,100,500))))))))</f>
      </c>
      <c r="O453" s="478" t="str">
        <f>IF(OR($B453="",$F453="",$H453=""),"",IF($S453="✅売却済","―決済済―",IF($C453="売",IF($H453&lt;=$M453,"🟢利確",IF(AND($R453&lt;&gt;"",$H453&gt;=$R453),"🟠TRAIL決済",IF($H453&gt;=$N453,"🔴損切",IF($W453&gt;=$AX$5,"⏱時間決済",IF($H453&gt;=$F453*(1+$AX$2*0.7),"⚠️損切接近","保持継続"))))),IF($H453&gt;=$M453,"🟢利確",IF(AND($R453&lt;&gt;"",$H453&lt;=$R453),"🟠TRAIL決済",IF($H453&lt;=$N453,"🔴損切",IF($W453&gt;=$AX$5,"⏱時間決済",IF($H453&lt;=$F453*(1-$AX$2*0.7),"⚠️損切接近","保持継続")))))))</f>
      </c>
      <c r="P453" s="445"/>
      <c r="R453" s="440" t="str">
        <f>IF(OR($F453="",$H453="",$N453=""),"",IF($S453="✅売却済","",IF($C453="売",IF($H453&gt;$F453*(1-$AX$2),$N453,CEILING(MIN($N453,IF($Q453="",$N453,$Q453*1.03)),IF($N453&lt;=3000,1,IF($N453&lt;=5000,5,IF($N453&lt;=30000,10,IF($N453&lt;=50000,50,IF($N453&lt;=300000,100,500))))))),IF($H453&lt;$F453*(1+$AX$2),$N453,FLOOR(MAX($N453,IF($P453="",$N453,$P453*0.97)),IF($N453&lt;=3000,1,IF($N453&lt;=5000,5,IF($N453&lt;=30000,10,IF($N453&lt;=50000,50,IF($N453&lt;=300000,100,500))))))))))</f>
      </c>
      <c r="S453" s="440" t="str">
        <f>IF(B453="","",IF(T453&lt;&gt;"","✅売却済",IF(OR(H453="",L453=""),"📌保有中",IF(L453&gt;=0.06,"🟢利確推奨",IF(L453&gt;=0.05,"🟡利確直近",IF(L453&gt;=0.045,"🔵トレーリング検討",IF(L453&gt;-0.03,"📌保有中",IF(L453&gt;-0.04,"⚠️損切注意","🔴損切り"))))))))</f>
        <v/>
      </c>
      <c r="T453" s="597"/>
      <c r="U453" s="599"/>
      <c r="V453" s="704" t="str">
        <f>IF(OR(F453="",G453="",U453=""),"",IF(C453="売",(F453-U453)*G453,(U453-F453)*G453))</f>
        <v/>
      </c>
      <c r="W453" s="440" t="str">
        <f>IF(OR($E453="",$B453=""),"",IF($T453&lt;&gt;"",$T453-$E453,TODAY()-$E453)+1)</f>
        <v/>
      </c>
      <c r="X453" s="440" t="str">
        <f>IF(OR($AH453="",$AH453="保有中"),"",$AH453)</f>
        <v/>
      </c>
      <c r="Y453">
        <f>IF($B453="","",IF(COUNTIFS($B$4:$B453,$B453,$C$4:$C453,$C453)&gt;1,"⛔重複"&amp;COUNTIFS($B$4:$B453,$B453,$C$4:$C453,$C453)&amp;"回目",""))</f>
      </c>
      <c r="AB453">
        <f>IF($F453="","",MAX(100,ROUNDDOWN($AX$4/($F453*$AX$2)/100,0)*100))</f>
      </c>
      <c r="AC453">
        <f>IF(OR($F453="",$G453="",$U453=""),"",ROUND($V453-($F453+$U453)*$G453*$AX$6-IF($C453="売",$F453*$G453*$AX$7*$W453/365,0),0))</f>
      </c>
      <c r="AD453" s="608"/>
      <c r="AE453" s="600" t="str">
        <f>IF($E453="","",WORKDAY($E453,12))</f>
        <v/>
      </c>
      <c r="AF453" s="600"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0"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0" t="str">
        <f>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IFERROR(INDEX(始値!$E$6:$BT$305,MATCH(TEXT($B453,"0"),TEXT(銘柄管理!$B$6:$B$305,"0"),0),MATCH($AE453,始値!$E$3:$BT$3,0)),"")</f>
        <v/>
      </c>
      <c r="AJ453" s="608" t="str">
        <f>IF(OR($V453="",$F453="",$G453=""),"",$V453/($F453*$G453))</f>
        <v/>
      </c>
      <c r="AK453" s="600" t="str">
        <f>IF($V453="","",IF($V453&gt;0,"○勝",IF($V453&lt;0,"●負","△引分")))</f>
        <v/>
      </c>
    </row>
    <row r="454" spans="1:37" ht="17.25" customHeight="1">
      <c r="A454" s="622" t="str">
        <f>IF(B454="","",HYPERLINK("https://kabutan.jp/stock/?code="&amp;B454,"株探"))</f>
        <v/>
      </c>
      <c r="D454" s="440" t="str" cm="1">
        <f t="array" ref="D454">_xll.RssMarket(B454, "銘柄名称")</f>
        <v/>
      </c>
      <c r="E454" s="717"/>
      <c r="F454" s="6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IF(OR(F454="",G454="",H454=""),"",IF(C454="売",(F454-H454)*G454,(H454-F454)*G454))</f>
        <v/>
      </c>
      <c r="L454" s="709" t="str">
        <f>IF(OR(F454="",H454=""),"",IF(C454="売",(F454-H454)/F454,(H454-F454)/F454))</f>
        <v/>
      </c>
      <c r="M454" s="599" t="str">
        <f>IF($F454="","",IF($C454="売",CEILING($F454*IF($C454="売",1-$AX$3,1+$AX$3),IF($F454*IF($C454="売",1-$AX$3,1+$AX$3)&lt;=3000,1,IF($F454*IF($C454="売",1-$AX$3,1+$AX$3)&lt;=5000,5,IF($F454*IF($C454="売",1-$AX$3,1+$AX$3)&lt;=30000,10,IF($F454*IF($C454="売",1-$AX$3,1+$AX$3)&lt;=50000,50,IF($F454*IF($C454="売",1-$AX$3,1+$AX$3)&lt;=300000,100,500)))))),FLOOR($F454*IF($C454="売",1-$AX$3,1+$AX$3),IF($F454*IF($C454="売",1-$AX$3,1+$AX$3)&lt;=3000,1,IF($F454*IF($C454="売",1-$AX$3,1+$AX$3)&lt;=5000,5,IF($F454*IF($C454="売",1-$AX$3,1+$AX$3)&lt;=30000,10,IF($F454*IF($C454="売",1-$AX$3,1+$AX$3)&lt;=50000,50,IF($F454*IF($C454="売",1-$AX$3,1+$AX$3)&lt;=300000,100,500))))))))</f>
      </c>
      <c r="N454" s="599" t="str">
        <f>IF($F454="","",IF($C454="売",CEILING($F454*IF($C454="売",1+$AX$2,1-$AX$2),IF($F454*IF($C454="売",1+$AX$2,1-$AX$2)&lt;=3000,1,IF($F454*IF($C454="売",1+$AX$2,1-$AX$2)&lt;=5000,5,IF($F454*IF($C454="売",1+$AX$2,1-$AX$2)&lt;=30000,10,IF($F454*IF($C454="売",1+$AX$2,1-$AX$2)&lt;=50000,50,IF($F454*IF($C454="売",1+$AX$2,1-$AX$2)&lt;=300000,100,500)))))),FLOOR($F454*IF($C454="売",1+$AX$2,1-$AX$2),IF($F454*IF($C454="売",1+$AX$2,1-$AX$2)&lt;=3000,1,IF($F454*IF($C454="売",1+$AX$2,1-$AX$2)&lt;=5000,5,IF($F454*IF($C454="売",1+$AX$2,1-$AX$2)&lt;=30000,10,IF($F454*IF($C454="売",1+$AX$2,1-$AX$2)&lt;=50000,50,IF($F454*IF($C454="売",1+$AX$2,1-$AX$2)&lt;=300000,100,500))))))))</f>
      </c>
      <c r="O454" s="478" t="str">
        <f>IF(OR($B454="",$F454="",$H454=""),"",IF($S454="✅売却済","―決済済―",IF($C454="売",IF($H454&lt;=$M454,"🟢利確",IF(AND($R454&lt;&gt;"",$H454&gt;=$R454),"🟠TRAIL決済",IF($H454&gt;=$N454,"🔴損切",IF($W454&gt;=$AX$5,"⏱時間決済",IF($H454&gt;=$F454*(1+$AX$2*0.7),"⚠️損切接近","保持継続"))))),IF($H454&gt;=$M454,"🟢利確",IF(AND($R454&lt;&gt;"",$H454&lt;=$R454),"🟠TRAIL決済",IF($H454&lt;=$N454,"🔴損切",IF($W454&gt;=$AX$5,"⏱時間決済",IF($H454&lt;=$F454*(1-$AX$2*0.7),"⚠️損切接近","保持継続")))))))</f>
      </c>
      <c r="P454" s="445"/>
      <c r="R454" s="440" t="str">
        <f>IF(OR($F454="",$H454="",$N454=""),"",IF($S454="✅売却済","",IF($C454="売",IF($H454&gt;$F454*(1-$AX$2),$N454,CEILING(MIN($N454,IF($Q454="",$N454,$Q454*1.03)),IF($N454&lt;=3000,1,IF($N454&lt;=5000,5,IF($N454&lt;=30000,10,IF($N454&lt;=50000,50,IF($N454&lt;=300000,100,500))))))),IF($H454&lt;$F454*(1+$AX$2),$N454,FLOOR(MAX($N454,IF($P454="",$N454,$P454*0.97)),IF($N454&lt;=3000,1,IF($N454&lt;=5000,5,IF($N454&lt;=30000,10,IF($N454&lt;=50000,50,IF($N454&lt;=300000,100,500))))))))))</f>
      </c>
      <c r="S454" s="440" t="str">
        <f>IF(B454="","",IF(T454&lt;&gt;"","✅売却済",IF(OR(H454="",L454=""),"📌保有中",IF(L454&gt;=0.06,"🟢利確推奨",IF(L454&gt;=0.05,"🟡利確直近",IF(L454&gt;=0.045,"🔵トレーリング検討",IF(L454&gt;-0.03,"📌保有中",IF(L454&gt;-0.04,"⚠️損切注意","🔴損切り"))))))))</f>
        <v/>
      </c>
      <c r="T454" s="597"/>
      <c r="U454" s="599"/>
      <c r="V454" s="704" t="str">
        <f>IF(OR(F454="",G454="",U454=""),"",IF(C454="売",(F454-U454)*G454,(U454-F454)*G454))</f>
        <v/>
      </c>
      <c r="W454" s="440" t="str">
        <f>IF(OR($E454="",$B454=""),"",IF($T454&lt;&gt;"",$T454-$E454,TODAY()-$E454)+1)</f>
        <v/>
      </c>
      <c r="X454" s="440" t="str">
        <f>IF(OR($AH454="",$AH454="保有中"),"",$AH454)</f>
        <v/>
      </c>
      <c r="Y454">
        <f>IF($B454="","",IF(COUNTIFS($B$4:$B454,$B454,$C$4:$C454,$C454)&gt;1,"⛔重複"&amp;COUNTIFS($B$4:$B454,$B454,$C$4:$C454,$C454)&amp;"回目",""))</f>
      </c>
      <c r="AB454">
        <f>IF($F454="","",MAX(100,ROUNDDOWN($AX$4/($F454*$AX$2)/100,0)*100))</f>
      </c>
      <c r="AC454">
        <f>IF(OR($F454="",$G454="",$U454=""),"",ROUND($V454-($F454+$U454)*$G454*$AX$6-IF($C454="売",$F454*$G454*$AX$7*$W454/365,0),0))</f>
      </c>
      <c r="AD454" s="608"/>
      <c r="AE454" s="600" t="str">
        <f>IF($E454="","",WORKDAY($E454,12))</f>
        <v/>
      </c>
      <c r="AF454" s="600"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0"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0" t="str">
        <f>IF(OR($B454="",$M454=""),"",IF(AND(N($AF454)=0,N($AG454)=0),IF(AND(ISNUMBER($H454),$H454&gt;0,IF($C454="売",$H454&gt;=$N454,$H454&lt;=$N454)),"損切確定",IF(AND(ISNUMBER($H454),$H454&gt;0,IF($C454="売",$H454&lt;=$M454,$H454&gt;=$M454)),"利益確定",IF($AE454&lt;=TODAY(),"日数制限","保有中"))),IF(N($AG454)=0,"利益確定",IF(N($AF454)=0,"損切確定",IF($AG454&lt;=$AF454,"損切確定","利益確定")))))</f>
        <v/>
      </c>
      <c r="AI454" s="600" t="str" cm="1">
        <f t="array" ref="AI454">IFERROR(INDEX(始値!$E$6:$BT$305,MATCH(TEXT($B454,"0"),TEXT(銘柄管理!$B$6:$B$305,"0"),0),MATCH($AE454,始値!$E$3:$BT$3,0)),"")</f>
        <v/>
      </c>
      <c r="AJ454" s="608" t="str">
        <f>IF(OR($V454="",$F454="",$G454=""),"",$V454/($F454*$G454))</f>
        <v/>
      </c>
      <c r="AK454" s="600" t="str">
        <f>IF($V454="","",IF($V454&gt;0,"○勝",IF($V454&lt;0,"●負","△引分")))</f>
        <v/>
      </c>
    </row>
    <row r="455" spans="1:37" ht="17.25" customHeight="1">
      <c r="A455" s="622" t="str">
        <f>IF(B455="","",HYPERLINK("https://kabutan.jp/stock/?code="&amp;B455,"株探"))</f>
        <v/>
      </c>
      <c r="D455" s="440" t="str" cm="1">
        <f t="array" ref="D455">_xll.RssMarket(B455, "銘柄名称")</f>
        <v/>
      </c>
      <c r="E455" s="717"/>
      <c r="F455" s="6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IF(OR(F455="",G455="",H455=""),"",IF(C455="売",(F455-H455)*G455,(H455-F455)*G455))</f>
        <v/>
      </c>
      <c r="L455" s="709" t="str">
        <f>IF(OR(F455="",H455=""),"",IF(C455="売",(F455-H455)/F455,(H455-F455)/F455))</f>
        <v/>
      </c>
      <c r="M455" s="599" t="str">
        <f>IF($F455="","",IF($C455="売",CEILING($F455*IF($C455="売",1-$AX$3,1+$AX$3),IF($F455*IF($C455="売",1-$AX$3,1+$AX$3)&lt;=3000,1,IF($F455*IF($C455="売",1-$AX$3,1+$AX$3)&lt;=5000,5,IF($F455*IF($C455="売",1-$AX$3,1+$AX$3)&lt;=30000,10,IF($F455*IF($C455="売",1-$AX$3,1+$AX$3)&lt;=50000,50,IF($F455*IF($C455="売",1-$AX$3,1+$AX$3)&lt;=300000,100,500)))))),FLOOR($F455*IF($C455="売",1-$AX$3,1+$AX$3),IF($F455*IF($C455="売",1-$AX$3,1+$AX$3)&lt;=3000,1,IF($F455*IF($C455="売",1-$AX$3,1+$AX$3)&lt;=5000,5,IF($F455*IF($C455="売",1-$AX$3,1+$AX$3)&lt;=30000,10,IF($F455*IF($C455="売",1-$AX$3,1+$AX$3)&lt;=50000,50,IF($F455*IF($C455="売",1-$AX$3,1+$AX$3)&lt;=300000,100,500))))))))</f>
      </c>
      <c r="N455" s="599" t="str">
        <f>IF($F455="","",IF($C455="売",CEILING($F455*IF($C455="売",1+$AX$2,1-$AX$2),IF($F455*IF($C455="売",1+$AX$2,1-$AX$2)&lt;=3000,1,IF($F455*IF($C455="売",1+$AX$2,1-$AX$2)&lt;=5000,5,IF($F455*IF($C455="売",1+$AX$2,1-$AX$2)&lt;=30000,10,IF($F455*IF($C455="売",1+$AX$2,1-$AX$2)&lt;=50000,50,IF($F455*IF($C455="売",1+$AX$2,1-$AX$2)&lt;=300000,100,500)))))),FLOOR($F455*IF($C455="売",1+$AX$2,1-$AX$2),IF($F455*IF($C455="売",1+$AX$2,1-$AX$2)&lt;=3000,1,IF($F455*IF($C455="売",1+$AX$2,1-$AX$2)&lt;=5000,5,IF($F455*IF($C455="売",1+$AX$2,1-$AX$2)&lt;=30000,10,IF($F455*IF($C455="売",1+$AX$2,1-$AX$2)&lt;=50000,50,IF($F455*IF($C455="売",1+$AX$2,1-$AX$2)&lt;=300000,100,500))))))))</f>
      </c>
      <c r="O455" s="478" t="str">
        <f>IF(OR($B455="",$F455="",$H455=""),"",IF($S455="✅売却済","―決済済―",IF($C455="売",IF($H455&lt;=$M455,"🟢利確",IF(AND($R455&lt;&gt;"",$H455&gt;=$R455),"🟠TRAIL決済",IF($H455&gt;=$N455,"🔴損切",IF($W455&gt;=$AX$5,"⏱時間決済",IF($H455&gt;=$F455*(1+$AX$2*0.7),"⚠️損切接近","保持継続"))))),IF($H455&gt;=$M455,"🟢利確",IF(AND($R455&lt;&gt;"",$H455&lt;=$R455),"🟠TRAIL決済",IF($H455&lt;=$N455,"🔴損切",IF($W455&gt;=$AX$5,"⏱時間決済",IF($H455&lt;=$F455*(1-$AX$2*0.7),"⚠️損切接近","保持継続")))))))</f>
      </c>
      <c r="P455" s="445"/>
      <c r="R455" s="440" t="str">
        <f>IF(OR($F455="",$H455="",$N455=""),"",IF($S455="✅売却済","",IF($C455="売",IF($H455&gt;$F455*(1-$AX$2),$N455,CEILING(MIN($N455,IF($Q455="",$N455,$Q455*1.03)),IF($N455&lt;=3000,1,IF($N455&lt;=5000,5,IF($N455&lt;=30000,10,IF($N455&lt;=50000,50,IF($N455&lt;=300000,100,500))))))),IF($H455&lt;$F455*(1+$AX$2),$N455,FLOOR(MAX($N455,IF($P455="",$N455,$P455*0.97)),IF($N455&lt;=3000,1,IF($N455&lt;=5000,5,IF($N455&lt;=30000,10,IF($N455&lt;=50000,50,IF($N455&lt;=300000,100,500))))))))))</f>
      </c>
      <c r="S455" s="440" t="str">
        <f>IF(B455="","",IF(T455&lt;&gt;"","✅売却済",IF(OR(H455="",L455=""),"📌保有中",IF(L455&gt;=0.06,"🟢利確推奨",IF(L455&gt;=0.05,"🟡利確直近",IF(L455&gt;=0.045,"🔵トレーリング検討",IF(L455&gt;-0.03,"📌保有中",IF(L455&gt;-0.04,"⚠️損切注意","🔴損切り"))))))))</f>
        <v/>
      </c>
      <c r="T455" s="597"/>
      <c r="U455" s="599"/>
      <c r="V455" s="704" t="str">
        <f>IF(OR(F455="",G455="",U455=""),"",IF(C455="売",(F455-U455)*G455,(U455-F455)*G455))</f>
        <v/>
      </c>
      <c r="W455" s="440" t="str">
        <f>IF(OR($E455="",$B455=""),"",IF($T455&lt;&gt;"",$T455-$E455,TODAY()-$E455)+1)</f>
        <v/>
      </c>
      <c r="X455" s="440" t="str">
        <f>IF(OR($AH455="",$AH455="保有中"),"",$AH455)</f>
        <v/>
      </c>
      <c r="Y455">
        <f>IF($B455="","",IF(COUNTIFS($B$4:$B455,$B455,$C$4:$C455,$C455)&gt;1,"⛔重複"&amp;COUNTIFS($B$4:$B455,$B455,$C$4:$C455,$C455)&amp;"回目",""))</f>
      </c>
      <c r="AB455">
        <f>IF($F455="","",MAX(100,ROUNDDOWN($AX$4/($F455*$AX$2)/100,0)*100))</f>
      </c>
      <c r="AC455">
        <f>IF(OR($F455="",$G455="",$U455=""),"",ROUND($V455-($F455+$U455)*$G455*$AX$6-IF($C455="売",$F455*$G455*$AX$7*$W455/365,0),0))</f>
      </c>
      <c r="AD455" s="608"/>
      <c r="AE455" s="600" t="str">
        <f>IF($E455="","",WORKDAY($E455,12))</f>
        <v/>
      </c>
      <c r="AF455" s="600"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0"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0" t="str">
        <f>IF(OR($B455="",$M455=""),"",IF(AND(N($AF455)=0,N($AG455)=0),IF(AND(ISNUMBER($H455),$H455&gt;0,IF($C455="売",$H455&gt;=$N455,$H455&lt;=$N455)),"損切確定",IF(AND(ISNUMBER($H455),$H455&gt;0,IF($C455="売",$H455&lt;=$M455,$H455&gt;=$M455)),"利益確定",IF($AE455&lt;=TODAY(),"日数制限","保有中"))),IF(N($AG455)=0,"利益確定",IF(N($AF455)=0,"損切確定",IF($AG455&lt;=$AF455,"損切確定","利益確定")))))</f>
        <v/>
      </c>
      <c r="AI455" s="600" t="str" cm="1">
        <f t="array" ref="AI455">IFERROR(INDEX(始値!$E$6:$BT$305,MATCH(TEXT($B455,"0"),TEXT(銘柄管理!$B$6:$B$305,"0"),0),MATCH($AE455,始値!$E$3:$BT$3,0)),"")</f>
        <v/>
      </c>
      <c r="AJ455" s="608" t="str">
        <f>IF(OR($V455="",$F455="",$G455=""),"",$V455/($F455*$G455))</f>
        <v/>
      </c>
      <c r="AK455" s="600" t="str">
        <f>IF($V455="","",IF($V455&gt;0,"○勝",IF($V455&lt;0,"●負","△引分")))</f>
        <v/>
      </c>
    </row>
    <row r="456" spans="1:37" ht="17.25" customHeight="1">
      <c r="A456" s="622" t="str">
        <f>IF(B456="","",HYPERLINK("https://kabutan.jp/stock/?code="&amp;B456,"株探"))</f>
        <v/>
      </c>
      <c r="D456" s="440" t="str" cm="1">
        <f t="array" ref="D456">_xll.RssMarket(B456, "銘柄名称")</f>
        <v/>
      </c>
      <c r="E456" s="717"/>
      <c r="F456" s="6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IF(OR(F456="",G456="",H456=""),"",IF(C456="売",(F456-H456)*G456,(H456-F456)*G456))</f>
        <v/>
      </c>
      <c r="L456" s="709" t="str">
        <f>IF(OR(F456="",H456=""),"",IF(C456="売",(F456-H456)/F456,(H456-F456)/F456))</f>
        <v/>
      </c>
      <c r="M456" s="599" t="str">
        <f>IF($F456="","",IF($C456="売",CEILING($F456*IF($C456="売",1-$AX$3,1+$AX$3),IF($F456*IF($C456="売",1-$AX$3,1+$AX$3)&lt;=3000,1,IF($F456*IF($C456="売",1-$AX$3,1+$AX$3)&lt;=5000,5,IF($F456*IF($C456="売",1-$AX$3,1+$AX$3)&lt;=30000,10,IF($F456*IF($C456="売",1-$AX$3,1+$AX$3)&lt;=50000,50,IF($F456*IF($C456="売",1-$AX$3,1+$AX$3)&lt;=300000,100,500)))))),FLOOR($F456*IF($C456="売",1-$AX$3,1+$AX$3),IF($F456*IF($C456="売",1-$AX$3,1+$AX$3)&lt;=3000,1,IF($F456*IF($C456="売",1-$AX$3,1+$AX$3)&lt;=5000,5,IF($F456*IF($C456="売",1-$AX$3,1+$AX$3)&lt;=30000,10,IF($F456*IF($C456="売",1-$AX$3,1+$AX$3)&lt;=50000,50,IF($F456*IF($C456="売",1-$AX$3,1+$AX$3)&lt;=300000,100,500))))))))</f>
      </c>
      <c r="N456" s="599" t="str">
        <f>IF($F456="","",IF($C456="売",CEILING($F456*IF($C456="売",1+$AX$2,1-$AX$2),IF($F456*IF($C456="売",1+$AX$2,1-$AX$2)&lt;=3000,1,IF($F456*IF($C456="売",1+$AX$2,1-$AX$2)&lt;=5000,5,IF($F456*IF($C456="売",1+$AX$2,1-$AX$2)&lt;=30000,10,IF($F456*IF($C456="売",1+$AX$2,1-$AX$2)&lt;=50000,50,IF($F456*IF($C456="売",1+$AX$2,1-$AX$2)&lt;=300000,100,500)))))),FLOOR($F456*IF($C456="売",1+$AX$2,1-$AX$2),IF($F456*IF($C456="売",1+$AX$2,1-$AX$2)&lt;=3000,1,IF($F456*IF($C456="売",1+$AX$2,1-$AX$2)&lt;=5000,5,IF($F456*IF($C456="売",1+$AX$2,1-$AX$2)&lt;=30000,10,IF($F456*IF($C456="売",1+$AX$2,1-$AX$2)&lt;=50000,50,IF($F456*IF($C456="売",1+$AX$2,1-$AX$2)&lt;=300000,100,500))))))))</f>
      </c>
      <c r="O456" s="478" t="str">
        <f>IF(OR($B456="",$F456="",$H456=""),"",IF($S456="✅売却済","―決済済―",IF($C456="売",IF($H456&lt;=$M456,"🟢利確",IF(AND($R456&lt;&gt;"",$H456&gt;=$R456),"🟠TRAIL決済",IF($H456&gt;=$N456,"🔴損切",IF($W456&gt;=$AX$5,"⏱時間決済",IF($H456&gt;=$F456*(1+$AX$2*0.7),"⚠️損切接近","保持継続"))))),IF($H456&gt;=$M456,"🟢利確",IF(AND($R456&lt;&gt;"",$H456&lt;=$R456),"🟠TRAIL決済",IF($H456&lt;=$N456,"🔴損切",IF($W456&gt;=$AX$5,"⏱時間決済",IF($H456&lt;=$F456*(1-$AX$2*0.7),"⚠️損切接近","保持継続")))))))</f>
      </c>
      <c r="P456" s="445"/>
      <c r="R456" s="440" t="str">
        <f>IF(OR($F456="",$H456="",$N456=""),"",IF($S456="✅売却済","",IF($C456="売",IF($H456&gt;$F456*(1-$AX$2),$N456,CEILING(MIN($N456,IF($Q456="",$N456,$Q456*1.03)),IF($N456&lt;=3000,1,IF($N456&lt;=5000,5,IF($N456&lt;=30000,10,IF($N456&lt;=50000,50,IF($N456&lt;=300000,100,500))))))),IF($H456&lt;$F456*(1+$AX$2),$N456,FLOOR(MAX($N456,IF($P456="",$N456,$P456*0.97)),IF($N456&lt;=3000,1,IF($N456&lt;=5000,5,IF($N456&lt;=30000,10,IF($N456&lt;=50000,50,IF($N456&lt;=300000,100,500))))))))))</f>
      </c>
      <c r="S456" s="440" t="str">
        <f>IF(B456="","",IF(T456&lt;&gt;"","✅売却済",IF(OR(H456="",L456=""),"📌保有中",IF(L456&gt;=0.06,"🟢利確推奨",IF(L456&gt;=0.05,"🟡利確直近",IF(L456&gt;=0.045,"🔵トレーリング検討",IF(L456&gt;-0.03,"📌保有中",IF(L456&gt;-0.04,"⚠️損切注意","🔴損切り"))))))))</f>
        <v/>
      </c>
      <c r="T456" s="597"/>
      <c r="U456" s="599"/>
      <c r="V456" s="704" t="str">
        <f>IF(OR(F456="",G456="",U456=""),"",IF(C456="売",(F456-U456)*G456,(U456-F456)*G456))</f>
        <v/>
      </c>
      <c r="W456" s="440" t="str">
        <f>IF(OR($E456="",$B456=""),"",IF($T456&lt;&gt;"",$T456-$E456,TODAY()-$E456)+1)</f>
        <v/>
      </c>
      <c r="X456" s="440" t="str">
        <f>IF(OR($AH456="",$AH456="保有中"),"",$AH456)</f>
        <v/>
      </c>
      <c r="Y456">
        <f>IF($B456="","",IF(COUNTIFS($B$4:$B456,$B456,$C$4:$C456,$C456)&gt;1,"⛔重複"&amp;COUNTIFS($B$4:$B456,$B456,$C$4:$C456,$C456)&amp;"回目",""))</f>
      </c>
      <c r="AB456">
        <f>IF($F456="","",MAX(100,ROUNDDOWN($AX$4/($F456*$AX$2)/100,0)*100))</f>
      </c>
      <c r="AC456">
        <f>IF(OR($F456="",$G456="",$U456=""),"",ROUND($V456-($F456+$U456)*$G456*$AX$6-IF($C456="売",$F456*$G456*$AX$7*$W456/365,0),0))</f>
      </c>
      <c r="AD456" s="608"/>
      <c r="AE456" s="600" t="str">
        <f>IF($E456="","",WORKDAY($E456,12))</f>
        <v/>
      </c>
      <c r="AF456" s="600"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0"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0" t="str">
        <f>IF(OR($B456="",$M456=""),"",IF(AND(N($AF456)=0,N($AG456)=0),IF(AND(ISNUMBER($H456),$H456&gt;0,IF($C456="売",$H456&gt;=$N456,$H456&lt;=$N456)),"損切確定",IF(AND(ISNUMBER($H456),$H456&gt;0,IF($C456="売",$H456&lt;=$M456,$H456&gt;=$M456)),"利益確定",IF($AE456&lt;=TODAY(),"日数制限","保有中"))),IF(N($AG456)=0,"利益確定",IF(N($AF456)=0,"損切確定",IF($AG456&lt;=$AF456,"損切確定","利益確定")))))</f>
        <v/>
      </c>
      <c r="AI456" s="600" t="str" cm="1">
        <f t="array" ref="AI456">IFERROR(INDEX(始値!$E$6:$BT$305,MATCH(TEXT($B456,"0"),TEXT(銘柄管理!$B$6:$B$305,"0"),0),MATCH($AE456,始値!$E$3:$BT$3,0)),"")</f>
        <v/>
      </c>
      <c r="AJ456" s="608" t="str">
        <f>IF(OR($V456="",$F456="",$G456=""),"",$V456/($F456*$G456))</f>
        <v/>
      </c>
      <c r="AK456" s="600" t="str">
        <f>IF($V456="","",IF($V456&gt;0,"○勝",IF($V456&lt;0,"●負","△引分")))</f>
        <v/>
      </c>
    </row>
    <row r="457" spans="1:37" ht="17.25" customHeight="1">
      <c r="A457" s="622" t="str">
        <f>IF(B457="","",HYPERLINK("https://kabutan.jp/stock/?code="&amp;B457,"株探"))</f>
        <v/>
      </c>
      <c r="D457" s="440" t="str" cm="1">
        <f t="array" ref="D457">_xll.RssMarket(B457, "銘柄名称")</f>
        <v/>
      </c>
      <c r="E457" s="717"/>
      <c r="F457" s="6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IF(OR(F457="",G457="",H457=""),"",IF(C457="売",(F457-H457)*G457,(H457-F457)*G457))</f>
        <v/>
      </c>
      <c r="L457" s="709" t="str">
        <f>IF(OR(F457="",H457=""),"",IF(C457="売",(F457-H457)/F457,(H457-F457)/F457))</f>
        <v/>
      </c>
      <c r="M457" s="599" t="str">
        <f>IF($F457="","",IF($C457="売",CEILING($F457*IF($C457="売",1-$AX$3,1+$AX$3),IF($F457*IF($C457="売",1-$AX$3,1+$AX$3)&lt;=3000,1,IF($F457*IF($C457="売",1-$AX$3,1+$AX$3)&lt;=5000,5,IF($F457*IF($C457="売",1-$AX$3,1+$AX$3)&lt;=30000,10,IF($F457*IF($C457="売",1-$AX$3,1+$AX$3)&lt;=50000,50,IF($F457*IF($C457="売",1-$AX$3,1+$AX$3)&lt;=300000,100,500)))))),FLOOR($F457*IF($C457="売",1-$AX$3,1+$AX$3),IF($F457*IF($C457="売",1-$AX$3,1+$AX$3)&lt;=3000,1,IF($F457*IF($C457="売",1-$AX$3,1+$AX$3)&lt;=5000,5,IF($F457*IF($C457="売",1-$AX$3,1+$AX$3)&lt;=30000,10,IF($F457*IF($C457="売",1-$AX$3,1+$AX$3)&lt;=50000,50,IF($F457*IF($C457="売",1-$AX$3,1+$AX$3)&lt;=300000,100,500))))))))</f>
      </c>
      <c r="N457" s="599" t="str">
        <f>IF($F457="","",IF($C457="売",CEILING($F457*IF($C457="売",1+$AX$2,1-$AX$2),IF($F457*IF($C457="売",1+$AX$2,1-$AX$2)&lt;=3000,1,IF($F457*IF($C457="売",1+$AX$2,1-$AX$2)&lt;=5000,5,IF($F457*IF($C457="売",1+$AX$2,1-$AX$2)&lt;=30000,10,IF($F457*IF($C457="売",1+$AX$2,1-$AX$2)&lt;=50000,50,IF($F457*IF($C457="売",1+$AX$2,1-$AX$2)&lt;=300000,100,500)))))),FLOOR($F457*IF($C457="売",1+$AX$2,1-$AX$2),IF($F457*IF($C457="売",1+$AX$2,1-$AX$2)&lt;=3000,1,IF($F457*IF($C457="売",1+$AX$2,1-$AX$2)&lt;=5000,5,IF($F457*IF($C457="売",1+$AX$2,1-$AX$2)&lt;=30000,10,IF($F457*IF($C457="売",1+$AX$2,1-$AX$2)&lt;=50000,50,IF($F457*IF($C457="売",1+$AX$2,1-$AX$2)&lt;=300000,100,500))))))))</f>
      </c>
      <c r="O457" s="478" t="str">
        <f>IF(OR($B457="",$F457="",$H457=""),"",IF($S457="✅売却済","―決済済―",IF($C457="売",IF($H457&lt;=$M457,"🟢利確",IF(AND($R457&lt;&gt;"",$H457&gt;=$R457),"🟠TRAIL決済",IF($H457&gt;=$N457,"🔴損切",IF($W457&gt;=$AX$5,"⏱時間決済",IF($H457&gt;=$F457*(1+$AX$2*0.7),"⚠️損切接近","保持継続"))))),IF($H457&gt;=$M457,"🟢利確",IF(AND($R457&lt;&gt;"",$H457&lt;=$R457),"🟠TRAIL決済",IF($H457&lt;=$N457,"🔴損切",IF($W457&gt;=$AX$5,"⏱時間決済",IF($H457&lt;=$F457*(1-$AX$2*0.7),"⚠️損切接近","保持継続")))))))</f>
      </c>
      <c r="P457" s="445"/>
      <c r="R457" s="440" t="str">
        <f>IF(OR($F457="",$H457="",$N457=""),"",IF($S457="✅売却済","",IF($C457="売",IF($H457&gt;$F457*(1-$AX$2),$N457,CEILING(MIN($N457,IF($Q457="",$N457,$Q457*1.03)),IF($N457&lt;=3000,1,IF($N457&lt;=5000,5,IF($N457&lt;=30000,10,IF($N457&lt;=50000,50,IF($N457&lt;=300000,100,500))))))),IF($H457&lt;$F457*(1+$AX$2),$N457,FLOOR(MAX($N457,IF($P457="",$N457,$P457*0.97)),IF($N457&lt;=3000,1,IF($N457&lt;=5000,5,IF($N457&lt;=30000,10,IF($N457&lt;=50000,50,IF($N457&lt;=300000,100,500))))))))))</f>
      </c>
      <c r="S457" s="440" t="str">
        <f>IF(B457="","",IF(T457&lt;&gt;"","✅売却済",IF(OR(H457="",L457=""),"📌保有中",IF(L457&gt;=0.06,"🟢利確推奨",IF(L457&gt;=0.05,"🟡利確直近",IF(L457&gt;=0.045,"🔵トレーリング検討",IF(L457&gt;-0.03,"📌保有中",IF(L457&gt;-0.04,"⚠️損切注意","🔴損切り"))))))))</f>
        <v/>
      </c>
      <c r="T457" s="597"/>
      <c r="U457" s="599"/>
      <c r="V457" s="704" t="str">
        <f>IF(OR(F457="",G457="",U457=""),"",IF(C457="売",(F457-U457)*G457,(U457-F457)*G457))</f>
        <v/>
      </c>
      <c r="W457" s="440" t="str">
        <f>IF(OR($E457="",$B457=""),"",IF($T457&lt;&gt;"",$T457-$E457,TODAY()-$E457)+1)</f>
        <v/>
      </c>
      <c r="X457" s="440" t="str">
        <f>IF(OR($AH457="",$AH457="保有中"),"",$AH457)</f>
        <v/>
      </c>
      <c r="Y457">
        <f>IF($B457="","",IF(COUNTIFS($B$4:$B457,$B457,$C$4:$C457,$C457)&gt;1,"⛔重複"&amp;COUNTIFS($B$4:$B457,$B457,$C$4:$C457,$C457)&amp;"回目",""))</f>
      </c>
      <c r="AB457">
        <f>IF($F457="","",MAX(100,ROUNDDOWN($AX$4/($F457*$AX$2)/100,0)*100))</f>
      </c>
      <c r="AC457">
        <f>IF(OR($F457="",$G457="",$U457=""),"",ROUND($V457-($F457+$U457)*$G457*$AX$6-IF($C457="売",$F457*$G457*$AX$7*$W457/365,0),0))</f>
      </c>
      <c r="AD457" s="608"/>
      <c r="AE457" s="600" t="str">
        <f>IF($E457="","",WORKDAY($E457,12))</f>
        <v/>
      </c>
      <c r="AF457" s="600"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0"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0" t="str">
        <f>IF(OR($B457="",$M457=""),"",IF(AND(N($AF457)=0,N($AG457)=0),IF(AND(ISNUMBER($H457),$H457&gt;0,IF($C457="売",$H457&gt;=$N457,$H457&lt;=$N457)),"損切確定",IF(AND(ISNUMBER($H457),$H457&gt;0,IF($C457="売",$H457&lt;=$M457,$H457&gt;=$M457)),"利益確定",IF($AE457&lt;=TODAY(),"日数制限","保有中"))),IF(N($AG457)=0,"利益確定",IF(N($AF457)=0,"損切確定",IF($AG457&lt;=$AF457,"損切確定","利益確定")))))</f>
        <v/>
      </c>
      <c r="AI457" s="600" t="str" cm="1">
        <f t="array" ref="AI457">IFERROR(INDEX(始値!$E$6:$BT$305,MATCH(TEXT($B457,"0"),TEXT(銘柄管理!$B$6:$B$305,"0"),0),MATCH($AE457,始値!$E$3:$BT$3,0)),"")</f>
        <v/>
      </c>
      <c r="AJ457" s="608" t="str">
        <f>IF(OR($V457="",$F457="",$G457=""),"",$V457/($F457*$G457))</f>
        <v/>
      </c>
      <c r="AK457" s="600" t="str">
        <f>IF($V457="","",IF($V457&gt;0,"○勝",IF($V457&lt;0,"●負","△引分")))</f>
        <v/>
      </c>
    </row>
    <row r="458" spans="1:37" ht="17.25" customHeight="1">
      <c r="A458" s="622" t="str">
        <f>IF(B458="","",HYPERLINK("https://kabutan.jp/stock/?code="&amp;B458,"株探"))</f>
        <v/>
      </c>
      <c r="D458" s="440" t="str" cm="1">
        <f t="array" ref="D458">_xll.RssMarket(B458, "銘柄名称")</f>
        <v/>
      </c>
      <c r="E458" s="717"/>
      <c r="F458" s="6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t="str">
        <f>IF($F458="","",IF($C458="売",CEILING($F458*IF($C458="売",1-$AX$3,1+$AX$3),IF($F458*IF($C458="売",1-$AX$3,1+$AX$3)&lt;=3000,1,IF($F458*IF($C458="売",1-$AX$3,1+$AX$3)&lt;=5000,5,IF($F458*IF($C458="売",1-$AX$3,1+$AX$3)&lt;=30000,10,IF($F458*IF($C458="売",1-$AX$3,1+$AX$3)&lt;=50000,50,IF($F458*IF($C458="売",1-$AX$3,1+$AX$3)&lt;=300000,100,500)))))),FLOOR($F458*IF($C458="売",1-$AX$3,1+$AX$3),IF($F458*IF($C458="売",1-$AX$3,1+$AX$3)&lt;=3000,1,IF($F458*IF($C458="売",1-$AX$3,1+$AX$3)&lt;=5000,5,IF($F458*IF($C458="売",1-$AX$3,1+$AX$3)&lt;=30000,10,IF($F458*IF($C458="売",1-$AX$3,1+$AX$3)&lt;=50000,50,IF($F458*IF($C458="売",1-$AX$3,1+$AX$3)&lt;=300000,100,500))))))))</f>
      </c>
      <c r="N458" s="599" t="str">
        <f>IF($F458="","",IF($C458="売",CEILING($F458*IF($C458="売",1+$AX$2,1-$AX$2),IF($F458*IF($C458="売",1+$AX$2,1-$AX$2)&lt;=3000,1,IF($F458*IF($C458="売",1+$AX$2,1-$AX$2)&lt;=5000,5,IF($F458*IF($C458="売",1+$AX$2,1-$AX$2)&lt;=30000,10,IF($F458*IF($C458="売",1+$AX$2,1-$AX$2)&lt;=50000,50,IF($F458*IF($C458="売",1+$AX$2,1-$AX$2)&lt;=300000,100,500)))))),FLOOR($F458*IF($C458="売",1+$AX$2,1-$AX$2),IF($F458*IF($C458="売",1+$AX$2,1-$AX$2)&lt;=3000,1,IF($F458*IF($C458="売",1+$AX$2,1-$AX$2)&lt;=5000,5,IF($F458*IF($C458="売",1+$AX$2,1-$AX$2)&lt;=30000,10,IF($F458*IF($C458="売",1+$AX$2,1-$AX$2)&lt;=50000,50,IF($F458*IF($C458="売",1+$AX$2,1-$AX$2)&lt;=300000,100,500))))))))</f>
      </c>
      <c r="O458" s="478" t="str">
        <f>IF(OR($B458="",$F458="",$H458=""),"",IF($S458="✅売却済","―決済済―",IF($C458="売",IF($H458&lt;=$M458,"🟢利確",IF(AND($R458&lt;&gt;"",$H458&gt;=$R458),"🟠TRAIL決済",IF($H458&gt;=$N458,"🔴損切",IF($W458&gt;=$AX$5,"⏱時間決済",IF($H458&gt;=$F458*(1+$AX$2*0.7),"⚠️損切接近","保持継続"))))),IF($H458&gt;=$M458,"🟢利確",IF(AND($R458&lt;&gt;"",$H458&lt;=$R458),"🟠TRAIL決済",IF($H458&lt;=$N458,"🔴損切",IF($W458&gt;=$AX$5,"⏱時間決済",IF($H458&lt;=$F458*(1-$AX$2*0.7),"⚠️損切接近","保持継続")))))))</f>
      </c>
      <c r="P458" s="445"/>
      <c r="R458" s="440" t="str">
        <f>IF(OR($F458="",$H458="",$N458=""),"",IF($S458="✅売却済","",IF($C458="売",IF($H458&gt;$F458*(1-$AX$2),$N458,CEILING(MIN($N458,IF($Q458="",$N458,$Q458*1.03)),IF($N458&lt;=3000,1,IF($N458&lt;=5000,5,IF($N458&lt;=30000,10,IF($N458&lt;=50000,50,IF($N458&lt;=300000,100,500))))))),IF($H458&lt;$F458*(1+$AX$2),$N458,FLOOR(MAX($N458,IF($P458="",$N458,$P458*0.97)),IF($N458&lt;=3000,1,IF($N458&lt;=5000,5,IF($N458&lt;=30000,10,IF($N458&lt;=50000,50,IF($N458&lt;=300000,100,500))))))))))</f>
      </c>
      <c r="S458" s="440" t="str">
        <f>IF(B458="","",IF(T458&lt;&gt;"","✅売却済",IF(OR(H458="",L458=""),"📌保有中",IF(L458&gt;=0.06,"🟢利確推奨",IF(L458&gt;=0.05,"🟡利確直近",IF(L458&gt;=0.045,"🔵トレーリング検討",IF(L458&gt;-0.03,"📌保有中",IF(L458&gt;-0.04,"⚠️損切注意","🔴損切り"))))))))</f>
        <v/>
      </c>
      <c r="T458" s="597"/>
      <c r="U458" s="599"/>
      <c r="V458" s="704" t="str">
        <f ca="1">IF(OR(F458="",G458="",U458=""),"",IF(C458="売",(F458-U458)*G458,(U458-F458)*G458))</f>
        <v/>
      </c>
      <c r="W458" s="440" t="str">
        <f>IF(OR($E458="",$B458=""),"",IF($T458&lt;&gt;"",$T458-$E458,TODAY()-$E458)+1)</f>
        <v/>
      </c>
      <c r="X458" s="440" t="str">
        <f>IF(OR($AH458="",$AH458="保有中"),"",$AH458)</f>
        <v/>
      </c>
      <c r="Y458">
        <f>IF($B458="","",IF(COUNTIFS($B$4:$B458,$B458,$C$4:$C458,$C458)&gt;1,"⛔重複"&amp;COUNTIFS($B$4:$B458,$B458,$C$4:$C458,$C458)&amp;"回目",""))</f>
      </c>
      <c r="AB458">
        <f>IF($F458="","",MAX(100,ROUNDDOWN($AX$4/($F458*$AX$2)/100,0)*100))</f>
      </c>
      <c r="AC458">
        <f>IF(OR($F458="",$G458="",$U458=""),"",ROUND($V458-($F458+$U458)*$G458*$AX$6-IF($C458="売",$F458*$G458*$AX$7*$W458/365,0),0))</f>
      </c>
      <c r="AD458" s="608"/>
      <c r="AE458" s="600" t="str">
        <f>IF($E458="","",WORKDAY($E458,12))</f>
        <v/>
      </c>
      <c r="AF458" s="600"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0"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0" t="str">
        <f>IF(OR($B458="",$M458=""),"",IF(AND(N($AF458)=0,N($AG458)=0),IF(AND(ISNUMBER($H458),$H458&gt;0,IF($C458="売",$H458&gt;=$N458,$H458&lt;=$N458)),"損切確定",IF(AND(ISNUMBER($H458),$H458&gt;0,IF($C458="売",$H458&lt;=$M458,$H458&gt;=$M458)),"利益確定",IF($AE458&lt;=TODAY(),"日数制限","保有中"))),IF(N($AG458)=0,"利益確定",IF(N($AF458)=0,"損切確定",IF($AG458&lt;=$AF458,"損切確定","利益確定")))))</f>
        <v/>
      </c>
      <c r="AI458" s="600" t="str" cm="1">
        <f t="array" ref="AI458">IFERROR(INDEX(始値!$E$6:$BT$305,MATCH(TEXT($B458,"0"),TEXT(銘柄管理!$B$6:$B$305,"0"),0),MATCH($AE458,始値!$E$3:$BT$3,0)),"")</f>
        <v/>
      </c>
      <c r="AJ458" s="608" t="str">
        <f>IF(OR($V458="",$F458="",$G458=""),"",$V458/($F458*$G458))</f>
        <v/>
      </c>
      <c r="AK458" s="600" t="str">
        <f>IF($V458="","",IF($V458&gt;0,"○勝",IF($V458&lt;0,"●負","△引分")))</f>
        <v/>
      </c>
    </row>
    <row r="459" spans="1:37" ht="17.25" customHeight="1">
      <c r="A459" s="622" t="str">
        <f>IF(B459="","",HYPERLINK("https://kabutan.jp/stock/?code="&amp;B459,"株探"))</f>
        <v/>
      </c>
      <c r="D459" s="440" t="str" cm="1">
        <f t="array" ref="D459">_xll.RssMarket(B459, "銘柄名称")</f>
        <v/>
      </c>
      <c r="E459" s="717"/>
      <c r="F459" s="6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t="str">
        <f>IF($F459="","",IF($C459="売",CEILING($F459*IF($C459="売",1-$AX$3,1+$AX$3),IF($F459*IF($C459="売",1-$AX$3,1+$AX$3)&lt;=3000,1,IF($F459*IF($C459="売",1-$AX$3,1+$AX$3)&lt;=5000,5,IF($F459*IF($C459="売",1-$AX$3,1+$AX$3)&lt;=30000,10,IF($F459*IF($C459="売",1-$AX$3,1+$AX$3)&lt;=50000,50,IF($F459*IF($C459="売",1-$AX$3,1+$AX$3)&lt;=300000,100,500)))))),FLOOR($F459*IF($C459="売",1-$AX$3,1+$AX$3),IF($F459*IF($C459="売",1-$AX$3,1+$AX$3)&lt;=3000,1,IF($F459*IF($C459="売",1-$AX$3,1+$AX$3)&lt;=5000,5,IF($F459*IF($C459="売",1-$AX$3,1+$AX$3)&lt;=30000,10,IF($F459*IF($C459="売",1-$AX$3,1+$AX$3)&lt;=50000,50,IF($F459*IF($C459="売",1-$AX$3,1+$AX$3)&lt;=300000,100,500))))))))</f>
      </c>
      <c r="N459" s="599" t="str">
        <f>IF($F459="","",IF($C459="売",CEILING($F459*IF($C459="売",1+$AX$2,1-$AX$2),IF($F459*IF($C459="売",1+$AX$2,1-$AX$2)&lt;=3000,1,IF($F459*IF($C459="売",1+$AX$2,1-$AX$2)&lt;=5000,5,IF($F459*IF($C459="売",1+$AX$2,1-$AX$2)&lt;=30000,10,IF($F459*IF($C459="売",1+$AX$2,1-$AX$2)&lt;=50000,50,IF($F459*IF($C459="売",1+$AX$2,1-$AX$2)&lt;=300000,100,500)))))),FLOOR($F459*IF($C459="売",1+$AX$2,1-$AX$2),IF($F459*IF($C459="売",1+$AX$2,1-$AX$2)&lt;=3000,1,IF($F459*IF($C459="売",1+$AX$2,1-$AX$2)&lt;=5000,5,IF($F459*IF($C459="売",1+$AX$2,1-$AX$2)&lt;=30000,10,IF($F459*IF($C459="売",1+$AX$2,1-$AX$2)&lt;=50000,50,IF($F459*IF($C459="売",1+$AX$2,1-$AX$2)&lt;=300000,100,500))))))))</f>
      </c>
      <c r="O459" s="478" t="str">
        <f>IF(OR($B459="",$F459="",$H459=""),"",IF($S459="✅売却済","―決済済―",IF($C459="売",IF($H459&lt;=$M459,"🟢利確",IF(AND($R459&lt;&gt;"",$H459&gt;=$R459),"🟠TRAIL決済",IF($H459&gt;=$N459,"🔴損切",IF($W459&gt;=$AX$5,"⏱時間決済",IF($H459&gt;=$F459*(1+$AX$2*0.7),"⚠️損切接近","保持継続"))))),IF($H459&gt;=$M459,"🟢利確",IF(AND($R459&lt;&gt;"",$H459&lt;=$R459),"🟠TRAIL決済",IF($H459&lt;=$N459,"🔴損切",IF($W459&gt;=$AX$5,"⏱時間決済",IF($H459&lt;=$F459*(1-$AX$2*0.7),"⚠️損切接近","保持継続")))))))</f>
      </c>
      <c r="P459" s="445"/>
      <c r="R459" s="440" t="str">
        <f>IF(OR($F459="",$H459="",$N459=""),"",IF($S459="✅売却済","",IF($C459="売",IF($H459&gt;$F459*(1-$AX$2),$N459,CEILING(MIN($N459,IF($Q459="",$N459,$Q459*1.03)),IF($N459&lt;=3000,1,IF($N459&lt;=5000,5,IF($N459&lt;=30000,10,IF($N459&lt;=50000,50,IF($N459&lt;=300000,100,500))))))),IF($H459&lt;$F459*(1+$AX$2),$N459,FLOOR(MAX($N459,IF($P459="",$N459,$P459*0.97)),IF($N459&lt;=3000,1,IF($N459&lt;=5000,5,IF($N459&lt;=30000,10,IF($N459&lt;=50000,50,IF($N459&lt;=300000,100,500))))))))))</f>
      </c>
      <c r="S459" s="440" t="str">
        <f>IF(B459="","",IF(T459&lt;&gt;"","✅売却済",IF(OR(H459="",L459=""),"📌保有中",IF(L459&gt;=0.06,"🟢利確推奨",IF(L459&gt;=0.05,"🟡利確直近",IF(L459&gt;=0.045,"🔵トレーリング検討",IF(L459&gt;-0.03,"📌保有中",IF(L459&gt;-0.04,"⚠️損切注意","🔴損切り"))))))))</f>
        <v/>
      </c>
      <c r="T459" s="597"/>
      <c r="U459" s="599"/>
      <c r="V459" s="704" t="str">
        <f ca="1">IF(OR(F459="",G459="",U459=""),"",IF(C459="売",(F459-U459)*G459,(U459-F459)*G459))</f>
        <v/>
      </c>
      <c r="W459" s="440" t="str">
        <f>IF(OR($E459="",$B459=""),"",IF($T459&lt;&gt;"",$T459-$E459,TODAY()-$E459)+1)</f>
        <v/>
      </c>
      <c r="X459" s="440" t="str">
        <f>IF(OR($AH459="",$AH459="保有中"),"",$AH459)</f>
        <v/>
      </c>
      <c r="Y459">
        <f>IF($B459="","",IF(COUNTIFS($B$4:$B459,$B459,$C$4:$C459,$C459)&gt;1,"⛔重複"&amp;COUNTIFS($B$4:$B459,$B459,$C$4:$C459,$C459)&amp;"回目",""))</f>
      </c>
      <c r="AB459">
        <f>IF($F459="","",MAX(100,ROUNDDOWN($AX$4/($F459*$AX$2)/100,0)*100))</f>
      </c>
      <c r="AC459">
        <f>IF(OR($F459="",$G459="",$U459=""),"",ROUND($V459-($F459+$U459)*$G459*$AX$6-IF($C459="売",$F459*$G459*$AX$7*$W459/365,0),0))</f>
      </c>
      <c r="AD459" s="608"/>
      <c r="AE459" s="600" t="str">
        <f>IF($E459="","",WORKDAY($E459,12))</f>
        <v/>
      </c>
      <c r="AF459" s="600"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0"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0" t="str">
        <f>IF(OR($B459="",$M459=""),"",IF(AND(N($AF459)=0,N($AG459)=0),IF(AND(ISNUMBER($H459),$H459&gt;0,IF($C459="売",$H459&gt;=$N459,$H459&lt;=$N459)),"損切確定",IF(AND(ISNUMBER($H459),$H459&gt;0,IF($C459="売",$H459&lt;=$M459,$H459&gt;=$M459)),"利益確定",IF($AE459&lt;=TODAY(),"日数制限","保有中"))),IF(N($AG459)=0,"利益確定",IF(N($AF459)=0,"損切確定",IF($AG459&lt;=$AF459,"損切確定","利益確定")))))</f>
        <v/>
      </c>
      <c r="AI459" s="600" t="str" cm="1">
        <f t="array" ref="AI459">IFERROR(INDEX(始値!$E$6:$BT$305,MATCH(TEXT($B459,"0"),TEXT(銘柄管理!$B$6:$B$305,"0"),0),MATCH($AE459,始値!$E$3:$BT$3,0)),"")</f>
        <v/>
      </c>
      <c r="AJ459" s="608" t="str">
        <f>IF(OR($V459="",$F459="",$G459=""),"",$V459/($F459*$G459))</f>
        <v/>
      </c>
      <c r="AK459" s="600" t="str">
        <f>IF($V459="","",IF($V459&gt;0,"○勝",IF($V459&lt;0,"●負","△引分")))</f>
        <v/>
      </c>
    </row>
    <row r="460" spans="1:37" ht="17.25" customHeight="1">
      <c r="A460" s="622" t="str">
        <f>IF(B460="","",HYPERLINK("https://kabutan.jp/stock/?code="&amp;B460,"株探"))</f>
        <v/>
      </c>
      <c r="D460" s="440" t="str" cm="1">
        <f t="array" ref="D460">_xll.RssMarket(B460, "銘柄名称")</f>
        <v/>
      </c>
      <c r="E460" s="717"/>
      <c r="F460" s="6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t="str">
        <f>IF($F460="","",IF($C460="売",CEILING($F460*IF($C460="売",1-$AX$3,1+$AX$3),IF($F460*IF($C460="売",1-$AX$3,1+$AX$3)&lt;=3000,1,IF($F460*IF($C460="売",1-$AX$3,1+$AX$3)&lt;=5000,5,IF($F460*IF($C460="売",1-$AX$3,1+$AX$3)&lt;=30000,10,IF($F460*IF($C460="売",1-$AX$3,1+$AX$3)&lt;=50000,50,IF($F460*IF($C460="売",1-$AX$3,1+$AX$3)&lt;=300000,100,500)))))),FLOOR($F460*IF($C460="売",1-$AX$3,1+$AX$3),IF($F460*IF($C460="売",1-$AX$3,1+$AX$3)&lt;=3000,1,IF($F460*IF($C460="売",1-$AX$3,1+$AX$3)&lt;=5000,5,IF($F460*IF($C460="売",1-$AX$3,1+$AX$3)&lt;=30000,10,IF($F460*IF($C460="売",1-$AX$3,1+$AX$3)&lt;=50000,50,IF($F460*IF($C460="売",1-$AX$3,1+$AX$3)&lt;=300000,100,500))))))))</f>
      </c>
      <c r="N460" s="599" t="str">
        <f>IF($F460="","",IF($C460="売",CEILING($F460*IF($C460="売",1+$AX$2,1-$AX$2),IF($F460*IF($C460="売",1+$AX$2,1-$AX$2)&lt;=3000,1,IF($F460*IF($C460="売",1+$AX$2,1-$AX$2)&lt;=5000,5,IF($F460*IF($C460="売",1+$AX$2,1-$AX$2)&lt;=30000,10,IF($F460*IF($C460="売",1+$AX$2,1-$AX$2)&lt;=50000,50,IF($F460*IF($C460="売",1+$AX$2,1-$AX$2)&lt;=300000,100,500)))))),FLOOR($F460*IF($C460="売",1+$AX$2,1-$AX$2),IF($F460*IF($C460="売",1+$AX$2,1-$AX$2)&lt;=3000,1,IF($F460*IF($C460="売",1+$AX$2,1-$AX$2)&lt;=5000,5,IF($F460*IF($C460="売",1+$AX$2,1-$AX$2)&lt;=30000,10,IF($F460*IF($C460="売",1+$AX$2,1-$AX$2)&lt;=50000,50,IF($F460*IF($C460="売",1+$AX$2,1-$AX$2)&lt;=300000,100,500))))))))</f>
      </c>
      <c r="O460" s="478" t="str">
        <f>IF(OR($B460="",$F460="",$H460=""),"",IF($S460="✅売却済","―決済済―",IF($C460="売",IF($H460&lt;=$M460,"🟢利確",IF(AND($R460&lt;&gt;"",$H460&gt;=$R460),"🟠TRAIL決済",IF($H460&gt;=$N460,"🔴損切",IF($W460&gt;=$AX$5,"⏱時間決済",IF($H460&gt;=$F460*(1+$AX$2*0.7),"⚠️損切接近","保持継続"))))),IF($H460&gt;=$M460,"🟢利確",IF(AND($R460&lt;&gt;"",$H460&lt;=$R460),"🟠TRAIL決済",IF($H460&lt;=$N460,"🔴損切",IF($W460&gt;=$AX$5,"⏱時間決済",IF($H460&lt;=$F460*(1-$AX$2*0.7),"⚠️損切接近","保持継続")))))))</f>
      </c>
      <c r="P460" s="445"/>
      <c r="R460" s="440" t="str">
        <f>IF(OR($F460="",$H460="",$N460=""),"",IF($S460="✅売却済","",IF($C460="売",IF($H460&gt;$F460*(1-$AX$2),$N460,CEILING(MIN($N460,IF($Q460="",$N460,$Q460*1.03)),IF($N460&lt;=3000,1,IF($N460&lt;=5000,5,IF($N460&lt;=30000,10,IF($N460&lt;=50000,50,IF($N460&lt;=300000,100,500))))))),IF($H460&lt;$F460*(1+$AX$2),$N460,FLOOR(MAX($N460,IF($P460="",$N460,$P460*0.97)),IF($N460&lt;=3000,1,IF($N460&lt;=5000,5,IF($N460&lt;=30000,10,IF($N460&lt;=50000,50,IF($N460&lt;=300000,100,500))))))))))</f>
      </c>
      <c r="S460" s="440" t="str">
        <f>IF(B460="","",IF(T460&lt;&gt;"","✅売却済",IF(OR(H460="",L460=""),"📌保有中",IF(L460&gt;=0.06,"🟢利確推奨",IF(L460&gt;=0.05,"🟡利確直近",IF(L460&gt;=0.045,"🔵トレーリング検討",IF(L460&gt;-0.03,"📌保有中",IF(L460&gt;-0.04,"⚠️損切注意","🔴損切り"))))))))</f>
        <v/>
      </c>
      <c r="T460" s="597"/>
      <c r="U460" s="599"/>
      <c r="V460" s="704" t="str">
        <f ca="1">IF(OR(F460="",G460="",U460=""),"",IF(C460="売",(F460-U460)*G460,(U460-F460)*G460))</f>
        <v/>
      </c>
      <c r="W460" s="440" t="str">
        <f>IF(OR($E460="",$B460=""),"",IF($T460&lt;&gt;"",$T460-$E460,TODAY()-$E460)+1)</f>
        <v/>
      </c>
      <c r="X460" s="440" t="str">
        <f>IF(OR($AH460="",$AH460="保有中"),"",$AH460)</f>
        <v/>
      </c>
      <c r="Y460">
        <f>IF($B460="","",IF(COUNTIFS($B$4:$B460,$B460,$C$4:$C460,$C460)&gt;1,"⛔重複"&amp;COUNTIFS($B$4:$B460,$B460,$C$4:$C460,$C460)&amp;"回目",""))</f>
      </c>
      <c r="AB460">
        <f>IF($F460="","",MAX(100,ROUNDDOWN($AX$4/($F460*$AX$2)/100,0)*100))</f>
      </c>
      <c r="AC460">
        <f>IF(OR($F460="",$G460="",$U460=""),"",ROUND($V460-($F460+$U460)*$G460*$AX$6-IF($C460="売",$F460*$G460*$AX$7*$W460/365,0),0))</f>
      </c>
      <c r="AD460" s="608"/>
      <c r="AE460" s="600" t="str">
        <f>IF($E460="","",WORKDAY($E460,12))</f>
        <v/>
      </c>
      <c r="AF460" s="600"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0"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0" t="str">
        <f>IF(OR($B460="",$M460=""),"",IF(AND(N($AF460)=0,N($AG460)=0),IF(AND(ISNUMBER($H460),$H460&gt;0,IF($C460="売",$H460&gt;=$N460,$H460&lt;=$N460)),"損切確定",IF(AND(ISNUMBER($H460),$H460&gt;0,IF($C460="売",$H460&lt;=$M460,$H460&gt;=$M460)),"利益確定",IF($AE460&lt;=TODAY(),"日数制限","保有中"))),IF(N($AG460)=0,"利益確定",IF(N($AF460)=0,"損切確定",IF($AG460&lt;=$AF460,"損切確定","利益確定")))))</f>
        <v/>
      </c>
      <c r="AI460" s="600" t="str" cm="1">
        <f t="array" ref="AI460">IFERROR(INDEX(始値!$E$6:$BT$305,MATCH(TEXT($B460,"0"),TEXT(銘柄管理!$B$6:$B$305,"0"),0),MATCH($AE460,始値!$E$3:$BT$3,0)),"")</f>
        <v/>
      </c>
      <c r="AJ460" s="608" t="str">
        <f>IF(OR($V460="",$F460="",$G460=""),"",$V460/($F460*$G460))</f>
        <v/>
      </c>
      <c r="AK460" s="600" t="str">
        <f>IF($V460="","",IF($V460&gt;0,"○勝",IF($V460&lt;0,"●負","△引分")))</f>
        <v/>
      </c>
    </row>
    <row r="461" spans="1:37" ht="17.25" customHeight="1">
      <c r="A461" s="622" t="str">
        <f>IF(B461="","",HYPERLINK("https://kabutan.jp/stock/?code="&amp;B461,"株探"))</f>
        <v/>
      </c>
      <c r="D461" s="440" t="str" cm="1">
        <f t="array" ref="D461">_xll.RssMarket(B461, "銘柄名称")</f>
        <v/>
      </c>
      <c r="E461" s="717"/>
      <c r="F461" s="6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t="str">
        <f>IF($F461="","",IF($C461="売",CEILING($F461*IF($C461="売",1-$AX$3,1+$AX$3),IF($F461*IF($C461="売",1-$AX$3,1+$AX$3)&lt;=3000,1,IF($F461*IF($C461="売",1-$AX$3,1+$AX$3)&lt;=5000,5,IF($F461*IF($C461="売",1-$AX$3,1+$AX$3)&lt;=30000,10,IF($F461*IF($C461="売",1-$AX$3,1+$AX$3)&lt;=50000,50,IF($F461*IF($C461="売",1-$AX$3,1+$AX$3)&lt;=300000,100,500)))))),FLOOR($F461*IF($C461="売",1-$AX$3,1+$AX$3),IF($F461*IF($C461="売",1-$AX$3,1+$AX$3)&lt;=3000,1,IF($F461*IF($C461="売",1-$AX$3,1+$AX$3)&lt;=5000,5,IF($F461*IF($C461="売",1-$AX$3,1+$AX$3)&lt;=30000,10,IF($F461*IF($C461="売",1-$AX$3,1+$AX$3)&lt;=50000,50,IF($F461*IF($C461="売",1-$AX$3,1+$AX$3)&lt;=300000,100,500))))))))</f>
      </c>
      <c r="N461" s="599" t="str">
        <f>IF($F461="","",IF($C461="売",CEILING($F461*IF($C461="売",1+$AX$2,1-$AX$2),IF($F461*IF($C461="売",1+$AX$2,1-$AX$2)&lt;=3000,1,IF($F461*IF($C461="売",1+$AX$2,1-$AX$2)&lt;=5000,5,IF($F461*IF($C461="売",1+$AX$2,1-$AX$2)&lt;=30000,10,IF($F461*IF($C461="売",1+$AX$2,1-$AX$2)&lt;=50000,50,IF($F461*IF($C461="売",1+$AX$2,1-$AX$2)&lt;=300000,100,500)))))),FLOOR($F461*IF($C461="売",1+$AX$2,1-$AX$2),IF($F461*IF($C461="売",1+$AX$2,1-$AX$2)&lt;=3000,1,IF($F461*IF($C461="売",1+$AX$2,1-$AX$2)&lt;=5000,5,IF($F461*IF($C461="売",1+$AX$2,1-$AX$2)&lt;=30000,10,IF($F461*IF($C461="売",1+$AX$2,1-$AX$2)&lt;=50000,50,IF($F461*IF($C461="売",1+$AX$2,1-$AX$2)&lt;=300000,100,500))))))))</f>
      </c>
      <c r="O461" s="478" t="str">
        <f>IF(OR($B461="",$F461="",$H461=""),"",IF($S461="✅売却済","―決済済―",IF($C461="売",IF($H461&lt;=$M461,"🟢利確",IF(AND($R461&lt;&gt;"",$H461&gt;=$R461),"🟠TRAIL決済",IF($H461&gt;=$N461,"🔴損切",IF($W461&gt;=$AX$5,"⏱時間決済",IF($H461&gt;=$F461*(1+$AX$2*0.7),"⚠️損切接近","保持継続"))))),IF($H461&gt;=$M461,"🟢利確",IF(AND($R461&lt;&gt;"",$H461&lt;=$R461),"🟠TRAIL決済",IF($H461&lt;=$N461,"🔴損切",IF($W461&gt;=$AX$5,"⏱時間決済",IF($H461&lt;=$F461*(1-$AX$2*0.7),"⚠️損切接近","保持継続")))))))</f>
      </c>
      <c r="P461" s="445"/>
      <c r="R461" s="440" t="str">
        <f>IF(OR($F461="",$H461="",$N461=""),"",IF($S461="✅売却済","",IF($C461="売",IF($H461&gt;$F461*(1-$AX$2),$N461,CEILING(MIN($N461,IF($Q461="",$N461,$Q461*1.03)),IF($N461&lt;=3000,1,IF($N461&lt;=5000,5,IF($N461&lt;=30000,10,IF($N461&lt;=50000,50,IF($N461&lt;=300000,100,500))))))),IF($H461&lt;$F461*(1+$AX$2),$N461,FLOOR(MAX($N461,IF($P461="",$N461,$P461*0.97)),IF($N461&lt;=3000,1,IF($N461&lt;=5000,5,IF($N461&lt;=30000,10,IF($N461&lt;=50000,50,IF($N461&lt;=300000,100,500))))))))))</f>
      </c>
      <c r="S461" s="440" t="str">
        <f>IF(B461="","",IF(T461&lt;&gt;"","✅売却済",IF(OR(H461="",L461=""),"📌保有中",IF(L461&gt;=0.06,"🟢利確推奨",IF(L461&gt;=0.05,"🟡利確直近",IF(L461&gt;=0.045,"🔵トレーリング検討",IF(L461&gt;-0.03,"📌保有中",IF(L461&gt;-0.04,"⚠️損切注意","🔴損切り"))))))))</f>
        <v/>
      </c>
      <c r="T461" s="597"/>
      <c r="U461" s="599"/>
      <c r="V461" s="704" t="str">
        <f ca="1">IF(OR(F461="",G461="",U461=""),"",IF(C461="売",(F461-U461)*G461,(U461-F461)*G461))</f>
        <v/>
      </c>
      <c r="W461" s="440" t="str">
        <f>IF(OR($E461="",$B461=""),"",IF($T461&lt;&gt;"",$T461-$E461,TODAY()-$E461)+1)</f>
        <v/>
      </c>
      <c r="X461" s="440" t="str">
        <f>IF(OR($AH461="",$AH461="保有中"),"",$AH461)</f>
        <v/>
      </c>
      <c r="Y461">
        <f>IF($B461="","",IF(COUNTIFS($B$4:$B461,$B461,$C$4:$C461,$C461)&gt;1,"⛔重複"&amp;COUNTIFS($B$4:$B461,$B461,$C$4:$C461,$C461)&amp;"回目",""))</f>
      </c>
      <c r="AB461">
        <f>IF($F461="","",MAX(100,ROUNDDOWN($AX$4/($F461*$AX$2)/100,0)*100))</f>
      </c>
      <c r="AC461">
        <f>IF(OR($F461="",$G461="",$U461=""),"",ROUND($V461-($F461+$U461)*$G461*$AX$6-IF($C461="売",$F461*$G461*$AX$7*$W461/365,0),0))</f>
      </c>
      <c r="AD461" s="608"/>
      <c r="AE461" s="600" t="str">
        <f>IF($E461="","",WORKDAY($E461,12))</f>
        <v/>
      </c>
      <c r="AF461" s="600"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0"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0" t="str">
        <f>IF(OR($B461="",$M461=""),"",IF(AND(N($AF461)=0,N($AG461)=0),IF(AND(ISNUMBER($H461),$H461&gt;0,IF($C461="売",$H461&gt;=$N461,$H461&lt;=$N461)),"損切確定",IF(AND(ISNUMBER($H461),$H461&gt;0,IF($C461="売",$H461&lt;=$M461,$H461&gt;=$M461)),"利益確定",IF($AE461&lt;=TODAY(),"日数制限","保有中"))),IF(N($AG461)=0,"利益確定",IF(N($AF461)=0,"損切確定",IF($AG461&lt;=$AF461,"損切確定","利益確定")))))</f>
        <v/>
      </c>
      <c r="AI461" s="600" t="str" cm="1">
        <f t="array" ref="AI461">IFERROR(INDEX(始値!$E$6:$BT$305,MATCH(TEXT($B461,"0"),TEXT(銘柄管理!$B$6:$B$305,"0"),0),MATCH($AE461,始値!$E$3:$BT$3,0)),"")</f>
        <v/>
      </c>
      <c r="AJ461" s="608" t="str">
        <f>IF(OR($V461="",$F461="",$G461=""),"",$V461/($F461*$G461))</f>
        <v/>
      </c>
      <c r="AK461" s="600" t="str">
        <f>IF($V461="","",IF($V461&gt;0,"○勝",IF($V461&lt;0,"●負","△引分")))</f>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20:52" s="435" customFormat="1" ht="19.2">
      <c r="T3" s="435" t="str">
        <f>IF(AND(分析!$C3&lt;&gt;"",分析!$C3&lt;&gt;"TOPX",N(分析!$BG3)=1),(N(分析!$BF3)+100)*10000-ROW(),"")</f>
      </c>
      <c r="V3" s="435" t="str">
        <f>IF(AND(売分析!$C3&lt;&gt;"",売分析!$C3&lt;&gt;"TOPX",N(売分析!$BG3)=1),(N(売分析!$BF3)+100)*10000-ROW(),"")</f>
      </c>
      <c r="AC3"/>
      <c r="AD3"/>
      <c r="AE3"/>
      <c r="AF3"/>
      <c r="AG3"/>
      <c r="AH3"/>
      <c r="AI3"/>
      <c r="AJ3"/>
      <c r="AK3"/>
      <c r="AL3"/>
      <c r="AM3"/>
      <c r="AN3"/>
      <c r="AO3"/>
      <c r="AP3"/>
      <c r="AQ3"/>
      <c r="AR3"/>
      <c r="AS3"/>
      <c r="AT3"/>
      <c r="AU3"/>
      <c r="AV3"/>
      <c r="AW3"/>
      <c r="AX3"/>
      <c r="AY3"/>
      <c r="AZ3"/>
    </row>
    <row r="4" spans="1:52" s="435" customFormat="1" ht="19.2">
      <c r="A4" s="561" t="s">
        <v>1226</v>
      </c>
      <c r="E4" s="561" t="s">
        <v>1239</v>
      </c>
      <c r="T4" s="435" t="str">
        <f>IF(AND(分析!$C4&lt;&gt;"",分析!$C4&lt;&gt;"TOPX",N(分析!$BG4)=1),(N(分析!$BF4)+100)*10000-ROW(),"")</f>
      </c>
      <c r="V4" s="435">
        <f>IF(AND(売分析!$C4&lt;&gt;"",売分析!$C4&lt;&gt;"TOPX",N(売分析!$BG4)=1),(N(売分析!$BF4)+100)*10000-ROW(),"")</f>
      </c>
      <c r="AC4"/>
      <c r="AD4"/>
      <c r="AE4"/>
      <c r="AF4"/>
      <c r="AG4"/>
      <c r="AH4"/>
      <c r="AI4"/>
      <c r="AJ4"/>
      <c r="AK4"/>
      <c r="AL4"/>
      <c r="AM4"/>
      <c r="AN4"/>
      <c r="AO4"/>
      <c r="AP4"/>
      <c r="AQ4"/>
      <c r="AR4"/>
      <c r="AS4"/>
      <c r="AT4"/>
      <c r="AU4"/>
      <c r="AV4"/>
      <c r="AW4"/>
      <c r="AX4"/>
      <c r="AY4"/>
      <c r="AZ4"/>
    </row>
    <row r="5" spans="1:52" s="435" customFormat="1" ht="19.2">
      <c r="A5" s="435" t="s">
        <v>1227</v>
      </c>
      <c r="B5">
        <v>3</v>
      </c>
      <c r="C5" s="560" t="s">
        <v>1228</v>
      </c>
      <c r="E5" s="435" t="s">
        <v>1240</v>
      </c>
      <c r="F5" s="563">
        <f>COUNT($T$3:$T$206)</f>
        <v>3</v>
      </c>
      <c r="T5" s="435" t="str">
        <f>IF(AND(分析!$C5&lt;&gt;"",分析!$C5&lt;&gt;"TOPX",N(分析!$BG5)=1),(N(分析!$BF5)+100)*10000-ROW(),"")</f>
      </c>
      <c r="V5" s="435" t="str">
        <f>IF(AND(売分析!$C5&lt;&gt;"",売分析!$C5&lt;&gt;"TOPX",N(売分析!$BG5)=1),(N(売分析!$BF5)+100)*10000-ROW(),"")</f>
      </c>
      <c r="AC5"/>
      <c r="AD5"/>
      <c r="AE5"/>
      <c r="AF5"/>
      <c r="AG5"/>
      <c r="AH5"/>
      <c r="AI5"/>
      <c r="AJ5"/>
      <c r="AK5"/>
      <c r="AL5"/>
      <c r="AM5"/>
      <c r="AN5"/>
      <c r="AO5"/>
      <c r="AP5"/>
      <c r="AQ5"/>
      <c r="AR5"/>
      <c r="AS5"/>
      <c r="AT5"/>
      <c r="AU5"/>
      <c r="AV5"/>
      <c r="AW5"/>
      <c r="AX5"/>
      <c r="AY5"/>
      <c r="AZ5"/>
    </row>
    <row r="6" spans="1:52" s="435" customFormat="1" ht="19.2">
      <c r="A6" t="inlineStr">
        <is>
          <t>【買い】ゲート設定は 分析シート BJ1:BK10</t>
        </is>
      </c>
      <c r="E6" s="435" t="s">
        <v>1241</v>
      </c>
      <c r="F6" s="563">
        <f>COUNT($V$3:$V$206)</f>
        <v>4</v>
      </c>
      <c r="T6" s="435" t="str">
        <f>IF(AND(分析!$C6&lt;&gt;"",分析!$C6&lt;&gt;"TOPX",N(分析!$BG6)=1),(N(分析!$BF6)+100)*10000-ROW(),"")</f>
      </c>
      <c r="V6" s="435" t="str">
        <f>IF(AND(売分析!$C6&lt;&gt;"",売分析!$C6&lt;&gt;"TOPX",N(売分析!$BG6)=1),(N(売分析!$BF6)+100)*10000-ROW(),"")</f>
      </c>
      <c r="AC6"/>
      <c r="AD6"/>
      <c r="AE6"/>
      <c r="AF6"/>
      <c r="AG6"/>
      <c r="AH6"/>
      <c r="AI6"/>
      <c r="AJ6"/>
      <c r="AK6"/>
      <c r="AL6"/>
      <c r="AM6"/>
      <c r="AN6"/>
      <c r="AO6"/>
      <c r="AP6"/>
      <c r="AQ6"/>
      <c r="AR6"/>
      <c r="AS6"/>
      <c r="AT6"/>
      <c r="AU6"/>
      <c r="AV6"/>
      <c r="AW6"/>
      <c r="AX6"/>
      <c r="AY6"/>
      <c r="AZ6"/>
    </row>
    <row r="7" spans="1:52" s="435" customFormat="1" ht="19.2">
      <c r="A7" t="inlineStr">
        <is>
          <t>旧スコアしきい値（現在は未使用）</t>
        </is>
      </c>
      <c r="B7" s="562">
        <v>11</v>
      </c>
      <c r="C7" s="560" t="s">
        <v>1242</v>
      </c>
      <c r="E7" s="560" t="str">
        <f>IF(F5=0,"⚠ 買いは条件が厳しすぎて該当なし。B7またはB9を下げてください",IF(F5&lt;=5,"✓ 適正な厳しさ","△ やや緩い：B7を上げると絞れます"))</f>
        <v>✓ 適正な厳しさ</v>
      </c>
      <c r="T7" s="435" t="str">
        <f>IF(AND(分析!$C7&lt;&gt;"",分析!$C7&lt;&gt;"TOPX",N(分析!$BG7)=1),(N(分析!$BF7)+100)*10000-ROW(),"")</f>
      </c>
      <c r="V7" s="435" t="str">
        <f>IF(AND(売分析!$C7&lt;&gt;"",売分析!$C7&lt;&gt;"TOPX",N(売分析!$BG7)=1),(N(売分析!$BF7)+100)*10000-ROW(),"")</f>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t="str">
        <f>IF(AND(分析!$C8&lt;&gt;"",分析!$C8&lt;&gt;"TOPX",N(分析!$BG8)=1),(N(分析!$BF8)+100)*10000-ROW(),"")</f>
      </c>
      <c r="V8" s="435" t="str">
        <f>IF(AND(売分析!$C8&lt;&gt;"",売分析!$C8&lt;&gt;"TOPX",N(売分析!$BG8)=1),(N(売分析!$BF8)+100)*10000-ROW(),"")</f>
      </c>
      <c r="AC8"/>
      <c r="AD8"/>
      <c r="AE8"/>
      <c r="AF8"/>
      <c r="AG8"/>
      <c r="AH8"/>
      <c r="AI8"/>
      <c r="AJ8"/>
      <c r="AK8"/>
      <c r="AL8"/>
      <c r="AM8"/>
      <c r="AN8"/>
      <c r="AO8"/>
      <c r="AP8"/>
      <c r="AQ8"/>
      <c r="AR8"/>
      <c r="AS8"/>
      <c r="AT8"/>
      <c r="AU8"/>
      <c r="AV8"/>
      <c r="AW8"/>
      <c r="AX8"/>
      <c r="AY8"/>
      <c r="AZ8"/>
    </row>
    <row r="9" spans="1:52" s="435" customFormat="1" ht="19.2">
      <c r="A9" s="435" t="s">
        <v>1233</v>
      </c>
      <c r="B9" s="565">
        <v>1</v>
      </c>
      <c r="C9" s="560" t="s">
        <v>1243</v>
      </c>
      <c r="T9" s="435" t="str">
        <f>IF(AND(分析!$C9&lt;&gt;"",分析!$C9&lt;&gt;"TOPX",N(分析!$BG9)=1),(N(分析!$BF9)+100)*10000-ROW(),"")</f>
      </c>
      <c r="V9" s="435" t="str">
        <f>IF(AND(売分析!$C9&lt;&gt;"",売分析!$C9&lt;&gt;"TOPX",N(売分析!$BG9)=1),(N(売分析!$BF9)+100)*10000-ROW(),"")</f>
      </c>
      <c r="AC9"/>
      <c r="AD9"/>
      <c r="AE9"/>
      <c r="AF9"/>
      <c r="AG9"/>
      <c r="AH9"/>
      <c r="AI9"/>
      <c r="AJ9"/>
      <c r="AK9"/>
      <c r="AL9"/>
      <c r="AM9"/>
      <c r="AN9"/>
      <c r="AO9"/>
      <c r="AP9"/>
      <c r="AQ9"/>
      <c r="AR9"/>
      <c r="AS9"/>
      <c r="AT9"/>
      <c r="AU9"/>
      <c r="AV9"/>
      <c r="AW9"/>
      <c r="AX9"/>
      <c r="AY9"/>
      <c r="AZ9"/>
    </row>
    <row r="10" spans="1:52" s="435" customFormat="1" ht="19.2">
      <c r="A10" t="inlineStr">
        <is>
          <t>【売り】既定で停止 ― 売分析!BK10 を 1 で有効化</t>
        </is>
      </c>
      <c r="T10" s="435" t="str">
        <f>IF(AND(分析!$C10&lt;&gt;"",分析!$C10&lt;&gt;"TOPX",N(分析!$BG10)=1),(N(分析!$BF10)+100)*10000-ROW(),"")</f>
      </c>
      <c r="V10" s="435" t="str">
        <f>IF(AND(売分析!$C10&lt;&gt;"",売分析!$C10&lt;&gt;"TOPX",N(売分析!$BG10)=1),(N(売分析!$BF10)+100)*10000-ROW(),"")</f>
      </c>
      <c r="AC10"/>
      <c r="AD10"/>
      <c r="AE10"/>
      <c r="AF10"/>
      <c r="AG10"/>
      <c r="AH10"/>
      <c r="AI10"/>
      <c r="AJ10"/>
      <c r="AK10"/>
      <c r="AL10"/>
      <c r="AM10"/>
      <c r="AN10"/>
      <c r="AO10"/>
      <c r="AP10"/>
      <c r="AQ10"/>
      <c r="AR10"/>
      <c r="AS10"/>
      <c r="AT10"/>
      <c r="AU10"/>
      <c r="AV10"/>
      <c r="AW10"/>
      <c r="AX10"/>
      <c r="AY10"/>
      <c r="AZ10"/>
    </row>
    <row r="11" spans="1:52" s="435" customFormat="1" ht="19.2">
      <c r="A11" t="inlineStr">
        <is>
          <t>旧スコアしきい値（現在は未使用）</t>
        </is>
      </c>
      <c r="B11" s="562">
        <v>15</v>
      </c>
      <c r="C11" s="560" t="s">
        <v>1244</v>
      </c>
      <c r="T11" s="435" t="str">
        <f>IF(AND(分析!$C11&lt;&gt;"",分析!$C11&lt;&gt;"TOPX",N(分析!$BG11)=1),(N(分析!$BF11)+100)*10000-ROW(),"")</f>
      </c>
      <c r="V11" s="435" t="str">
        <f>IF(AND(売分析!$C11&lt;&gt;"",売分析!$C11&lt;&gt;"TOPX",N(売分析!$BG11)=1),(N(売分析!$BF11)+100)*10000-ROW(),"")</f>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t="str">
        <f>IF(AND(分析!$C12&lt;&gt;"",分析!$C12&lt;&gt;"TOPX",N(分析!$BG12)=1),(N(分析!$BF12)+100)*10000-ROW(),"")</f>
      </c>
      <c r="V12" s="435" t="str">
        <f>IF(AND(売分析!$C12&lt;&gt;"",売分析!$C12&lt;&gt;"TOPX",N(売分析!$BG12)=1),(N(売分析!$BF12)+100)*10000-ROW(),"")</f>
      </c>
      <c r="AC12"/>
      <c r="AD12"/>
      <c r="AE12"/>
      <c r="AF12"/>
      <c r="AG12"/>
      <c r="AH12"/>
      <c r="AI12"/>
      <c r="AJ12"/>
      <c r="AK12"/>
      <c r="AL12"/>
      <c r="AM12"/>
      <c r="AN12"/>
      <c r="AO12"/>
      <c r="AP12"/>
      <c r="AQ12"/>
      <c r="AR12"/>
      <c r="AS12"/>
      <c r="AT12"/>
      <c r="AU12"/>
      <c r="AV12"/>
      <c r="AW12"/>
      <c r="AX12"/>
      <c r="AY12"/>
      <c r="AZ12"/>
    </row>
    <row r="13" spans="1:52" s="435" customFormat="1" ht="19.2">
      <c r="A13" s="435" t="s">
        <v>1233</v>
      </c>
      <c r="B13" s="565">
        <v>1</v>
      </c>
      <c r="C13" s="560" t="s">
        <v>1245</v>
      </c>
      <c r="T13" s="435" t="str">
        <f>IF(AND(分析!$C13&lt;&gt;"",分析!$C13&lt;&gt;"TOPX",N(分析!$BG13)=1),(N(分析!$BF13)+100)*10000-ROW(),"")</f>
      </c>
      <c r="V13" s="435" t="str">
        <f>IF(AND(売分析!$C13&lt;&gt;"",売分析!$C13&lt;&gt;"TOPX",N(売分析!$BG13)=1),(N(売分析!$BF13)+100)*10000-ROW(),"")</f>
      </c>
      <c r="AC13"/>
      <c r="AD13"/>
      <c r="AE13"/>
      <c r="AF13"/>
      <c r="AG13"/>
      <c r="AH13"/>
      <c r="AI13"/>
      <c r="AJ13"/>
      <c r="AK13"/>
      <c r="AL13"/>
      <c r="AM13"/>
      <c r="AN13"/>
      <c r="AO13"/>
      <c r="AP13"/>
      <c r="AQ13"/>
      <c r="AR13"/>
      <c r="AS13"/>
      <c r="AT13"/>
      <c r="AU13"/>
      <c r="AV13"/>
      <c r="AW13"/>
      <c r="AX13"/>
      <c r="AY13"/>
      <c r="AZ13"/>
    </row>
    <row r="14" spans="1:52" s="435" customFormat="1" ht="19.2">
      <c r="A14" t="inlineStr">
        <is>
          <t>※ 順位付け：新スコアの高い順。ゲート全滅の日は候補0件＝見送りが正常です。</t>
        </is>
      </c>
      <c r="T14" s="435" t="str">
        <f>IF(AND(分析!$C14&lt;&gt;"",分析!$C14&lt;&gt;"TOPX",N(分析!$BG14)=1),(N(分析!$BF14)+100)*10000-ROW(),"")</f>
      </c>
      <c r="V14" s="435" t="str">
        <f>IF(AND(売分析!$C14&lt;&gt;"",売分析!$C14&lt;&gt;"TOPX",N(売分析!$BG14)=1),(N(売分析!$BF14)+100)*10000-ROW(),"")</f>
      </c>
      <c r="AC14"/>
      <c r="AD14"/>
      <c r="AE14"/>
      <c r="AF14"/>
      <c r="AG14"/>
      <c r="AH14"/>
      <c r="AI14"/>
      <c r="AJ14"/>
      <c r="AK14"/>
      <c r="AL14"/>
      <c r="AM14"/>
      <c r="AN14"/>
      <c r="AO14"/>
      <c r="AP14"/>
      <c r="AQ14"/>
      <c r="AR14"/>
      <c r="AS14"/>
      <c r="AT14"/>
      <c r="AU14"/>
      <c r="AV14"/>
      <c r="AW14"/>
      <c r="AX14"/>
      <c r="AY14"/>
      <c r="AZ14"/>
    </row>
    <row r="15" spans="20:52" s="435" customFormat="1" ht="19.2">
      <c r="T15" s="435" t="str">
        <f>IF(AND(分析!$C15&lt;&gt;"",分析!$C15&lt;&gt;"TOPX",N(分析!$BG15)=1),(N(分析!$BF15)+100)*10000-ROW(),"")</f>
      </c>
      <c r="V15" s="435" t="str">
        <f>IF(AND(売分析!$C15&lt;&gt;"",売分析!$C15&lt;&gt;"TOPX",N(売分析!$BG15)=1),(N(売分析!$BF15)+100)*10000-ROW(),"")</f>
      </c>
      <c r="AC15"/>
      <c r="AD15"/>
      <c r="AE15"/>
      <c r="AF15"/>
      <c r="AG15"/>
      <c r="AH15"/>
      <c r="AI15"/>
      <c r="AJ15"/>
      <c r="AK15"/>
      <c r="AL15"/>
      <c r="AM15"/>
      <c r="AN15"/>
      <c r="AO15"/>
      <c r="AP15"/>
      <c r="AQ15"/>
      <c r="AR15"/>
      <c r="AS15"/>
      <c r="AT15"/>
      <c r="AU15"/>
      <c r="AV15"/>
      <c r="AW15"/>
      <c r="AX15"/>
      <c r="AY15"/>
      <c r="AZ15"/>
    </row>
    <row r="16" spans="1:52" s="435" customFormat="1" ht="19.2">
      <c r="A16" s="564" t="s">
        <v>1223</v>
      </c>
      <c r="T16" s="435" t="str">
        <f>IF(AND(分析!$C16&lt;&gt;"",分析!$C16&lt;&gt;"TOPX",N(分析!$BG16)=1),(N(分析!$BF16)+100)*10000-ROW(),"")</f>
      </c>
      <c r="V16" s="435" t="str">
        <f>IF(AND(売分析!$C16&lt;&gt;"",売分析!$C16&lt;&gt;"TOPX",N(売分析!$BG16)=1),(N(売分析!$BF16)+100)*10000-ROW(),"")</f>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t="str">
        <f>IF(AND(分析!$C17&lt;&gt;"",分析!$C17&lt;&gt;"TOPX",N(分析!$BG17)=1),(N(分析!$BF17)+100)*10000-ROW(),"")</f>
      </c>
      <c r="V17" s="435" t="str">
        <f>IF(AND(売分析!$C17&lt;&gt;"",売分析!$C17&lt;&gt;"TOPX",N(売分析!$BG17)=1),(N(売分析!$BF17)+100)*10000-ROW(),"")</f>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t="str">
        <f>IF(AND(分析!$C18&lt;&gt;"",分析!$C18&lt;&gt;"TOPX",N(分析!$BG18)=1),(N(分析!$BF18)+100)*10000-ROW(),"")</f>
      </c>
      <c r="V18" s="435" t="str">
        <f>IF(AND(売分析!$C18&lt;&gt;"",売分析!$C18&lt;&gt;"TOPX",N(売分析!$BG18)=1),(N(売分析!$BF18)+100)*10000-ROW(),"")</f>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t="str">
        <f>IF(AND(分析!$C19&lt;&gt;"",分析!$C19&lt;&gt;"TOPX",N(分析!$BG19)=1),(N(分析!$BF19)+100)*10000-ROW(),"")</f>
      </c>
      <c r="V19" s="435" t="str">
        <f>IF(AND(売分析!$C19&lt;&gt;"",売分析!$C19&lt;&gt;"TOPX",N(売分析!$BG19)=1),(N(売分析!$BF19)+100)*10000-ROW(),"")</f>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t="str">
        <f>IF(AND(分析!$C20&lt;&gt;"",分析!$C20&lt;&gt;"TOPX",N(分析!$BG20)=1),(N(分析!$BF20)+100)*10000-ROW(),"")</f>
      </c>
      <c r="V20" s="435" t="str">
        <f>IF(AND(売分析!$C20&lt;&gt;"",売分析!$C20&lt;&gt;"TOPX",N(売分析!$BG20)=1),(N(売分析!$BF20)+100)*10000-ROW(),"")</f>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t="str">
        <f>IF(AND(分析!$C21&lt;&gt;"",分析!$C21&lt;&gt;"TOPX",N(分析!$BG21)=1),(N(分析!$BF21)+100)*10000-ROW(),"")</f>
      </c>
      <c r="V21" s="435" t="str">
        <f>IF(AND(売分析!$C21&lt;&gt;"",売分析!$C21&lt;&gt;"TOPX",N(売分析!$BG21)=1),(N(売分析!$BF21)+100)*10000-ROW(),"")</f>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t="str">
        <f>IF(AND(分析!$C22&lt;&gt;"",分析!$C22&lt;&gt;"TOPX",N(分析!$BG22)=1),(N(分析!$BF22)+100)*10000-ROW(),"")</f>
      </c>
      <c r="V22" s="435">
        <f>IF(AND(売分析!$C22&lt;&gt;"",売分析!$C22&lt;&gt;"TOPX",N(売分析!$BG22)=1),(N(売分析!$BF22)+100)*10000-ROW(),"")</f>
      </c>
      <c r="AC22"/>
      <c r="AD22"/>
      <c r="AE22"/>
      <c r="AF22"/>
      <c r="AG22"/>
      <c r="AH22"/>
      <c r="AI22"/>
      <c r="AJ22"/>
      <c r="AK22"/>
      <c r="AL22"/>
      <c r="AM22"/>
      <c r="AN22"/>
      <c r="AO22"/>
      <c r="AP22"/>
      <c r="AQ22"/>
      <c r="AR22"/>
      <c r="AS22"/>
      <c r="AT22"/>
      <c r="AU22"/>
      <c r="AV22"/>
      <c r="AW22"/>
      <c r="AX22"/>
      <c r="AY22"/>
      <c r="AZ22"/>
    </row>
    <row r="23" spans="20:52" s="435" customFormat="1" ht="19.2">
      <c r="T23" s="435" t="str">
        <f>IF(AND(分析!$C23&lt;&gt;"",分析!$C23&lt;&gt;"TOPX",N(分析!$BG23)=1),(N(分析!$BF23)+100)*10000-ROW(),"")</f>
      </c>
      <c r="V23" s="435" t="str">
        <f>IF(AND(売分析!$C23&lt;&gt;"",売分析!$C23&lt;&gt;"TOPX",N(売分析!$BG23)=1),(N(売分析!$BF23)+100)*10000-ROW(),"")</f>
      </c>
      <c r="AC23"/>
      <c r="AD23"/>
      <c r="AE23"/>
      <c r="AF23"/>
      <c r="AG23"/>
      <c r="AH23"/>
      <c r="AI23"/>
      <c r="AJ23"/>
      <c r="AK23"/>
      <c r="AL23"/>
      <c r="AM23"/>
      <c r="AN23"/>
      <c r="AO23"/>
      <c r="AP23"/>
      <c r="AQ23"/>
      <c r="AR23"/>
      <c r="AS23"/>
      <c r="AT23"/>
      <c r="AU23"/>
      <c r="AV23"/>
      <c r="AW23"/>
      <c r="AX23"/>
      <c r="AY23"/>
      <c r="AZ23"/>
    </row>
    <row r="24" spans="1:52" s="435" customFormat="1" ht="19.2">
      <c r="A24" s="566" t="s">
        <v>1224</v>
      </c>
      <c r="T24" s="435" t="str">
        <f>IF(AND(分析!$C24&lt;&gt;"",分析!$C24&lt;&gt;"TOPX",N(分析!$BG24)=1),(N(分析!$BF24)+100)*10000-ROW(),"")</f>
      </c>
      <c r="V24" s="435">
        <f>IF(AND(売分析!$C24&lt;&gt;"",売分析!$C24&lt;&gt;"TOPX",N(売分析!$BG24)=1),(N(売分析!$BF24)+100)*10000-ROW(),"")</f>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t="str">
        <f>IF(AND(分析!$C25&lt;&gt;"",分析!$C25&lt;&gt;"TOPX",N(分析!$BG25)=1),(N(分析!$BF25)+100)*10000-ROW(),"")</f>
      </c>
      <c r="V25" s="435" t="str">
        <f>IF(AND(売分析!$C25&lt;&gt;"",売分析!$C25&lt;&gt;"TOPX",N(売分析!$BG25)=1),(N(売分析!$BF25)+100)*10000-ROW(),"")</f>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t="str">
        <f>IF(AND(分析!$C26&lt;&gt;"",分析!$C26&lt;&gt;"TOPX",N(分析!$BG26)=1),(N(分析!$BF26)+100)*10000-ROW(),"")</f>
      </c>
      <c r="V26" s="435" t="str">
        <f>IF(AND(売分析!$C26&lt;&gt;"",売分析!$C26&lt;&gt;"TOPX",N(売分析!$BG26)=1),(N(売分析!$BF26)+100)*10000-ROW(),"")</f>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t="str">
        <f>IF(AND(分析!$C27&lt;&gt;"",分析!$C27&lt;&gt;"TOPX",N(分析!$BG27)=1),(N(分析!$BF27)+100)*10000-ROW(),"")</f>
      </c>
      <c r="V27" s="435" t="str">
        <f>IF(AND(売分析!$C27&lt;&gt;"",売分析!$C27&lt;&gt;"TOPX",N(売分析!$BG27)=1),(N(売分析!$BF27)+100)*10000-ROW(),"")</f>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t="str">
        <f>IF(AND(分析!$C28&lt;&gt;"",分析!$C28&lt;&gt;"TOPX",N(分析!$BG28)=1),(N(分析!$BF28)+100)*10000-ROW(),"")</f>
      </c>
      <c r="V28" s="435" t="str">
        <f>IF(AND(売分析!$C28&lt;&gt;"",売分析!$C28&lt;&gt;"TOPX",N(売分析!$BG28)=1),(N(売分析!$BF28)+100)*10000-ROW(),"")</f>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t="str">
        <f>IF(AND(分析!$C29&lt;&gt;"",分析!$C29&lt;&gt;"TOPX",N(分析!$BG29)=1),(N(分析!$BF29)+100)*10000-ROW(),"")</f>
      </c>
      <c r="V29" s="435" t="str">
        <f>IF(AND(売分析!$C29&lt;&gt;"",売分析!$C29&lt;&gt;"TOPX",N(売分析!$BG29)=1),(N(売分析!$BF29)+100)*10000-ROW(),"")</f>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t="str">
        <f>IF(AND(分析!$C30&lt;&gt;"",分析!$C30&lt;&gt;"TOPX",N(分析!$BG30)=1),(N(分析!$BF30)+100)*10000-ROW(),"")</f>
      </c>
      <c r="V30" s="435" t="str">
        <f>IF(AND(売分析!$C30&lt;&gt;"",売分析!$C30&lt;&gt;"TOPX",N(売分析!$BG30)=1),(N(売分析!$BF30)+100)*10000-ROW(),"")</f>
      </c>
      <c r="AC30"/>
      <c r="AD30"/>
      <c r="AE30"/>
      <c r="AF30"/>
      <c r="AG30"/>
      <c r="AH30"/>
      <c r="AI30"/>
      <c r="AJ30"/>
      <c r="AK30"/>
      <c r="AL30"/>
      <c r="AM30"/>
      <c r="AN30"/>
      <c r="AO30"/>
      <c r="AP30"/>
      <c r="AQ30"/>
      <c r="AR30"/>
      <c r="AS30"/>
      <c r="AT30"/>
      <c r="AU30"/>
      <c r="AV30"/>
      <c r="AW30"/>
      <c r="AX30"/>
      <c r="AY30"/>
      <c r="AZ30"/>
    </row>
    <row r="31" spans="20:52" s="435" customFormat="1" ht="19.2">
      <c r="T31" s="435" t="str">
        <f>IF(AND(分析!$C31&lt;&gt;"",分析!$C31&lt;&gt;"TOPX",N(分析!$BG31)=1),(N(分析!$BF31)+100)*10000-ROW(),"")</f>
      </c>
      <c r="V31" s="435" t="str">
        <f>IF(AND(売分析!$C31&lt;&gt;"",売分析!$C31&lt;&gt;"TOPX",N(売分析!$BG31)=1),(N(売分析!$BF31)+100)*10000-ROW(),"")</f>
      </c>
      <c r="AC31"/>
      <c r="AD31"/>
      <c r="AE31"/>
      <c r="AF31"/>
      <c r="AG31"/>
      <c r="AH31"/>
      <c r="AI31"/>
      <c r="AJ31"/>
      <c r="AK31"/>
      <c r="AL31"/>
      <c r="AM31"/>
      <c r="AN31"/>
      <c r="AO31"/>
      <c r="AP31"/>
      <c r="AQ31"/>
      <c r="AR31"/>
      <c r="AS31"/>
      <c r="AT31"/>
      <c r="AU31"/>
      <c r="AV31"/>
      <c r="AW31"/>
      <c r="AX31"/>
      <c r="AY31"/>
      <c r="AZ31"/>
    </row>
    <row r="32" spans="1:52" s="435" customFormat="1" ht="19.2">
      <c r="A32" s="561" t="s">
        <v>1249</v>
      </c>
      <c r="T32" s="435" t="str">
        <f>IF(AND(分析!$C32&lt;&gt;"",分析!$C32&lt;&gt;"TOPX",N(分析!$BG32)=1),(N(分析!$BF32)+100)*10000-ROW(),"")</f>
      </c>
      <c r="V32" s="435" t="str">
        <f>IF(AND(売分析!$C32&lt;&gt;"",売分析!$C32&lt;&gt;"TOPX",N(売分析!$BG32)=1),(N(売分析!$BF32)+100)*10000-ROW(),"")</f>
      </c>
      <c r="AC32"/>
      <c r="AD32"/>
      <c r="AE32"/>
      <c r="AF32"/>
      <c r="AG32"/>
      <c r="AH32"/>
      <c r="AI32"/>
      <c r="AJ32"/>
      <c r="AK32"/>
      <c r="AL32"/>
      <c r="AM32"/>
      <c r="AN32"/>
      <c r="AO32"/>
      <c r="AP32"/>
      <c r="AQ32"/>
      <c r="AR32"/>
      <c r="AS32"/>
      <c r="AT32"/>
      <c r="AU32"/>
      <c r="AV32"/>
      <c r="AW32"/>
      <c r="AX32"/>
      <c r="AY32"/>
      <c r="AZ32"/>
    </row>
    <row r="33" spans="1:52" s="435" customFormat="1" ht="19.2">
      <c r="A33" s="560" t="s">
        <v>1250</v>
      </c>
      <c r="T33" s="435" t="str">
        <f>IF(AND(分析!$C33&lt;&gt;"",分析!$C33&lt;&gt;"TOPX",N(分析!$BG33)=1),(N(分析!$BF33)+100)*10000-ROW(),"")</f>
      </c>
      <c r="V33" s="435" t="str">
        <f>IF(AND(売分析!$C33&lt;&gt;"",売分析!$C33&lt;&gt;"TOPX",N(売分析!$BG33)=1),(N(売分析!$BF33)+100)*10000-ROW(),"")</f>
      </c>
      <c r="AC33"/>
      <c r="AD33"/>
      <c r="AE33"/>
      <c r="AF33"/>
      <c r="AG33"/>
      <c r="AH33"/>
      <c r="AI33"/>
      <c r="AJ33"/>
      <c r="AK33"/>
      <c r="AL33"/>
      <c r="AM33"/>
      <c r="AN33"/>
      <c r="AO33"/>
      <c r="AP33"/>
      <c r="AQ33"/>
      <c r="AR33"/>
      <c r="AS33"/>
      <c r="AT33"/>
      <c r="AU33"/>
      <c r="AV33"/>
      <c r="AW33"/>
      <c r="AX33"/>
      <c r="AY33"/>
      <c r="AZ33"/>
    </row>
    <row r="34" spans="1:52" s="435" customFormat="1" ht="19.2">
      <c r="A34" s="560" t="s">
        <v>1251</v>
      </c>
      <c r="T34" s="435" t="str">
        <f>IF(AND(分析!$C34&lt;&gt;"",分析!$C34&lt;&gt;"TOPX",N(分析!$BG34)=1),(N(分析!$BF34)+100)*10000-ROW(),"")</f>
      </c>
      <c r="V34" s="435" t="str">
        <f>IF(AND(売分析!$C34&lt;&gt;"",売分析!$C34&lt;&gt;"TOPX",N(売分析!$BG34)=1),(N(売分析!$BF34)+100)*10000-ROW(),"")</f>
      </c>
      <c r="AC34"/>
      <c r="AD34"/>
      <c r="AE34"/>
      <c r="AF34"/>
      <c r="AG34"/>
      <c r="AH34"/>
      <c r="AI34"/>
      <c r="AJ34"/>
      <c r="AK34"/>
      <c r="AL34"/>
      <c r="AM34"/>
      <c r="AN34"/>
      <c r="AO34"/>
      <c r="AP34"/>
      <c r="AQ34"/>
      <c r="AR34"/>
      <c r="AS34"/>
      <c r="AT34"/>
      <c r="AU34"/>
      <c r="AV34"/>
      <c r="AW34"/>
      <c r="AX34"/>
      <c r="AY34"/>
      <c r="AZ34"/>
    </row>
    <row r="35" spans="1:52" s="435" customFormat="1" ht="19.2">
      <c r="A35" s="560" t="s">
        <v>1252</v>
      </c>
      <c r="T35" s="435" t="str">
        <f>IF(AND(分析!$C35&lt;&gt;"",分析!$C35&lt;&gt;"TOPX",N(分析!$BG35)=1),(N(分析!$BF35)+100)*10000-ROW(),"")</f>
      </c>
      <c r="V35" s="435" t="str">
        <f>IF(AND(売分析!$C35&lt;&gt;"",売分析!$C35&lt;&gt;"TOPX",N(売分析!$BG35)=1),(N(売分析!$BF35)+100)*10000-ROW(),"")</f>
      </c>
      <c r="AC35"/>
      <c r="AD35"/>
      <c r="AE35"/>
      <c r="AF35"/>
      <c r="AG35"/>
      <c r="AH35"/>
      <c r="AI35"/>
      <c r="AJ35"/>
      <c r="AK35"/>
      <c r="AL35"/>
      <c r="AM35"/>
      <c r="AN35"/>
      <c r="AO35"/>
      <c r="AP35"/>
      <c r="AQ35"/>
      <c r="AR35"/>
      <c r="AS35"/>
      <c r="AT35"/>
      <c r="AU35"/>
      <c r="AV35"/>
      <c r="AW35"/>
      <c r="AX35"/>
      <c r="AY35"/>
      <c r="AZ35"/>
    </row>
    <row r="36" spans="1:52" s="435" customFormat="1" ht="19.2">
      <c r="A36" s="560" t="s">
        <v>1253</v>
      </c>
      <c r="T36" s="435" t="str">
        <f>IF(AND(分析!$C36&lt;&gt;"",分析!$C36&lt;&gt;"TOPX",N(分析!$BG36)=1),(N(分析!$BF36)+100)*10000-ROW(),"")</f>
      </c>
      <c r="V36" s="435" t="str">
        <f>IF(AND(売分析!$C36&lt;&gt;"",売分析!$C36&lt;&gt;"TOPX",N(売分析!$BG36)=1),(N(売分析!$BF36)+100)*10000-ROW(),"")</f>
      </c>
      <c r="AC36"/>
      <c r="AD36"/>
      <c r="AE36"/>
      <c r="AF36"/>
      <c r="AG36"/>
      <c r="AH36"/>
      <c r="AI36"/>
      <c r="AJ36"/>
      <c r="AK36"/>
      <c r="AL36"/>
      <c r="AM36"/>
      <c r="AN36"/>
      <c r="AO36"/>
      <c r="AP36"/>
      <c r="AQ36"/>
      <c r="AR36"/>
      <c r="AS36"/>
      <c r="AT36"/>
      <c r="AU36"/>
      <c r="AV36"/>
      <c r="AW36"/>
      <c r="AX36"/>
      <c r="AY36"/>
      <c r="AZ36"/>
    </row>
    <row r="37" spans="1:52" s="435" customFormat="1" ht="19.2">
      <c r="A37" s="560" t="s">
        <v>1254</v>
      </c>
      <c r="T37" s="435" t="str">
        <f>IF(AND(分析!$C37&lt;&gt;"",分析!$C37&lt;&gt;"TOPX",N(分析!$BG37)=1),(N(分析!$BF37)+100)*10000-ROW(),"")</f>
      </c>
      <c r="V37" s="435" t="str">
        <f>IF(AND(売分析!$C37&lt;&gt;"",売分析!$C37&lt;&gt;"TOPX",N(売分析!$BG37)=1),(N(売分析!$BF37)+100)*10000-ROW(),"")</f>
      </c>
      <c r="AC37"/>
      <c r="AD37"/>
      <c r="AE37"/>
      <c r="AF37"/>
      <c r="AG37"/>
      <c r="AH37"/>
      <c r="AI37"/>
      <c r="AJ37"/>
      <c r="AK37"/>
      <c r="AL37"/>
      <c r="AM37"/>
      <c r="AN37"/>
      <c r="AO37"/>
      <c r="AP37"/>
      <c r="AQ37"/>
      <c r="AR37"/>
      <c r="AS37"/>
      <c r="AT37"/>
      <c r="AU37"/>
      <c r="AV37"/>
      <c r="AW37"/>
      <c r="AX37"/>
      <c r="AY37"/>
      <c r="AZ37"/>
    </row>
    <row r="38" spans="20:52" s="435" customFormat="1" ht="19.2">
      <c r="T38" s="435" t="str">
        <f>IF(AND(分析!$C38&lt;&gt;"",分析!$C38&lt;&gt;"TOPX",N(分析!$BG38)=1),(N(分析!$BF38)+100)*10000-ROW(),"")</f>
      </c>
      <c r="V38" s="435" t="str">
        <f>IF(AND(売分析!$C38&lt;&gt;"",売分析!$C38&lt;&gt;"TOPX",N(売分析!$BG38)=1),(N(売分析!$BF38)+100)*10000-ROW(),"")</f>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IF(AND(分析!$C39&lt;&gt;"",分析!$C39&lt;&gt;"TOPX",N(分析!$BG39)=1),(N(分析!$BF39)+100)*10000-ROW(),"")</f>
      </c>
      <c r="U39"/>
      <c r="V39" t="str">
        <f>IF(AND(売分析!$C39&lt;&gt;"",売分析!$C39&lt;&gt;"TOPX",N(売分析!$BG39)=1),(N(売分析!$BF39)+100)*10000-ROW(),"")</f>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IF(AND(分析!$C40&lt;&gt;"",分析!$C40&lt;&gt;"TOPX",N(分析!$BG40)=1),(N(分析!$BF40)+100)*10000-ROW(),"")</f>
      </c>
      <c r="U40"/>
      <c r="V40" t="str">
        <f>IF(AND(売分析!$C40&lt;&gt;"",売分析!$C40&lt;&gt;"TOPX",N(売分析!$BG40)=1),(N(売分析!$BF40)+100)*10000-ROW(),"")</f>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IF(AND(分析!$C41&lt;&gt;"",分析!$C41&lt;&gt;"TOPX",N(分析!$BG41)=1),(N(分析!$BF41)+100)*10000-ROW(),"")</f>
      </c>
      <c r="U41"/>
      <c r="V41" t="str">
        <f>IF(AND(売分析!$C41&lt;&gt;"",売分析!$C41&lt;&gt;"TOPX",N(売分析!$BG41)=1),(N(売分析!$BF41)+100)*10000-ROW(),"")</f>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IF(AND(分析!$C42&lt;&gt;"",分析!$C42&lt;&gt;"TOPX",N(分析!$BG42)=1),(N(分析!$BF42)+100)*10000-ROW(),"")</f>
      </c>
      <c r="U42"/>
      <c r="V42" t="str">
        <f>IF(AND(売分析!$C42&lt;&gt;"",売分析!$C42&lt;&gt;"TOPX",N(売分析!$BG42)=1),(N(売分析!$BF42)+100)*10000-ROW(),"")</f>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IF(AND(分析!$C43&lt;&gt;"",分析!$C43&lt;&gt;"TOPX",N(分析!$BG43)=1),(N(分析!$BF43)+100)*10000-ROW(),"")</f>
      </c>
      <c r="U43"/>
      <c r="V43" t="str">
        <f>IF(AND(売分析!$C43&lt;&gt;"",売分析!$C43&lt;&gt;"TOPX",N(売分析!$BG43)=1),(N(売分析!$BF43)+100)*10000-ROW(),"")</f>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IF(AND(分析!$C44&lt;&gt;"",分析!$C44&lt;&gt;"TOPX",N(分析!$BG44)=1),(N(分析!$BF44)+100)*10000-ROW(),"")</f>
      </c>
      <c r="U44"/>
      <c r="V44" t="str">
        <f>IF(AND(売分析!$C44&lt;&gt;"",売分析!$C44&lt;&gt;"TOPX",N(売分析!$BG44)=1),(N(売分析!$BF44)+100)*10000-ROW(),"")</f>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IF(AND(分析!$C45&lt;&gt;"",分析!$C45&lt;&gt;"TOPX",N(分析!$BG45)=1),(N(分析!$BF45)+100)*10000-ROW(),"")</f>
      </c>
      <c r="U45"/>
      <c r="V45" t="str">
        <f>IF(AND(売分析!$C45&lt;&gt;"",売分析!$C45&lt;&gt;"TOPX",N(売分析!$BG45)=1),(N(売分析!$BF45)+100)*10000-ROW(),"")</f>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IF(AND(分析!$C46&lt;&gt;"",分析!$C46&lt;&gt;"TOPX",N(分析!$BG46)=1),(N(分析!$BF46)+100)*10000-ROW(),"")</f>
      </c>
      <c r="U46"/>
      <c r="V46" t="str">
        <f>IF(AND(売分析!$C46&lt;&gt;"",売分析!$C46&lt;&gt;"TOPX",N(売分析!$BG46)=1),(N(売分析!$BF46)+100)*10000-ROW(),"")</f>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IF(AND(分析!$C47&lt;&gt;"",分析!$C47&lt;&gt;"TOPX",N(分析!$BG47)=1),(N(分析!$BF47)+100)*10000-ROW(),"")</f>
      </c>
      <c r="U47"/>
      <c r="V47" t="str">
        <f>IF(AND(売分析!$C47&lt;&gt;"",売分析!$C47&lt;&gt;"TOPX",N(売分析!$BG47)=1),(N(売分析!$BF47)+100)*10000-ROW(),"")</f>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IF(AND(分析!$C48&lt;&gt;"",分析!$C48&lt;&gt;"TOPX",N(分析!$BG48)=1),(N(分析!$BF48)+100)*10000-ROW(),"")</f>
      </c>
      <c r="U48"/>
      <c r="V48" t="str">
        <f>IF(AND(売分析!$C48&lt;&gt;"",売分析!$C48&lt;&gt;"TOPX",N(売分析!$BG48)=1),(N(売分析!$BF48)+100)*10000-ROW(),"")</f>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IF(AND(分析!$C49&lt;&gt;"",分析!$C49&lt;&gt;"TOPX",N(分析!$BG49)=1),(N(分析!$BF49)+100)*10000-ROW(),"")</f>
      </c>
      <c r="U49"/>
      <c r="V49" t="str">
        <f>IF(AND(売分析!$C49&lt;&gt;"",売分析!$C49&lt;&gt;"TOPX",N(売分析!$BG49)=1),(N(売分析!$BF49)+100)*10000-ROW(),"")</f>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IF(AND(分析!$C50&lt;&gt;"",分析!$C50&lt;&gt;"TOPX",N(分析!$BG50)=1),(N(分析!$BF50)+100)*10000-ROW(),"")</f>
      </c>
      <c r="U50"/>
      <c r="V50" t="str">
        <f>IF(AND(売分析!$C50&lt;&gt;"",売分析!$C50&lt;&gt;"TOPX",N(売分析!$BG50)=1),(N(売分析!$BF50)+100)*10000-ROW(),"")</f>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IF(AND(分析!$C51&lt;&gt;"",分析!$C51&lt;&gt;"TOPX",N(分析!$BG51)=1),(N(分析!$BF51)+100)*10000-ROW(),"")</f>
      </c>
      <c r="U51"/>
      <c r="V51" t="str">
        <f>IF(AND(売分析!$C51&lt;&gt;"",売分析!$C51&lt;&gt;"TOPX",N(売分析!$BG51)=1),(N(売分析!$BF51)+100)*10000-ROW(),"")</f>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IF(AND(分析!$C52&lt;&gt;"",分析!$C52&lt;&gt;"TOPX",N(分析!$BG52)=1),(N(分析!$BF52)+100)*10000-ROW(),"")</f>
      </c>
      <c r="U52"/>
      <c r="V52" t="str">
        <f>IF(AND(売分析!$C52&lt;&gt;"",売分析!$C52&lt;&gt;"TOPX",N(売分析!$BG52)=1),(N(売分析!$BF52)+100)*10000-ROW(),"")</f>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IF(AND(分析!$C53&lt;&gt;"",分析!$C53&lt;&gt;"TOPX",N(分析!$BG53)=1),(N(分析!$BF53)+100)*10000-ROW(),"")</f>
      </c>
      <c r="U53"/>
      <c r="V53" t="str">
        <f>IF(AND(売分析!$C53&lt;&gt;"",売分析!$C53&lt;&gt;"TOPX",N(売分析!$BG53)=1),(N(売分析!$BF53)+100)*10000-ROW(),"")</f>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IF(AND(分析!$C54&lt;&gt;"",分析!$C54&lt;&gt;"TOPX",N(分析!$BG54)=1),(N(分析!$BF54)+100)*10000-ROW(),"")</f>
      </c>
      <c r="U54"/>
      <c r="V54" t="str">
        <f>IF(AND(売分析!$C54&lt;&gt;"",売分析!$C54&lt;&gt;"TOPX",N(売分析!$BG54)=1),(N(売分析!$BF54)+100)*10000-ROW(),"")</f>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IF(AND(分析!$C55&lt;&gt;"",分析!$C55&lt;&gt;"TOPX",N(分析!$BG55)=1),(N(分析!$BF55)+100)*10000-ROW(),"")</f>
      </c>
      <c r="U55"/>
      <c r="V55" t="str">
        <f>IF(AND(売分析!$C55&lt;&gt;"",売分析!$C55&lt;&gt;"TOPX",N(売分析!$BG55)=1),(N(売分析!$BF55)+100)*10000-ROW(),"")</f>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IF(AND(分析!$C56&lt;&gt;"",分析!$C56&lt;&gt;"TOPX",N(分析!$BG56)=1),(N(分析!$BF56)+100)*10000-ROW(),"")</f>
      </c>
      <c r="U56"/>
      <c r="V56" t="str">
        <f>IF(AND(売分析!$C56&lt;&gt;"",売分析!$C56&lt;&gt;"TOPX",N(売分析!$BG56)=1),(N(売分析!$BF56)+100)*10000-ROW(),"")</f>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IF(AND(分析!$C57&lt;&gt;"",分析!$C57&lt;&gt;"TOPX",N(分析!$BG57)=1),(N(分析!$BF57)+100)*10000-ROW(),"")</f>
      </c>
      <c r="U57"/>
      <c r="V57" t="str">
        <f>IF(AND(売分析!$C57&lt;&gt;"",売分析!$C57&lt;&gt;"TOPX",N(売分析!$BG57)=1),(N(売分析!$BF57)+100)*10000-ROW(),"")</f>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IF(AND(分析!$C58&lt;&gt;"",分析!$C58&lt;&gt;"TOPX",N(分析!$BG58)=1),(N(分析!$BF58)+100)*10000-ROW(),"")</f>
      </c>
      <c r="U58"/>
      <c r="V58" t="str">
        <f>IF(AND(売分析!$C58&lt;&gt;"",売分析!$C58&lt;&gt;"TOPX",N(売分析!$BG58)=1),(N(売分析!$BF58)+100)*10000-ROW(),"")</f>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IF(AND(分析!$C59&lt;&gt;"",分析!$C59&lt;&gt;"TOPX",N(分析!$BG59)=1),(N(分析!$BF59)+100)*10000-ROW(),"")</f>
      </c>
      <c r="U59"/>
      <c r="V59" t="str">
        <f>IF(AND(売分析!$C59&lt;&gt;"",売分析!$C59&lt;&gt;"TOPX",N(売分析!$BG59)=1),(N(売分析!$BF59)+100)*10000-ROW(),"")</f>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IF(AND(分析!$C60&lt;&gt;"",分析!$C60&lt;&gt;"TOPX",N(分析!$BG60)=1),(N(分析!$BF60)+100)*10000-ROW(),"")</f>
      </c>
      <c r="U60"/>
      <c r="V60" t="str">
        <f>IF(AND(売分析!$C60&lt;&gt;"",売分析!$C60&lt;&gt;"TOPX",N(売分析!$BG60)=1),(N(売分析!$BF60)+100)*10000-ROW(),"")</f>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IF(AND(分析!$C61&lt;&gt;"",分析!$C61&lt;&gt;"TOPX",N(分析!$BG61)=1),(N(分析!$BF61)+100)*10000-ROW(),"")</f>
      </c>
      <c r="U61"/>
      <c r="V61" t="str">
        <f>IF(AND(売分析!$C61&lt;&gt;"",売分析!$C61&lt;&gt;"TOPX",N(売分析!$BG61)=1),(N(売分析!$BF61)+100)*10000-ROW(),"")</f>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IF(AND(分析!$C62&lt;&gt;"",分析!$C62&lt;&gt;"TOPX",N(分析!$BG62)=1),(N(分析!$BF62)+100)*10000-ROW(),"")</f>
      </c>
      <c r="U62"/>
      <c r="V62" t="str">
        <f>IF(AND(売分析!$C62&lt;&gt;"",売分析!$C62&lt;&gt;"TOPX",N(売分析!$BG62)=1),(N(売分析!$BF62)+100)*10000-ROW(),"")</f>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IF(AND(分析!$C63&lt;&gt;"",分析!$C63&lt;&gt;"TOPX",N(分析!$BG63)=1),(N(分析!$BF63)+100)*10000-ROW(),"")</f>
      </c>
      <c r="U63"/>
      <c r="V63" t="str">
        <f>IF(AND(売分析!$C63&lt;&gt;"",売分析!$C63&lt;&gt;"TOPX",N(売分析!$BG63)=1),(N(売分析!$BF63)+100)*10000-ROW(),"")</f>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IF(AND(分析!$C64&lt;&gt;"",分析!$C64&lt;&gt;"TOPX",N(分析!$BG64)=1),(N(分析!$BF64)+100)*10000-ROW(),"")</f>
      </c>
      <c r="U64"/>
      <c r="V64" t="str">
        <f>IF(AND(売分析!$C64&lt;&gt;"",売分析!$C64&lt;&gt;"TOPX",N(売分析!$BG64)=1),(N(売分析!$BF64)+100)*10000-ROW(),"")</f>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IF(AND(分析!$C65&lt;&gt;"",分析!$C65&lt;&gt;"TOPX",N(分析!$BG65)=1),(N(分析!$BF65)+100)*10000-ROW(),"")</f>
      </c>
      <c r="U65"/>
      <c r="V65" t="str">
        <f>IF(AND(売分析!$C65&lt;&gt;"",売分析!$C65&lt;&gt;"TOPX",N(売分析!$BG65)=1),(N(売分析!$BF65)+100)*10000-ROW(),"")</f>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IF(AND(分析!$C66&lt;&gt;"",分析!$C66&lt;&gt;"TOPX",N(分析!$BG66)=1),(N(分析!$BF66)+100)*10000-ROW(),"")</f>
      </c>
      <c r="U66"/>
      <c r="V66" t="str">
        <f>IF(AND(売分析!$C66&lt;&gt;"",売分析!$C66&lt;&gt;"TOPX",N(売分析!$BG66)=1),(N(売分析!$BF66)+100)*10000-ROW(),"")</f>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IF(AND(分析!$C67&lt;&gt;"",分析!$C67&lt;&gt;"TOPX",N(分析!$BG67)=1),(N(分析!$BF67)+100)*10000-ROW(),"")</f>
      </c>
      <c r="U67"/>
      <c r="V67" t="str">
        <f>IF(AND(売分析!$C67&lt;&gt;"",売分析!$C67&lt;&gt;"TOPX",N(売分析!$BG67)=1),(N(売分析!$BF67)+100)*10000-ROW(),"")</f>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IF(AND(分析!$C68&lt;&gt;"",分析!$C68&lt;&gt;"TOPX",N(分析!$BG68)=1),(N(分析!$BF68)+100)*10000-ROW(),"")</f>
      </c>
      <c r="U68"/>
      <c r="V68" t="str">
        <f>IF(AND(売分析!$C68&lt;&gt;"",売分析!$C68&lt;&gt;"TOPX",N(売分析!$BG68)=1),(N(売分析!$BF68)+100)*10000-ROW(),"")</f>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IF(AND(分析!$C69&lt;&gt;"",分析!$C69&lt;&gt;"TOPX",N(分析!$BG69)=1),(N(分析!$BF69)+100)*10000-ROW(),"")</f>
      </c>
      <c r="U69"/>
      <c r="V69" t="str">
        <f>IF(AND(売分析!$C69&lt;&gt;"",売分析!$C69&lt;&gt;"TOPX",N(売分析!$BG69)=1),(N(売分析!$BF69)+100)*10000-ROW(),"")</f>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IF(AND(分析!$C70&lt;&gt;"",分析!$C70&lt;&gt;"TOPX",N(分析!$BG70)=1),(N(分析!$BF70)+100)*10000-ROW(),"")</f>
      </c>
      <c r="U70"/>
      <c r="V70" t="str">
        <f>IF(AND(売分析!$C70&lt;&gt;"",売分析!$C70&lt;&gt;"TOPX",N(売分析!$BG70)=1),(N(売分析!$BF70)+100)*10000-ROW(),"")</f>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IF(AND(分析!$C71&lt;&gt;"",分析!$C71&lt;&gt;"TOPX",N(分析!$BG71)=1),(N(分析!$BF71)+100)*10000-ROW(),"")</f>
      </c>
      <c r="U71"/>
      <c r="V71" t="str">
        <f>IF(AND(売分析!$C71&lt;&gt;"",売分析!$C71&lt;&gt;"TOPX",N(売分析!$BG71)=1),(N(売分析!$BF71)+100)*10000-ROW(),"")</f>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IF(AND(分析!$C72&lt;&gt;"",分析!$C72&lt;&gt;"TOPX",N(分析!$BG72)=1),(N(分析!$BF72)+100)*10000-ROW(),"")</f>
      </c>
      <c r="U72"/>
      <c r="V72" t="str">
        <f>IF(AND(売分析!$C72&lt;&gt;"",売分析!$C72&lt;&gt;"TOPX",N(売分析!$BG72)=1),(N(売分析!$BF72)+100)*10000-ROW(),"")</f>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IF(AND(分析!$C73&lt;&gt;"",分析!$C73&lt;&gt;"TOPX",N(分析!$BG73)=1),(N(分析!$BF73)+100)*10000-ROW(),"")</f>
      </c>
      <c r="U73"/>
      <c r="V73" t="str">
        <f>IF(AND(売分析!$C73&lt;&gt;"",売分析!$C73&lt;&gt;"TOPX",N(売分析!$BG73)=1),(N(売分析!$BF73)+100)*10000-ROW(),"")</f>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IF(AND(分析!$C74&lt;&gt;"",分析!$C74&lt;&gt;"TOPX",N(分析!$BG74)=1),(N(分析!$BF74)+100)*10000-ROW(),"")</f>
      </c>
      <c r="U74"/>
      <c r="V74" t="str">
        <f>IF(AND(売分析!$C74&lt;&gt;"",売分析!$C74&lt;&gt;"TOPX",N(売分析!$BG74)=1),(N(売分析!$BF74)+100)*10000-ROW(),"")</f>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IF(AND(分析!$C75&lt;&gt;"",分析!$C75&lt;&gt;"TOPX",N(分析!$BG75)=1),(N(分析!$BF75)+100)*10000-ROW(),"")</f>
      </c>
      <c r="U75"/>
      <c r="V75" t="str">
        <f>IF(AND(売分析!$C75&lt;&gt;"",売分析!$C75&lt;&gt;"TOPX",N(売分析!$BG75)=1),(N(売分析!$BF75)+100)*10000-ROW(),"")</f>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IF(AND(分析!$C76&lt;&gt;"",分析!$C76&lt;&gt;"TOPX",N(分析!$BG76)=1),(N(分析!$BF76)+100)*10000-ROW(),"")</f>
      </c>
      <c r="U76"/>
      <c r="V76" t="str">
        <f>IF(AND(売分析!$C76&lt;&gt;"",売分析!$C76&lt;&gt;"TOPX",N(売分析!$BG76)=1),(N(売分析!$BF76)+100)*10000-ROW(),"")</f>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IF(AND(分析!$C77&lt;&gt;"",分析!$C77&lt;&gt;"TOPX",N(分析!$BG77)=1),(N(分析!$BF77)+100)*10000-ROW(),"")</f>
      </c>
      <c r="U77"/>
      <c r="V77" t="str">
        <f>IF(AND(売分析!$C77&lt;&gt;"",売分析!$C77&lt;&gt;"TOPX",N(売分析!$BG77)=1),(N(売分析!$BF77)+100)*10000-ROW(),"")</f>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IF(AND(分析!$C78&lt;&gt;"",分析!$C78&lt;&gt;"TOPX",N(分析!$BG78)=1),(N(分析!$BF78)+100)*10000-ROW(),"")</f>
      </c>
      <c r="U78"/>
      <c r="V78" t="str">
        <f>IF(AND(売分析!$C78&lt;&gt;"",売分析!$C78&lt;&gt;"TOPX",N(売分析!$BG78)=1),(N(売分析!$BF78)+100)*10000-ROW(),"")</f>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IF(AND(分析!$C79&lt;&gt;"",分析!$C79&lt;&gt;"TOPX",N(分析!$BG79)=1),(N(分析!$BF79)+100)*10000-ROW(),"")</f>
      </c>
      <c r="U79"/>
      <c r="V79" t="str">
        <f>IF(AND(売分析!$C79&lt;&gt;"",売分析!$C79&lt;&gt;"TOPX",N(売分析!$BG79)=1),(N(売分析!$BF79)+100)*10000-ROW(),"")</f>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IF(AND(分析!$C80&lt;&gt;"",分析!$C80&lt;&gt;"TOPX",N(分析!$BG80)=1),(N(分析!$BF80)+100)*10000-ROW(),"")</f>
      </c>
      <c r="U80"/>
      <c r="V80" t="str">
        <f>IF(AND(売分析!$C80&lt;&gt;"",売分析!$C80&lt;&gt;"TOPX",N(売分析!$BG80)=1),(N(売分析!$BF80)+100)*10000-ROW(),"")</f>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IF(AND(分析!$C81&lt;&gt;"",分析!$C81&lt;&gt;"TOPX",N(分析!$BG81)=1),(N(分析!$BF81)+100)*10000-ROW(),"")</f>
      </c>
      <c r="U81"/>
      <c r="V81" t="str">
        <f>IF(AND(売分析!$C81&lt;&gt;"",売分析!$C81&lt;&gt;"TOPX",N(売分析!$BG81)=1),(N(売分析!$BF81)+100)*10000-ROW(),"")</f>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IF(AND(分析!$C82&lt;&gt;"",分析!$C82&lt;&gt;"TOPX",N(分析!$BG82)=1),(N(分析!$BF82)+100)*10000-ROW(),"")</f>
      </c>
      <c r="U82"/>
      <c r="V82" t="str">
        <f>IF(AND(売分析!$C82&lt;&gt;"",売分析!$C82&lt;&gt;"TOPX",N(売分析!$BG82)=1),(N(売分析!$BF82)+100)*10000-ROW(),"")</f>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IF(AND(分析!$C83&lt;&gt;"",分析!$C83&lt;&gt;"TOPX",N(分析!$BG83)=1),(N(分析!$BF83)+100)*10000-ROW(),"")</f>
      </c>
      <c r="U83"/>
      <c r="V83" t="str">
        <f>IF(AND(売分析!$C83&lt;&gt;"",売分析!$C83&lt;&gt;"TOPX",N(売分析!$BG83)=1),(N(売分析!$BF83)+100)*10000-ROW(),"")</f>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IF(AND(分析!$C84&lt;&gt;"",分析!$C84&lt;&gt;"TOPX",N(分析!$BG84)=1),(N(分析!$BF84)+100)*10000-ROW(),"")</f>
      </c>
      <c r="U84"/>
      <c r="V84" t="str">
        <f>IF(AND(売分析!$C84&lt;&gt;"",売分析!$C84&lt;&gt;"TOPX",N(売分析!$BG84)=1),(N(売分析!$BF84)+100)*10000-ROW(),"")</f>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IF(AND(分析!$C85&lt;&gt;"",分析!$C85&lt;&gt;"TOPX",N(分析!$BG85)=1),(N(分析!$BF85)+100)*10000-ROW(),"")</f>
      </c>
      <c r="U85"/>
      <c r="V85" t="str">
        <f>IF(AND(売分析!$C85&lt;&gt;"",売分析!$C85&lt;&gt;"TOPX",N(売分析!$BG85)=1),(N(売分析!$BF85)+100)*10000-ROW(),"")</f>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IF(AND(分析!$C86&lt;&gt;"",分析!$C86&lt;&gt;"TOPX",N(分析!$BG86)=1),(N(分析!$BF86)+100)*10000-ROW(),"")</f>
      </c>
      <c r="U86"/>
      <c r="V86" t="str">
        <f>IF(AND(売分析!$C86&lt;&gt;"",売分析!$C86&lt;&gt;"TOPX",N(売分析!$BG86)=1),(N(売分析!$BF86)+100)*10000-ROW(),"")</f>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IF(AND(分析!$C87&lt;&gt;"",分析!$C87&lt;&gt;"TOPX",N(分析!$BG87)=1),(N(分析!$BF87)+100)*10000-ROW(),"")</f>
      </c>
      <c r="U87"/>
      <c r="V87" t="str">
        <f>IF(AND(売分析!$C87&lt;&gt;"",売分析!$C87&lt;&gt;"TOPX",N(売分析!$BG87)=1),(N(売分析!$BF87)+100)*10000-ROW(),"")</f>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IF(AND(分析!$C88&lt;&gt;"",分析!$C88&lt;&gt;"TOPX",N(分析!$BG88)=1),(N(分析!$BF88)+100)*10000-ROW(),"")</f>
      </c>
      <c r="U88"/>
      <c r="V88" t="str">
        <f>IF(AND(売分析!$C88&lt;&gt;"",売分析!$C88&lt;&gt;"TOPX",N(売分析!$BG88)=1),(N(売分析!$BF88)+100)*10000-ROW(),"")</f>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IF(AND(分析!$C89&lt;&gt;"",分析!$C89&lt;&gt;"TOPX",N(分析!$BG89)=1),(N(分析!$BF89)+100)*10000-ROW(),"")</f>
      </c>
      <c r="U89"/>
      <c r="V89" t="str">
        <f>IF(AND(売分析!$C89&lt;&gt;"",売分析!$C89&lt;&gt;"TOPX",N(売分析!$BG89)=1),(N(売分析!$BF89)+100)*10000-ROW(),"")</f>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IF(AND(分析!$C90&lt;&gt;"",分析!$C90&lt;&gt;"TOPX",N(分析!$BG90)=1),(N(分析!$BF90)+100)*10000-ROW(),"")</f>
      </c>
      <c r="U90"/>
      <c r="V90" t="str">
        <f>IF(AND(売分析!$C90&lt;&gt;"",売分析!$C90&lt;&gt;"TOPX",N(売分析!$BG90)=1),(N(売分析!$BF90)+100)*10000-ROW(),"")</f>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IF(AND(分析!$C91&lt;&gt;"",分析!$C91&lt;&gt;"TOPX",N(分析!$BG91)=1),(N(分析!$BF91)+100)*10000-ROW(),"")</f>
      </c>
      <c r="U91"/>
      <c r="V91" t="str">
        <f>IF(AND(売分析!$C91&lt;&gt;"",売分析!$C91&lt;&gt;"TOPX",N(売分析!$BG91)=1),(N(売分析!$BF91)+100)*10000-ROW(),"")</f>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IF(AND(分析!$C92&lt;&gt;"",分析!$C92&lt;&gt;"TOPX",N(分析!$BG92)=1),(N(分析!$BF92)+100)*10000-ROW(),"")</f>
      </c>
      <c r="U92"/>
      <c r="V92" t="str">
        <f>IF(AND(売分析!$C92&lt;&gt;"",売分析!$C92&lt;&gt;"TOPX",N(売分析!$BG92)=1),(N(売分析!$BF92)+100)*10000-ROW(),"")</f>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IF(AND(分析!$C93&lt;&gt;"",分析!$C93&lt;&gt;"TOPX",N(分析!$BG93)=1),(N(分析!$BF93)+100)*10000-ROW(),"")</f>
      </c>
      <c r="U93"/>
      <c r="V93" t="str">
        <f>IF(AND(売分析!$C93&lt;&gt;"",売分析!$C93&lt;&gt;"TOPX",N(売分析!$BG93)=1),(N(売分析!$BF93)+100)*10000-ROW(),"")</f>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IF(AND(分析!$C94&lt;&gt;"",分析!$C94&lt;&gt;"TOPX",N(分析!$BG94)=1),(N(分析!$BF94)+100)*10000-ROW(),"")</f>
      </c>
      <c r="U94"/>
      <c r="V94" t="str">
        <f>IF(AND(売分析!$C94&lt;&gt;"",売分析!$C94&lt;&gt;"TOPX",N(売分析!$BG94)=1),(N(売分析!$BF94)+100)*10000-ROW(),"")</f>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IF(AND(分析!$C95&lt;&gt;"",分析!$C95&lt;&gt;"TOPX",N(分析!$BG95)=1),(N(分析!$BF95)+100)*10000-ROW(),"")</f>
      </c>
      <c r="U95"/>
      <c r="V95" t="str">
        <f>IF(AND(売分析!$C95&lt;&gt;"",売分析!$C95&lt;&gt;"TOPX",N(売分析!$BG95)=1),(N(売分析!$BF95)+100)*10000-ROW(),"")</f>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IF(AND(分析!$C96&lt;&gt;"",分析!$C96&lt;&gt;"TOPX",N(分析!$BG96)=1),(N(分析!$BF96)+100)*10000-ROW(),"")</f>
      </c>
      <c r="U96"/>
      <c r="V96" t="str">
        <f>IF(AND(売分析!$C96&lt;&gt;"",売分析!$C96&lt;&gt;"TOPX",N(売分析!$BG96)=1),(N(売分析!$BF96)+100)*10000-ROW(),"")</f>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IF(AND(分析!$C97&lt;&gt;"",分析!$C97&lt;&gt;"TOPX",N(分析!$BG97)=1),(N(分析!$BF97)+100)*10000-ROW(),"")</f>
      </c>
      <c r="U97"/>
      <c r="V97" t="str">
        <f>IF(AND(売分析!$C97&lt;&gt;"",売分析!$C97&lt;&gt;"TOPX",N(売分析!$BG97)=1),(N(売分析!$BF97)+100)*10000-ROW(),"")</f>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IF(AND(分析!$C98&lt;&gt;"",分析!$C98&lt;&gt;"TOPX",N(分析!$BG98)=1),(N(分析!$BF98)+100)*10000-ROW(),"")</f>
      </c>
      <c r="U98"/>
      <c r="V98" t="str">
        <f>IF(AND(売分析!$C98&lt;&gt;"",売分析!$C98&lt;&gt;"TOPX",N(売分析!$BG98)=1),(N(売分析!$BF98)+100)*10000-ROW(),"")</f>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IF(AND(分析!$C99&lt;&gt;"",分析!$C99&lt;&gt;"TOPX",N(分析!$BG99)=1),(N(分析!$BF99)+100)*10000-ROW(),"")</f>
      </c>
      <c r="U99"/>
      <c r="V99" t="str">
        <f>IF(AND(売分析!$C99&lt;&gt;"",売分析!$C99&lt;&gt;"TOPX",N(売分析!$BG99)=1),(N(売分析!$BF99)+100)*10000-ROW(),"")</f>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IF(AND(分析!$C100&lt;&gt;"",分析!$C100&lt;&gt;"TOPX",N(分析!$BG100)=1),(N(分析!$BF100)+100)*10000-ROW(),"")</f>
      </c>
      <c r="U100"/>
      <c r="V100" t="str">
        <f>IF(AND(売分析!$C100&lt;&gt;"",売分析!$C100&lt;&gt;"TOPX",N(売分析!$BG100)=1),(N(売分析!$BF100)+100)*10000-ROW(),"")</f>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IF(AND(分析!$C101&lt;&gt;"",分析!$C101&lt;&gt;"TOPX",N(分析!$BG101)=1),(N(分析!$BF101)+100)*10000-ROW(),"")</f>
      </c>
      <c r="U101"/>
      <c r="V101" t="str">
        <f>IF(AND(売分析!$C101&lt;&gt;"",売分析!$C101&lt;&gt;"TOPX",N(売分析!$BG101)=1),(N(売分析!$BF101)+100)*10000-ROW(),"")</f>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IF(AND(分析!$C102&lt;&gt;"",分析!$C102&lt;&gt;"TOPX",N(分析!$BG102)=1),(N(分析!$BF102)+100)*10000-ROW(),"")</f>
      </c>
      <c r="U102"/>
      <c r="V102" t="str">
        <f>IF(AND(売分析!$C102&lt;&gt;"",売分析!$C102&lt;&gt;"TOPX",N(売分析!$BG102)=1),(N(売分析!$BF102)+100)*10000-ROW(),"")</f>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IF(AND(分析!$C103&lt;&gt;"",分析!$C103&lt;&gt;"TOPX",N(分析!$BG103)=1),(N(分析!$BF103)+100)*10000-ROW(),"")</f>
      </c>
      <c r="U103"/>
      <c r="V103" t="str">
        <f>IF(AND(売分析!$C103&lt;&gt;"",売分析!$C103&lt;&gt;"TOPX",N(売分析!$BG103)=1),(N(売分析!$BF103)+100)*10000-ROW(),"")</f>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IF(AND(分析!$C104&lt;&gt;"",分析!$C104&lt;&gt;"TOPX",N(分析!$BG104)=1),(N(分析!$BF104)+100)*10000-ROW(),"")</f>
      </c>
      <c r="U104"/>
      <c r="V104" t="str">
        <f>IF(AND(売分析!$C104&lt;&gt;"",売分析!$C104&lt;&gt;"TOPX",N(売分析!$BG104)=1),(N(売分析!$BF104)+100)*10000-ROW(),"")</f>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IF(AND(分析!$C105&lt;&gt;"",分析!$C105&lt;&gt;"TOPX",N(分析!$BG105)=1),(N(分析!$BF105)+100)*10000-ROW(),"")</f>
      </c>
      <c r="U105"/>
      <c r="V105" t="str">
        <f>IF(AND(売分析!$C105&lt;&gt;"",売分析!$C105&lt;&gt;"TOPX",N(売分析!$BG105)=1),(N(売分析!$BF105)+100)*10000-ROW(),"")</f>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IF(AND(分析!$C106&lt;&gt;"",分析!$C106&lt;&gt;"TOPX",N(分析!$BG106)=1),(N(分析!$BF106)+100)*10000-ROW(),"")</f>
      </c>
      <c r="U106"/>
      <c r="V106" t="str">
        <f>IF(AND(売分析!$C106&lt;&gt;"",売分析!$C106&lt;&gt;"TOPX",N(売分析!$BG106)=1),(N(売分析!$BF106)+100)*10000-ROW(),"")</f>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IF(AND(分析!$C107&lt;&gt;"",分析!$C107&lt;&gt;"TOPX",N(分析!$BG107)=1),(N(分析!$BF107)+100)*10000-ROW(),"")</f>
      </c>
      <c r="U107"/>
      <c r="V107" t="str">
        <f>IF(AND(売分析!$C107&lt;&gt;"",売分析!$C107&lt;&gt;"TOPX",N(売分析!$BG107)=1),(N(売分析!$BF107)+100)*10000-ROW(),"")</f>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IF(AND(分析!$C108&lt;&gt;"",分析!$C108&lt;&gt;"TOPX",N(分析!$BG108)=1),(N(分析!$BF108)+100)*10000-ROW(),"")</f>
      </c>
      <c r="U108"/>
      <c r="V108" t="str">
        <f>IF(AND(売分析!$C108&lt;&gt;"",売分析!$C108&lt;&gt;"TOPX",N(売分析!$BG108)=1),(N(売分析!$BF108)+100)*10000-ROW(),"")</f>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IF(AND(分析!$C109&lt;&gt;"",分析!$C109&lt;&gt;"TOPX",N(分析!$BG109)=1),(N(分析!$BF109)+100)*10000-ROW(),"")</f>
      </c>
      <c r="U109"/>
      <c r="V109" t="str">
        <f>IF(AND(売分析!$C109&lt;&gt;"",売分析!$C109&lt;&gt;"TOPX",N(売分析!$BG109)=1),(N(売分析!$BF109)+100)*10000-ROW(),"")</f>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IF(AND(分析!$C110&lt;&gt;"",分析!$C110&lt;&gt;"TOPX",N(分析!$BG110)=1),(N(分析!$BF110)+100)*10000-ROW(),"")</f>
      </c>
      <c r="U110"/>
      <c r="V110" t="str">
        <f>IF(AND(売分析!$C110&lt;&gt;"",売分析!$C110&lt;&gt;"TOPX",N(売分析!$BG110)=1),(N(売分析!$BF110)+100)*10000-ROW(),"")</f>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IF(AND(分析!$C111&lt;&gt;"",分析!$C111&lt;&gt;"TOPX",N(分析!$BG111)=1),(N(分析!$BF111)+100)*10000-ROW(),"")</f>
      </c>
      <c r="U111"/>
      <c r="V111" t="str">
        <f>IF(AND(売分析!$C111&lt;&gt;"",売分析!$C111&lt;&gt;"TOPX",N(売分析!$BG111)=1),(N(売分析!$BF111)+100)*10000-ROW(),"")</f>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IF(AND(分析!$C112&lt;&gt;"",分析!$C112&lt;&gt;"TOPX",N(分析!$BG112)=1),(N(分析!$BF112)+100)*10000-ROW(),"")</f>
      </c>
      <c r="U112"/>
      <c r="V112" t="str">
        <f>IF(AND(売分析!$C112&lt;&gt;"",売分析!$C112&lt;&gt;"TOPX",N(売分析!$BG112)=1),(N(売分析!$BF112)+100)*10000-ROW(),"")</f>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IF(AND(分析!$C113&lt;&gt;"",分析!$C113&lt;&gt;"TOPX",N(分析!$BG113)=1),(N(分析!$BF113)+100)*10000-ROW(),"")</f>
      </c>
      <c r="U113"/>
      <c r="V113" t="str">
        <f>IF(AND(売分析!$C113&lt;&gt;"",売分析!$C113&lt;&gt;"TOPX",N(売分析!$BG113)=1),(N(売分析!$BF113)+100)*10000-ROW(),"")</f>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IF(AND(分析!$C114&lt;&gt;"",分析!$C114&lt;&gt;"TOPX",N(分析!$BG114)=1),(N(分析!$BF114)+100)*10000-ROW(),"")</f>
      </c>
      <c r="U114"/>
      <c r="V114" t="str">
        <f>IF(AND(売分析!$C114&lt;&gt;"",売分析!$C114&lt;&gt;"TOPX",N(売分析!$BG114)=1),(N(売分析!$BF114)+100)*10000-ROW(),"")</f>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IF(AND(分析!$C115&lt;&gt;"",分析!$C115&lt;&gt;"TOPX",N(分析!$BG115)=1),(N(分析!$BF115)+100)*10000-ROW(),"")</f>
      </c>
      <c r="U115"/>
      <c r="V115" t="str">
        <f>IF(AND(売分析!$C115&lt;&gt;"",売分析!$C115&lt;&gt;"TOPX",N(売分析!$BG115)=1),(N(売分析!$BF115)+100)*10000-ROW(),"")</f>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IF(AND(分析!$C116&lt;&gt;"",分析!$C116&lt;&gt;"TOPX",N(分析!$BG116)=1),(N(分析!$BF116)+100)*10000-ROW(),"")</f>
      </c>
      <c r="U116"/>
      <c r="V116" t="str">
        <f>IF(AND(売分析!$C116&lt;&gt;"",売分析!$C116&lt;&gt;"TOPX",N(売分析!$BG116)=1),(N(売分析!$BF116)+100)*10000-ROW(),"")</f>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IF(AND(分析!$C117&lt;&gt;"",分析!$C117&lt;&gt;"TOPX",N(分析!$BG117)=1),(N(分析!$BF117)+100)*10000-ROW(),"")</f>
      </c>
      <c r="U117"/>
      <c r="V117" t="str">
        <f>IF(AND(売分析!$C117&lt;&gt;"",売分析!$C117&lt;&gt;"TOPX",N(売分析!$BG117)=1),(N(売分析!$BF117)+100)*10000-ROW(),"")</f>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IF(AND(分析!$C118&lt;&gt;"",分析!$C118&lt;&gt;"TOPX",N(分析!$BG118)=1),(N(分析!$BF118)+100)*10000-ROW(),"")</f>
      </c>
      <c r="U118"/>
      <c r="V118" t="str">
        <f>IF(AND(売分析!$C118&lt;&gt;"",売分析!$C118&lt;&gt;"TOPX",N(売分析!$BG118)=1),(N(売分析!$BF118)+100)*10000-ROW(),"")</f>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IF(AND(分析!$C119&lt;&gt;"",分析!$C119&lt;&gt;"TOPX",N(分析!$BG119)=1),(N(分析!$BF119)+100)*10000-ROW(),"")</f>
      </c>
      <c r="U119"/>
      <c r="V119" t="str">
        <f>IF(AND(売分析!$C119&lt;&gt;"",売分析!$C119&lt;&gt;"TOPX",N(売分析!$BG119)=1),(N(売分析!$BF119)+100)*10000-ROW(),"")</f>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IF(AND(分析!$C120&lt;&gt;"",分析!$C120&lt;&gt;"TOPX",N(分析!$BG120)=1),(N(分析!$BF120)+100)*10000-ROW(),"")</f>
      </c>
      <c r="U120"/>
      <c r="V120" t="str">
        <f>IF(AND(売分析!$C120&lt;&gt;"",売分析!$C120&lt;&gt;"TOPX",N(売分析!$BG120)=1),(N(売分析!$BF120)+100)*10000-ROW(),"")</f>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IF(AND(分析!$C121&lt;&gt;"",分析!$C121&lt;&gt;"TOPX",N(分析!$BG121)=1),(N(分析!$BF121)+100)*10000-ROW(),"")</f>
      </c>
      <c r="U121"/>
      <c r="V121">
        <f>IF(AND(売分析!$C121&lt;&gt;"",売分析!$C121&lt;&gt;"TOPX",N(売分析!$BG121)=1),(N(売分析!$BF121)+100)*10000-ROW(),"")</f>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IF(AND(分析!$C122&lt;&gt;"",分析!$C122&lt;&gt;"TOPX",N(分析!$BG122)=1),(N(分析!$BF122)+100)*10000-ROW(),"")</f>
      </c>
      <c r="U122"/>
      <c r="V122" t="str">
        <f>IF(AND(売分析!$C122&lt;&gt;"",売分析!$C122&lt;&gt;"TOPX",N(売分析!$BG122)=1),(N(売分析!$BF122)+100)*10000-ROW(),"")</f>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IF(AND(分析!$C123&lt;&gt;"",分析!$C123&lt;&gt;"TOPX",N(分析!$BG123)=1),(N(分析!$BF123)+100)*10000-ROW(),"")</f>
      </c>
      <c r="U123"/>
      <c r="V123" t="str">
        <f>IF(AND(売分析!$C123&lt;&gt;"",売分析!$C123&lt;&gt;"TOPX",N(売分析!$BG123)=1),(N(売分析!$BF123)+100)*10000-ROW(),"")</f>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IF(AND(分析!$C124&lt;&gt;"",分析!$C124&lt;&gt;"TOPX",N(分析!$BG124)=1),(N(分析!$BF124)+100)*10000-ROW(),"")</f>
      </c>
      <c r="U124"/>
      <c r="V124" t="str">
        <f>IF(AND(売分析!$C124&lt;&gt;"",売分析!$C124&lt;&gt;"TOPX",N(売分析!$BG124)=1),(N(売分析!$BF124)+100)*10000-ROW(),"")</f>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IF(AND(分析!$C125&lt;&gt;"",分析!$C125&lt;&gt;"TOPX",N(分析!$BG125)=1),(N(分析!$BF125)+100)*10000-ROW(),"")</f>
      </c>
      <c r="U125"/>
      <c r="V125" t="str">
        <f>IF(AND(売分析!$C125&lt;&gt;"",売分析!$C125&lt;&gt;"TOPX",N(売分析!$BG125)=1),(N(売分析!$BF125)+100)*10000-ROW(),"")</f>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IF(AND(分析!$C126&lt;&gt;"",分析!$C126&lt;&gt;"TOPX",N(分析!$BG126)=1),(N(分析!$BF126)+100)*10000-ROW(),"")</f>
      </c>
      <c r="U126"/>
      <c r="V126" t="str">
        <f>IF(AND(売分析!$C126&lt;&gt;"",売分析!$C126&lt;&gt;"TOPX",N(売分析!$BG126)=1),(N(売分析!$BF126)+100)*10000-ROW(),"")</f>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IF(AND(分析!$C127&lt;&gt;"",分析!$C127&lt;&gt;"TOPX",N(分析!$BG127)=1),(N(分析!$BF127)+100)*10000-ROW(),"")</f>
      </c>
      <c r="U127"/>
      <c r="V127" t="str">
        <f>IF(AND(売分析!$C127&lt;&gt;"",売分析!$C127&lt;&gt;"TOPX",N(売分析!$BG127)=1),(N(売分析!$BF127)+100)*10000-ROW(),"")</f>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IF(AND(分析!$C128&lt;&gt;"",分析!$C128&lt;&gt;"TOPX",N(分析!$BG128)=1),(N(分析!$BF128)+100)*10000-ROW(),"")</f>
      </c>
      <c r="U128"/>
      <c r="V128" t="str">
        <f>IF(AND(売分析!$C128&lt;&gt;"",売分析!$C128&lt;&gt;"TOPX",N(売分析!$BG128)=1),(N(売分析!$BF128)+100)*10000-ROW(),"")</f>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IF(AND(分析!$C129&lt;&gt;"",分析!$C129&lt;&gt;"TOPX",N(分析!$BG129)=1),(N(分析!$BF129)+100)*10000-ROW(),"")</f>
      </c>
      <c r="U129"/>
      <c r="V129" t="str">
        <f>IF(AND(売分析!$C129&lt;&gt;"",売分析!$C129&lt;&gt;"TOPX",N(売分析!$BG129)=1),(N(売分析!$BF129)+100)*10000-ROW(),"")</f>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IF(AND(分析!$C130&lt;&gt;"",分析!$C130&lt;&gt;"TOPX",N(分析!$BG130)=1),(N(分析!$BF130)+100)*10000-ROW(),"")</f>
      </c>
      <c r="U130"/>
      <c r="V130" t="str">
        <f>IF(AND(売分析!$C130&lt;&gt;"",売分析!$C130&lt;&gt;"TOPX",N(売分析!$BG130)=1),(N(売分析!$BF130)+100)*10000-ROW(),"")</f>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IF(AND(分析!$C131&lt;&gt;"",分析!$C131&lt;&gt;"TOPX",N(分析!$BG131)=1),(N(分析!$BF131)+100)*10000-ROW(),"")</f>
      </c>
      <c r="U131"/>
      <c r="V131" t="str">
        <f>IF(AND(売分析!$C131&lt;&gt;"",売分析!$C131&lt;&gt;"TOPX",N(売分析!$BG131)=1),(N(売分析!$BF131)+100)*10000-ROW(),"")</f>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IF(AND(分析!$C132&lt;&gt;"",分析!$C132&lt;&gt;"TOPX",N(分析!$BG132)=1),(N(分析!$BF132)+100)*10000-ROW(),"")</f>
      </c>
      <c r="U132"/>
      <c r="V132" t="str">
        <f>IF(AND(売分析!$C132&lt;&gt;"",売分析!$C132&lt;&gt;"TOPX",N(売分析!$BG132)=1),(N(売分析!$BF132)+100)*10000-ROW(),"")</f>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IF(AND(分析!$C133&lt;&gt;"",分析!$C133&lt;&gt;"TOPX",N(分析!$BG133)=1),(N(分析!$BF133)+100)*10000-ROW(),"")</f>
      </c>
      <c r="U133"/>
      <c r="V133" t="str">
        <f>IF(AND(売分析!$C133&lt;&gt;"",売分析!$C133&lt;&gt;"TOPX",N(売分析!$BG133)=1),(N(売分析!$BF133)+100)*10000-ROW(),"")</f>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IF(AND(分析!$C134&lt;&gt;"",分析!$C134&lt;&gt;"TOPX",N(分析!$BG134)=1),(N(分析!$BF134)+100)*10000-ROW(),"")</f>
      </c>
      <c r="U134"/>
      <c r="V134" t="str">
        <f>IF(AND(売分析!$C134&lt;&gt;"",売分析!$C134&lt;&gt;"TOPX",N(売分析!$BG134)=1),(N(売分析!$BF134)+100)*10000-ROW(),"")</f>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IF(AND(分析!$C135&lt;&gt;"",分析!$C135&lt;&gt;"TOPX",N(分析!$BG135)=1),(N(分析!$BF135)+100)*10000-ROW(),"")</f>
      </c>
      <c r="U135"/>
      <c r="V135" t="str">
        <f>IF(AND(売分析!$C135&lt;&gt;"",売分析!$C135&lt;&gt;"TOPX",N(売分析!$BG135)=1),(N(売分析!$BF135)+100)*10000-ROW(),"")</f>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IF(AND(分析!$C136&lt;&gt;"",分析!$C136&lt;&gt;"TOPX",N(分析!$BG136)=1),(N(分析!$BF136)+100)*10000-ROW(),"")</f>
      </c>
      <c r="U136"/>
      <c r="V136" t="str">
        <f>IF(AND(売分析!$C136&lt;&gt;"",売分析!$C136&lt;&gt;"TOPX",N(売分析!$BG136)=1),(N(売分析!$BF136)+100)*10000-ROW(),"")</f>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IF(AND(分析!$C137&lt;&gt;"",分析!$C137&lt;&gt;"TOPX",N(分析!$BG137)=1),(N(分析!$BF137)+100)*10000-ROW(),"")</f>
      </c>
      <c r="U137"/>
      <c r="V137" t="str">
        <f>IF(AND(売分析!$C137&lt;&gt;"",売分析!$C137&lt;&gt;"TOPX",N(売分析!$BG137)=1),(N(売分析!$BF137)+100)*10000-ROW(),"")</f>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IF(AND(分析!$C138&lt;&gt;"",分析!$C138&lt;&gt;"TOPX",N(分析!$BG138)=1),(N(分析!$BF138)+100)*10000-ROW(),"")</f>
      </c>
      <c r="U138"/>
      <c r="V138" t="str">
        <f>IF(AND(売分析!$C138&lt;&gt;"",売分析!$C138&lt;&gt;"TOPX",N(売分析!$BG138)=1),(N(売分析!$BF138)+100)*10000-ROW(),"")</f>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IF(AND(分析!$C139&lt;&gt;"",分析!$C139&lt;&gt;"TOPX",N(分析!$BG139)=1),(N(分析!$BF139)+100)*10000-ROW(),"")</f>
      </c>
      <c r="U139"/>
      <c r="V139" t="str">
        <f>IF(AND(売分析!$C139&lt;&gt;"",売分析!$C139&lt;&gt;"TOPX",N(売分析!$BG139)=1),(N(売分析!$BF139)+100)*10000-ROW(),"")</f>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IF(AND(分析!$C140&lt;&gt;"",分析!$C140&lt;&gt;"TOPX",N(分析!$BG140)=1),(N(分析!$BF140)+100)*10000-ROW(),"")</f>
      </c>
      <c r="U140"/>
      <c r="V140" t="str">
        <f>IF(AND(売分析!$C140&lt;&gt;"",売分析!$C140&lt;&gt;"TOPX",N(売分析!$BG140)=1),(N(売分析!$BF140)+100)*10000-ROW(),"")</f>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IF(AND(分析!$C141&lt;&gt;"",分析!$C141&lt;&gt;"TOPX",N(分析!$BG141)=1),(N(分析!$BF141)+100)*10000-ROW(),"")</f>
      </c>
      <c r="U141"/>
      <c r="V141" t="str">
        <f>IF(AND(売分析!$C141&lt;&gt;"",売分析!$C141&lt;&gt;"TOPX",N(売分析!$BG141)=1),(N(売分析!$BF141)+100)*10000-ROW(),"")</f>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IF(AND(分析!$C142&lt;&gt;"",分析!$C142&lt;&gt;"TOPX",N(分析!$BG142)=1),(N(分析!$BF142)+100)*10000-ROW(),"")</f>
      </c>
      <c r="U142"/>
      <c r="V142" t="str">
        <f>IF(AND(売分析!$C142&lt;&gt;"",売分析!$C142&lt;&gt;"TOPX",N(売分析!$BG142)=1),(N(売分析!$BF142)+100)*10000-ROW(),"")</f>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IF(AND(分析!$C143&lt;&gt;"",分析!$C143&lt;&gt;"TOPX",N(分析!$BG143)=1),(N(分析!$BF143)+100)*10000-ROW(),"")</f>
      </c>
      <c r="U143"/>
      <c r="V143" t="str">
        <f>IF(AND(売分析!$C143&lt;&gt;"",売分析!$C143&lt;&gt;"TOPX",N(売分析!$BG143)=1),(N(売分析!$BF143)+100)*10000-ROW(),"")</f>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IF(AND(分析!$C144&lt;&gt;"",分析!$C144&lt;&gt;"TOPX",N(分析!$BG144)=1),(N(分析!$BF144)+100)*10000-ROW(),"")</f>
      </c>
      <c r="U144"/>
      <c r="V144" t="str">
        <f>IF(AND(売分析!$C144&lt;&gt;"",売分析!$C144&lt;&gt;"TOPX",N(売分析!$BG144)=1),(N(売分析!$BF144)+100)*10000-ROW(),"")</f>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IF(AND(分析!$C145&lt;&gt;"",分析!$C145&lt;&gt;"TOPX",N(分析!$BG145)=1),(N(分析!$BF145)+100)*10000-ROW(),"")</f>
      </c>
      <c r="U145"/>
      <c r="V145" t="str">
        <f>IF(AND(売分析!$C145&lt;&gt;"",売分析!$C145&lt;&gt;"TOPX",N(売分析!$BG145)=1),(N(売分析!$BF145)+100)*10000-ROW(),"")</f>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IF(AND(分析!$C146&lt;&gt;"",分析!$C146&lt;&gt;"TOPX",N(分析!$BG146)=1),(N(分析!$BF146)+100)*10000-ROW(),"")</f>
      </c>
      <c r="U146"/>
      <c r="V146" t="str">
        <f>IF(AND(売分析!$C146&lt;&gt;"",売分析!$C146&lt;&gt;"TOPX",N(売分析!$BG146)=1),(N(売分析!$BF146)+100)*10000-ROW(),"")</f>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IF(AND(分析!$C147&lt;&gt;"",分析!$C147&lt;&gt;"TOPX",N(分析!$BG147)=1),(N(分析!$BF147)+100)*10000-ROW(),"")</f>
      </c>
      <c r="U147"/>
      <c r="V147" t="str">
        <f>IF(AND(売分析!$C147&lt;&gt;"",売分析!$C147&lt;&gt;"TOPX",N(売分析!$BG147)=1),(N(売分析!$BF147)+100)*10000-ROW(),"")</f>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IF(AND(分析!$C148&lt;&gt;"",分析!$C148&lt;&gt;"TOPX",N(分析!$BG148)=1),(N(分析!$BF148)+100)*10000-ROW(),"")</f>
      </c>
      <c r="U148"/>
      <c r="V148" t="str">
        <f>IF(AND(売分析!$C148&lt;&gt;"",売分析!$C148&lt;&gt;"TOPX",N(売分析!$BG148)=1),(N(売分析!$BF148)+100)*10000-ROW(),"")</f>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IF(AND(分析!$C149&lt;&gt;"",分析!$C149&lt;&gt;"TOPX",N(分析!$BG149)=1),(N(分析!$BF149)+100)*10000-ROW(),"")</f>
      </c>
      <c r="U149"/>
      <c r="V149" t="str">
        <f>IF(AND(売分析!$C149&lt;&gt;"",売分析!$C149&lt;&gt;"TOPX",N(売分析!$BG149)=1),(N(売分析!$BF149)+100)*10000-ROW(),"")</f>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IF(AND(分析!$C150&lt;&gt;"",分析!$C150&lt;&gt;"TOPX",N(分析!$BG150)=1),(N(分析!$BF150)+100)*10000-ROW(),"")</f>
      </c>
      <c r="U150"/>
      <c r="V150" t="str">
        <f>IF(AND(売分析!$C150&lt;&gt;"",売分析!$C150&lt;&gt;"TOPX",N(売分析!$BG150)=1),(N(売分析!$BF150)+100)*10000-ROW(),"")</f>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IF(AND(分析!$C151&lt;&gt;"",分析!$C151&lt;&gt;"TOPX",N(分析!$BG151)=1),(N(分析!$BF151)+100)*10000-ROW(),"")</f>
      </c>
      <c r="U151"/>
      <c r="V151" t="str">
        <f>IF(AND(売分析!$C151&lt;&gt;"",売分析!$C151&lt;&gt;"TOPX",N(売分析!$BG151)=1),(N(売分析!$BF151)+100)*10000-ROW(),"")</f>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IF(AND(分析!$C152&lt;&gt;"",分析!$C152&lt;&gt;"TOPX",N(分析!$BG152)=1),(N(分析!$BF152)+100)*10000-ROW(),"")</f>
      </c>
      <c r="U152"/>
      <c r="V152" t="str">
        <f>IF(AND(売分析!$C152&lt;&gt;"",売分析!$C152&lt;&gt;"TOPX",N(売分析!$BG152)=1),(N(売分析!$BF152)+100)*10000-ROW(),"")</f>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IF(AND(分析!$C153&lt;&gt;"",分析!$C153&lt;&gt;"TOPX",N(分析!$BG153)=1),(N(分析!$BF153)+100)*10000-ROW(),"")</f>
      </c>
      <c r="U153"/>
      <c r="V153" t="str">
        <f>IF(AND(売分析!$C153&lt;&gt;"",売分析!$C153&lt;&gt;"TOPX",N(売分析!$BG153)=1),(N(売分析!$BF153)+100)*10000-ROW(),"")</f>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IF(AND(分析!$C154&lt;&gt;"",分析!$C154&lt;&gt;"TOPX",N(分析!$BG154)=1),(N(分析!$BF154)+100)*10000-ROW(),"")</f>
      </c>
      <c r="U154"/>
      <c r="V154" t="str">
        <f>IF(AND(売分析!$C154&lt;&gt;"",売分析!$C154&lt;&gt;"TOPX",N(売分析!$BG154)=1),(N(売分析!$BF154)+100)*10000-ROW(),"")</f>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IF(AND(分析!$C155&lt;&gt;"",分析!$C155&lt;&gt;"TOPX",N(分析!$BG155)=1),(N(分析!$BF155)+100)*10000-ROW(),"")</f>
      </c>
      <c r="U155"/>
      <c r="V155" t="str">
        <f>IF(AND(売分析!$C155&lt;&gt;"",売分析!$C155&lt;&gt;"TOPX",N(売分析!$BG155)=1),(N(売分析!$BF155)+100)*10000-ROW(),"")</f>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IF(AND(分析!$C156&lt;&gt;"",分析!$C156&lt;&gt;"TOPX",N(分析!$BG156)=1),(N(分析!$BF156)+100)*10000-ROW(),"")</f>
      </c>
      <c r="U156"/>
      <c r="V156" t="str">
        <f>IF(AND(売分析!$C156&lt;&gt;"",売分析!$C156&lt;&gt;"TOPX",N(売分析!$BG156)=1),(N(売分析!$BF156)+100)*10000-ROW(),"")</f>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IF(AND(分析!$C157&lt;&gt;"",分析!$C157&lt;&gt;"TOPX",N(分析!$BG157)=1),(N(分析!$BF157)+100)*10000-ROW(),"")</f>
      </c>
      <c r="U157"/>
      <c r="V157" t="str">
        <f>IF(AND(売分析!$C157&lt;&gt;"",売分析!$C157&lt;&gt;"TOPX",N(売分析!$BG157)=1),(N(売分析!$BF157)+100)*10000-ROW(),"")</f>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IF(AND(分析!$C158&lt;&gt;"",分析!$C158&lt;&gt;"TOPX",N(分析!$BG158)=1),(N(分析!$BF158)+100)*10000-ROW(),"")</f>
      </c>
      <c r="U158"/>
      <c r="V158" t="str">
        <f>IF(AND(売分析!$C158&lt;&gt;"",売分析!$C158&lt;&gt;"TOPX",N(売分析!$BG158)=1),(N(売分析!$BF158)+100)*10000-ROW(),"")</f>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IF(AND(分析!$C159&lt;&gt;"",分析!$C159&lt;&gt;"TOPX",N(分析!$BG159)=1),(N(分析!$BF159)+100)*10000-ROW(),"")</f>
      </c>
      <c r="U159"/>
      <c r="V159" t="str">
        <f>IF(AND(売分析!$C159&lt;&gt;"",売分析!$C159&lt;&gt;"TOPX",N(売分析!$BG159)=1),(N(売分析!$BF159)+100)*10000-ROW(),"")</f>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IF(AND(分析!$C160&lt;&gt;"",分析!$C160&lt;&gt;"TOPX",N(分析!$BG160)=1),(N(分析!$BF160)+100)*10000-ROW(),"")</f>
      </c>
      <c r="U160"/>
      <c r="V160" t="str">
        <f>IF(AND(売分析!$C160&lt;&gt;"",売分析!$C160&lt;&gt;"TOPX",N(売分析!$BG160)=1),(N(売分析!$BF160)+100)*10000-ROW(),"")</f>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IF(AND(分析!$C161&lt;&gt;"",分析!$C161&lt;&gt;"TOPX",N(分析!$BG161)=1),(N(分析!$BF161)+100)*10000-ROW(),"")</f>
      </c>
      <c r="U161"/>
      <c r="V161" t="str">
        <f>IF(AND(売分析!$C161&lt;&gt;"",売分析!$C161&lt;&gt;"TOPX",N(売分析!$BG161)=1),(N(売分析!$BF161)+100)*10000-ROW(),"")</f>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IF(AND(分析!$C162&lt;&gt;"",分析!$C162&lt;&gt;"TOPX",N(分析!$BG162)=1),(N(分析!$BF162)+100)*10000-ROW(),"")</f>
      </c>
      <c r="U162"/>
      <c r="V162" t="str">
        <f>IF(AND(売分析!$C162&lt;&gt;"",売分析!$C162&lt;&gt;"TOPX",N(売分析!$BG162)=1),(N(売分析!$BF162)+100)*10000-ROW(),"")</f>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IF(AND(分析!$C163&lt;&gt;"",分析!$C163&lt;&gt;"TOPX",N(分析!$BG163)=1),(N(分析!$BF163)+100)*10000-ROW(),"")</f>
      </c>
      <c r="U163"/>
      <c r="V163" t="str">
        <f>IF(AND(売分析!$C163&lt;&gt;"",売分析!$C163&lt;&gt;"TOPX",N(売分析!$BG163)=1),(N(売分析!$BF163)+100)*10000-ROW(),"")</f>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IF(AND(分析!$C164&lt;&gt;"",分析!$C164&lt;&gt;"TOPX",N(分析!$BG164)=1),(N(分析!$BF164)+100)*10000-ROW(),"")</f>
      </c>
      <c r="U164"/>
      <c r="V164" t="str">
        <f>IF(AND(売分析!$C164&lt;&gt;"",売分析!$C164&lt;&gt;"TOPX",N(売分析!$BG164)=1),(N(売分析!$BF164)+100)*10000-ROW(),"")</f>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IF(AND(分析!$C165&lt;&gt;"",分析!$C165&lt;&gt;"TOPX",N(分析!$BG165)=1),(N(分析!$BF165)+100)*10000-ROW(),"")</f>
      </c>
      <c r="U165"/>
      <c r="V165" t="str">
        <f>IF(AND(売分析!$C165&lt;&gt;"",売分析!$C165&lt;&gt;"TOPX",N(売分析!$BG165)=1),(N(売分析!$BF165)+100)*10000-ROW(),"")</f>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IF(AND(分析!$C166&lt;&gt;"",分析!$C166&lt;&gt;"TOPX",N(分析!$BG166)=1),(N(分析!$BF166)+100)*10000-ROW(),"")</f>
      </c>
      <c r="U166"/>
      <c r="V166" t="str">
        <f>IF(AND(売分析!$C166&lt;&gt;"",売分析!$C166&lt;&gt;"TOPX",N(売分析!$BG166)=1),(N(売分析!$BF166)+100)*10000-ROW(),"")</f>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IF(AND(分析!$C167&lt;&gt;"",分析!$C167&lt;&gt;"TOPX",N(分析!$BG167)=1),(N(分析!$BF167)+100)*10000-ROW(),"")</f>
      </c>
      <c r="U167"/>
      <c r="V167" t="str">
        <f>IF(AND(売分析!$C167&lt;&gt;"",売分析!$C167&lt;&gt;"TOPX",N(売分析!$BG167)=1),(N(売分析!$BF167)+100)*10000-ROW(),"")</f>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IF(AND(分析!$C168&lt;&gt;"",分析!$C168&lt;&gt;"TOPX",N(分析!$BG168)=1),(N(分析!$BF168)+100)*10000-ROW(),"")</f>
      </c>
      <c r="U168"/>
      <c r="V168" t="str">
        <f>IF(AND(売分析!$C168&lt;&gt;"",売分析!$C168&lt;&gt;"TOPX",N(売分析!$BG168)=1),(N(売分析!$BF168)+100)*10000-ROW(),"")</f>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IF(AND(分析!$C169&lt;&gt;"",分析!$C169&lt;&gt;"TOPX",N(分析!$BG169)=1),(N(分析!$BF169)+100)*10000-ROW(),"")</f>
      </c>
      <c r="U169"/>
      <c r="V169" t="str">
        <f>IF(AND(売分析!$C169&lt;&gt;"",売分析!$C169&lt;&gt;"TOPX",N(売分析!$BG169)=1),(N(売分析!$BF169)+100)*10000-ROW(),"")</f>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IF(AND(分析!$C170&lt;&gt;"",分析!$C170&lt;&gt;"TOPX",N(分析!$BG170)=1),(N(分析!$BF170)+100)*10000-ROW(),"")</f>
      </c>
      <c r="U170"/>
      <c r="V170" t="str">
        <f>IF(AND(売分析!$C170&lt;&gt;"",売分析!$C170&lt;&gt;"TOPX",N(売分析!$BG170)=1),(N(売分析!$BF170)+100)*10000-ROW(),"")</f>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IF(AND(分析!$C171&lt;&gt;"",分析!$C171&lt;&gt;"TOPX",N(分析!$BG171)=1),(N(分析!$BF171)+100)*10000-ROW(),"")</f>
      </c>
      <c r="U171"/>
      <c r="V171" t="str">
        <f>IF(AND(売分析!$C171&lt;&gt;"",売分析!$C171&lt;&gt;"TOPX",N(売分析!$BG171)=1),(N(売分析!$BF171)+100)*10000-ROW(),"")</f>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IF(AND(分析!$C172&lt;&gt;"",分析!$C172&lt;&gt;"TOPX",N(分析!$BG172)=1),(N(分析!$BF172)+100)*10000-ROW(),"")</f>
      </c>
      <c r="U172"/>
      <c r="V172" t="str">
        <f>IF(AND(売分析!$C172&lt;&gt;"",売分析!$C172&lt;&gt;"TOPX",N(売分析!$BG172)=1),(N(売分析!$BF172)+100)*10000-ROW(),"")</f>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IF(AND(分析!$C173&lt;&gt;"",分析!$C173&lt;&gt;"TOPX",N(分析!$BG173)=1),(N(分析!$BF173)+100)*10000-ROW(),"")</f>
      </c>
      <c r="U173"/>
      <c r="V173" t="str">
        <f>IF(AND(売分析!$C173&lt;&gt;"",売分析!$C173&lt;&gt;"TOPX",N(売分析!$BG173)=1),(N(売分析!$BF173)+100)*10000-ROW(),"")</f>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IF(AND(分析!$C174&lt;&gt;"",分析!$C174&lt;&gt;"TOPX",N(分析!$BG174)=1),(N(分析!$BF174)+100)*10000-ROW(),"")</f>
      </c>
      <c r="U174"/>
      <c r="V174" t="str">
        <f>IF(AND(売分析!$C174&lt;&gt;"",売分析!$C174&lt;&gt;"TOPX",N(売分析!$BG174)=1),(N(売分析!$BF174)+100)*10000-ROW(),"")</f>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IF(AND(分析!$C175&lt;&gt;"",分析!$C175&lt;&gt;"TOPX",N(分析!$BG175)=1),(N(分析!$BF175)+100)*10000-ROW(),"")</f>
      </c>
      <c r="U175"/>
      <c r="V175" t="str">
        <f>IF(AND(売分析!$C175&lt;&gt;"",売分析!$C175&lt;&gt;"TOPX",N(売分析!$BG175)=1),(N(売分析!$BF175)+100)*10000-ROW(),"")</f>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IF(AND(分析!$C176&lt;&gt;"",分析!$C176&lt;&gt;"TOPX",N(分析!$BG176)=1),(N(分析!$BF176)+100)*10000-ROW(),"")</f>
      </c>
      <c r="U176"/>
      <c r="V176" t="str">
        <f>IF(AND(売分析!$C176&lt;&gt;"",売分析!$C176&lt;&gt;"TOPX",N(売分析!$BG176)=1),(N(売分析!$BF176)+100)*10000-ROW(),"")</f>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IF(AND(分析!$C177&lt;&gt;"",分析!$C177&lt;&gt;"TOPX",N(分析!$BG177)=1),(N(分析!$BF177)+100)*10000-ROW(),"")</f>
      </c>
      <c r="U177"/>
      <c r="V177" t="str">
        <f>IF(AND(売分析!$C177&lt;&gt;"",売分析!$C177&lt;&gt;"TOPX",N(売分析!$BG177)=1),(N(売分析!$BF177)+100)*10000-ROW(),"")</f>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IF(AND(分析!$C178&lt;&gt;"",分析!$C178&lt;&gt;"TOPX",N(分析!$BG178)=1),(N(分析!$BF178)+100)*10000-ROW(),"")</f>
      </c>
      <c r="U178"/>
      <c r="V178" t="str">
        <f>IF(AND(売分析!$C178&lt;&gt;"",売分析!$C178&lt;&gt;"TOPX",N(売分析!$BG178)=1),(N(売分析!$BF178)+100)*10000-ROW(),"")</f>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IF(AND(分析!$C179&lt;&gt;"",分析!$C179&lt;&gt;"TOPX",N(分析!$BG179)=1),(N(分析!$BF179)+100)*10000-ROW(),"")</f>
      </c>
      <c r="U179"/>
      <c r="V179" t="str">
        <f>IF(AND(売分析!$C179&lt;&gt;"",売分析!$C179&lt;&gt;"TOPX",N(売分析!$BG179)=1),(N(売分析!$BF179)+100)*10000-ROW(),"")</f>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IF(AND(分析!$C180&lt;&gt;"",分析!$C180&lt;&gt;"TOPX",N(分析!$BG180)=1),(N(分析!$BF180)+100)*10000-ROW(),"")</f>
      </c>
      <c r="U180"/>
      <c r="V180" t="str">
        <f>IF(AND(売分析!$C180&lt;&gt;"",売分析!$C180&lt;&gt;"TOPX",N(売分析!$BG180)=1),(N(売分析!$BF180)+100)*10000-ROW(),"")</f>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IF(AND(分析!$C181&lt;&gt;"",分析!$C181&lt;&gt;"TOPX",N(分析!$BG181)=1),(N(分析!$BF181)+100)*10000-ROW(),"")</f>
      </c>
      <c r="U181"/>
      <c r="V181" t="str">
        <f>IF(AND(売分析!$C181&lt;&gt;"",売分析!$C181&lt;&gt;"TOPX",N(売分析!$BG181)=1),(N(売分析!$BF181)+100)*10000-ROW(),"")</f>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IF(AND(分析!$C182&lt;&gt;"",分析!$C182&lt;&gt;"TOPX",N(分析!$BG182)=1),(N(分析!$BF182)+100)*10000-ROW(),"")</f>
      </c>
      <c r="U182"/>
      <c r="V182" t="str">
        <f>IF(AND(売分析!$C182&lt;&gt;"",売分析!$C182&lt;&gt;"TOPX",N(売分析!$BG182)=1),(N(売分析!$BF182)+100)*10000-ROW(),"")</f>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IF(AND(分析!$C183&lt;&gt;"",分析!$C183&lt;&gt;"TOPX",N(分析!$BG183)=1),(N(分析!$BF183)+100)*10000-ROW(),"")</f>
      </c>
      <c r="U183"/>
      <c r="V183" t="str">
        <f>IF(AND(売分析!$C183&lt;&gt;"",売分析!$C183&lt;&gt;"TOPX",N(売分析!$BG183)=1),(N(売分析!$BF183)+100)*10000-ROW(),"")</f>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IF(AND(分析!$C184&lt;&gt;"",分析!$C184&lt;&gt;"TOPX",N(分析!$BG184)=1),(N(分析!$BF184)+100)*10000-ROW(),"")</f>
      </c>
      <c r="U184"/>
      <c r="V184" t="str">
        <f>IF(AND(売分析!$C184&lt;&gt;"",売分析!$C184&lt;&gt;"TOPX",N(売分析!$BG184)=1),(N(売分析!$BF184)+100)*10000-ROW(),"")</f>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IF(AND(分析!$C185&lt;&gt;"",分析!$C185&lt;&gt;"TOPX",N(分析!$BG185)=1),(N(分析!$BF185)+100)*10000-ROW(),"")</f>
      </c>
      <c r="U185"/>
      <c r="V185" t="str">
        <f>IF(AND(売分析!$C185&lt;&gt;"",売分析!$C185&lt;&gt;"TOPX",N(売分析!$BG185)=1),(N(売分析!$BF185)+100)*10000-ROW(),"")</f>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IF(AND(分析!$C186&lt;&gt;"",分析!$C186&lt;&gt;"TOPX",N(分析!$BG186)=1),(N(分析!$BF186)+100)*10000-ROW(),"")</f>
      </c>
      <c r="U186"/>
      <c r="V186" t="str">
        <f>IF(AND(売分析!$C186&lt;&gt;"",売分析!$C186&lt;&gt;"TOPX",N(売分析!$BG186)=1),(N(売分析!$BF186)+100)*10000-ROW(),"")</f>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IF(AND(分析!$C187&lt;&gt;"",分析!$C187&lt;&gt;"TOPX",N(分析!$BG187)=1),(N(分析!$BF187)+100)*10000-ROW(),"")</f>
      </c>
      <c r="U187"/>
      <c r="V187" t="str">
        <f>IF(AND(売分析!$C187&lt;&gt;"",売分析!$C187&lt;&gt;"TOPX",N(売分析!$BG187)=1),(N(売分析!$BF187)+100)*10000-ROW(),"")</f>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IF(AND(分析!$C188&lt;&gt;"",分析!$C188&lt;&gt;"TOPX",N(分析!$BG188)=1),(N(分析!$BF188)+100)*10000-ROW(),"")</f>
      </c>
      <c r="U188"/>
      <c r="V188" t="str">
        <f>IF(AND(売分析!$C188&lt;&gt;"",売分析!$C188&lt;&gt;"TOPX",N(売分析!$BG188)=1),(N(売分析!$BF188)+100)*10000-ROW(),"")</f>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IF(AND(分析!$C189&lt;&gt;"",分析!$C189&lt;&gt;"TOPX",N(分析!$BG189)=1),(N(分析!$BF189)+100)*10000-ROW(),"")</f>
      </c>
      <c r="U189"/>
      <c r="V189" t="str">
        <f>IF(AND(売分析!$C189&lt;&gt;"",売分析!$C189&lt;&gt;"TOPX",N(売分析!$BG189)=1),(N(売分析!$BF189)+100)*10000-ROW(),"")</f>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IF(AND(分析!$C190&lt;&gt;"",分析!$C190&lt;&gt;"TOPX",N(分析!$BG190)=1),(N(分析!$BF190)+100)*10000-ROW(),"")</f>
      </c>
      <c r="U190"/>
      <c r="V190" t="str">
        <f>IF(AND(売分析!$C190&lt;&gt;"",売分析!$C190&lt;&gt;"TOPX",N(売分析!$BG190)=1),(N(売分析!$BF190)+100)*10000-ROW(),"")</f>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IF(AND(分析!$C191&lt;&gt;"",分析!$C191&lt;&gt;"TOPX",N(分析!$BG191)=1),(N(分析!$BF191)+100)*10000-ROW(),"")</f>
      </c>
      <c r="U191"/>
      <c r="V191" t="str">
        <f>IF(AND(売分析!$C191&lt;&gt;"",売分析!$C191&lt;&gt;"TOPX",N(売分析!$BG191)=1),(N(売分析!$BF191)+100)*10000-ROW(),"")</f>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IF(AND(分析!$C192&lt;&gt;"",分析!$C192&lt;&gt;"TOPX",N(分析!$BG192)=1),(N(分析!$BF192)+100)*10000-ROW(),"")</f>
      </c>
      <c r="U192"/>
      <c r="V192" t="str">
        <f>IF(AND(売分析!$C192&lt;&gt;"",売分析!$C192&lt;&gt;"TOPX",N(売分析!$BG192)=1),(N(売分析!$BF192)+100)*10000-ROW(),"")</f>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IF(AND(分析!$C193&lt;&gt;"",分析!$C193&lt;&gt;"TOPX",N(分析!$BG193)=1),(N(分析!$BF193)+100)*10000-ROW(),"")</f>
      </c>
      <c r="U193"/>
      <c r="V193" t="str">
        <f>IF(AND(売分析!$C193&lt;&gt;"",売分析!$C193&lt;&gt;"TOPX",N(売分析!$BG193)=1),(N(売分析!$BF193)+100)*10000-ROW(),"")</f>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IF(AND(分析!$C194&lt;&gt;"",分析!$C194&lt;&gt;"TOPX",N(分析!$BG194)=1),(N(分析!$BF194)+100)*10000-ROW(),"")</f>
      </c>
      <c r="U194"/>
      <c r="V194" t="str">
        <f>IF(AND(売分析!$C194&lt;&gt;"",売分析!$C194&lt;&gt;"TOPX",N(売分析!$BG194)=1),(N(売分析!$BF194)+100)*10000-ROW(),"")</f>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IF(AND(分析!$C195&lt;&gt;"",分析!$C195&lt;&gt;"TOPX",N(分析!$BG195)=1),(N(分析!$BF195)+100)*10000-ROW(),"")</f>
      </c>
      <c r="U195"/>
      <c r="V195" t="str">
        <f>IF(AND(売分析!$C195&lt;&gt;"",売分析!$C195&lt;&gt;"TOPX",N(売分析!$BG195)=1),(N(売分析!$BF195)+100)*10000-ROW(),"")</f>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IF(AND(分析!$C196&lt;&gt;"",分析!$C196&lt;&gt;"TOPX",N(分析!$BG196)=1),(N(分析!$BF196)+100)*10000-ROW(),"")</f>
      </c>
      <c r="U196"/>
      <c r="V196" t="str">
        <f>IF(AND(売分析!$C196&lt;&gt;"",売分析!$C196&lt;&gt;"TOPX",N(売分析!$BG196)=1),(N(売分析!$BF196)+100)*10000-ROW(),"")</f>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IF(AND(分析!$C197&lt;&gt;"",分析!$C197&lt;&gt;"TOPX",N(分析!$BG197)=1),(N(分析!$BF197)+100)*10000-ROW(),"")</f>
      </c>
      <c r="U197"/>
      <c r="V197" t="str">
        <f>IF(AND(売分析!$C197&lt;&gt;"",売分析!$C197&lt;&gt;"TOPX",N(売分析!$BG197)=1),(N(売分析!$BF197)+100)*10000-ROW(),"")</f>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IF(AND(分析!$C198&lt;&gt;"",分析!$C198&lt;&gt;"TOPX",N(分析!$BG198)=1),(N(分析!$BF198)+100)*10000-ROW(),"")</f>
      </c>
      <c r="U198"/>
      <c r="V198" t="str">
        <f>IF(AND(売分析!$C198&lt;&gt;"",売分析!$C198&lt;&gt;"TOPX",N(売分析!$BG198)=1),(N(売分析!$BF198)+100)*10000-ROW(),"")</f>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IF(AND(分析!$C199&lt;&gt;"",分析!$C199&lt;&gt;"TOPX",N(分析!$BG199)=1),(N(分析!$BF199)+100)*10000-ROW(),"")</f>
      </c>
      <c r="U199"/>
      <c r="V199" t="str">
        <f>IF(AND(売分析!$C199&lt;&gt;"",売分析!$C199&lt;&gt;"TOPX",N(売分析!$BG199)=1),(N(売分析!$BF199)+100)*10000-ROW(),"")</f>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IF(AND(分析!$C200&lt;&gt;"",分析!$C200&lt;&gt;"TOPX",N(分析!$BG200)=1),(N(分析!$BF200)+100)*10000-ROW(),"")</f>
      </c>
      <c r="U200"/>
      <c r="V200" t="str">
        <f>IF(AND(売分析!$C200&lt;&gt;"",売分析!$C200&lt;&gt;"TOPX",N(売分析!$BG200)=1),(N(売分析!$BF200)+100)*10000-ROW(),"")</f>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IF(AND(分析!$C201&lt;&gt;"",分析!$C201&lt;&gt;"TOPX",N(分析!$BG201)=1),(N(分析!$BF201)+100)*10000-ROW(),"")</f>
      </c>
      <c r="U201"/>
      <c r="V201" t="str">
        <f>IF(AND(売分析!$C201&lt;&gt;"",売分析!$C201&lt;&gt;"TOPX",N(売分析!$BG201)=1),(N(売分析!$BF201)+100)*10000-ROW(),"")</f>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IF(AND(分析!$C202&lt;&gt;"",分析!$C202&lt;&gt;"TOPX",N(分析!$BG202)=1),(N(分析!$BF202)+100)*10000-ROW(),"")</f>
      </c>
      <c r="U202"/>
      <c r="V202" t="str">
        <f>IF(AND(売分析!$C202&lt;&gt;"",売分析!$C202&lt;&gt;"TOPX",N(売分析!$BG202)=1),(N(売分析!$BF202)+100)*10000-ROW(),"")</f>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IF(AND(分析!$C203&lt;&gt;"",分析!$C203&lt;&gt;"TOPX",N(分析!$BG203)=1),(N(分析!$BF203)+100)*10000-ROW(),"")</f>
      </c>
      <c r="U203"/>
      <c r="V203" t="str">
        <f>IF(AND(売分析!$C203&lt;&gt;"",売分析!$C203&lt;&gt;"TOPX",N(売分析!$BG203)=1),(N(売分析!$BF203)+100)*10000-ROW(),"")</f>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IF(AND(分析!$C204&lt;&gt;"",分析!$C204&lt;&gt;"TOPX",N(分析!$BG204)=1),(N(分析!$BF204)+100)*10000-ROW(),"")</f>
      </c>
      <c r="U204"/>
      <c r="V204" t="str">
        <f>IF(AND(売分析!$C204&lt;&gt;"",売分析!$C204&lt;&gt;"TOPX",N(売分析!$BG204)=1),(N(売分析!$BF204)+100)*10000-ROW(),"")</f>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IF(AND(分析!$C205&lt;&gt;"",分析!$C205&lt;&gt;"TOPX",N(分析!$BG205)=1),(N(分析!$BF205)+100)*10000-ROW(),"")</f>
      </c>
      <c r="U205"/>
      <c r="V205" t="str">
        <f>IF(AND(売分析!$C205&lt;&gt;"",売分析!$C205&lt;&gt;"TOPX",N(売分析!$BG205)=1),(N(売分析!$BF205)+100)*10000-ROW(),"")</f>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IF(AND(分析!$C206&lt;&gt;"",分析!$C206&lt;&gt;"TOPX",N(分析!$BG206)=1),(N(分析!$BF206)+100)*10000-ROW(),"")</f>
      </c>
      <c r="U206"/>
      <c r="V206" t="str">
        <f>IF(AND(売分析!$C206&lt;&gt;"",売分析!$C206&lt;&gt;"TOPX",N(売分析!$BG206)=1),(N(売分析!$BF206)+100)*10000-ROW(),"")</f>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BK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62"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c r="BJ1" t="inlineStr">
        <is>
          <t>⚙ 抽出ゲート（BK列を変更）</t>
        </is>
      </c>
    </row>
    <row r="2" spans="1:63"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COUNT(終値!$E$5:$IT$5)</f>
        <v>57</v>
      </c>
      <c r="AL2" s="368">
        <f>MIN(25,AK2)</f>
        <v>25</v>
      </c>
      <c r="BA2" t="inlineStr">
        <is>
          <t>14日平均レンジ率(%)</t>
        </is>
      </c>
      <c r="BB2" t="inlineStr">
        <is>
          <t>25日レンジ幅(%)</t>
        </is>
      </c>
      <c r="BC2" t="inlineStr">
        <is>
          <t>ギャップ率(%)</t>
        </is>
      </c>
      <c r="BD2" t="inlineStr">
        <is>
          <t>25日高値距離(%)</t>
        </is>
      </c>
      <c r="BE2" t="inlineStr">
        <is>
          <t>日中レンジ率(%)</t>
        </is>
      </c>
      <c r="BF2" t="inlineStr">
        <is>
          <t>V808スコア</t>
        </is>
      </c>
      <c r="BG2" t="inlineStr">
        <is>
          <t>ゲート通過</t>
        </is>
      </c>
      <c r="BH2" t="inlineStr">
        <is>
          <t>判定</t>
        </is>
      </c>
      <c r="BJ2" t="inlineStr">
        <is>
          <t>14日平均レンジ率 上限(%)</t>
        </is>
      </c>
      <c r="BK2">
        <v>2.2</v>
      </c>
    </row>
    <row r="3" spans="1:63"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IF(AND(E3&lt;&gt;"",K3&lt;&gt;"",K3&lt;&gt;0),(E3-K3)/K3*100,"")</f>
        <v>-1.9762568819756281</v>
      </c>
      <c r="M3" s="166">
        <f>IF(C3&lt;&gt;"",IFERROR(AVERAGE(出来高!E5:H5),""),"")</f>
        <v>303258.5</v>
      </c>
      <c r="N3" s="166">
        <f>IF(C3&lt;&gt;"",IFERROR(AVERAGE(出来高!E5:AB5),""),"")</f>
        <v>276880.70833333331</v>
      </c>
      <c r="O3" s="168">
        <f>IF(AND(J3&lt;&gt;"",M3&lt;&gt;"",M3&lt;&gt;0),J3/M3,"")</f>
        <v>0.98836471195366327</v>
      </c>
      <c r="P3" s="163" t="str">
        <f>IF(O3="","",IF(O3&gt;=2,"急増↑↑",IF(O3&gt;=1.5,"増加↑",IF(O3&gt;=1,"普通→","減少↓"))))</f>
        <v>減少↓</v>
      </c>
      <c r="Q3" s="163" t="str">
        <f>IF(E3="","",IF(AND(E3&gt;G3,O3&gt;=1.5),"買い▲",IF(E3&lt;G3,"様子見▼","中立→")))</f>
        <v>中立→</v>
      </c>
      <c r="R3" s="166">
        <f>IF(E3&lt;&gt;"",ROUND(E3*1.05,0),"")</f>
        <v>4259</v>
      </c>
      <c r="S3" s="166">
        <f>IF(E3&lt;&gt;"",ROUND(E3*0.95,0),"")</f>
        <v>3853</v>
      </c>
      <c r="T3" s="163">
        <f>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8</v>
      </c>
      <c r="U3" s="163"/>
      <c r="V3" s="163" t="str">
        <f>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IFERROR((終値!$E$5-INDEX(終値!$E$5:$IT$5,1,$AL$2))/INDEX(終値!$E$5:$IT$5,1,$AL$2)*100,"")</f>
        <v>1.0179378228534113</v>
      </c>
      <c r="AH3" s="366">
        <f>IF(OR(AF3="",AG3=""),"",AF3-AG3)</f>
        <v>0</v>
      </c>
      <c r="AI3" s="364">
        <f>IF(AH3="","",IF(AH3&gt;5,3,IF(AH3&gt;0,1,IF(AH3&gt;-3,-1,-2))))</f>
        <v>-1</v>
      </c>
      <c r="BA3">
        <f>IFERROR((SUM(OFFSET(高値!$E$6,IFERROR(MATCH($C3,銘柄管理!$B$6:$B$305,0),MATCH(TEXT($C3,"0"),銘柄管理!$B$6:$B$305,0))-1,0,1,14))-SUM(OFFSET(安値!$E$6,IFERROR(MATCH($C3,銘柄管理!$B$6:$B$305,0),MATCH(TEXT($C3,"0"),銘柄管理!$B$6:$B$305,0))-1,0,1,14)))/SUM(OFFSET(終値!$E$6,IFERROR(MATCH($C3,銘柄管理!$B$6:$B$305,0),MATCH(TEXT($C3,"0"),銘柄管理!$B$6:$B$305,0))-1,0,1,14))*100,"")</f>
      </c>
      <c r="BB3">
        <f>IFERROR((MAX(OFFSET(高値!$E$6,IFERROR(MATCH($C3,銘柄管理!$B$6:$B$305,0),MATCH(TEXT($C3,"0"),銘柄管理!$B$6:$B$305,0))-1,0,1,25))-MIN(OFFSET(安値!$E$6,IFERROR(MATCH($C3,銘柄管理!$B$6:$B$305,0),MATCH(TEXT($C3,"0"),銘柄管理!$B$6:$B$305,0))-1,0,1,25)))/$E3*100,"")</f>
      </c>
      <c r="BC3">
        <f>IFERROR(($F3-$G3)/$G3*100,"")</f>
      </c>
      <c r="BD3">
        <f>IFERROR(($E3-MAX(OFFSET(高値!$E$6,IFERROR(MATCH($C3,銘柄管理!$B$6:$B$305,0),MATCH(TEXT($C3,"0"),銘柄管理!$B$6:$B$305,0))-1,0,1,25)))/MAX(OFFSET(高値!$E$6,IFERROR(MATCH($C3,銘柄管理!$B$6:$B$305,0),MATCH(TEXT($C3,"0"),銘柄管理!$B$6:$B$305,0))-1,0,1,25))*100,"")</f>
      </c>
      <c r="BE3">
        <f>IFERROR(($H3-$I3)/$F3*100,"")</f>
      </c>
      <c r="BF3">
        <f>IFERROR(-(($BA3-AVERAGE($BA$3:$BA$206))/STDEV($BA$3:$BA$206))-(($BE3-AVERAGE($BE$3:$BE$206))/STDEV($BE$3:$BE$206))-(($BB3-AVERAGE($BB$3:$BB$206))/STDEV($BB$3:$BB$206))-(($Z3-AVERAGE($Z$3:$Z$206))/STDEV($Z$3:$Z$206))-(($BC3-AVERAGE($BC$3:$BC$206))/STDEV($BC$3:$BC$206)),"")</f>
      </c>
      <c r="BG3">
        <f>IF(OR($C3="",$C3="TOPX",$BA3="",$BF3=""),0,IF(AND($BK$10=1,$BA3&lt;=$BK$2,$BB3&lt;=$BK$3,$BC3&lt;=$BK$4,$Z3&lt;=$BK$5,$Z3&gt;=$BK$6,$BD3&gt;=$BK$7,$BE3&lt;=$BK$8),1,0))</f>
      </c>
      <c r="BH3">
        <f>IF($C3="","",IF($BG3=1,"○ゲート通過",IF($BK$10&lt;&gt;1,"― この方向は停止中",IF($BA3&gt;$BK$2,"×値動きが荒い",IF($BB3&gt;$BK$3,"×レンジが広い",IF($BC3&gt;$BK$4,"×窓を開けて上昇",IF($Z3&gt;$BK$5,"×前日に急騰",IF($Z3&lt;$BK$6,"×前日に急落",IF($BD3&lt;$BK$7,"×高値から離れすぎ",IF($BE3&gt;$BK$8,"×当日の値幅が大きい","×")))))))))</f>
      </c>
      <c r="BJ3" t="inlineStr">
        <is>
          <t>25日レンジ幅 上限(%)</t>
        </is>
      </c>
      <c r="BK3">
        <v>9.0</v>
      </c>
    </row>
    <row r="4" spans="1:63"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IF(AND(E4&lt;&gt;"",K4&lt;&gt;"",K4&lt;&gt;0),(E4-K4)/K4*100,"")</f>
        <v>-16.813186813186814</v>
      </c>
      <c r="M4" s="166">
        <f>IF(C4&lt;&gt;"",IFERROR(AVERAGE(出来高!E189:I189),""),"")</f>
        <v>2093260</v>
      </c>
      <c r="N4" s="166">
        <f>IF(C4&lt;&gt;"",IFERROR(AVERAGE(出来高!E189:AC189),""),"")</f>
        <v>1468836</v>
      </c>
      <c r="O4" s="168">
        <f>IF(AND(J4&lt;&gt;"",M4&lt;&gt;"",M4&lt;&gt;0),J4/M4,"")</f>
        <v>1.1747704537420101</v>
      </c>
      <c r="P4" s="163" t="str">
        <f>IF(O4="","",IF(O4&gt;=2,"急増↑↑",IF(O4&gt;=1.5,"増加↑",IF(O4&gt;=1,"普通→","減少↓"))))</f>
        <v>普通→</v>
      </c>
      <c r="Q4" s="163" t="str">
        <f>IF(E4="","",IF(AND(E4&gt;G4,O4&gt;=1.5),"買い▲",IF(E4&lt;G4,"様子見▼","中立→")))</f>
        <v>中立→</v>
      </c>
      <c r="R4" s="166">
        <f>IF(E4&lt;&gt;"",ROUND(E4*1.08,0),"")</f>
        <v>2044</v>
      </c>
      <c r="S4" s="166">
        <f>IF(E4&lt;&gt;"",ROUND(E4*0.96,0),"")</f>
        <v>1817</v>
      </c>
      <c r="T4" s="163">
        <f>IF(C4="","",IFERROR(IF(O4&gt;=2,3,IF(O4&gt;=1.5,2,IF(O4&gt;=1,1,0)))+IF(E4&gt;G4,1,0)+IF(L4&gt;=-5,1,0)+IF(Q4="買い▲",2,0)+IF(W4&lt;=30,3,IF(W4&lt;=40,2,IF(AND(W4&gt;=40,W4&lt;=60),1,0)))+IF(X4&gt;0,1,0)+IF(V4="年初来高値更新●",3,IF(V4="高値圏",2,0))+IF(AD4="パーフェクト▲",3,IF(AD4="上昇トレンド▲",2,0))+IF(AE4="25日線押し目●",2,IF(AE4="5日線押し目○",1,0))+IF(P4="急増↑↑",2,IF(P4="増加↑",1,0))+N(AI4),0))</f>
        <v>5</v>
      </c>
      <c r="U4" s="163" t="str">
        <f>IF(T4="","",IF(AND(T4&gt;=3,O4&gt;=1.5),"有効",IF(T4&gt;=3,"要確認","除外")))</f>
        <v>要確認</v>
      </c>
      <c r="V4" s="163" t="str">
        <f>IF(AND(H4&lt;&gt;"",K4&lt;&gt;""),IF(H4&gt;=K4,"年初来高値更新●",IF(H4&gt;=K4*0.95,"高値圏","通常")),"")</f>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IF(AND(E4&lt;&gt;"",G4&lt;&gt;"",G4&lt;&gt;0),(E4-G4)/G4*100,"")</f>
        <v>0.66489361702127658</v>
      </c>
      <c r="AA4" s="163" t="str">
        <f>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IF(OR(C4="",AB4="",AC4=""),"",IF(AND(E4&gt;AB4,AB4&gt;AC4),"パーフェクト▲",IF(E4&gt;AC4,"上昇トレンド▲",IF(AND(E4&lt;AB4,AB4&lt;AC4),"下降トレンド▼","もみ合い→"))))</f>
        <v>下降トレンド▼</v>
      </c>
      <c r="AE4" s="404" t="str">
        <f>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IFERROR((終値!$E$5-INDEX(終値!$E$5:$IT$5,1,$AL$2))/INDEX(終値!$E$5:$IT$5,1,$AL$2)*100,"")</f>
        <v>1.0179378228534113</v>
      </c>
      <c r="AH4" s="366">
        <f>IF(OR(AF4="",AG4=""),"",AF4-AG4)</f>
        <v>1.8632798993537099</v>
      </c>
      <c r="AI4" s="364">
        <f>IF(AH4="","",IF(AH4&gt;5,3,IF(AH4&gt;0,1,IF(AH4&gt;-3,-1,-2))))</f>
        <v>1</v>
      </c>
      <c r="BA4">
        <f>IFERROR((SUM(OFFSET(高値!$E$6,IFERROR(MATCH($C4,銘柄管理!$B$6:$B$305,0),MATCH(TEXT($C4,"0"),銘柄管理!$B$6:$B$305,0))-1,0,1,14))-SUM(OFFSET(安値!$E$6,IFERROR(MATCH($C4,銘柄管理!$B$6:$B$305,0),MATCH(TEXT($C4,"0"),銘柄管理!$B$6:$B$305,0))-1,0,1,14)))/SUM(OFFSET(終値!$E$6,IFERROR(MATCH($C4,銘柄管理!$B$6:$B$305,0),MATCH(TEXT($C4,"0"),銘柄管理!$B$6:$B$305,0))-1,0,1,14))*100,"")</f>
      </c>
      <c r="BB4">
        <f>IFERROR((MAX(OFFSET(高値!$E$6,IFERROR(MATCH($C4,銘柄管理!$B$6:$B$305,0),MATCH(TEXT($C4,"0"),銘柄管理!$B$6:$B$305,0))-1,0,1,25))-MIN(OFFSET(安値!$E$6,IFERROR(MATCH($C4,銘柄管理!$B$6:$B$305,0),MATCH(TEXT($C4,"0"),銘柄管理!$B$6:$B$305,0))-1,0,1,25)))/$E4*100,"")</f>
      </c>
      <c r="BC4">
        <f>IFERROR(($F4-$G4)/$G4*100,"")</f>
      </c>
      <c r="BD4">
        <f>IFERROR(($E4-MAX(OFFSET(高値!$E$6,IFERROR(MATCH($C4,銘柄管理!$B$6:$B$305,0),MATCH(TEXT($C4,"0"),銘柄管理!$B$6:$B$305,0))-1,0,1,25)))/MAX(OFFSET(高値!$E$6,IFERROR(MATCH($C4,銘柄管理!$B$6:$B$305,0),MATCH(TEXT($C4,"0"),銘柄管理!$B$6:$B$305,0))-1,0,1,25))*100,"")</f>
      </c>
      <c r="BE4">
        <f>IFERROR(($H4-$I4)/$F4*100,"")</f>
      </c>
      <c r="BF4">
        <f>IFERROR(-(($BA4-AVERAGE($BA$3:$BA$206))/STDEV($BA$3:$BA$206))-(($BE4-AVERAGE($BE$3:$BE$206))/STDEV($BE$3:$BE$206))-(($BB4-AVERAGE($BB$3:$BB$206))/STDEV($BB$3:$BB$206))-(($Z4-AVERAGE($Z$3:$Z$206))/STDEV($Z$3:$Z$206))-(($BC4-AVERAGE($BC$3:$BC$206))/STDEV($BC$3:$BC$206)),"")</f>
      </c>
      <c r="BG4">
        <f>IF(OR($C4="",$C4="TOPX",$BA4="",$BF4=""),0,IF(AND($BK$10=1,$BA4&lt;=$BK$2,$BB4&lt;=$BK$3,$BC4&lt;=$BK$4,$Z4&lt;=$BK$5,$Z4&gt;=$BK$6,$BD4&gt;=$BK$7,$BE4&lt;=$BK$8),1,0))</f>
      </c>
      <c r="BH4">
        <f>IF($C4="","",IF($BG4=1,"○ゲート通過",IF($BK$10&lt;&gt;1,"― この方向は停止中",IF($BA4&gt;$BK$2,"×値動きが荒い",IF($BB4&gt;$BK$3,"×レンジが広い",IF($BC4&gt;$BK$4,"×窓を開けて上昇",IF($Z4&gt;$BK$5,"×前日に急騰",IF($Z4&lt;$BK$6,"×前日に急落",IF($BD4&lt;$BK$7,"×高値から離れすぎ",IF($BE4&gt;$BK$8,"×当日の値幅が大きい","×")))))))))</f>
      </c>
      <c r="BJ4" t="inlineStr">
        <is>
          <t>ギャップ率 上限(%)</t>
        </is>
      </c>
      <c r="BK4">
        <v>0.5</v>
      </c>
    </row>
    <row r="5" spans="1:63"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IF(AND(E5&lt;&gt;"",K5&lt;&gt;"",K5&lt;&gt;0),(E5-K5)/K5*100,"")</f>
        <v>-2.6147426981919333</v>
      </c>
      <c r="M5" s="166">
        <f>IF(C5&lt;&gt;"",IFERROR(AVERAGE(出来高!E190:I190),""),"")</f>
        <v>2128920</v>
      </c>
      <c r="N5" s="166">
        <f>IF(C5&lt;&gt;"",IFERROR(AVERAGE(出来高!E190:AC190),""),"")</f>
        <v>2316672</v>
      </c>
      <c r="O5" s="168">
        <f>IF(AND(J5&lt;&gt;"",M5&lt;&gt;"",M5&lt;&gt;0),J5/M5,"")</f>
        <v>0.88716344437555195</v>
      </c>
      <c r="P5" s="163" t="str">
        <f>IF(O5="","",IF(O5&gt;=2,"急増↑↑",IF(O5&gt;=1.5,"増加↑",IF(O5&gt;=1,"普通→","減少↓"))))</f>
        <v>減少↓</v>
      </c>
      <c r="Q5" s="163" t="str">
        <f>IF(E5="","",IF(AND(E5&gt;G5,O5&gt;=1.5),"買い▲",IF(E5&lt;G5,"様子見▼","中立→")))</f>
        <v>中立→</v>
      </c>
      <c r="R5" s="166">
        <f>IF(E5&lt;&gt;"",ROUND(E5*1.08,0),"")</f>
        <v>1891</v>
      </c>
      <c r="S5" s="166">
        <f>IF(E5&lt;&gt;"",ROUND(E5*0.96,0),"")</f>
        <v>1680</v>
      </c>
      <c r="T5" s="163">
        <f>IF(C5="","",IFERROR(IF(O5&gt;=2,3,IF(O5&gt;=1.5,2,IF(O5&gt;=1,1,0)))+IF(E5&gt;G5,1,0)+IF(L5&gt;=-5,1,0)+IF(Q5="買い▲",2,0)+IF(W5&lt;=30,3,IF(W5&lt;=40,2,IF(AND(W5&gt;=40,W5&lt;=60),1,0)))+IF(X5&gt;0,1,0)+IF(V5="年初来高値更新●",3,IF(V5="高値圏",2,0))+IF(AD5="パーフェクト▲",3,IF(AD5="上昇トレンド▲",2,0))+IF(AE5="25日線押し目●",2,IF(AE5="5日線押し目○",1,0))+IF(P5="急増↑↑",2,IF(P5="増加↑",1,0))+N(AI5),0))</f>
        <v>11</v>
      </c>
      <c r="U5" s="163" t="str">
        <f>IF(T5="","",IF(AND(T5&gt;=3,O5&gt;=1.5),"有効",IF(T5&gt;=3,"要確認","除外")))</f>
        <v>要確認</v>
      </c>
      <c r="V5" s="163" t="str">
        <f>IF(AND(H5&lt;&gt;"",K5&lt;&gt;""),IF(H5&gt;=K5,"年初来高値更新●",IF(H5&gt;=K5*0.95,"高値圏","通常")),"")</f>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IF(AND(E5&lt;&gt;"",G5&lt;&gt;"",G5&lt;&gt;0),(E5-G5)/G5*100,"")</f>
        <v>1.7141196978500872</v>
      </c>
      <c r="AA5" s="163" t="str">
        <f>IF(OR(C5="",E5="",E5=0),"",IF(E5&gt;G5,"上昇▲",IF(E5&lt;G5,"下落▼","横ばい→")))</f>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IF(OR(C5="",AB5="",AC5=""),"",IF(AND(E5&gt;AB5,AB5&gt;AC5),"パーフェクト▲",IF(E5&gt;AC5,"上昇トレンド▲",IF(AND(E5&lt;AB5,AB5&lt;AC5),"下降トレンド▼","もみ合い→"))))</f>
        <v>上昇トレンド▲</v>
      </c>
      <c r="AE5" s="406" t="str">
        <f>IF(OR(C5="",AB5="",AC5=""),"",IF(AND(ABS(E5-AC5)/AC5&lt;=0.02,E5&gt;AC5),"25日押し目★",IF(AND(ABS(E5-AB5)/AB5&lt;=0.01,E5&gt;AB5),"5日押し目○","なし")))</f>
        <v>25日押し目★</v>
      </c>
      <c r="AF5" s="365">
        <f t="array" ref="AF5">IF(C5="","",IFERROR((INDEX(終値!$E:$E,MATCH(TEXT(C5,"0"),終値!$A:$A,0))-INDEX(終値!$E:$CZ,MATCH(TEXT(C5,"0"),終値!$A:$A,0),$AL$2))/INDEX(終値!$E:$CZ,MATCH(TEXT(C5,"0"),終値!$A:$A,0),$AL$2)*100,""))</f>
        <v>15.240289664252799</v>
      </c>
      <c r="AG5" s="365">
        <f t="array" ref="AG5">IFERROR((終値!$E$5-INDEX(終値!$E$5:$IT$5,1,$AL$2))/INDEX(終値!$E$5:$IT$5,1,$AL$2)*100,"")</f>
        <v>1.0179378228534113</v>
      </c>
      <c r="AH5" s="366">
        <f>IF(OR(AF5="",AG5=""),"",AF5-AG5)</f>
        <v>14.222351841399387</v>
      </c>
      <c r="AI5" s="364">
        <f>IF(AH5="","",IF(AH5&gt;5,3,IF(AH5&gt;0,1,IF(AH5&gt;-3,-1,-2))))</f>
        <v>3</v>
      </c>
      <c r="BA5">
        <f>IFERROR((SUM(OFFSET(高値!$E$6,IFERROR(MATCH($C5,銘柄管理!$B$6:$B$305,0),MATCH(TEXT($C5,"0"),銘柄管理!$B$6:$B$305,0))-1,0,1,14))-SUM(OFFSET(安値!$E$6,IFERROR(MATCH($C5,銘柄管理!$B$6:$B$305,0),MATCH(TEXT($C5,"0"),銘柄管理!$B$6:$B$305,0))-1,0,1,14)))/SUM(OFFSET(終値!$E$6,IFERROR(MATCH($C5,銘柄管理!$B$6:$B$305,0),MATCH(TEXT($C5,"0"),銘柄管理!$B$6:$B$305,0))-1,0,1,14))*100,"")</f>
      </c>
      <c r="BB5">
        <f>IFERROR((MAX(OFFSET(高値!$E$6,IFERROR(MATCH($C5,銘柄管理!$B$6:$B$305,0),MATCH(TEXT($C5,"0"),銘柄管理!$B$6:$B$305,0))-1,0,1,25))-MIN(OFFSET(安値!$E$6,IFERROR(MATCH($C5,銘柄管理!$B$6:$B$305,0),MATCH(TEXT($C5,"0"),銘柄管理!$B$6:$B$305,0))-1,0,1,25)))/$E5*100,"")</f>
      </c>
      <c r="BC5">
        <f>IFERROR(($F5-$G5)/$G5*100,"")</f>
      </c>
      <c r="BD5">
        <f>IFERROR(($E5-MAX(OFFSET(高値!$E$6,IFERROR(MATCH($C5,銘柄管理!$B$6:$B$305,0),MATCH(TEXT($C5,"0"),銘柄管理!$B$6:$B$305,0))-1,0,1,25)))/MAX(OFFSET(高値!$E$6,IFERROR(MATCH($C5,銘柄管理!$B$6:$B$305,0),MATCH(TEXT($C5,"0"),銘柄管理!$B$6:$B$305,0))-1,0,1,25))*100,"")</f>
      </c>
      <c r="BE5">
        <f>IFERROR(($H5-$I5)/$F5*100,"")</f>
      </c>
      <c r="BF5">
        <f>IFERROR(-(($BA5-AVERAGE($BA$3:$BA$206))/STDEV($BA$3:$BA$206))-(($BE5-AVERAGE($BE$3:$BE$206))/STDEV($BE$3:$BE$206))-(($BB5-AVERAGE($BB$3:$BB$206))/STDEV($BB$3:$BB$206))-(($Z5-AVERAGE($Z$3:$Z$206))/STDEV($Z$3:$Z$206))-(($BC5-AVERAGE($BC$3:$BC$206))/STDEV($BC$3:$BC$206)),"")</f>
      </c>
      <c r="BG5">
        <f>IF(OR($C5="",$C5="TOPX",$BA5="",$BF5=""),0,IF(AND($BK$10=1,$BA5&lt;=$BK$2,$BB5&lt;=$BK$3,$BC5&lt;=$BK$4,$Z5&lt;=$BK$5,$Z5&gt;=$BK$6,$BD5&gt;=$BK$7,$BE5&lt;=$BK$8),1,0))</f>
      </c>
      <c r="BH5">
        <f>IF($C5="","",IF($BG5=1,"○ゲート通過",IF($BK$10&lt;&gt;1,"― この方向は停止中",IF($BA5&gt;$BK$2,"×値動きが荒い",IF($BB5&gt;$BK$3,"×レンジが広い",IF($BC5&gt;$BK$4,"×窓を開けて上昇",IF($Z5&gt;$BK$5,"×前日に急騰",IF($Z5&lt;$BK$6,"×前日に急落",IF($BD5&lt;$BK$7,"×高値から離れすぎ",IF($BE5&gt;$BK$8,"×当日の値幅が大きい","×")))))))))</f>
      </c>
      <c r="BJ5" t="inlineStr">
        <is>
          <t>前日比 上限(%)</t>
        </is>
      </c>
      <c r="BK5">
        <v>1.5</v>
      </c>
    </row>
    <row r="6" spans="1:63"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IF(AND(E6&lt;&gt;"",K6&lt;&gt;"",K6&lt;&gt;0),(E6-K6)/K6*100,"")</f>
        <v>-10.184667039731393</v>
      </c>
      <c r="M6" s="166">
        <f>IF(C6&lt;&gt;"",IFERROR(AVERAGE(出来高!E191:I191),""),"")</f>
        <v>23540</v>
      </c>
      <c r="N6" s="166">
        <f>IF(C6&lt;&gt;"",IFERROR(AVERAGE(出来高!E191:AC191),""),"")</f>
        <v>23432</v>
      </c>
      <c r="O6" s="168">
        <f>IF(AND(J6&lt;&gt;"",M6&lt;&gt;"",M6&lt;&gt;0),J6/M6,"")</f>
        <v>1.1682242990654206</v>
      </c>
      <c r="P6" s="163" t="str">
        <f>IF(O6="","",IF(O6&gt;=2,"急増↑↑",IF(O6&gt;=1.5,"増加↑",IF(O6&gt;=1,"普通→","減少↓"))))</f>
        <v>普通→</v>
      </c>
      <c r="Q6" s="163" t="str">
        <f>IF(E6="","",IF(AND(E6&gt;G6,O6&gt;=1.5),"買い▲",IF(E6&lt;G6,"様子見▼","中立→")))</f>
        <v>中立→</v>
      </c>
      <c r="R6" s="166">
        <f>IF(E6&lt;&gt;"",ROUND(E6*1.08,0),"")</f>
        <v>1733</v>
      </c>
      <c r="S6" s="166">
        <f>IF(E6&lt;&gt;"",ROUND(E6*0.96,0),"")</f>
        <v>1541</v>
      </c>
      <c r="T6" s="163">
        <f>IF(C6="","",IFERROR(IF(O6&gt;=2,3,IF(O6&gt;=1.5,2,IF(O6&gt;=1,1,0)))+IF(E6&gt;G6,1,0)+IF(L6&gt;=-5,1,0)+IF(Q6="買い▲",2,0)+IF(W6&lt;=30,3,IF(W6&lt;=40,2,IF(AND(W6&gt;=40,W6&lt;=60),1,0)))+IF(X6&gt;0,1,0)+IF(V6="年初来高値更新●",3,IF(V6="高値圏",2,0))+IF(AD6="パーフェクト▲",3,IF(AD6="上昇トレンド▲",2,0))+IF(AE6="25日線押し目●",2,IF(AE6="5日線押し目○",1,0))+IF(P6="急増↑↑",2,IF(P6="増加↑",1,0))+N(AI6),0))</f>
        <v>5</v>
      </c>
      <c r="U6" s="163" t="str">
        <f>IF(T6="","",IF(AND(T6&gt;=3,O6&gt;=1.5),"有効",IF(T6&gt;=3,"要確認","除外")))</f>
        <v>要確認</v>
      </c>
      <c r="V6" s="163" t="str">
        <f>IF(AND(H6&lt;&gt;"",K6&lt;&gt;""),IF(H6&gt;=K6,"年初来高値更新●",IF(H6&gt;=K6*0.95,"高値圏","通常")),"")</f>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IF(AND(E6&lt;&gt;"",G6&lt;&gt;"",G6&lt;&gt;0),(E6-G6)/G6*100,"")</f>
        <v>1.1342155009451798</v>
      </c>
      <c r="AA6" s="163" t="str">
        <f>IF(OR(C6="",E6="",E6=0),"",IF(E6&gt;G6,"上昇▲",IF(E6&lt;G6,"下落▼","横ばい→")))</f>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IF(OR(C6="",AB6="",AC6=""),"",IF(AND(E6&gt;AB6,AB6&gt;AC6),"パーフェクト▲",IF(E6&gt;AC6,"上昇トレンド▲",IF(AND(E6&lt;AB6,AB6&lt;AC6),"下降トレンド▼","もみ合い→"))))</f>
        <v>もみ合い→</v>
      </c>
      <c r="AE6" s="404" t="str">
        <f>IF(OR(C6="",AB6="",AC6=""),"",IF(AND(ABS(E6-AC6)/AC6&lt;=0.02,E6&gt;AC6),"25日押し目★",IF(AND(ABS(E6-AB6)/AB6&lt;=0.01,E6&gt;AB6),"5日押し目○","なし")))</f>
        <v>なし</v>
      </c>
      <c r="AF6" s="365">
        <f t="array" ref="AF6">IF(C6="","",IFERROR((INDEX(終値!$E:$E,MATCH(TEXT(C6,"0"),終値!$A:$A,0))-INDEX(終値!$E:$CZ,MATCH(TEXT(C6,"0"),終値!$A:$A,0),$AL$2))/INDEX(終値!$E:$CZ,MATCH(TEXT(C6,"0"),終値!$A:$A,0),$AL$2)*100,""))</f>
        <v>5.6616194865042786</v>
      </c>
      <c r="AG6" s="365">
        <f t="array" ref="AG6">IFERROR((終値!$E$5-INDEX(終値!$E$5:$IT$5,1,$AL$2))/INDEX(終値!$E$5:$IT$5,1,$AL$2)*100,"")</f>
        <v>1.0179378228534113</v>
      </c>
      <c r="AH6" s="366">
        <f>IF(OR(AF6="",AG6=""),"",AF6-AG6)</f>
        <v>4.6436816636508675</v>
      </c>
      <c r="AI6" s="364">
        <f>IF(AH6="","",IF(AH6&gt;5,3,IF(AH6&gt;0,1,IF(AH6&gt;-3,-1,-2))))</f>
        <v>1</v>
      </c>
      <c r="BA6">
        <f>IFERROR((SUM(OFFSET(高値!$E$6,IFERROR(MATCH($C6,銘柄管理!$B$6:$B$305,0),MATCH(TEXT($C6,"0"),銘柄管理!$B$6:$B$305,0))-1,0,1,14))-SUM(OFFSET(安値!$E$6,IFERROR(MATCH($C6,銘柄管理!$B$6:$B$305,0),MATCH(TEXT($C6,"0"),銘柄管理!$B$6:$B$305,0))-1,0,1,14)))/SUM(OFFSET(終値!$E$6,IFERROR(MATCH($C6,銘柄管理!$B$6:$B$305,0),MATCH(TEXT($C6,"0"),銘柄管理!$B$6:$B$305,0))-1,0,1,14))*100,"")</f>
      </c>
      <c r="BB6">
        <f>IFERROR((MAX(OFFSET(高値!$E$6,IFERROR(MATCH($C6,銘柄管理!$B$6:$B$305,0),MATCH(TEXT($C6,"0"),銘柄管理!$B$6:$B$305,0))-1,0,1,25))-MIN(OFFSET(安値!$E$6,IFERROR(MATCH($C6,銘柄管理!$B$6:$B$305,0),MATCH(TEXT($C6,"0"),銘柄管理!$B$6:$B$305,0))-1,0,1,25)))/$E6*100,"")</f>
      </c>
      <c r="BC6">
        <f>IFERROR(($F6-$G6)/$G6*100,"")</f>
      </c>
      <c r="BD6">
        <f>IFERROR(($E6-MAX(OFFSET(高値!$E$6,IFERROR(MATCH($C6,銘柄管理!$B$6:$B$305,0),MATCH(TEXT($C6,"0"),銘柄管理!$B$6:$B$305,0))-1,0,1,25)))/MAX(OFFSET(高値!$E$6,IFERROR(MATCH($C6,銘柄管理!$B$6:$B$305,0),MATCH(TEXT($C6,"0"),銘柄管理!$B$6:$B$305,0))-1,0,1,25))*100,"")</f>
      </c>
      <c r="BE6">
        <f>IFERROR(($H6-$I6)/$F6*100,"")</f>
      </c>
      <c r="BF6">
        <f>IFERROR(-(($BA6-AVERAGE($BA$3:$BA$206))/STDEV($BA$3:$BA$206))-(($BE6-AVERAGE($BE$3:$BE$206))/STDEV($BE$3:$BE$206))-(($BB6-AVERAGE($BB$3:$BB$206))/STDEV($BB$3:$BB$206))-(($Z6-AVERAGE($Z$3:$Z$206))/STDEV($Z$3:$Z$206))-(($BC6-AVERAGE($BC$3:$BC$206))/STDEV($BC$3:$BC$206)),"")</f>
      </c>
      <c r="BG6">
        <f>IF(OR($C6="",$C6="TOPX",$BA6="",$BF6=""),0,IF(AND($BK$10=1,$BA6&lt;=$BK$2,$BB6&lt;=$BK$3,$BC6&lt;=$BK$4,$Z6&lt;=$BK$5,$Z6&gt;=$BK$6,$BD6&gt;=$BK$7,$BE6&lt;=$BK$8),1,0))</f>
      </c>
      <c r="BH6">
        <f>IF($C6="","",IF($BG6=1,"○ゲート通過",IF($BK$10&lt;&gt;1,"― この方向は停止中",IF($BA6&gt;$BK$2,"×値動きが荒い",IF($BB6&gt;$BK$3,"×レンジが広い",IF($BC6&gt;$BK$4,"×窓を開けて上昇",IF($Z6&gt;$BK$5,"×前日に急騰",IF($Z6&lt;$BK$6,"×前日に急落",IF($BD6&lt;$BK$7,"×高値から離れすぎ",IF($BE6&gt;$BK$8,"×当日の値幅が大きい","×")))))))))</f>
      </c>
      <c r="BJ6" t="inlineStr">
        <is>
          <t>前日比 下限(%)</t>
        </is>
      </c>
      <c r="BK6">
        <v>-3.0</v>
      </c>
    </row>
    <row r="7" spans="1:63"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IF(AND(E7&lt;&gt;"",K7&lt;&gt;"",K7&lt;&gt;0),(E7-K7)/K7*100,"")</f>
        <v>-26.620689655172413</v>
      </c>
      <c r="M7" s="166">
        <f>IF(C7&lt;&gt;"",IFERROR(AVERAGE(出来高!E142:I142),""),"")</f>
        <v>10034380</v>
      </c>
      <c r="N7" s="166">
        <f>IF(C7&lt;&gt;"",IFERROR(AVERAGE(出来高!E142:AC142),""),"")</f>
        <v>7121316</v>
      </c>
      <c r="O7" s="168">
        <f>IF(AND(J7&lt;&gt;"",M7&lt;&gt;"",M7&lt;&gt;0),J7/M7,"")</f>
        <v>0.68583210920854099</v>
      </c>
      <c r="P7" s="163" t="str">
        <f>IF(O7="","",IF(O7&gt;=2,"急増↑↑",IF(O7&gt;=1.5,"増加↑",IF(O7&gt;=1,"普通→","減少↓"))))</f>
        <v>減少↓</v>
      </c>
      <c r="Q7" s="163" t="str">
        <f>IF(E7="","",IF(AND(E7&gt;G7,O7&gt;=1.5),"買い▲",IF(E7&lt;G7,"様子見▼","中立→")))</f>
        <v>中立→</v>
      </c>
      <c r="R7" s="166">
        <f>IF(E7&lt;&gt;"",ROUND(E7*1.08,0),"")</f>
        <v>2873</v>
      </c>
      <c r="S7" s="166">
        <f>IF(E7&lt;&gt;"",ROUND(E7*0.96,0),"")</f>
        <v>2554</v>
      </c>
      <c r="T7" s="163">
        <f>IF(C7="","",IFERROR(IF(O7&gt;=2,3,IF(O7&gt;=1.5,2,IF(O7&gt;=1,1,0)))+IF(E7&gt;G7,1,0)+IF(L7&gt;=-5,1,0)+IF(Q7="買い▲",2,0)+IF(W7&lt;=30,3,IF(W7&lt;=40,2,IF(AND(W7&gt;=40,W7&lt;=60),1,0)))+IF(X7&gt;0,1,0)+IF(V7="年初来高値更新●",3,IF(V7="高値圏",2,0))+IF(AD7="パーフェクト▲",3,IF(AD7="上昇トレンド▲",2,0))+IF(AE7="25日線押し目●",2,IF(AE7="5日線押し目○",1,0))+IF(P7="急増↑↑",2,IF(P7="増加↑",1,0))+N(AI7),0))</f>
        <v>3</v>
      </c>
      <c r="U7" s="163" t="str">
        <f>IF(T7="","",IF(AND(T7&gt;=3,O7&gt;=1.5),"有効",IF(T7&gt;=3,"要確認","除外")))</f>
        <v>要確認</v>
      </c>
      <c r="V7" s="163" t="str">
        <f>IF(AND(H7&lt;&gt;"",K7&lt;&gt;""),IF(H7&gt;=K7,"年初来高値更新●",IF(H7&gt;=K7*0.95,"高値圏","通常")),"")</f>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IF(AND(E7&lt;&gt;"",G7&lt;&gt;"",G7&lt;&gt;0),(E7-G7)/G7*100,"")</f>
        <v>2.9013539651837523</v>
      </c>
      <c r="AA7" s="163" t="str">
        <f>IF(OR(C7="",E7="",E7=0),"",IF(E7&gt;G7,"上昇▲",IF(E7&lt;G7,"下落▼","横ばい→")))</f>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IF(OR(C7="",AB7="",AC7=""),"",IF(AND(E7&gt;AB7,AB7&gt;AC7),"パーフェクト▲",IF(E7&gt;AC7,"上昇トレンド▲",IF(AND(E7&lt;AB7,AB7&lt;AC7),"下降トレンド▼","もみ合い→"))))</f>
        <v>もみ合い→</v>
      </c>
      <c r="AE7" s="406" t="str">
        <f>IF(OR(C7="",AB7="",AC7=""),"",IF(AND(ABS(E7-AC7)/AC7&lt;=0.02,E7&gt;AC7),"25日押し目★",IF(AND(ABS(E7-AB7)/AB7&lt;=0.01,E7&gt;AB7),"5日押し目○","なし")))</f>
        <v>なし</v>
      </c>
      <c r="AF7" s="365">
        <f t="array" ref="AF7">IF(C7="","",IFERROR((INDEX(終値!$E:$E,MATCH(TEXT(C7,"0"),終値!$A:$A,0))-INDEX(終値!$E:$CZ,MATCH(TEXT(C7,"0"),終値!$A:$A,0),$AL$2))/INDEX(終値!$E:$CZ,MATCH(TEXT(C7,"0"),終値!$A:$A,0),$AL$2)*100,""))</f>
        <v>3.160752375412061</v>
      </c>
      <c r="AG7" s="365">
        <f t="array" ref="AG7">IFERROR((終値!$E$5-INDEX(終値!$E$5:$IT$5,1,$AL$2))/INDEX(終値!$E$5:$IT$5,1,$AL$2)*100,"")</f>
        <v>1.0179378228534113</v>
      </c>
      <c r="AH7" s="366">
        <f>IF(OR(AF7="",AG7=""),"",AF7-AG7)</f>
        <v>2.1428145525586499</v>
      </c>
      <c r="AI7" s="364">
        <f>IF(AH7="","",IF(AH7&gt;5,3,IF(AH7&gt;0,1,IF(AH7&gt;-3,-1,-2))))</f>
        <v>1</v>
      </c>
      <c r="BA7">
        <f>IFERROR((SUM(OFFSET(高値!$E$6,IFERROR(MATCH($C7,銘柄管理!$B$6:$B$305,0),MATCH(TEXT($C7,"0"),銘柄管理!$B$6:$B$305,0))-1,0,1,14))-SUM(OFFSET(安値!$E$6,IFERROR(MATCH($C7,銘柄管理!$B$6:$B$305,0),MATCH(TEXT($C7,"0"),銘柄管理!$B$6:$B$305,0))-1,0,1,14)))/SUM(OFFSET(終値!$E$6,IFERROR(MATCH($C7,銘柄管理!$B$6:$B$305,0),MATCH(TEXT($C7,"0"),銘柄管理!$B$6:$B$305,0))-1,0,1,14))*100,"")</f>
      </c>
      <c r="BB7">
        <f>IFERROR((MAX(OFFSET(高値!$E$6,IFERROR(MATCH($C7,銘柄管理!$B$6:$B$305,0),MATCH(TEXT($C7,"0"),銘柄管理!$B$6:$B$305,0))-1,0,1,25))-MIN(OFFSET(安値!$E$6,IFERROR(MATCH($C7,銘柄管理!$B$6:$B$305,0),MATCH(TEXT($C7,"0"),銘柄管理!$B$6:$B$305,0))-1,0,1,25)))/$E7*100,"")</f>
      </c>
      <c r="BC7">
        <f>IFERROR(($F7-$G7)/$G7*100,"")</f>
      </c>
      <c r="BD7">
        <f>IFERROR(($E7-MAX(OFFSET(高値!$E$6,IFERROR(MATCH($C7,銘柄管理!$B$6:$B$305,0),MATCH(TEXT($C7,"0"),銘柄管理!$B$6:$B$305,0))-1,0,1,25)))/MAX(OFFSET(高値!$E$6,IFERROR(MATCH($C7,銘柄管理!$B$6:$B$305,0),MATCH(TEXT($C7,"0"),銘柄管理!$B$6:$B$305,0))-1,0,1,25))*100,"")</f>
      </c>
      <c r="BE7">
        <f>IFERROR(($H7-$I7)/$F7*100,"")</f>
      </c>
      <c r="BF7">
        <f>IFERROR(-(($BA7-AVERAGE($BA$3:$BA$206))/STDEV($BA$3:$BA$206))-(($BE7-AVERAGE($BE$3:$BE$206))/STDEV($BE$3:$BE$206))-(($BB7-AVERAGE($BB$3:$BB$206))/STDEV($BB$3:$BB$206))-(($Z7-AVERAGE($Z$3:$Z$206))/STDEV($Z$3:$Z$206))-(($BC7-AVERAGE($BC$3:$BC$206))/STDEV($BC$3:$BC$206)),"")</f>
      </c>
      <c r="BG7">
        <f>IF(OR($C7="",$C7="TOPX",$BA7="",$BF7=""),0,IF(AND($BK$10=1,$BA7&lt;=$BK$2,$BB7&lt;=$BK$3,$BC7&lt;=$BK$4,$Z7&lt;=$BK$5,$Z7&gt;=$BK$6,$BD7&gt;=$BK$7,$BE7&lt;=$BK$8),1,0))</f>
      </c>
      <c r="BH7">
        <f>IF($C7="","",IF($BG7=1,"○ゲート通過",IF($BK$10&lt;&gt;1,"― この方向は停止中",IF($BA7&gt;$BK$2,"×値動きが荒い",IF($BB7&gt;$BK$3,"×レンジが広い",IF($BC7&gt;$BK$4,"×窓を開けて上昇",IF($Z7&gt;$BK$5,"×前日に急騰",IF($Z7&lt;$BK$6,"×前日に急落",IF($BD7&lt;$BK$7,"×高値から離れすぎ",IF($BE7&gt;$BK$8,"×当日の値幅が大きい","×")))))))))</f>
      </c>
      <c r="BJ7" t="inlineStr">
        <is>
          <t>25日高値距離 下限(%)</t>
        </is>
      </c>
      <c r="BK7">
        <v>-10.0</v>
      </c>
    </row>
    <row r="8" spans="1:63"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IF(AND(E8&lt;&gt;"",K8&lt;&gt;"",K8&lt;&gt;0),(E8-K8)/K8*100,"")</f>
        <v>-37.238263169495262</v>
      </c>
      <c r="M8" s="166">
        <f>IF(C8&lt;&gt;"",IFERROR(AVERAGE(出来高!E65:I65),""),"")</f>
        <v>53510180</v>
      </c>
      <c r="N8" s="166">
        <f>IF(C8&lt;&gt;"",IFERROR(AVERAGE(出来高!E65:AC65),""),"")</f>
        <v>52209192</v>
      </c>
      <c r="O8" s="168">
        <f>IF(AND(J8&lt;&gt;"",M8&lt;&gt;"",M8&lt;&gt;0),J8/M8,"")</f>
        <v>0.87750966264736918</v>
      </c>
      <c r="P8" s="163" t="str">
        <f>IF(O8="","",IF(O8&gt;=2,"急増↑↑",IF(O8&gt;=1.5,"増加↑",IF(O8&gt;=1,"普通→","減少↓"))))</f>
        <v>減少↓</v>
      </c>
      <c r="Q8" s="163" t="str">
        <f>IF(E8="","",IF(AND(E8&gt;G8,O8&gt;=1.5),"買い▲",IF(E8&lt;G8,"様子見▼","中立→")))</f>
        <v>様子見▼</v>
      </c>
      <c r="R8" s="166">
        <f>IF(E8&lt;&gt;"",ROUND(E8*1.08,0),"")</f>
        <v>6151</v>
      </c>
      <c r="S8" s="166">
        <f>IF(E8&lt;&gt;"",ROUND(E8*0.96,0),"")</f>
        <v>5467</v>
      </c>
      <c r="T8" s="163">
        <f>IF(C8="","",IFERROR(IF(O8&gt;=2,3,IF(O8&gt;=1.5,2,IF(O8&gt;=1,1,0)))+IF(E8&gt;G8,1,0)+IF(L8&gt;=-5,1,0)+IF(Q8="買い▲",2,0)+IF(W8&lt;=30,3,IF(W8&lt;=40,2,IF(AND(W8&gt;=40,W8&lt;=60),1,0)))+IF(X8&gt;0,1,0)+IF(V8="年初来高値更新●",3,IF(V8="高値圏",2,0))+IF(AD8="パーフェクト▲",3,IF(AD8="上昇トレンド▲",2,0))+IF(AE8="25日線押し目●",2,IF(AE8="5日線押し目○",1,0))+IF(P8="急増↑↑",2,IF(P8="増加↑",1,0))+N(AI8),0))</f>
        <v>-1</v>
      </c>
      <c r="U8" s="163" t="str">
        <f>IF(T8="","",IF(AND(T8&gt;=3,O8&gt;=1.5),"有効",IF(T8&gt;=3,"要確認","除外")))</f>
        <v>除外</v>
      </c>
      <c r="V8" s="163" t="str">
        <f>IF(AND(H8&lt;&gt;"",K8&lt;&gt;""),IF(H8&gt;=K8,"年初来高値更新●",IF(H8&gt;=K8*0.95,"高値圏","通常")),"")</f>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IF(AND(E8&lt;&gt;"",G8&lt;&gt;"",G8&lt;&gt;0),(E8-G8)/G8*100,"")</f>
        <v>-4.4142329640819069</v>
      </c>
      <c r="AA8" s="163" t="str">
        <f>IF(OR(C8="",E8="",E8=0),"",IF(E8&gt;G8,"上昇▲",IF(E8&lt;G8,"下落▼","横ばい→")))</f>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IF(OR(C8="",AB8="",AC8=""),"",IF(AND(E8&gt;AB8,AB8&gt;AC8),"パーフェクト▲",IF(E8&gt;AC8,"上昇トレンド▲",IF(AND(E8&lt;AB8,AB8&lt;AC8),"下降トレンド▼","もみ合い→"))))</f>
        <v>もみ合い→</v>
      </c>
      <c r="AE8" s="404" t="str">
        <f>IF(OR(C8="",AB8="",AC8=""),"",IF(AND(ABS(E8-AC8)/AC8&lt;=0.02,E8&gt;AC8),"25日押し目★",IF(AND(ABS(E8-AB8)/AB8&lt;=0.01,E8&gt;AB8),"5日押し目○","なし")))</f>
        <v>なし</v>
      </c>
      <c r="AF8" s="365">
        <f t="array" ref="AF8">IF(C8="","",IFERROR((INDEX(終値!$E:$E,MATCH(TEXT(C8,"0"),終値!$A:$A,0))-INDEX(終値!$E:$CZ,MATCH(TEXT(C8,"0"),終値!$A:$A,0),$AL$2))/INDEX(終値!$E:$CZ,MATCH(TEXT(C8,"0"),終値!$A:$A,0),$AL$2)*100,""))</f>
        <v>-5.083333333333333</v>
      </c>
      <c r="AG8" s="365">
        <f t="array" ref="AG8">IFERROR((終値!$E$5-INDEX(終値!$E$5:$IT$5,1,$AL$2))/INDEX(終値!$E$5:$IT$5,1,$AL$2)*100,"")</f>
        <v>1.0179378228534113</v>
      </c>
      <c r="AH8" s="366">
        <f>IF(OR(AF8="",AG8=""),"",AF8-AG8)</f>
        <v>-6.1012711561867441</v>
      </c>
      <c r="AI8" s="364">
        <f>IF(AH8="","",IF(AH8&gt;5,3,IF(AH8&gt;0,1,IF(AH8&gt;-3,-1,-2))))</f>
        <v>-2</v>
      </c>
      <c r="BA8">
        <f>IFERROR((SUM(OFFSET(高値!$E$6,IFERROR(MATCH($C8,銘柄管理!$B$6:$B$305,0),MATCH(TEXT($C8,"0"),銘柄管理!$B$6:$B$305,0))-1,0,1,14))-SUM(OFFSET(安値!$E$6,IFERROR(MATCH($C8,銘柄管理!$B$6:$B$305,0),MATCH(TEXT($C8,"0"),銘柄管理!$B$6:$B$305,0))-1,0,1,14)))/SUM(OFFSET(終値!$E$6,IFERROR(MATCH($C8,銘柄管理!$B$6:$B$305,0),MATCH(TEXT($C8,"0"),銘柄管理!$B$6:$B$305,0))-1,0,1,14))*100,"")</f>
      </c>
      <c r="BB8">
        <f>IFERROR((MAX(OFFSET(高値!$E$6,IFERROR(MATCH($C8,銘柄管理!$B$6:$B$305,0),MATCH(TEXT($C8,"0"),銘柄管理!$B$6:$B$305,0))-1,0,1,25))-MIN(OFFSET(安値!$E$6,IFERROR(MATCH($C8,銘柄管理!$B$6:$B$305,0),MATCH(TEXT($C8,"0"),銘柄管理!$B$6:$B$305,0))-1,0,1,25)))/$E8*100,"")</f>
      </c>
      <c r="BC8">
        <f>IFERROR(($F8-$G8)/$G8*100,"")</f>
      </c>
      <c r="BD8">
        <f>IFERROR(($E8-MAX(OFFSET(高値!$E$6,IFERROR(MATCH($C8,銘柄管理!$B$6:$B$305,0),MATCH(TEXT($C8,"0"),銘柄管理!$B$6:$B$305,0))-1,0,1,25)))/MAX(OFFSET(高値!$E$6,IFERROR(MATCH($C8,銘柄管理!$B$6:$B$305,0),MATCH(TEXT($C8,"0"),銘柄管理!$B$6:$B$305,0))-1,0,1,25))*100,"")</f>
      </c>
      <c r="BE8">
        <f>IFERROR(($H8-$I8)/$F8*100,"")</f>
      </c>
      <c r="BF8">
        <f>IFERROR(-(($BA8-AVERAGE($BA$3:$BA$206))/STDEV($BA$3:$BA$206))-(($BE8-AVERAGE($BE$3:$BE$206))/STDEV($BE$3:$BE$206))-(($BB8-AVERAGE($BB$3:$BB$206))/STDEV($BB$3:$BB$206))-(($Z8-AVERAGE($Z$3:$Z$206))/STDEV($Z$3:$Z$206))-(($BC8-AVERAGE($BC$3:$BC$206))/STDEV($BC$3:$BC$206)),"")</f>
      </c>
      <c r="BG8">
        <f>IF(OR($C8="",$C8="TOPX",$BA8="",$BF8=""),0,IF(AND($BK$10=1,$BA8&lt;=$BK$2,$BB8&lt;=$BK$3,$BC8&lt;=$BK$4,$Z8&lt;=$BK$5,$Z8&gt;=$BK$6,$BD8&gt;=$BK$7,$BE8&lt;=$BK$8),1,0))</f>
      </c>
      <c r="BH8">
        <f>IF($C8="","",IF($BG8=1,"○ゲート通過",IF($BK$10&lt;&gt;1,"― この方向は停止中",IF($BA8&gt;$BK$2,"×値動きが荒い",IF($BB8&gt;$BK$3,"×レンジが広い",IF($BC8&gt;$BK$4,"×窓を開けて上昇",IF($Z8&gt;$BK$5,"×前日に急騰",IF($Z8&lt;$BK$6,"×前日に急落",IF($BD8&lt;$BK$7,"×高値から離れすぎ",IF($BE8&gt;$BK$8,"×当日の値幅が大きい","×")))))))))</f>
      </c>
      <c r="BJ8" t="inlineStr">
        <is>
          <t>日中レンジ率 上限(%)</t>
        </is>
      </c>
      <c r="BK8">
        <v>2.0</v>
      </c>
    </row>
    <row r="9" spans="1:63"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IF(AND(E9&lt;&gt;"",K9&lt;&gt;"",K9&lt;&gt;0),(E9-K9)/K9*100,"")</f>
        <v>-8.0909571655208889</v>
      </c>
      <c r="M9" s="166">
        <f>IF(C9&lt;&gt;"",IFERROR(AVERAGE(出来高!E116:I116),""),"")</f>
        <v>230540</v>
      </c>
      <c r="N9" s="166">
        <f>IF(C9&lt;&gt;"",IFERROR(AVERAGE(出来高!E116:AC116),""),"")</f>
        <v>197472</v>
      </c>
      <c r="O9" s="168">
        <f>IF(AND(J9&lt;&gt;"",M9&lt;&gt;"",M9&lt;&gt;0),J9/M9,"")</f>
        <v>0.76038865272837686</v>
      </c>
      <c r="P9" s="163" t="str">
        <f>IF(O9="","",IF(O9&gt;=2,"急増↑↑",IF(O9&gt;=1.5,"増加↑",IF(O9&gt;=1,"普通→","減少↓"))))</f>
        <v>減少↓</v>
      </c>
      <c r="Q9" s="163" t="str">
        <f>IF(E9="","",IF(AND(E9&gt;G9,O9&gt;=1.5),"買い▲",IF(E9&lt;G9,"様子見▼","中立→")))</f>
        <v>中立→</v>
      </c>
      <c r="R9" s="166">
        <f>IF(E9&lt;&gt;"",ROUND(E9*1.08,0),"")</f>
        <v>1877</v>
      </c>
      <c r="S9" s="166">
        <f>IF(E9&lt;&gt;"",ROUND(E9*0.96,0),"")</f>
        <v>1668</v>
      </c>
      <c r="T9" s="163">
        <f>IF(C9="","",IFERROR(IF(O9&gt;=2,3,IF(O9&gt;=1.5,2,IF(O9&gt;=1,1,0)))+IF(E9&gt;G9,1,0)+IF(L9&gt;=-5,1,0)+IF(Q9="買い▲",2,0)+IF(W9&lt;=30,3,IF(W9&lt;=40,2,IF(AND(W9&gt;=40,W9&lt;=60),1,0)))+IF(X9&gt;0,1,0)+IF(V9="年初来高値更新●",3,IF(V9="高値圏",2,0))+IF(AD9="パーフェクト▲",3,IF(AD9="上昇トレンド▲",2,0))+IF(AE9="25日線押し目●",2,IF(AE9="5日線押し目○",1,0))+IF(P9="急増↑↑",2,IF(P9="増加↑",1,0))+N(AI9),0))</f>
        <v>2</v>
      </c>
      <c r="U9" s="163" t="str">
        <f>IF(T9="","",IF(AND(T9&gt;=3,O9&gt;=1.5),"有効",IF(T9&gt;=3,"要確認","除外")))</f>
        <v>除外</v>
      </c>
      <c r="V9" s="163" t="str">
        <f>IF(AND(H9&lt;&gt;"",K9&lt;&gt;""),IF(H9&gt;=K9,"年初来高値更新●",IF(H9&gt;=K9*0.95,"高値圏","通常")),"")</f>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IF(AND(E9&lt;&gt;"",G9&lt;&gt;"",G9&lt;&gt;0),(E9-G9)/G9*100,"")</f>
        <v>1.4002333722287048</v>
      </c>
      <c r="AA9" s="163" t="str">
        <f>IF(OR(C9="",E9="",E9=0),"",IF(E9&gt;G9,"上昇▲",IF(E9&lt;G9,"下落▼","横ばい→")))</f>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IF(OR(C9="",AB9="",AC9=""),"",IF(AND(E9&gt;AB9,AB9&gt;AC9),"パーフェクト▲",IF(E9&gt;AC9,"上昇トレンド▲",IF(AND(E9&lt;AB9,AB9&lt;AC9),"下降トレンド▼","もみ合い→"))))</f>
        <v>もみ合い→</v>
      </c>
      <c r="AE9" s="406" t="str">
        <f>IF(OR(C9="",AB9="",AC9=""),"",IF(AND(ABS(E9-AC9)/AC9&lt;=0.02,E9&gt;AC9),"25日押し目★",IF(AND(ABS(E9-AB9)/AB9&lt;=0.01,E9&gt;AB9),"5日押し目○","なし")))</f>
        <v>なし</v>
      </c>
      <c r="AF9" s="365">
        <f t="array" ref="AF9">IF(C9="","",IFERROR((INDEX(終値!$E:$E,MATCH(TEXT(C9,"0"),終値!$A:$A,0))-INDEX(終値!$E:$CZ,MATCH(TEXT(C9,"0"),終値!$A:$A,0),$AL$2))/INDEX(終値!$E:$CZ,MATCH(TEXT(C9,"0"),終値!$A:$A,0),$AL$2)*100,""))</f>
        <v>-0.17231476163124643</v>
      </c>
      <c r="AG9" s="365">
        <f t="array" ref="AG9">IFERROR((終値!$E$5-INDEX(終値!$E$5:$IT$5,1,$AL$2))/INDEX(終値!$E$5:$IT$5,1,$AL$2)*100,"")</f>
        <v>1.0179378228534113</v>
      </c>
      <c r="AH9" s="366">
        <f>IF(OR(AF9="",AG9=""),"",AF9-AG9)</f>
        <v>-1.1902525844846576</v>
      </c>
      <c r="AI9" s="364">
        <f>IF(AH9="","",IF(AH9&gt;5,3,IF(AH9&gt;0,1,IF(AH9&gt;-3,-1,-2))))</f>
        <v>-1</v>
      </c>
      <c r="BA9">
        <f>IFERROR((SUM(OFFSET(高値!$E$6,IFERROR(MATCH($C9,銘柄管理!$B$6:$B$305,0),MATCH(TEXT($C9,"0"),銘柄管理!$B$6:$B$305,0))-1,0,1,14))-SUM(OFFSET(安値!$E$6,IFERROR(MATCH($C9,銘柄管理!$B$6:$B$305,0),MATCH(TEXT($C9,"0"),銘柄管理!$B$6:$B$305,0))-1,0,1,14)))/SUM(OFFSET(終値!$E$6,IFERROR(MATCH($C9,銘柄管理!$B$6:$B$305,0),MATCH(TEXT($C9,"0"),銘柄管理!$B$6:$B$305,0))-1,0,1,14))*100,"")</f>
      </c>
      <c r="BB9">
        <f>IFERROR((MAX(OFFSET(高値!$E$6,IFERROR(MATCH($C9,銘柄管理!$B$6:$B$305,0),MATCH(TEXT($C9,"0"),銘柄管理!$B$6:$B$305,0))-1,0,1,25))-MIN(OFFSET(安値!$E$6,IFERROR(MATCH($C9,銘柄管理!$B$6:$B$305,0),MATCH(TEXT($C9,"0"),銘柄管理!$B$6:$B$305,0))-1,0,1,25)))/$E9*100,"")</f>
      </c>
      <c r="BC9">
        <f>IFERROR(($F9-$G9)/$G9*100,"")</f>
      </c>
      <c r="BD9">
        <f>IFERROR(($E9-MAX(OFFSET(高値!$E$6,IFERROR(MATCH($C9,銘柄管理!$B$6:$B$305,0),MATCH(TEXT($C9,"0"),銘柄管理!$B$6:$B$305,0))-1,0,1,25)))/MAX(OFFSET(高値!$E$6,IFERROR(MATCH($C9,銘柄管理!$B$6:$B$305,0),MATCH(TEXT($C9,"0"),銘柄管理!$B$6:$B$305,0))-1,0,1,25))*100,"")</f>
      </c>
      <c r="BE9">
        <f>IFERROR(($H9-$I9)/$F9*100,"")</f>
      </c>
      <c r="BF9">
        <f>IFERROR(-(($BA9-AVERAGE($BA$3:$BA$206))/STDEV($BA$3:$BA$206))-(($BE9-AVERAGE($BE$3:$BE$206))/STDEV($BE$3:$BE$206))-(($BB9-AVERAGE($BB$3:$BB$206))/STDEV($BB$3:$BB$206))-(($Z9-AVERAGE($Z$3:$Z$206))/STDEV($Z$3:$Z$206))-(($BC9-AVERAGE($BC$3:$BC$206))/STDEV($BC$3:$BC$206)),"")</f>
      </c>
      <c r="BG9">
        <f>IF(OR($C9="",$C9="TOPX",$BA9="",$BF9=""),0,IF(AND($BK$10=1,$BA9&lt;=$BK$2,$BB9&lt;=$BK$3,$BC9&lt;=$BK$4,$Z9&lt;=$BK$5,$Z9&gt;=$BK$6,$BD9&gt;=$BK$7,$BE9&lt;=$BK$8),1,0))</f>
      </c>
      <c r="BH9">
        <f>IF($C9="","",IF($BG9=1,"○ゲート通過",IF($BK$10&lt;&gt;1,"― この方向は停止中",IF($BA9&gt;$BK$2,"×値動きが荒い",IF($BB9&gt;$BK$3,"×レンジが広い",IF($BC9&gt;$BK$4,"×窓を開けて上昇",IF($Z9&gt;$BK$5,"×前日に急騰",IF($Z9&lt;$BK$6,"×前日に急落",IF($BD9&lt;$BK$7,"×高値から離れすぎ",IF($BE9&gt;$BK$8,"×当日の値幅が大きい","×")))))))))</f>
      </c>
      <c r="BJ9" t="inlineStr">
        <is>
          <t>1日の採用上限(件)</t>
        </is>
      </c>
      <c r="BK9">
        <v>3</v>
      </c>
    </row>
    <row r="10" spans="1:63"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IF(AND(E10&lt;&gt;"",K10&lt;&gt;"",K10&lt;&gt;0),(E10-K10)/K10*100,"")</f>
        <v>-20.611748348974626</v>
      </c>
      <c r="M10" s="166">
        <f>IF(C10&lt;&gt;"",IFERROR(AVERAGE(出来高!E166:I166),""),"")</f>
        <v>17620</v>
      </c>
      <c r="N10" s="166">
        <f>IF(C10&lt;&gt;"",IFERROR(AVERAGE(出来高!E166:AC166),""),"")</f>
        <v>25232</v>
      </c>
      <c r="O10" s="168">
        <f>IF(AND(J10&lt;&gt;"",M10&lt;&gt;"",M10&lt;&gt;0),J10/M10,"")</f>
        <v>0.38592508513053347</v>
      </c>
      <c r="P10" s="163" t="str">
        <f>IF(O10="","",IF(O10&gt;=2,"急増↑↑",IF(O10&gt;=1.5,"増加↑",IF(O10&gt;=1,"普通→","減少↓"))))</f>
        <v>減少↓</v>
      </c>
      <c r="Q10" s="163" t="str">
        <f>IF(E10="","",IF(AND(E10&gt;G10,O10&gt;=1.5),"買い▲",IF(E10&lt;G10,"様子見▼","中立→")))</f>
        <v>中立→</v>
      </c>
      <c r="R10" s="166">
        <f>IF(E10&lt;&gt;"",ROUND(E10*1.08,0),"")</f>
        <v>2467</v>
      </c>
      <c r="S10" s="166">
        <f>IF(E10&lt;&gt;"",ROUND(E10*0.96,0),"")</f>
        <v>2193</v>
      </c>
      <c r="T10" s="163">
        <f>IF(C10="","",IFERROR(IF(O10&gt;=2,3,IF(O10&gt;=1.5,2,IF(O10&gt;=1,1,0)))+IF(E10&gt;G10,1,0)+IF(L10&gt;=-5,1,0)+IF(Q10="買い▲",2,0)+IF(W10&lt;=30,3,IF(W10&lt;=40,2,IF(AND(W10&gt;=40,W10&lt;=60),1,0)))+IF(X10&gt;0,1,0)+IF(V10="年初来高値更新●",3,IF(V10="高値圏",2,0))+IF(AD10="パーフェクト▲",3,IF(AD10="上昇トレンド▲",2,0))+IF(AE10="25日線押し目●",2,IF(AE10="5日線押し目○",1,0))+IF(P10="急増↑↑",2,IF(P10="増加↑",1,0))+N(AI10),0))</f>
        <v>2</v>
      </c>
      <c r="U10" s="163" t="str">
        <f>IF(T10="","",IF(AND(T10&gt;=3,O10&gt;=1.5),"有効",IF(T10&gt;=3,"要確認","除外")))</f>
        <v>除外</v>
      </c>
      <c r="V10" s="163" t="str">
        <f>IF(AND(H10&lt;&gt;"",K10&lt;&gt;""),IF(H10&gt;=K10,"年初来高値更新●",IF(H10&gt;=K10*0.95,"高値圏","通常")),"")</f>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IF(AND(E10&lt;&gt;"",G10&lt;&gt;"",G10&lt;&gt;0),(E10-G10)/G10*100,"")</f>
        <v>8.7642418930762495E-2</v>
      </c>
      <c r="AA10" s="163" t="str">
        <f>IF(OR(C10="",E10="",E10=0),"",IF(E10&gt;G10,"上昇▲",IF(E10&lt;G10,"下落▼","横ばい→")))</f>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IF(OR(C10="",AB10="",AC10=""),"",IF(AND(E10&gt;AB10,AB10&gt;AC10),"パーフェクト▲",IF(E10&gt;AC10,"上昇トレンド▲",IF(AND(E10&lt;AB10,AB10&lt;AC10),"下降トレンド▼","もみ合い→"))))</f>
        <v>下降トレンド▼</v>
      </c>
      <c r="AE10" s="404" t="str">
        <f>IF(OR(C10="",AB10="",AC10=""),"",IF(AND(ABS(E10-AC10)/AC10&lt;=0.02,E10&gt;AC10),"25日押し目★",IF(AND(ABS(E10-AB10)/AB10&lt;=0.01,E10&gt;AB10),"5日押し目○","なし")))</f>
        <v>なし</v>
      </c>
      <c r="AF10" s="365">
        <f t="array" ref="AF10">IF(C10="","",IFERROR((INDEX(終値!$E:$E,MATCH(TEXT(C10,"0"),終値!$A:$A,0))-INDEX(終値!$E:$CZ,MATCH(TEXT(C10,"0"),終値!$A:$A,0),$AL$2))/INDEX(終値!$E:$CZ,MATCH(TEXT(C10,"0"),終値!$A:$A,0),$AL$2)*100,""))</f>
        <v>-1.1255411255411256</v>
      </c>
      <c r="AG10" s="365">
        <f t="array" ref="AG10">IFERROR((終値!$E$5-INDEX(終値!$E$5:$IT$5,1,$AL$2))/INDEX(終値!$E$5:$IT$5,1,$AL$2)*100,"")</f>
        <v>1.0179378228534113</v>
      </c>
      <c r="AH10" s="366">
        <f>IF(OR(AF10="",AG10=""),"",AF10-AG10)</f>
        <v>-2.1434789483945371</v>
      </c>
      <c r="AI10" s="364">
        <f>IF(AH10="","",IF(AH10&gt;5,3,IF(AH10&gt;0,1,IF(AH10&gt;-3,-1,-2))))</f>
        <v>-1</v>
      </c>
      <c r="BA10">
        <f>IFERROR((SUM(OFFSET(高値!$E$6,IFERROR(MATCH($C10,銘柄管理!$B$6:$B$305,0),MATCH(TEXT($C10,"0"),銘柄管理!$B$6:$B$305,0))-1,0,1,14))-SUM(OFFSET(安値!$E$6,IFERROR(MATCH($C10,銘柄管理!$B$6:$B$305,0),MATCH(TEXT($C10,"0"),銘柄管理!$B$6:$B$305,0))-1,0,1,14)))/SUM(OFFSET(終値!$E$6,IFERROR(MATCH($C10,銘柄管理!$B$6:$B$305,0),MATCH(TEXT($C10,"0"),銘柄管理!$B$6:$B$305,0))-1,0,1,14))*100,"")</f>
      </c>
      <c r="BB10">
        <f>IFERROR((MAX(OFFSET(高値!$E$6,IFERROR(MATCH($C10,銘柄管理!$B$6:$B$305,0),MATCH(TEXT($C10,"0"),銘柄管理!$B$6:$B$305,0))-1,0,1,25))-MIN(OFFSET(安値!$E$6,IFERROR(MATCH($C10,銘柄管理!$B$6:$B$305,0),MATCH(TEXT($C10,"0"),銘柄管理!$B$6:$B$305,0))-1,0,1,25)))/$E10*100,"")</f>
      </c>
      <c r="BC10">
        <f>IFERROR(($F10-$G10)/$G10*100,"")</f>
      </c>
      <c r="BD10">
        <f>IFERROR(($E10-MAX(OFFSET(高値!$E$6,IFERROR(MATCH($C10,銘柄管理!$B$6:$B$305,0),MATCH(TEXT($C10,"0"),銘柄管理!$B$6:$B$305,0))-1,0,1,25)))/MAX(OFFSET(高値!$E$6,IFERROR(MATCH($C10,銘柄管理!$B$6:$B$305,0),MATCH(TEXT($C10,"0"),銘柄管理!$B$6:$B$305,0))-1,0,1,25))*100,"")</f>
      </c>
      <c r="BE10">
        <f>IFERROR(($H10-$I10)/$F10*100,"")</f>
      </c>
      <c r="BF10">
        <f>IFERROR(-(($BA10-AVERAGE($BA$3:$BA$206))/STDEV($BA$3:$BA$206))-(($BE10-AVERAGE($BE$3:$BE$206))/STDEV($BE$3:$BE$206))-(($BB10-AVERAGE($BB$3:$BB$206))/STDEV($BB$3:$BB$206))-(($Z10-AVERAGE($Z$3:$Z$206))/STDEV($Z$3:$Z$206))-(($BC10-AVERAGE($BC$3:$BC$206))/STDEV($BC$3:$BC$206)),"")</f>
      </c>
      <c r="BG10">
        <f>IF(OR($C10="",$C10="TOPX",$BA10="",$BF10=""),0,IF(AND($BK$10=1,$BA10&lt;=$BK$2,$BB10&lt;=$BK$3,$BC10&lt;=$BK$4,$Z10&lt;=$BK$5,$Z10&gt;=$BK$6,$BD10&gt;=$BK$7,$BE10&lt;=$BK$8),1,0))</f>
      </c>
      <c r="BH10">
        <f>IF($C10="","",IF($BG10=1,"○ゲート通過",IF($BK$10&lt;&gt;1,"― この方向は停止中",IF($BA10&gt;$BK$2,"×値動きが荒い",IF($BB10&gt;$BK$3,"×レンジが広い",IF($BC10&gt;$BK$4,"×窓を開けて上昇",IF($Z10&gt;$BK$5,"×前日に急騰",IF($Z10&lt;$BK$6,"×前日に急落",IF($BD10&lt;$BK$7,"×高値から離れすぎ",IF($BE10&gt;$BK$8,"×当日の値幅が大きい","×")))))))))</f>
      </c>
      <c r="BJ10" t="inlineStr">
        <is>
          <t>この方向を使う 1=使う 0=停止</t>
        </is>
      </c>
      <c r="BK10">
        <v>1</v>
      </c>
    </row>
    <row r="11" spans="1:60"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IF(AND(E11&lt;&gt;"",K11&lt;&gt;"",K11&lt;&gt;0),(E11-K11)/K11*100,"")</f>
        <v>-17.387218045112782</v>
      </c>
      <c r="M11" s="166">
        <f>IF(C11&lt;&gt;"",IFERROR(AVERAGE(出来高!E162:I162),""),"")</f>
        <v>780</v>
      </c>
      <c r="N11" s="166">
        <f>IF(C11&lt;&gt;"",IFERROR(AVERAGE(出来高!E162:AC162),""),"")</f>
        <v>1270.8333333333333</v>
      </c>
      <c r="O11" s="168">
        <f>IF(AND(J11&lt;&gt;"",M11&lt;&gt;"",M11&lt;&gt;0),J11/M11,"")</f>
        <v>0.64102564102564108</v>
      </c>
      <c r="P11" s="163" t="str">
        <f>IF(O11="","",IF(O11&gt;=2,"急増↑↑",IF(O11&gt;=1.5,"増加↑",IF(O11&gt;=1,"普通→","減少↓"))))</f>
        <v>減少↓</v>
      </c>
      <c r="Q11" s="163" t="str">
        <f>IF(E11="","",IF(AND(E11&gt;G11,O11&gt;=1.5),"買い▲",IF(E11&lt;G11,"様子見▼","中立→")))</f>
        <v>様子見▼</v>
      </c>
      <c r="R11" s="166">
        <f>IF(E11&lt;&gt;"",ROUND(E11*1.08,0),"")</f>
        <v>4747</v>
      </c>
      <c r="S11" s="166">
        <f>IF(E11&lt;&gt;"",ROUND(E11*0.96,0),"")</f>
        <v>4219</v>
      </c>
      <c r="T11" s="163">
        <f>IF(C11="","",IFERROR(IF(O11&gt;=2,3,IF(O11&gt;=1.5,2,IF(O11&gt;=1,1,0)))+IF(E11&gt;G11,1,0)+IF(L11&gt;=-5,1,0)+IF(Q11="買い▲",2,0)+IF(W11&lt;=30,3,IF(W11&lt;=40,2,IF(AND(W11&gt;=40,W11&lt;=60),1,0)))+IF(X11&gt;0,1,0)+IF(V11="年初来高値更新●",3,IF(V11="高値圏",2,0))+IF(AD11="パーフェクト▲",3,IF(AD11="上昇トレンド▲",2,0))+IF(AE11="25日線押し目●",2,IF(AE11="5日線押し目○",1,0))+IF(P11="急増↑↑",2,IF(P11="増加↑",1,0))+N(AI11),0))</f>
        <v>3</v>
      </c>
      <c r="U11" s="163" t="str">
        <f>IF(T11="","",IF(AND(T11&gt;=3,O11&gt;=1.5),"有効",IF(T11&gt;=3,"要確認","除外")))</f>
        <v>要確認</v>
      </c>
      <c r="V11" s="163" t="str">
        <f>IF(AND(H11&lt;&gt;"",K11&lt;&gt;""),IF(H11&gt;=K11,"年初来高値更新●",IF(H11&gt;=K11*0.95,"高値圏","通常")),"")</f>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IF(AND(E11&lt;&gt;"",G11&lt;&gt;"",G11&lt;&gt;0),(E11-G11)/G11*100,"")</f>
        <v>-1.124859392575928</v>
      </c>
      <c r="AA11" s="163" t="str">
        <f>IF(OR(C11="",E11="",E11=0),"",IF(E11&gt;G11,"上昇▲",IF(E11&lt;G11,"下落▼","横ばい→")))</f>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IF(OR(C11="",AB11="",AC11=""),"",IF(AND(E11&gt;AB11,AB11&gt;AC11),"パーフェクト▲",IF(E11&gt;AC11,"上昇トレンド▲",IF(AND(E11&lt;AB11,AB11&lt;AC11),"下降トレンド▼","もみ合い→"))))</f>
        <v>パーフェクト▲</v>
      </c>
      <c r="AE11" s="406" t="str">
        <f>IF(OR(C11="",AB11="",AC11=""),"",IF(AND(ABS(E11-AC11)/AC11&lt;=0.02,E11&gt;AC11),"25日押し目★",IF(AND(ABS(E11-AB11)/AB11&lt;=0.01,E11&gt;AB11),"5日押し目○","なし")))</f>
        <v>なし</v>
      </c>
      <c r="AF11" s="365">
        <f t="array" ref="AF11">IF(C11="","",IFERROR((INDEX(終値!$E:$E,MATCH(TEXT(C11,"0"),終値!$A:$A,0))-INDEX(終値!$E:$CZ,MATCH(TEXT(C11,"0"),終値!$A:$A,0),$AL$2))/INDEX(終値!$E:$CZ,MATCH(TEXT(C11,"0"),終値!$A:$A,0),$AL$2)*100,""))</f>
        <v>0.57208237986270016</v>
      </c>
      <c r="AG11" s="365">
        <f t="array" ref="AG11">IFERROR((終値!$E$5-INDEX(終値!$E$5:$IT$5,1,$AL$2))/INDEX(終値!$E$5:$IT$5,1,$AL$2)*100,"")</f>
        <v>1.0179378228534113</v>
      </c>
      <c r="AH11" s="366">
        <f>IF(OR(AF11="",AG11=""),"",AF11-AG11)</f>
        <v>-0.44585544299071111</v>
      </c>
      <c r="AI11" s="364">
        <f>IF(AH11="","",IF(AH11&gt;5,3,IF(AH11&gt;0,1,IF(AH11&gt;-3,-1,-2))))</f>
        <v>-1</v>
      </c>
      <c r="BA11">
        <f>IFERROR((SUM(OFFSET(高値!$E$6,IFERROR(MATCH($C11,銘柄管理!$B$6:$B$305,0),MATCH(TEXT($C11,"0"),銘柄管理!$B$6:$B$305,0))-1,0,1,14))-SUM(OFFSET(安値!$E$6,IFERROR(MATCH($C11,銘柄管理!$B$6:$B$305,0),MATCH(TEXT($C11,"0"),銘柄管理!$B$6:$B$305,0))-1,0,1,14)))/SUM(OFFSET(終値!$E$6,IFERROR(MATCH($C11,銘柄管理!$B$6:$B$305,0),MATCH(TEXT($C11,"0"),銘柄管理!$B$6:$B$305,0))-1,0,1,14))*100,"")</f>
      </c>
      <c r="BB11">
        <f>IFERROR((MAX(OFFSET(高値!$E$6,IFERROR(MATCH($C11,銘柄管理!$B$6:$B$305,0),MATCH(TEXT($C11,"0"),銘柄管理!$B$6:$B$305,0))-1,0,1,25))-MIN(OFFSET(安値!$E$6,IFERROR(MATCH($C11,銘柄管理!$B$6:$B$305,0),MATCH(TEXT($C11,"0"),銘柄管理!$B$6:$B$305,0))-1,0,1,25)))/$E11*100,"")</f>
      </c>
      <c r="BC11">
        <f>IFERROR(($F11-$G11)/$G11*100,"")</f>
      </c>
      <c r="BD11">
        <f>IFERROR(($E11-MAX(OFFSET(高値!$E$6,IFERROR(MATCH($C11,銘柄管理!$B$6:$B$305,0),MATCH(TEXT($C11,"0"),銘柄管理!$B$6:$B$305,0))-1,0,1,25)))/MAX(OFFSET(高値!$E$6,IFERROR(MATCH($C11,銘柄管理!$B$6:$B$305,0),MATCH(TEXT($C11,"0"),銘柄管理!$B$6:$B$305,0))-1,0,1,25))*100,"")</f>
      </c>
      <c r="BE11">
        <f>IFERROR(($H11-$I11)/$F11*100,"")</f>
      </c>
      <c r="BF11">
        <f>IFERROR(-(($BA11-AVERAGE($BA$3:$BA$206))/STDEV($BA$3:$BA$206))-(($BE11-AVERAGE($BE$3:$BE$206))/STDEV($BE$3:$BE$206))-(($BB11-AVERAGE($BB$3:$BB$206))/STDEV($BB$3:$BB$206))-(($Z11-AVERAGE($Z$3:$Z$206))/STDEV($Z$3:$Z$206))-(($BC11-AVERAGE($BC$3:$BC$206))/STDEV($BC$3:$BC$206)),"")</f>
      </c>
      <c r="BG11">
        <f>IF(OR($C11="",$C11="TOPX",$BA11="",$BF11=""),0,IF(AND($BK$10=1,$BA11&lt;=$BK$2,$BB11&lt;=$BK$3,$BC11&lt;=$BK$4,$Z11&lt;=$BK$5,$Z11&gt;=$BK$6,$BD11&gt;=$BK$7,$BE11&lt;=$BK$8),1,0))</f>
      </c>
      <c r="BH11">
        <f>IF($C11="","",IF($BG11=1,"○ゲート通過",IF($BK$10&lt;&gt;1,"― この方向は停止中",IF($BA11&gt;$BK$2,"×値動きが荒い",IF($BB11&gt;$BK$3,"×レンジが広い",IF($BC11&gt;$BK$4,"×窓を開けて上昇",IF($Z11&gt;$BK$5,"×前日に急騰",IF($Z11&lt;$BK$6,"×前日に急落",IF($BD11&lt;$BK$7,"×高値から離れすぎ",IF($BE11&gt;$BK$8,"×当日の値幅が大きい","×")))))))))</f>
      </c>
    </row>
    <row r="12" spans="1:60"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IF(AND(E12&lt;&gt;"",K12&lt;&gt;"",K12&lt;&gt;0),(E12-K12)/K12*100,"")</f>
        <v>-22.037914691943129</v>
      </c>
      <c r="M12" s="166">
        <f>IF(C12&lt;&gt;"",IFERROR(AVERAGE(出来高!E167:I167),""),"")</f>
        <v>160860</v>
      </c>
      <c r="N12" s="166">
        <f>IF(C12&lt;&gt;"",IFERROR(AVERAGE(出来高!E167:AC167),""),"")</f>
        <v>143537.5</v>
      </c>
      <c r="O12" s="168">
        <f>IF(AND(J12&lt;&gt;"",M12&lt;&gt;"",M12&lt;&gt;0),J12/M12,"")</f>
        <v>0.58498072858386174</v>
      </c>
      <c r="P12" s="163" t="str">
        <f>IF(O12="","",IF(O12&gt;=2,"急増↑↑",IF(O12&gt;=1.5,"増加↑",IF(O12&gt;=1,"普通→","減少↓"))))</f>
        <v>減少↓</v>
      </c>
      <c r="Q12" s="163" t="str">
        <f>IF(E12="","",IF(AND(E12&gt;G12,O12&gt;=1.5),"買い▲",IF(E12&lt;G12,"様子見▼","中立→")))</f>
        <v>様子見▼</v>
      </c>
      <c r="R12" s="166">
        <f>IF(E12&lt;&gt;"",ROUND(E12*1.08,0),"")</f>
        <v>3553</v>
      </c>
      <c r="S12" s="166">
        <f>IF(E12&lt;&gt;"",ROUND(E12*0.96,0),"")</f>
        <v>3158</v>
      </c>
      <c r="T12" s="163">
        <f>IF(C12="","",IFERROR(IF(O12&gt;=2,3,IF(O12&gt;=1.5,2,IF(O12&gt;=1,1,0)))+IF(E12&gt;G12,1,0)+IF(L12&gt;=-5,1,0)+IF(Q12="買い▲",2,0)+IF(W12&lt;=30,3,IF(W12&lt;=40,2,IF(AND(W12&gt;=40,W12&lt;=60),1,0)))+IF(X12&gt;0,1,0)+IF(V12="年初来高値更新●",3,IF(V12="高値圏",2,0))+IF(AD12="パーフェクト▲",3,IF(AD12="上昇トレンド▲",2,0))+IF(AE12="25日線押し目●",2,IF(AE12="5日線押し目○",1,0))+IF(P12="急増↑↑",2,IF(P12="増加↑",1,0))+N(AI12),0))</f>
        <v>0</v>
      </c>
      <c r="U12" s="163" t="str">
        <f>IF(T12="","",IF(AND(T12&gt;=3,O12&gt;=1.5),"有効",IF(T12&gt;=3,"要確認","除外")))</f>
        <v>除外</v>
      </c>
      <c r="V12" s="163" t="str">
        <f>IF(AND(H12&lt;&gt;"",K12&lt;&gt;""),IF(H12&gt;=K12,"年初来高値更新●",IF(H12&gt;=K12*0.95,"高値圏","通常")),"")</f>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IF(AND(E12&lt;&gt;"",G12&lt;&gt;"",G12&lt;&gt;0),(E12-G12)/G12*100,"")</f>
        <v>-1.3493253373313343</v>
      </c>
      <c r="AA12" s="163" t="str">
        <f>IF(OR(C12="",E12="",E12=0),"",IF(E12&gt;G12,"上昇▲",IF(E12&lt;G12,"下落▼","横ばい→")))</f>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IF(OR(C12="",AB12="",AC12=""),"",IF(AND(E12&gt;AB12,AB12&gt;AC12),"パーフェクト▲",IF(E12&gt;AC12,"上昇トレンド▲",IF(AND(E12&lt;AB12,AB12&lt;AC12),"下降トレンド▼","もみ合い→"))))</f>
        <v>下降トレンド▼</v>
      </c>
      <c r="AE12" s="404" t="str">
        <f>IF(OR(C12="",AB12="",AC12=""),"",IF(AND(ABS(E12-AC12)/AC12&lt;=0.02,E12&gt;AC12),"25日押し目★",IF(AND(ABS(E12-AB12)/AB12&lt;=0.01,E12&gt;AB12),"5日押し目○","なし")))</f>
        <v>なし</v>
      </c>
      <c r="AF12" s="365">
        <f t="array" ref="AF12">IF(C12="","",IFERROR((INDEX(終値!$E:$E,MATCH(TEXT(C12,"0"),終値!$A:$A,0))-INDEX(終値!$E:$CZ,MATCH(TEXT(C12,"0"),終値!$A:$A,0),$AL$2))/INDEX(終値!$E:$CZ,MATCH(TEXT(C12,"0"),終値!$A:$A,0),$AL$2)*100,""))</f>
        <v>-1.791044776119403</v>
      </c>
      <c r="AG12" s="365">
        <f t="array" ref="AG12">IFERROR((終値!$E$5-INDEX(終値!$E$5:$IT$5,1,$AL$2))/INDEX(終値!$E$5:$IT$5,1,$AL$2)*100,"")</f>
        <v>1.0179378228534113</v>
      </c>
      <c r="AH12" s="366">
        <f>IF(OR(AF12="",AG12=""),"",AF12-AG12)</f>
        <v>-2.8089825989728143</v>
      </c>
      <c r="AI12" s="364">
        <f>IF(AH12="","",IF(AH12&gt;5,3,IF(AH12&gt;0,1,IF(AH12&gt;-3,-1,-2))))</f>
        <v>-1</v>
      </c>
      <c r="BA12">
        <f>IFERROR((SUM(OFFSET(高値!$E$6,IFERROR(MATCH($C12,銘柄管理!$B$6:$B$305,0),MATCH(TEXT($C12,"0"),銘柄管理!$B$6:$B$305,0))-1,0,1,14))-SUM(OFFSET(安値!$E$6,IFERROR(MATCH($C12,銘柄管理!$B$6:$B$305,0),MATCH(TEXT($C12,"0"),銘柄管理!$B$6:$B$305,0))-1,0,1,14)))/SUM(OFFSET(終値!$E$6,IFERROR(MATCH($C12,銘柄管理!$B$6:$B$305,0),MATCH(TEXT($C12,"0"),銘柄管理!$B$6:$B$305,0))-1,0,1,14))*100,"")</f>
      </c>
      <c r="BB12">
        <f>IFERROR((MAX(OFFSET(高値!$E$6,IFERROR(MATCH($C12,銘柄管理!$B$6:$B$305,0),MATCH(TEXT($C12,"0"),銘柄管理!$B$6:$B$305,0))-1,0,1,25))-MIN(OFFSET(安値!$E$6,IFERROR(MATCH($C12,銘柄管理!$B$6:$B$305,0),MATCH(TEXT($C12,"0"),銘柄管理!$B$6:$B$305,0))-1,0,1,25)))/$E12*100,"")</f>
      </c>
      <c r="BC12">
        <f>IFERROR(($F12-$G12)/$G12*100,"")</f>
      </c>
      <c r="BD12">
        <f>IFERROR(($E12-MAX(OFFSET(高値!$E$6,IFERROR(MATCH($C12,銘柄管理!$B$6:$B$305,0),MATCH(TEXT($C12,"0"),銘柄管理!$B$6:$B$305,0))-1,0,1,25)))/MAX(OFFSET(高値!$E$6,IFERROR(MATCH($C12,銘柄管理!$B$6:$B$305,0),MATCH(TEXT($C12,"0"),銘柄管理!$B$6:$B$305,0))-1,0,1,25))*100,"")</f>
      </c>
      <c r="BE12">
        <f>IFERROR(($H12-$I12)/$F12*100,"")</f>
      </c>
      <c r="BF12">
        <f>IFERROR(-(($BA12-AVERAGE($BA$3:$BA$206))/STDEV($BA$3:$BA$206))-(($BE12-AVERAGE($BE$3:$BE$206))/STDEV($BE$3:$BE$206))-(($BB12-AVERAGE($BB$3:$BB$206))/STDEV($BB$3:$BB$206))-(($Z12-AVERAGE($Z$3:$Z$206))/STDEV($Z$3:$Z$206))-(($BC12-AVERAGE($BC$3:$BC$206))/STDEV($BC$3:$BC$206)),"")</f>
      </c>
      <c r="BG12">
        <f>IF(OR($C12="",$C12="TOPX",$BA12="",$BF12=""),0,IF(AND($BK$10=1,$BA12&lt;=$BK$2,$BB12&lt;=$BK$3,$BC12&lt;=$BK$4,$Z12&lt;=$BK$5,$Z12&gt;=$BK$6,$BD12&gt;=$BK$7,$BE12&lt;=$BK$8),1,0))</f>
      </c>
      <c r="BH12">
        <f>IF($C12="","",IF($BG12=1,"○ゲート通過",IF($BK$10&lt;&gt;1,"― この方向は停止中",IF($BA12&gt;$BK$2,"×値動きが荒い",IF($BB12&gt;$BK$3,"×レンジが広い",IF($BC12&gt;$BK$4,"×窓を開けて上昇",IF($Z12&gt;$BK$5,"×前日に急騰",IF($Z12&lt;$BK$6,"×前日に急落",IF($BD12&lt;$BK$7,"×高値から離れすぎ",IF($BE12&gt;$BK$8,"×当日の値幅が大きい","×")))))))))</f>
      </c>
    </row>
    <row r="13" spans="1:60"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IF(AND(E13&lt;&gt;"",K13&lt;&gt;"",K13&lt;&gt;0),(E13-K13)/K13*100,"")</f>
        <v>-10.44039483675019</v>
      </c>
      <c r="M13" s="166">
        <f>IF(C13&lt;&gt;"",IFERROR(AVERAGE(出来高!E185:I185),""),"")</f>
        <v>86920</v>
      </c>
      <c r="N13" s="166">
        <f>IF(C13&lt;&gt;"",IFERROR(AVERAGE(出来高!E185:AC185),""),"")</f>
        <v>75796</v>
      </c>
      <c r="O13" s="168">
        <f>IF(AND(J13&lt;&gt;"",M13&lt;&gt;"",M13&lt;&gt;0),J13/M13,"")</f>
        <v>0.81914404049700873</v>
      </c>
      <c r="P13" s="163" t="str">
        <f>IF(O13="","",IF(O13&gt;=2,"急増↑↑",IF(O13&gt;=1.5,"増加↑",IF(O13&gt;=1,"普通→","減少↓"))))</f>
        <v>減少↓</v>
      </c>
      <c r="Q13" s="163" t="str">
        <f>IF(E13="","",IF(AND(E13&gt;G13,O13&gt;=1.5),"買い▲",IF(E13&lt;G13,"様子見▼","中立→")))</f>
        <v>中立→</v>
      </c>
      <c r="R13" s="166">
        <f>IF(E13&lt;&gt;"",ROUND(E13*1.08,0),"")</f>
        <v>2548</v>
      </c>
      <c r="S13" s="166">
        <f>IF(E13&lt;&gt;"",ROUND(E13*0.96,0),"")</f>
        <v>2265</v>
      </c>
      <c r="T13" s="163">
        <f>IF(C13="","",IFERROR(IF(O13&gt;=2,3,IF(O13&gt;=1.5,2,IF(O13&gt;=1,1,0)))+IF(E13&gt;G13,1,0)+IF(L13&gt;=-5,1,0)+IF(Q13="買い▲",2,0)+IF(W13&lt;=30,3,IF(W13&lt;=40,2,IF(AND(W13&gt;=40,W13&lt;=60),1,0)))+IF(X13&gt;0,1,0)+IF(V13="年初来高値更新●",3,IF(V13="高値圏",2,0))+IF(AD13="パーフェクト▲",3,IF(AD13="上昇トレンド▲",2,0))+IF(AE13="25日線押し目●",2,IF(AE13="5日線押し目○",1,0))+IF(P13="急増↑↑",2,IF(P13="増加↑",1,0))+N(AI13),0))</f>
        <v>6</v>
      </c>
      <c r="U13" s="163" t="str">
        <f>IF(T13="","",IF(AND(T13&gt;=3,O13&gt;=1.5),"有効",IF(T13&gt;=3,"要確認","除外")))</f>
        <v>要確認</v>
      </c>
      <c r="V13" s="163" t="str">
        <f>IF(AND(H13&lt;&gt;"",K13&lt;&gt;""),IF(H13&gt;=K13,"年初来高値更新●",IF(H13&gt;=K13*0.95,"高値圏","通常")),"")</f>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IF(AND(E13&lt;&gt;"",G13&lt;&gt;"",G13&lt;&gt;0),(E13-G13)/G13*100,"")</f>
        <v>1.1144449207029576</v>
      </c>
      <c r="AA13" s="163" t="str">
        <f>IF(OR(C13="",E13="",E13=0),"",IF(E13&gt;G13,"上昇▲",IF(E13&lt;G13,"下落▼","横ばい→")))</f>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IF(OR(C13="",AB13="",AC13=""),"",IF(AND(E13&gt;AB13,AB13&gt;AC13),"パーフェクト▲",IF(E13&gt;AC13,"上昇トレンド▲",IF(AND(E13&lt;AB13,AB13&lt;AC13),"下降トレンド▼","もみ合い→"))))</f>
        <v>下降トレンド▼</v>
      </c>
      <c r="AE13" s="406" t="str">
        <f>IF(OR(C13="",AB13="",AC13=""),"",IF(AND(ABS(E13-AC13)/AC13&lt;=0.02,E13&gt;AC13),"25日押し目★",IF(AND(ABS(E13-AB13)/AB13&lt;=0.01,E13&gt;AB13),"5日押し目○","なし")))</f>
        <v>なし</v>
      </c>
      <c r="AF13" s="365">
        <f t="array" ref="AF13">IF(C13="","",IFERROR((INDEX(終値!$E:$E,MATCH(TEXT(C13,"0"),終値!$A:$A,0))-INDEX(終値!$E:$CZ,MATCH(TEXT(C13,"0"),終値!$A:$A,0),$AL$2))/INDEX(終値!$E:$CZ,MATCH(TEXT(C13,"0"),終値!$A:$A,0),$AL$2)*100,""))</f>
        <v>6.02247191011236</v>
      </c>
      <c r="AG13" s="365">
        <f t="array" ref="AG13">IFERROR((終値!$E$5-INDEX(終値!$E$5:$IT$5,1,$AL$2))/INDEX(終値!$E$5:$IT$5,1,$AL$2)*100,"")</f>
        <v>1.0179378228534113</v>
      </c>
      <c r="AH13" s="366">
        <f>IF(OR(AF13="",AG13=""),"",AF13-AG13)</f>
        <v>5.004534087258949</v>
      </c>
      <c r="AI13" s="364">
        <f>IF(AH13="","",IF(AH13&gt;5,3,IF(AH13&gt;0,1,IF(AH13&gt;-3,-1,-2))))</f>
        <v>3</v>
      </c>
      <c r="BA13">
        <f>IFERROR((SUM(OFFSET(高値!$E$6,IFERROR(MATCH($C13,銘柄管理!$B$6:$B$305,0),MATCH(TEXT($C13,"0"),銘柄管理!$B$6:$B$305,0))-1,0,1,14))-SUM(OFFSET(安値!$E$6,IFERROR(MATCH($C13,銘柄管理!$B$6:$B$305,0),MATCH(TEXT($C13,"0"),銘柄管理!$B$6:$B$305,0))-1,0,1,14)))/SUM(OFFSET(終値!$E$6,IFERROR(MATCH($C13,銘柄管理!$B$6:$B$305,0),MATCH(TEXT($C13,"0"),銘柄管理!$B$6:$B$305,0))-1,0,1,14))*100,"")</f>
      </c>
      <c r="BB13">
        <f>IFERROR((MAX(OFFSET(高値!$E$6,IFERROR(MATCH($C13,銘柄管理!$B$6:$B$305,0),MATCH(TEXT($C13,"0"),銘柄管理!$B$6:$B$305,0))-1,0,1,25))-MIN(OFFSET(安値!$E$6,IFERROR(MATCH($C13,銘柄管理!$B$6:$B$305,0),MATCH(TEXT($C13,"0"),銘柄管理!$B$6:$B$305,0))-1,0,1,25)))/$E13*100,"")</f>
      </c>
      <c r="BC13">
        <f>IFERROR(($F13-$G13)/$G13*100,"")</f>
      </c>
      <c r="BD13">
        <f>IFERROR(($E13-MAX(OFFSET(高値!$E$6,IFERROR(MATCH($C13,銘柄管理!$B$6:$B$305,0),MATCH(TEXT($C13,"0"),銘柄管理!$B$6:$B$305,0))-1,0,1,25)))/MAX(OFFSET(高値!$E$6,IFERROR(MATCH($C13,銘柄管理!$B$6:$B$305,0),MATCH(TEXT($C13,"0"),銘柄管理!$B$6:$B$305,0))-1,0,1,25))*100,"")</f>
      </c>
      <c r="BE13">
        <f>IFERROR(($H13-$I13)/$F13*100,"")</f>
      </c>
      <c r="BF13">
        <f>IFERROR(-(($BA13-AVERAGE($BA$3:$BA$206))/STDEV($BA$3:$BA$206))-(($BE13-AVERAGE($BE$3:$BE$206))/STDEV($BE$3:$BE$206))-(($BB13-AVERAGE($BB$3:$BB$206))/STDEV($BB$3:$BB$206))-(($Z13-AVERAGE($Z$3:$Z$206))/STDEV($Z$3:$Z$206))-(($BC13-AVERAGE($BC$3:$BC$206))/STDEV($BC$3:$BC$206)),"")</f>
      </c>
      <c r="BG13">
        <f>IF(OR($C13="",$C13="TOPX",$BA13="",$BF13=""),0,IF(AND($BK$10=1,$BA13&lt;=$BK$2,$BB13&lt;=$BK$3,$BC13&lt;=$BK$4,$Z13&lt;=$BK$5,$Z13&gt;=$BK$6,$BD13&gt;=$BK$7,$BE13&lt;=$BK$8),1,0))</f>
      </c>
      <c r="BH13">
        <f>IF($C13="","",IF($BG13=1,"○ゲート通過",IF($BK$10&lt;&gt;1,"― この方向は停止中",IF($BA13&gt;$BK$2,"×値動きが荒い",IF($BB13&gt;$BK$3,"×レンジが広い",IF($BC13&gt;$BK$4,"×窓を開けて上昇",IF($Z13&gt;$BK$5,"×前日に急騰",IF($Z13&lt;$BK$6,"×前日に急落",IF($BD13&lt;$BK$7,"×高値から離れすぎ",IF($BE13&gt;$BK$8,"×当日の値幅が大きい","×")))))))))</f>
      </c>
    </row>
    <row r="14" spans="1:60"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IF(AND(E14&lt;&gt;"",K14&lt;&gt;"",K14&lt;&gt;0),(E14-K14)/K14*100,"")</f>
        <v>-21.045694200351495</v>
      </c>
      <c r="M14" s="166">
        <f>IF(C14&lt;&gt;"",IFERROR(AVERAGE(出来高!E127:I127),""),"")</f>
        <v>1011680</v>
      </c>
      <c r="N14" s="166">
        <f>IF(C14&lt;&gt;"",IFERROR(AVERAGE(出来高!E127:AC127),""),"")</f>
        <v>926596</v>
      </c>
      <c r="O14" s="168">
        <f>IF(AND(J14&lt;&gt;"",M14&lt;&gt;"",M14&lt;&gt;0),J14/M14,"")</f>
        <v>0.99735094100901467</v>
      </c>
      <c r="P14" s="163" t="str">
        <f>IF(O14="","",IF(O14&gt;=2,"急増↑↑",IF(O14&gt;=1.5,"増加↑",IF(O14&gt;=1,"普通→","減少↓"))))</f>
        <v>減少↓</v>
      </c>
      <c r="Q14" s="163" t="str">
        <f>IF(E14="","",IF(AND(E14&gt;G14,O14&gt;=1.5),"買い▲",IF(E14&lt;G14,"様子見▼","中立→")))</f>
        <v>中立→</v>
      </c>
      <c r="R14" s="166">
        <f>IF(E14&lt;&gt;"",ROUND(E14*1.08,0),"")</f>
        <v>5822</v>
      </c>
      <c r="S14" s="166">
        <f>IF(E14&lt;&gt;"",ROUND(E14*0.96,0),"")</f>
        <v>5175</v>
      </c>
      <c r="T14" s="163">
        <f>IF(C14="","",IFERROR(IF(O14&gt;=2,3,IF(O14&gt;=1.5,2,IF(O14&gt;=1,1,0)))+IF(E14&gt;G14,1,0)+IF(L14&gt;=-5,1,0)+IF(Q14="買い▲",2,0)+IF(W14&lt;=30,3,IF(W14&lt;=40,2,IF(AND(W14&gt;=40,W14&lt;=60),1,0)))+IF(X14&gt;0,1,0)+IF(V14="年初来高値更新●",3,IF(V14="高値圏",2,0))+IF(AD14="パーフェクト▲",3,IF(AD14="上昇トレンド▲",2,0))+IF(AE14="25日線押し目●",2,IF(AE14="5日線押し目○",1,0))+IF(P14="急増↑↑",2,IF(P14="増加↑",1,0))+N(AI14),0))</f>
        <v>7</v>
      </c>
      <c r="U14" s="163" t="str">
        <f>IF(T14="","",IF(AND(T14&gt;=3,O14&gt;=1.5),"有効",IF(T14&gt;=3,"要確認","除外")))</f>
        <v>要確認</v>
      </c>
      <c r="V14" s="163" t="str">
        <f>IF(AND(H14&lt;&gt;"",K14&lt;&gt;""),IF(H14&gt;=K14,"年初来高値更新●",IF(H14&gt;=K14*0.95,"高値圏","通常")),"")</f>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IF(AND(E14&lt;&gt;"",G14&lt;&gt;"",G14&lt;&gt;0),(E14-G14)/G14*100,"")</f>
        <v>1.5254237288135595</v>
      </c>
      <c r="AA14" s="163" t="str">
        <f>IF(OR(C14="",E14="",E14=0),"",IF(E14&gt;G14,"上昇▲",IF(E14&lt;G14,"下落▼","横ばい→")))</f>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IF(OR(C14="",AB14="",AC14=""),"",IF(AND(E14&gt;AB14,AB14&gt;AC14),"パーフェクト▲",IF(E14&gt;AC14,"上昇トレンド▲",IF(AND(E14&lt;AB14,AB14&lt;AC14),"下降トレンド▼","もみ合い→"))))</f>
        <v>パーフェクト▲</v>
      </c>
      <c r="AE14" s="404" t="str">
        <f>IF(OR(C14="",AB14="",AC14=""),"",IF(AND(ABS(E14-AC14)/AC14&lt;=0.02,E14&gt;AC14),"25日押し目★",IF(AND(ABS(E14-AB14)/AB14&lt;=0.01,E14&gt;AB14),"5日押し目○","なし")))</f>
        <v>なし</v>
      </c>
      <c r="AF14" s="365">
        <f t="array" ref="AF14">IF(C14="","",IFERROR((INDEX(終値!$E:$E,MATCH(TEXT(C14,"0"),終値!$A:$A,0))-INDEX(終値!$E:$CZ,MATCH(TEXT(C14,"0"),終値!$A:$A,0),$AL$2))/INDEX(終値!$E:$CZ,MATCH(TEXT(C14,"0"),終値!$A:$A,0),$AL$2)*100,""))</f>
        <v>1.7553793884484712</v>
      </c>
      <c r="AG14" s="365">
        <f t="array" ref="AG14">IFERROR((終値!$E$5-INDEX(終値!$E$5:$IT$5,1,$AL$2))/INDEX(終値!$E$5:$IT$5,1,$AL$2)*100,"")</f>
        <v>1.0179378228534113</v>
      </c>
      <c r="AH14" s="366">
        <f>IF(OR(AF14="",AG14=""),"",AF14-AG14)</f>
        <v>0.73744156559505991</v>
      </c>
      <c r="AI14" s="364">
        <f>IF(AH14="","",IF(AH14&gt;5,3,IF(AH14&gt;0,1,IF(AH14&gt;-3,-1,-2))))</f>
        <v>1</v>
      </c>
      <c r="BA14">
        <f>IFERROR((SUM(OFFSET(高値!$E$6,IFERROR(MATCH($C14,銘柄管理!$B$6:$B$305,0),MATCH(TEXT($C14,"0"),銘柄管理!$B$6:$B$305,0))-1,0,1,14))-SUM(OFFSET(安値!$E$6,IFERROR(MATCH($C14,銘柄管理!$B$6:$B$305,0),MATCH(TEXT($C14,"0"),銘柄管理!$B$6:$B$305,0))-1,0,1,14)))/SUM(OFFSET(終値!$E$6,IFERROR(MATCH($C14,銘柄管理!$B$6:$B$305,0),MATCH(TEXT($C14,"0"),銘柄管理!$B$6:$B$305,0))-1,0,1,14))*100,"")</f>
      </c>
      <c r="BB14">
        <f>IFERROR((MAX(OFFSET(高値!$E$6,IFERROR(MATCH($C14,銘柄管理!$B$6:$B$305,0),MATCH(TEXT($C14,"0"),銘柄管理!$B$6:$B$305,0))-1,0,1,25))-MIN(OFFSET(安値!$E$6,IFERROR(MATCH($C14,銘柄管理!$B$6:$B$305,0),MATCH(TEXT($C14,"0"),銘柄管理!$B$6:$B$305,0))-1,0,1,25)))/$E14*100,"")</f>
      </c>
      <c r="BC14">
        <f>IFERROR(($F14-$G14)/$G14*100,"")</f>
      </c>
      <c r="BD14">
        <f>IFERROR(($E14-MAX(OFFSET(高値!$E$6,IFERROR(MATCH($C14,銘柄管理!$B$6:$B$305,0),MATCH(TEXT($C14,"0"),銘柄管理!$B$6:$B$305,0))-1,0,1,25)))/MAX(OFFSET(高値!$E$6,IFERROR(MATCH($C14,銘柄管理!$B$6:$B$305,0),MATCH(TEXT($C14,"0"),銘柄管理!$B$6:$B$305,0))-1,0,1,25))*100,"")</f>
      </c>
      <c r="BE14">
        <f>IFERROR(($H14-$I14)/$F14*100,"")</f>
      </c>
      <c r="BF14">
        <f>IFERROR(-(($BA14-AVERAGE($BA$3:$BA$206))/STDEV($BA$3:$BA$206))-(($BE14-AVERAGE($BE$3:$BE$206))/STDEV($BE$3:$BE$206))-(($BB14-AVERAGE($BB$3:$BB$206))/STDEV($BB$3:$BB$206))-(($Z14-AVERAGE($Z$3:$Z$206))/STDEV($Z$3:$Z$206))-(($BC14-AVERAGE($BC$3:$BC$206))/STDEV($BC$3:$BC$206)),"")</f>
      </c>
      <c r="BG14">
        <f>IF(OR($C14="",$C14="TOPX",$BA14="",$BF14=""),0,IF(AND($BK$10=1,$BA14&lt;=$BK$2,$BB14&lt;=$BK$3,$BC14&lt;=$BK$4,$Z14&lt;=$BK$5,$Z14&gt;=$BK$6,$BD14&gt;=$BK$7,$BE14&lt;=$BK$8),1,0))</f>
      </c>
      <c r="BH14">
        <f>IF($C14="","",IF($BG14=1,"○ゲート通過",IF($BK$10&lt;&gt;1,"― この方向は停止中",IF($BA14&gt;$BK$2,"×値動きが荒い",IF($BB14&gt;$BK$3,"×レンジが広い",IF($BC14&gt;$BK$4,"×窓を開けて上昇",IF($Z14&gt;$BK$5,"×前日に急騰",IF($Z14&lt;$BK$6,"×前日に急落",IF($BD14&lt;$BK$7,"×高値から離れすぎ",IF($BE14&gt;$BK$8,"×当日の値幅が大きい","×")))))))))</f>
      </c>
    </row>
    <row r="15" spans="1:60"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IF(AND(E15&lt;&gt;"",K15&lt;&gt;"",K15&lt;&gt;0),(E15-K15)/K15*100,"")</f>
        <v>-25.1035521526296</v>
      </c>
      <c r="M15" s="166">
        <f>IF(C15&lt;&gt;"",IFERROR(AVERAGE(出来高!E115:I115),""),"")</f>
        <v>1019980</v>
      </c>
      <c r="N15" s="166">
        <f>IF(C15&lt;&gt;"",IFERROR(AVERAGE(出来高!E115:AC115),""),"")</f>
        <v>1033772</v>
      </c>
      <c r="O15" s="168">
        <f>IF(AND(J15&lt;&gt;"",M15&lt;&gt;"",M15&lt;&gt;0),J15/M15,"")</f>
        <v>0.84540873350457857</v>
      </c>
      <c r="P15" s="163" t="str">
        <f>IF(O15="","",IF(O15&gt;=2,"急増↑↑",IF(O15&gt;=1.5,"増加↑",IF(O15&gt;=1,"普通→","減少↓"))))</f>
        <v>減少↓</v>
      </c>
      <c r="Q15" s="163" t="str">
        <f>IF(E15="","",IF(AND(E15&gt;G15,O15&gt;=1.5),"買い▲",IF(E15&lt;G15,"様子見▼","中立→")))</f>
        <v>中立→</v>
      </c>
      <c r="R15" s="166">
        <f>IF(E15&lt;&gt;"",ROUND(E15*1.08,0),"")</f>
        <v>6444</v>
      </c>
      <c r="S15" s="166">
        <f>IF(E15&lt;&gt;"",ROUND(E15*0.96,0),"")</f>
        <v>5728</v>
      </c>
      <c r="T15" s="163">
        <f>IF(C15="","",IFERROR(IF(O15&gt;=2,3,IF(O15&gt;=1.5,2,IF(O15&gt;=1,1,0)))+IF(E15&gt;G15,1,0)+IF(L15&gt;=-5,1,0)+IF(Q15="買い▲",2,0)+IF(W15&lt;=30,3,IF(W15&lt;=40,2,IF(AND(W15&gt;=40,W15&lt;=60),1,0)))+IF(X15&gt;0,1,0)+IF(V15="年初来高値更新●",3,IF(V15="高値圏",2,0))+IF(AD15="パーフェクト▲",3,IF(AD15="上昇トレンド▲",2,0))+IF(AE15="25日線押し目●",2,IF(AE15="5日線押し目○",1,0))+IF(P15="急増↑↑",2,IF(P15="増加↑",1,0))+N(AI15),0))</f>
        <v>3</v>
      </c>
      <c r="U15" s="163" t="str">
        <f>IF(T15="","",IF(AND(T15&gt;=3,O15&gt;=1.5),"有効",IF(T15&gt;=3,"要確認","除外")))</f>
        <v>要確認</v>
      </c>
      <c r="V15" s="163" t="str">
        <f>IF(AND(H15&lt;&gt;"",K15&lt;&gt;""),IF(H15&gt;=K15,"年初来高値更新●",IF(H15&gt;=K15*0.95,"高値圏","通常")),"")</f>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IF(AND(E15&lt;&gt;"",G15&lt;&gt;"",G15&lt;&gt;0),(E15-G15)/G15*100,"")</f>
        <v>0.50530570995452251</v>
      </c>
      <c r="AA15" s="163" t="str">
        <f>IF(OR(C15="",E15="",E15=0),"",IF(E15&gt;G15,"上昇▲",IF(E15&lt;G15,"下落▼","横ばい→")))</f>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IF(OR(C15="",AB15="",AC15=""),"",IF(AND(E15&gt;AB15,AB15&gt;AC15),"パーフェクト▲",IF(E15&gt;AC15,"上昇トレンド▲",IF(AND(E15&lt;AB15,AB15&lt;AC15),"下降トレンド▼","もみ合い→"))))</f>
        <v>もみ合い→</v>
      </c>
      <c r="AE15" s="406" t="str">
        <f>IF(OR(C15="",AB15="",AC15=""),"",IF(AND(ABS(E15-AC15)/AC15&lt;=0.02,E15&gt;AC15),"25日押し目★",IF(AND(ABS(E15-AB15)/AB15&lt;=0.01,E15&gt;AB15),"5日押し目○","なし")))</f>
        <v>なし</v>
      </c>
      <c r="AF15" s="365">
        <f t="array" ref="AF15">IF(C15="","",IFERROR((INDEX(終値!$E:$E,MATCH(TEXT(C15,"0"),終値!$A:$A,0))-INDEX(終値!$E:$CZ,MATCH(TEXT(C15,"0"),終値!$A:$A,0),$AL$2))/INDEX(終値!$E:$CZ,MATCH(TEXT(C15,"0"),終値!$A:$A,0),$AL$2)*100,""))</f>
        <v>-0.33405712376816438</v>
      </c>
      <c r="AG15" s="365">
        <f t="array" ref="AG15">IFERROR((終値!$E$5-INDEX(終値!$E$5:$IT$5,1,$AL$2))/INDEX(終値!$E$5:$IT$5,1,$AL$2)*100,"")</f>
        <v>1.0179378228534113</v>
      </c>
      <c r="AH15" s="366">
        <f>IF(OR(AF15="",AG15=""),"",AF15-AG15)</f>
        <v>-1.3519949466215757</v>
      </c>
      <c r="AI15" s="364">
        <f>IF(AH15="","",IF(AH15&gt;5,3,IF(AH15&gt;0,1,IF(AH15&gt;-3,-1,-2))))</f>
        <v>-1</v>
      </c>
      <c r="BA15">
        <f>IFERROR((SUM(OFFSET(高値!$E$6,IFERROR(MATCH($C15,銘柄管理!$B$6:$B$305,0),MATCH(TEXT($C15,"0"),銘柄管理!$B$6:$B$305,0))-1,0,1,14))-SUM(OFFSET(安値!$E$6,IFERROR(MATCH($C15,銘柄管理!$B$6:$B$305,0),MATCH(TEXT($C15,"0"),銘柄管理!$B$6:$B$305,0))-1,0,1,14)))/SUM(OFFSET(終値!$E$6,IFERROR(MATCH($C15,銘柄管理!$B$6:$B$305,0),MATCH(TEXT($C15,"0"),銘柄管理!$B$6:$B$305,0))-1,0,1,14))*100,"")</f>
      </c>
      <c r="BB15">
        <f>IFERROR((MAX(OFFSET(高値!$E$6,IFERROR(MATCH($C15,銘柄管理!$B$6:$B$305,0),MATCH(TEXT($C15,"0"),銘柄管理!$B$6:$B$305,0))-1,0,1,25))-MIN(OFFSET(安値!$E$6,IFERROR(MATCH($C15,銘柄管理!$B$6:$B$305,0),MATCH(TEXT($C15,"0"),銘柄管理!$B$6:$B$305,0))-1,0,1,25)))/$E15*100,"")</f>
      </c>
      <c r="BC15">
        <f>IFERROR(($F15-$G15)/$G15*100,"")</f>
      </c>
      <c r="BD15">
        <f>IFERROR(($E15-MAX(OFFSET(高値!$E$6,IFERROR(MATCH($C15,銘柄管理!$B$6:$B$305,0),MATCH(TEXT($C15,"0"),銘柄管理!$B$6:$B$305,0))-1,0,1,25)))/MAX(OFFSET(高値!$E$6,IFERROR(MATCH($C15,銘柄管理!$B$6:$B$305,0),MATCH(TEXT($C15,"0"),銘柄管理!$B$6:$B$305,0))-1,0,1,25))*100,"")</f>
      </c>
      <c r="BE15">
        <f>IFERROR(($H15-$I15)/$F15*100,"")</f>
      </c>
      <c r="BF15">
        <f>IFERROR(-(($BA15-AVERAGE($BA$3:$BA$206))/STDEV($BA$3:$BA$206))-(($BE15-AVERAGE($BE$3:$BE$206))/STDEV($BE$3:$BE$206))-(($BB15-AVERAGE($BB$3:$BB$206))/STDEV($BB$3:$BB$206))-(($Z15-AVERAGE($Z$3:$Z$206))/STDEV($Z$3:$Z$206))-(($BC15-AVERAGE($BC$3:$BC$206))/STDEV($BC$3:$BC$206)),"")</f>
      </c>
      <c r="BG15">
        <f>IF(OR($C15="",$C15="TOPX",$BA15="",$BF15=""),0,IF(AND($BK$10=1,$BA15&lt;=$BK$2,$BB15&lt;=$BK$3,$BC15&lt;=$BK$4,$Z15&lt;=$BK$5,$Z15&gt;=$BK$6,$BD15&gt;=$BK$7,$BE15&lt;=$BK$8),1,0))</f>
      </c>
      <c r="BH15">
        <f>IF($C15="","",IF($BG15=1,"○ゲート通過",IF($BK$10&lt;&gt;1,"― この方向は停止中",IF($BA15&gt;$BK$2,"×値動きが荒い",IF($BB15&gt;$BK$3,"×レンジが広い",IF($BC15&gt;$BK$4,"×窓を開けて上昇",IF($Z15&gt;$BK$5,"×前日に急騰",IF($Z15&lt;$BK$6,"×前日に急落",IF($BD15&lt;$BK$7,"×高値から離れすぎ",IF($BE15&gt;$BK$8,"×当日の値幅が大きい","×")))))))))</f>
      </c>
    </row>
    <row r="16" spans="1:60"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IF(AND(E16&lt;&gt;"",K16&lt;&gt;"",K16&lt;&gt;0),(E16-K16)/K16*100,"")</f>
        <v>-8.9191232048374918</v>
      </c>
      <c r="M16" s="166">
        <f>IF(C16&lt;&gt;"",IFERROR(AVERAGE(出来高!E186:I186),""),"")</f>
        <v>3383820</v>
      </c>
      <c r="N16" s="166">
        <f>IF(C16&lt;&gt;"",IFERROR(AVERAGE(出来高!E186:AC186),""),"")</f>
        <v>2731824</v>
      </c>
      <c r="O16" s="168">
        <f>IF(AND(J16&lt;&gt;"",M16&lt;&gt;"",M16&lt;&gt;0),J16/M16,"")</f>
        <v>0.93223043778924408</v>
      </c>
      <c r="P16" s="163" t="str">
        <f>IF(O16="","",IF(O16&gt;=2,"急増↑↑",IF(O16&gt;=1.5,"増加↑",IF(O16&gt;=1,"普通→","減少↓"))))</f>
        <v>減少↓</v>
      </c>
      <c r="Q16" s="163" t="str">
        <f>IF(E16="","",IF(AND(E16&gt;G16,O16&gt;=1.5),"買い▲",IF(E16&lt;G16,"様子見▼","中立→")))</f>
        <v>中立→</v>
      </c>
      <c r="R16" s="166">
        <f>IF(E16&lt;&gt;"",ROUND(E16*1.08,0),"")</f>
        <v>1301</v>
      </c>
      <c r="S16" s="166">
        <f>IF(E16&lt;&gt;"",ROUND(E16*0.96,0),"")</f>
        <v>1157</v>
      </c>
      <c r="T16" s="163">
        <f>IF(C16="","",IFERROR(IF(O16&gt;=2,3,IF(O16&gt;=1.5,2,IF(O16&gt;=1,1,0)))+IF(E16&gt;G16,1,0)+IF(L16&gt;=-5,1,0)+IF(Q16="買い▲",2,0)+IF(W16&lt;=30,3,IF(W16&lt;=40,2,IF(AND(W16&gt;=40,W16&lt;=60),1,0)))+IF(X16&gt;0,1,0)+IF(V16="年初来高値更新●",3,IF(V16="高値圏",2,0))+IF(AD16="パーフェクト▲",3,IF(AD16="上昇トレンド▲",2,0))+IF(AE16="25日線押し目●",2,IF(AE16="5日線押し目○",1,0))+IF(P16="急増↑↑",2,IF(P16="増加↑",1,0))+N(AI16),0))</f>
        <v>5</v>
      </c>
      <c r="U16" s="163" t="str">
        <f>IF(T16="","",IF(AND(T16&gt;=3,O16&gt;=1.5),"有効",IF(T16&gt;=3,"要確認","除外")))</f>
        <v>要確認</v>
      </c>
      <c r="V16" s="163" t="str">
        <f>IF(AND(H16&lt;&gt;"",K16&lt;&gt;""),IF(H16&gt;=K16,"年初来高値更新●",IF(H16&gt;=K16*0.95,"高値圏","通常")),"")</f>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IF(AND(E16&lt;&gt;"",G16&lt;&gt;"",G16&lt;&gt;0),(E16-G16)/G16*100,"")</f>
        <v>1.8166455428812844</v>
      </c>
      <c r="AA16" s="163" t="str">
        <f>IF(OR(C16="",E16="",E16=0),"",IF(E16&gt;G16,"上昇▲",IF(E16&lt;G16,"下落▼","横ばい→")))</f>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IF(OR(C16="",AB16="",AC16=""),"",IF(AND(E16&gt;AB16,AB16&gt;AC16),"パーフェクト▲",IF(E16&gt;AC16,"上昇トレンド▲",IF(AND(E16&lt;AB16,AB16&lt;AC16),"下降トレンド▼","もみ合い→"))))</f>
        <v>もみ合い→</v>
      </c>
      <c r="AE16" s="404" t="str">
        <f>IF(OR(C16="",AB16="",AC16=""),"",IF(AND(ABS(E16-AC16)/AC16&lt;=0.02,E16&gt;AC16),"25日押し目★",IF(AND(ABS(E16-AB16)/AB16&lt;=0.01,E16&gt;AB16),"5日押し目○","なし")))</f>
        <v>なし</v>
      </c>
      <c r="AF16" s="365">
        <f t="array" ref="AF16">IF(C16="","",IFERROR((INDEX(終値!$E:$E,MATCH(TEXT(C16,"0"),終値!$A:$A,0))-INDEX(終値!$E:$CZ,MATCH(TEXT(C16,"0"),終値!$A:$A,0),$AL$2))/INDEX(終値!$E:$CZ,MATCH(TEXT(C16,"0"),終値!$A:$A,0),$AL$2)*100,""))</f>
        <v>13.465160075329566</v>
      </c>
      <c r="AG16" s="365">
        <f t="array" ref="AG16">IFERROR((終値!$E$5-INDEX(終値!$E$5:$IT$5,1,$AL$2))/INDEX(終値!$E$5:$IT$5,1,$AL$2)*100,"")</f>
        <v>1.0179378228534113</v>
      </c>
      <c r="AH16" s="366">
        <f>IF(OR(AF16="",AG16=""),"",AF16-AG16)</f>
        <v>12.447222252476154</v>
      </c>
      <c r="AI16" s="364">
        <f>IF(AH16="","",IF(AH16&gt;5,3,IF(AH16&gt;0,1,IF(AH16&gt;-3,-1,-2))))</f>
        <v>3</v>
      </c>
      <c r="BA16">
        <f>IFERROR((SUM(OFFSET(高値!$E$6,IFERROR(MATCH($C16,銘柄管理!$B$6:$B$305,0),MATCH(TEXT($C16,"0"),銘柄管理!$B$6:$B$305,0))-1,0,1,14))-SUM(OFFSET(安値!$E$6,IFERROR(MATCH($C16,銘柄管理!$B$6:$B$305,0),MATCH(TEXT($C16,"0"),銘柄管理!$B$6:$B$305,0))-1,0,1,14)))/SUM(OFFSET(終値!$E$6,IFERROR(MATCH($C16,銘柄管理!$B$6:$B$305,0),MATCH(TEXT($C16,"0"),銘柄管理!$B$6:$B$305,0))-1,0,1,14))*100,"")</f>
      </c>
      <c r="BB16">
        <f>IFERROR((MAX(OFFSET(高値!$E$6,IFERROR(MATCH($C16,銘柄管理!$B$6:$B$305,0),MATCH(TEXT($C16,"0"),銘柄管理!$B$6:$B$305,0))-1,0,1,25))-MIN(OFFSET(安値!$E$6,IFERROR(MATCH($C16,銘柄管理!$B$6:$B$305,0),MATCH(TEXT($C16,"0"),銘柄管理!$B$6:$B$305,0))-1,0,1,25)))/$E16*100,"")</f>
      </c>
      <c r="BC16">
        <f>IFERROR(($F16-$G16)/$G16*100,"")</f>
      </c>
      <c r="BD16">
        <f>IFERROR(($E16-MAX(OFFSET(高値!$E$6,IFERROR(MATCH($C16,銘柄管理!$B$6:$B$305,0),MATCH(TEXT($C16,"0"),銘柄管理!$B$6:$B$305,0))-1,0,1,25)))/MAX(OFFSET(高値!$E$6,IFERROR(MATCH($C16,銘柄管理!$B$6:$B$305,0),MATCH(TEXT($C16,"0"),銘柄管理!$B$6:$B$305,0))-1,0,1,25))*100,"")</f>
      </c>
      <c r="BE16">
        <f>IFERROR(($H16-$I16)/$F16*100,"")</f>
      </c>
      <c r="BF16">
        <f>IFERROR(-(($BA16-AVERAGE($BA$3:$BA$206))/STDEV($BA$3:$BA$206))-(($BE16-AVERAGE($BE$3:$BE$206))/STDEV($BE$3:$BE$206))-(($BB16-AVERAGE($BB$3:$BB$206))/STDEV($BB$3:$BB$206))-(($Z16-AVERAGE($Z$3:$Z$206))/STDEV($Z$3:$Z$206))-(($BC16-AVERAGE($BC$3:$BC$206))/STDEV($BC$3:$BC$206)),"")</f>
      </c>
      <c r="BG16">
        <f>IF(OR($C16="",$C16="TOPX",$BA16="",$BF16=""),0,IF(AND($BK$10=1,$BA16&lt;=$BK$2,$BB16&lt;=$BK$3,$BC16&lt;=$BK$4,$Z16&lt;=$BK$5,$Z16&gt;=$BK$6,$BD16&gt;=$BK$7,$BE16&lt;=$BK$8),1,0))</f>
      </c>
      <c r="BH16">
        <f>IF($C16="","",IF($BG16=1,"○ゲート通過",IF($BK$10&lt;&gt;1,"― この方向は停止中",IF($BA16&gt;$BK$2,"×値動きが荒い",IF($BB16&gt;$BK$3,"×レンジが広い",IF($BC16&gt;$BK$4,"×窓を開けて上昇",IF($Z16&gt;$BK$5,"×前日に急騰",IF($Z16&lt;$BK$6,"×前日に急落",IF($BD16&lt;$BK$7,"×高値から離れすぎ",IF($BE16&gt;$BK$8,"×当日の値幅が大きい","×")))))))))</f>
      </c>
    </row>
    <row r="17" spans="1:60"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IF(AND(E17&lt;&gt;"",K17&lt;&gt;"",K17&lt;&gt;0),(E17-K17)/K17*100,"")</f>
        <v>-19.308231173380037</v>
      </c>
      <c r="M17" s="166">
        <f>IF(C17&lt;&gt;"",IFERROR(AVERAGE(出来高!E181:I181),""),"")</f>
        <v>1023140</v>
      </c>
      <c r="N17" s="166">
        <f>IF(C17&lt;&gt;"",IFERROR(AVERAGE(出来高!E181:AC181),""),"")</f>
        <v>932964</v>
      </c>
      <c r="O17" s="168">
        <f>IF(AND(J17&lt;&gt;"",M17&lt;&gt;"",M17&lt;&gt;0),J17/M17,"")</f>
        <v>0.91101901987997735</v>
      </c>
      <c r="P17" s="163" t="str">
        <f>IF(O17="","",IF(O17&gt;=2,"急増↑↑",IF(O17&gt;=1.5,"増加↑",IF(O17&gt;=1,"普通→","減少↓"))))</f>
        <v>減少↓</v>
      </c>
      <c r="Q17" s="163" t="str">
        <f>IF(E17="","",IF(AND(E17&gt;G17,O17&gt;=1.5),"買い▲",IF(E17&lt;G17,"様子見▼","中立→")))</f>
        <v>中立→</v>
      </c>
      <c r="R17" s="166">
        <f>IF(E17&lt;&gt;"",ROUND(E17*1.08,0),"")</f>
        <v>995</v>
      </c>
      <c r="S17" s="166">
        <f>IF(E17&lt;&gt;"",ROUND(E17*0.96,0),"")</f>
        <v>885</v>
      </c>
      <c r="T17" s="163">
        <f>IF(C17="","",IFERROR(IF(O17&gt;=2,3,IF(O17&gt;=1.5,2,IF(O17&gt;=1,1,0)))+IF(E17&gt;G17,1,0)+IF(L17&gt;=-5,1,0)+IF(Q17="買い▲",2,0)+IF(W17&lt;=30,3,IF(W17&lt;=40,2,IF(AND(W17&gt;=40,W17&lt;=60),1,0)))+IF(X17&gt;0,1,0)+IF(V17="年初来高値更新●",3,IF(V17="高値圏",2,0))+IF(AD17="パーフェクト▲",3,IF(AD17="上昇トレンド▲",2,0))+IF(AE17="25日線押し目●",2,IF(AE17="5日線押し目○",1,0))+IF(P17="急増↑↑",2,IF(P17="増加↑",1,0))+N(AI17),0))</f>
        <v>4</v>
      </c>
      <c r="U17" s="163" t="str">
        <f>IF(T17="","",IF(AND(T17&gt;=3,O17&gt;=1.5),"有効",IF(T17&gt;=3,"要確認","除外")))</f>
        <v>要確認</v>
      </c>
      <c r="V17" s="163" t="str">
        <f>IF(AND(H17&lt;&gt;"",K17&lt;&gt;""),IF(H17&gt;=K17,"年初来高値更新●",IF(H17&gt;=K17*0.95,"高値圏","通常")),"")</f>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IF(AND(E17&lt;&gt;"",G17&lt;&gt;"",G17&lt;&gt;0),(E17-G17)/G17*100,"")</f>
        <v>0.62240663900415438</v>
      </c>
      <c r="AA17" s="163" t="str">
        <f>IF(OR(C17="",E17="",E17=0),"",IF(E17&gt;G17,"上昇▲",IF(E17&lt;G17,"下落▼","横ばい→")))</f>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IF(OR(C17="",AB17="",AC17=""),"",IF(AND(E17&gt;AB17,AB17&gt;AC17),"パーフェクト▲",IF(E17&gt;AC17,"上昇トレンド▲",IF(AND(E17&lt;AB17,AB17&lt;AC17),"下降トレンド▼","もみ合い→"))))</f>
        <v>もみ合い→</v>
      </c>
      <c r="AE17" s="406" t="str">
        <f>IF(OR(C17="",AB17="",AC17=""),"",IF(AND(ABS(E17-AC17)/AC17&lt;=0.02,E17&gt;AC17),"25日押し目★",IF(AND(ABS(E17-AB17)/AB17&lt;=0.01,E17&gt;AB17),"5日押し目○","なし")))</f>
        <v>なし</v>
      </c>
      <c r="AF17" s="365">
        <f t="array" ref="AF17">IF(C17="","",IFERROR((INDEX(終値!$E:$E,MATCH(TEXT(C17,"0"),終値!$A:$A,0))-INDEX(終値!$E:$CZ,MATCH(TEXT(C17,"0"),終値!$A:$A,0),$AL$2))/INDEX(終値!$E:$CZ,MATCH(TEXT(C17,"0"),終値!$A:$A,0),$AL$2)*100,""))</f>
        <v>5.3142857142857141</v>
      </c>
      <c r="AG17" s="365">
        <f t="array" ref="AG17">IFERROR((終値!$E$5-INDEX(終値!$E$5:$IT$5,1,$AL$2))/INDEX(終値!$E$5:$IT$5,1,$AL$2)*100,"")</f>
        <v>1.0179378228534113</v>
      </c>
      <c r="AH17" s="366">
        <f>IF(OR(AF17="",AG17=""),"",AF17-AG17)</f>
        <v>4.296347891432303</v>
      </c>
      <c r="AI17" s="364">
        <f>IF(AH17="","",IF(AH17&gt;5,3,IF(AH17&gt;0,1,IF(AH17&gt;-3,-1,-2))))</f>
        <v>1</v>
      </c>
      <c r="BA17">
        <f>IFERROR((SUM(OFFSET(高値!$E$6,IFERROR(MATCH($C17,銘柄管理!$B$6:$B$305,0),MATCH(TEXT($C17,"0"),銘柄管理!$B$6:$B$305,0))-1,0,1,14))-SUM(OFFSET(安値!$E$6,IFERROR(MATCH($C17,銘柄管理!$B$6:$B$305,0),MATCH(TEXT($C17,"0"),銘柄管理!$B$6:$B$305,0))-1,0,1,14)))/SUM(OFFSET(終値!$E$6,IFERROR(MATCH($C17,銘柄管理!$B$6:$B$305,0),MATCH(TEXT($C17,"0"),銘柄管理!$B$6:$B$305,0))-1,0,1,14))*100,"")</f>
      </c>
      <c r="BB17">
        <f>IFERROR((MAX(OFFSET(高値!$E$6,IFERROR(MATCH($C17,銘柄管理!$B$6:$B$305,0),MATCH(TEXT($C17,"0"),銘柄管理!$B$6:$B$305,0))-1,0,1,25))-MIN(OFFSET(安値!$E$6,IFERROR(MATCH($C17,銘柄管理!$B$6:$B$305,0),MATCH(TEXT($C17,"0"),銘柄管理!$B$6:$B$305,0))-1,0,1,25)))/$E17*100,"")</f>
      </c>
      <c r="BC17">
        <f>IFERROR(($F17-$G17)/$G17*100,"")</f>
      </c>
      <c r="BD17">
        <f>IFERROR(($E17-MAX(OFFSET(高値!$E$6,IFERROR(MATCH($C17,銘柄管理!$B$6:$B$305,0),MATCH(TEXT($C17,"0"),銘柄管理!$B$6:$B$305,0))-1,0,1,25)))/MAX(OFFSET(高値!$E$6,IFERROR(MATCH($C17,銘柄管理!$B$6:$B$305,0),MATCH(TEXT($C17,"0"),銘柄管理!$B$6:$B$305,0))-1,0,1,25))*100,"")</f>
      </c>
      <c r="BE17">
        <f>IFERROR(($H17-$I17)/$F17*100,"")</f>
      </c>
      <c r="BF17">
        <f>IFERROR(-(($BA17-AVERAGE($BA$3:$BA$206))/STDEV($BA$3:$BA$206))-(($BE17-AVERAGE($BE$3:$BE$206))/STDEV($BE$3:$BE$206))-(($BB17-AVERAGE($BB$3:$BB$206))/STDEV($BB$3:$BB$206))-(($Z17-AVERAGE($Z$3:$Z$206))/STDEV($Z$3:$Z$206))-(($BC17-AVERAGE($BC$3:$BC$206))/STDEV($BC$3:$BC$206)),"")</f>
      </c>
      <c r="BG17">
        <f>IF(OR($C17="",$C17="TOPX",$BA17="",$BF17=""),0,IF(AND($BK$10=1,$BA17&lt;=$BK$2,$BB17&lt;=$BK$3,$BC17&lt;=$BK$4,$Z17&lt;=$BK$5,$Z17&gt;=$BK$6,$BD17&gt;=$BK$7,$BE17&lt;=$BK$8),1,0))</f>
      </c>
      <c r="BH17">
        <f>IF($C17="","",IF($BG17=1,"○ゲート通過",IF($BK$10&lt;&gt;1,"― この方向は停止中",IF($BA17&gt;$BK$2,"×値動きが荒い",IF($BB17&gt;$BK$3,"×レンジが広い",IF($BC17&gt;$BK$4,"×窓を開けて上昇",IF($Z17&gt;$BK$5,"×前日に急騰",IF($Z17&lt;$BK$6,"×前日に急落",IF($BD17&lt;$BK$7,"×高値から離れすぎ",IF($BE17&gt;$BK$8,"×当日の値幅が大きい","×")))))))))</f>
      </c>
    </row>
    <row r="18" spans="1:60"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IF(AND(E18&lt;&gt;"",K18&lt;&gt;"",K18&lt;&gt;0),(E18-K18)/K18*100,"")</f>
        <v>-29.342105263157897</v>
      </c>
      <c r="M18" s="166">
        <f>IF(C18&lt;&gt;"",IFERROR(AVERAGE(出来高!E114:I114),""),"")</f>
        <v>37089640</v>
      </c>
      <c r="N18" s="166">
        <f>IF(C18&lt;&gt;"",IFERROR(AVERAGE(出来高!E114:AC114),""),"")</f>
        <v>35292060</v>
      </c>
      <c r="O18" s="168">
        <f>IF(AND(J18&lt;&gt;"",M18&lt;&gt;"",M18&lt;&gt;0),J18/M18,"")</f>
        <v>0.87138079528407397</v>
      </c>
      <c r="P18" s="163" t="str">
        <f>IF(O18="","",IF(O18&gt;=2,"急増↑↑",IF(O18&gt;=1.5,"増加↑",IF(O18&gt;=1,"普通→","減少↓"))))</f>
        <v>減少↓</v>
      </c>
      <c r="Q18" s="163" t="str">
        <f>IF(E18="","",IF(AND(E18&gt;G18,O18&gt;=1.5),"買い▲",IF(E18&lt;G18,"様子見▼","中立→")))</f>
        <v>中立→</v>
      </c>
      <c r="R18" s="166">
        <f>IF(E18&lt;&gt;"",ROUND(E18*1.08,0),"")</f>
        <v>580</v>
      </c>
      <c r="S18" s="166">
        <f>IF(E18&lt;&gt;"",ROUND(E18*0.96,0),"")</f>
        <v>516</v>
      </c>
      <c r="T18" s="163">
        <f>IF(C18="","",IFERROR(IF(O18&gt;=2,3,IF(O18&gt;=1.5,2,IF(O18&gt;=1,1,0)))+IF(E18&gt;G18,1,0)+IF(L18&gt;=-5,1,0)+IF(Q18="買い▲",2,0)+IF(W18&lt;=30,3,IF(W18&lt;=40,2,IF(AND(W18&gt;=40,W18&lt;=60),1,0)))+IF(X18&gt;0,1,0)+IF(V18="年初来高値更新●",3,IF(V18="高値圏",2,0))+IF(AD18="パーフェクト▲",3,IF(AD18="上昇トレンド▲",2,0))+IF(AE18="25日線押し目●",2,IF(AE18="5日線押し目○",1,0))+IF(P18="急増↑↑",2,IF(P18="増加↑",1,0))+N(AI18),0))</f>
        <v>6</v>
      </c>
      <c r="U18" s="163" t="str">
        <f>IF(T18="","",IF(AND(T18&gt;=3,O18&gt;=1.5),"有効",IF(T18&gt;=3,"要確認","除外")))</f>
        <v>要確認</v>
      </c>
      <c r="V18" s="163" t="str">
        <f>IF(AND(H18&lt;&gt;"",K18&lt;&gt;""),IF(H18&gt;=K18,"年初来高値更新●",IF(H18&gt;=K18*0.95,"高値圏","通常")),"")</f>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IF(AND(E18&lt;&gt;"",G18&lt;&gt;"",G18&lt;&gt;0),(E18-G18)/G18*100,"")</f>
        <v>2.0912547528517109</v>
      </c>
      <c r="AA18" s="163" t="str">
        <f>IF(OR(C18="",E18="",E18=0),"",IF(E18&gt;G18,"上昇▲",IF(E18&lt;G18,"下落▼","横ばい→")))</f>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IF(OR(C18="",AB18="",AC18=""),"",IF(AND(E18&gt;AB18,AB18&gt;AC18),"パーフェクト▲",IF(E18&gt;AC18,"上昇トレンド▲",IF(AND(E18&lt;AB18,AB18&lt;AC18),"下降トレンド▼","もみ合い→"))))</f>
        <v>もみ合い→</v>
      </c>
      <c r="AE18" s="404" t="str">
        <f>IF(OR(C18="",AB18="",AC18=""),"",IF(AND(ABS(E18-AC18)/AC18&lt;=0.02,E18&gt;AC18),"25日押し目★",IF(AND(ABS(E18-AB18)/AB18&lt;=0.01,E18&gt;AB18),"5日押し目○","なし")))</f>
        <v>なし</v>
      </c>
      <c r="AF18" s="365">
        <f t="array" ref="AF18">IF(C18="","",IFERROR((INDEX(終値!$E:$E,MATCH(TEXT(C18,"0"),終値!$A:$A,0))-INDEX(終値!$E:$CZ,MATCH(TEXT(C18,"0"),終値!$A:$A,0),$AL$2))/INDEX(終値!$E:$CZ,MATCH(TEXT(C18,"0"),終値!$A:$A,0),$AL$2)*100,""))</f>
        <v>17.996044825313113</v>
      </c>
      <c r="AG18" s="365">
        <f t="array" ref="AG18">IFERROR((終値!$E$5-INDEX(終値!$E$5:$IT$5,1,$AL$2))/INDEX(終値!$E$5:$IT$5,1,$AL$2)*100,"")</f>
        <v>1.0179378228534113</v>
      </c>
      <c r="AH18" s="366">
        <f>IF(OR(AF18="",AG18=""),"",AF18-AG18)</f>
        <v>16.978107002459701</v>
      </c>
      <c r="AI18" s="364">
        <f>IF(AH18="","",IF(AH18&gt;5,3,IF(AH18&gt;0,1,IF(AH18&gt;-3,-1,-2))))</f>
        <v>3</v>
      </c>
      <c r="BA18">
        <f>IFERROR((SUM(OFFSET(高値!$E$6,IFERROR(MATCH($C18,銘柄管理!$B$6:$B$305,0),MATCH(TEXT($C18,"0"),銘柄管理!$B$6:$B$305,0))-1,0,1,14))-SUM(OFFSET(安値!$E$6,IFERROR(MATCH($C18,銘柄管理!$B$6:$B$305,0),MATCH(TEXT($C18,"0"),銘柄管理!$B$6:$B$305,0))-1,0,1,14)))/SUM(OFFSET(終値!$E$6,IFERROR(MATCH($C18,銘柄管理!$B$6:$B$305,0),MATCH(TEXT($C18,"0"),銘柄管理!$B$6:$B$305,0))-1,0,1,14))*100,"")</f>
      </c>
      <c r="BB18">
        <f>IFERROR((MAX(OFFSET(高値!$E$6,IFERROR(MATCH($C18,銘柄管理!$B$6:$B$305,0),MATCH(TEXT($C18,"0"),銘柄管理!$B$6:$B$305,0))-1,0,1,25))-MIN(OFFSET(安値!$E$6,IFERROR(MATCH($C18,銘柄管理!$B$6:$B$305,0),MATCH(TEXT($C18,"0"),銘柄管理!$B$6:$B$305,0))-1,0,1,25)))/$E18*100,"")</f>
      </c>
      <c r="BC18">
        <f>IFERROR(($F18-$G18)/$G18*100,"")</f>
      </c>
      <c r="BD18">
        <f>IFERROR(($E18-MAX(OFFSET(高値!$E$6,IFERROR(MATCH($C18,銘柄管理!$B$6:$B$305,0),MATCH(TEXT($C18,"0"),銘柄管理!$B$6:$B$305,0))-1,0,1,25)))/MAX(OFFSET(高値!$E$6,IFERROR(MATCH($C18,銘柄管理!$B$6:$B$305,0),MATCH(TEXT($C18,"0"),銘柄管理!$B$6:$B$305,0))-1,0,1,25))*100,"")</f>
      </c>
      <c r="BE18">
        <f>IFERROR(($H18-$I18)/$F18*100,"")</f>
      </c>
      <c r="BF18">
        <f>IFERROR(-(($BA18-AVERAGE($BA$3:$BA$206))/STDEV($BA$3:$BA$206))-(($BE18-AVERAGE($BE$3:$BE$206))/STDEV($BE$3:$BE$206))-(($BB18-AVERAGE($BB$3:$BB$206))/STDEV($BB$3:$BB$206))-(($Z18-AVERAGE($Z$3:$Z$206))/STDEV($Z$3:$Z$206))-(($BC18-AVERAGE($BC$3:$BC$206))/STDEV($BC$3:$BC$206)),"")</f>
      </c>
      <c r="BG18">
        <f>IF(OR($C18="",$C18="TOPX",$BA18="",$BF18=""),0,IF(AND($BK$10=1,$BA18&lt;=$BK$2,$BB18&lt;=$BK$3,$BC18&lt;=$BK$4,$Z18&lt;=$BK$5,$Z18&gt;=$BK$6,$BD18&gt;=$BK$7,$BE18&lt;=$BK$8),1,0))</f>
      </c>
      <c r="BH18">
        <f>IF($C18="","",IF($BG18=1,"○ゲート通過",IF($BK$10&lt;&gt;1,"― この方向は停止中",IF($BA18&gt;$BK$2,"×値動きが荒い",IF($BB18&gt;$BK$3,"×レンジが広い",IF($BC18&gt;$BK$4,"×窓を開けて上昇",IF($Z18&gt;$BK$5,"×前日に急騰",IF($Z18&lt;$BK$6,"×前日に急落",IF($BD18&lt;$BK$7,"×高値から離れすぎ",IF($BE18&gt;$BK$8,"×当日の値幅が大きい","×")))))))))</f>
      </c>
    </row>
    <row r="19" spans="1:60"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IF(AND(E19&lt;&gt;"",K19&lt;&gt;"",K19&lt;&gt;0),(E19-K19)/K19*100,"")</f>
        <v>-2.4639702463970248</v>
      </c>
      <c r="M19" s="166">
        <f>IF(C19&lt;&gt;"",IFERROR(AVERAGE(出来高!E113:I113),""),"")</f>
        <v>464320</v>
      </c>
      <c r="N19" s="166">
        <f>IF(C19&lt;&gt;"",IFERROR(AVERAGE(出来高!E113:AC113),""),"")</f>
        <v>509904</v>
      </c>
      <c r="O19" s="168">
        <f>IF(AND(J19&lt;&gt;"",M19&lt;&gt;"",M19&lt;&gt;0),J19/M19,"")</f>
        <v>0.80461750516884911</v>
      </c>
      <c r="P19" s="163" t="str">
        <f>IF(O19="","",IF(O19&gt;=2,"急増↑↑",IF(O19&gt;=1.5,"増加↑",IF(O19&gt;=1,"普通→","減少↓"))))</f>
        <v>減少↓</v>
      </c>
      <c r="Q19" s="163" t="str">
        <f>IF(E19="","",IF(AND(E19&gt;G19,O19&gt;=1.5),"買い▲",IF(E19&lt;G19,"様子見▼","中立→")))</f>
        <v>中立→</v>
      </c>
      <c r="R19" s="166">
        <f>IF(E19&lt;&gt;"",ROUND(E19*1.08,0),"")</f>
        <v>4532</v>
      </c>
      <c r="S19" s="166">
        <f>IF(E19&lt;&gt;"",ROUND(E19*0.96,0),"")</f>
        <v>4028</v>
      </c>
      <c r="T19" s="163">
        <f>IF(C19="","",IFERROR(IF(O19&gt;=2,3,IF(O19&gt;=1.5,2,IF(O19&gt;=1,1,0)))+IF(E19&gt;G19,1,0)+IF(L19&gt;=-5,1,0)+IF(Q19="買い▲",2,0)+IF(W19&lt;=30,3,IF(W19&lt;=40,2,IF(AND(W19&gt;=40,W19&lt;=60),1,0)))+IF(X19&gt;0,1,0)+IF(V19="年初来高値更新●",3,IF(V19="高値圏",2,0))+IF(AD19="パーフェクト▲",3,IF(AD19="上昇トレンド▲",2,0))+IF(AE19="25日線押し目●",2,IF(AE19="5日線押し目○",1,0))+IF(P19="急増↑↑",2,IF(P19="増加↑",1,0))+N(AI19),0))</f>
        <v>9</v>
      </c>
      <c r="U19" s="163" t="str">
        <f>IF(T19="","",IF(AND(T19&gt;=3,O19&gt;=1.5),"有効",IF(T19&gt;=3,"要確認","除外")))</f>
        <v>要確認</v>
      </c>
      <c r="V19" s="163" t="str">
        <f>IF(AND(H19&lt;&gt;"",K19&lt;&gt;""),IF(H19&gt;=K19,"年初来高値更新●",IF(H19&gt;=K19*0.95,"高値圏","通常")),"")</f>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IF(AND(E19&lt;&gt;"",G19&lt;&gt;"",G19&lt;&gt;0),(E19-G19)/G19*100,"")</f>
        <v>0.28680688336520077</v>
      </c>
      <c r="AA19" s="163" t="str">
        <f>IF(OR(C19="",E19="",E19=0),"",IF(E19&gt;G19,"上昇▲",IF(E19&lt;G19,"下落▼","横ばい→")))</f>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IF(OR(C19="",AB19="",AC19=""),"",IF(AND(E19&gt;AB19,AB19&gt;AC19),"パーフェクト▲",IF(E19&gt;AC19,"上昇トレンド▲",IF(AND(E19&lt;AB19,AB19&lt;AC19),"下降トレンド▼","もみ合い→"))))</f>
        <v>下降トレンド▼</v>
      </c>
      <c r="AE19" s="406" t="str">
        <f>IF(OR(C19="",AB19="",AC19=""),"",IF(AND(ABS(E19-AC19)/AC19&lt;=0.02,E19&gt;AC19),"25日押し目★",IF(AND(ABS(E19-AB19)/AB19&lt;=0.01,E19&gt;AB19),"5日押し目○","なし")))</f>
        <v>なし</v>
      </c>
      <c r="AF19" s="365">
        <f t="array" ref="AF19">IF(C19="","",IFERROR((INDEX(終値!$E:$E,MATCH(TEXT(C19,"0"),終値!$A:$A,0))-INDEX(終値!$E:$CZ,MATCH(TEXT(C19,"0"),終値!$A:$A,0),$AL$2))/INDEX(終値!$E:$CZ,MATCH(TEXT(C19,"0"),終値!$A:$A,0),$AL$2)*100,""))</f>
        <v>24.510385756676559</v>
      </c>
      <c r="AG19" s="365">
        <f t="array" ref="AG19">IFERROR((終値!$E$5-INDEX(終値!$E$5:$IT$5,1,$AL$2))/INDEX(終値!$E$5:$IT$5,1,$AL$2)*100,"")</f>
        <v>1.0179378228534113</v>
      </c>
      <c r="AH19" s="366">
        <f>IF(OR(AF19="",AG19=""),"",AF19-AG19)</f>
        <v>23.492447933823147</v>
      </c>
      <c r="AI19" s="364">
        <f>IF(AH19="","",IF(AH19&gt;5,3,IF(AH19&gt;0,1,IF(AH19&gt;-3,-1,-2))))</f>
        <v>3</v>
      </c>
      <c r="BA19">
        <f>IFERROR((SUM(OFFSET(高値!$E$6,IFERROR(MATCH($C19,銘柄管理!$B$6:$B$305,0),MATCH(TEXT($C19,"0"),銘柄管理!$B$6:$B$305,0))-1,0,1,14))-SUM(OFFSET(安値!$E$6,IFERROR(MATCH($C19,銘柄管理!$B$6:$B$305,0),MATCH(TEXT($C19,"0"),銘柄管理!$B$6:$B$305,0))-1,0,1,14)))/SUM(OFFSET(終値!$E$6,IFERROR(MATCH($C19,銘柄管理!$B$6:$B$305,0),MATCH(TEXT($C19,"0"),銘柄管理!$B$6:$B$305,0))-1,0,1,14))*100,"")</f>
      </c>
      <c r="BB19">
        <f>IFERROR((MAX(OFFSET(高値!$E$6,IFERROR(MATCH($C19,銘柄管理!$B$6:$B$305,0),MATCH(TEXT($C19,"0"),銘柄管理!$B$6:$B$305,0))-1,0,1,25))-MIN(OFFSET(安値!$E$6,IFERROR(MATCH($C19,銘柄管理!$B$6:$B$305,0),MATCH(TEXT($C19,"0"),銘柄管理!$B$6:$B$305,0))-1,0,1,25)))/$E19*100,"")</f>
      </c>
      <c r="BC19">
        <f>IFERROR(($F19-$G19)/$G19*100,"")</f>
      </c>
      <c r="BD19">
        <f>IFERROR(($E19-MAX(OFFSET(高値!$E$6,IFERROR(MATCH($C19,銘柄管理!$B$6:$B$305,0),MATCH(TEXT($C19,"0"),銘柄管理!$B$6:$B$305,0))-1,0,1,25)))/MAX(OFFSET(高値!$E$6,IFERROR(MATCH($C19,銘柄管理!$B$6:$B$305,0),MATCH(TEXT($C19,"0"),銘柄管理!$B$6:$B$305,0))-1,0,1,25))*100,"")</f>
      </c>
      <c r="BE19">
        <f>IFERROR(($H19-$I19)/$F19*100,"")</f>
      </c>
      <c r="BF19">
        <f>IFERROR(-(($BA19-AVERAGE($BA$3:$BA$206))/STDEV($BA$3:$BA$206))-(($BE19-AVERAGE($BE$3:$BE$206))/STDEV($BE$3:$BE$206))-(($BB19-AVERAGE($BB$3:$BB$206))/STDEV($BB$3:$BB$206))-(($Z19-AVERAGE($Z$3:$Z$206))/STDEV($Z$3:$Z$206))-(($BC19-AVERAGE($BC$3:$BC$206))/STDEV($BC$3:$BC$206)),"")</f>
      </c>
      <c r="BG19">
        <f>IF(OR($C19="",$C19="TOPX",$BA19="",$BF19=""),0,IF(AND($BK$10=1,$BA19&lt;=$BK$2,$BB19&lt;=$BK$3,$BC19&lt;=$BK$4,$Z19&lt;=$BK$5,$Z19&gt;=$BK$6,$BD19&gt;=$BK$7,$BE19&lt;=$BK$8),1,0))</f>
      </c>
      <c r="BH19">
        <f>IF($C19="","",IF($BG19=1,"○ゲート通過",IF($BK$10&lt;&gt;1,"― この方向は停止中",IF($BA19&gt;$BK$2,"×値動きが荒い",IF($BB19&gt;$BK$3,"×レンジが広い",IF($BC19&gt;$BK$4,"×窓を開けて上昇",IF($Z19&gt;$BK$5,"×前日に急騰",IF($Z19&lt;$BK$6,"×前日に急落",IF($BD19&lt;$BK$7,"×高値から離れすぎ",IF($BE19&gt;$BK$8,"×当日の値幅が大きい","×")))))))))</f>
      </c>
    </row>
    <row r="20" spans="1:60"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IF(AND(E20&lt;&gt;"",K20&lt;&gt;"",K20&lt;&gt;0),(E20-K20)/K20*100,"")</f>
        <v>-26.451612903225808</v>
      </c>
      <c r="M20" s="166">
        <f>IF(C20&lt;&gt;"",IFERROR(AVERAGE(出来高!E70:I70),""),"")</f>
        <v>1510420</v>
      </c>
      <c r="N20" s="166">
        <f>IF(C20&lt;&gt;"",IFERROR(AVERAGE(出来高!E70:AC70),""),"")</f>
        <v>1457612.5</v>
      </c>
      <c r="O20" s="168">
        <f>IF(AND(J20&lt;&gt;"",M20&lt;&gt;"",M20&lt;&gt;0),J20/M20,"")</f>
        <v>1.607897141192516</v>
      </c>
      <c r="P20" s="163" t="str">
        <f>IF(O20="","",IF(O20&gt;=2,"急増↑↑",IF(O20&gt;=1.5,"増加↑",IF(O20&gt;=1,"普通→","減少↓"))))</f>
        <v>増加↑</v>
      </c>
      <c r="Q20" s="163" t="str">
        <f>IF(E20="","",IF(AND(E20&gt;G20,O20&gt;=1.5),"買い▲",IF(E20&lt;G20,"様子見▼","中立→")))</f>
        <v>中立→</v>
      </c>
      <c r="R20" s="166">
        <f>IF(E20&lt;&gt;"",ROUND(E20*1.08,0),"")</f>
        <v>123</v>
      </c>
      <c r="S20" s="166">
        <f>IF(E20&lt;&gt;"",ROUND(E20*0.96,0),"")</f>
        <v>109</v>
      </c>
      <c r="T20" s="163">
        <f>IF(C20="","",IFERROR(IF(O20&gt;=2,3,IF(O20&gt;=1.5,2,IF(O20&gt;=1,1,0)))+IF(E20&gt;G20,1,0)+IF(L20&gt;=-5,1,0)+IF(Q20="買い▲",2,0)+IF(W20&lt;=30,3,IF(W20&lt;=40,2,IF(AND(W20&gt;=40,W20&lt;=60),1,0)))+IF(X20&gt;0,1,0)+IF(V20="年初来高値更新●",3,IF(V20="高値圏",2,0))+IF(AD20="パーフェクト▲",3,IF(AD20="上昇トレンド▲",2,0))+IF(AE20="25日線押し目●",2,IF(AE20="5日線押し目○",1,0))+IF(P20="急増↑↑",2,IF(P20="増加↑",1,0))+N(AI20),0))</f>
        <v>7</v>
      </c>
      <c r="U20" s="163" t="str">
        <f>IF(T20="","",IF(AND(T20&gt;=3,O20&gt;=1.5),"有効",IF(T20&gt;=3,"要確認","除外")))</f>
        <v>有効</v>
      </c>
      <c r="V20" s="163" t="str">
        <f>IF(AND(H20&lt;&gt;"",K20&lt;&gt;""),IF(H20&gt;=K20,"年初来高値更新●",IF(H20&gt;=K20*0.95,"高値圏","通常")),"")</f>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IF(AND(E20&lt;&gt;"",G20&lt;&gt;"",G20&lt;&gt;0),(E20-G20)/G20*100,"")</f>
        <v>0</v>
      </c>
      <c r="AA20" s="163" t="str">
        <f>IF(OR(C20="",E20="",E20=0),"",IF(E20&gt;G20,"上昇▲",IF(E20&lt;G20,"下落▼","横ばい→")))</f>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IF(OR(C20="",AB20="",AC20=""),"",IF(AND(E20&gt;AB20,AB20&gt;AC20),"パーフェクト▲",IF(E20&gt;AC20,"上昇トレンド▲",IF(AND(E20&lt;AB20,AB20&lt;AC20),"下降トレンド▼","もみ合い→"))))</f>
        <v>もみ合い→</v>
      </c>
      <c r="AE20" s="404" t="str">
        <f>IF(OR(C20="",AB20="",AC20=""),"",IF(AND(ABS(E20-AC20)/AC20&lt;=0.02,E20&gt;AC20),"25日押し目★",IF(AND(ABS(E20-AB20)/AB20&lt;=0.01,E20&gt;AB20),"5日押し目○","なし")))</f>
        <v>なし</v>
      </c>
      <c r="AF20" s="365">
        <f t="array" ref="AF20">IF(C20="","",IFERROR((INDEX(終値!$E:$E,MATCH(TEXT(C20,"0"),終値!$A:$A,0))-INDEX(終値!$E:$CZ,MATCH(TEXT(C20,"0"),終値!$A:$A,0),$AL$2))/INDEX(終値!$E:$CZ,MATCH(TEXT(C20,"0"),終値!$A:$A,0),$AL$2)*100,""))</f>
        <v>8.5714285714285712</v>
      </c>
      <c r="AG20" s="365">
        <f t="array" ref="AG20">IFERROR((終値!$E$5-INDEX(終値!$E$5:$IT$5,1,$AL$2))/INDEX(終値!$E$5:$IT$5,1,$AL$2)*100,"")</f>
        <v>1.0179378228534113</v>
      </c>
      <c r="AH20" s="366">
        <f>IF(OR(AF20="",AG20=""),"",AF20-AG20)</f>
        <v>7.5534907485751601</v>
      </c>
      <c r="AI20" s="364">
        <f>IF(AH20="","",IF(AH20&gt;5,3,IF(AH20&gt;0,1,IF(AH20&gt;-3,-1,-2))))</f>
        <v>3</v>
      </c>
      <c r="BA20">
        <f>IFERROR((SUM(OFFSET(高値!$E$6,IFERROR(MATCH($C20,銘柄管理!$B$6:$B$305,0),MATCH(TEXT($C20,"0"),銘柄管理!$B$6:$B$305,0))-1,0,1,14))-SUM(OFFSET(安値!$E$6,IFERROR(MATCH($C20,銘柄管理!$B$6:$B$305,0),MATCH(TEXT($C20,"0"),銘柄管理!$B$6:$B$305,0))-1,0,1,14)))/SUM(OFFSET(終値!$E$6,IFERROR(MATCH($C20,銘柄管理!$B$6:$B$305,0),MATCH(TEXT($C20,"0"),銘柄管理!$B$6:$B$305,0))-1,0,1,14))*100,"")</f>
      </c>
      <c r="BB20">
        <f>IFERROR((MAX(OFFSET(高値!$E$6,IFERROR(MATCH($C20,銘柄管理!$B$6:$B$305,0),MATCH(TEXT($C20,"0"),銘柄管理!$B$6:$B$305,0))-1,0,1,25))-MIN(OFFSET(安値!$E$6,IFERROR(MATCH($C20,銘柄管理!$B$6:$B$305,0),MATCH(TEXT($C20,"0"),銘柄管理!$B$6:$B$305,0))-1,0,1,25)))/$E20*100,"")</f>
      </c>
      <c r="BC20">
        <f>IFERROR(($F20-$G20)/$G20*100,"")</f>
      </c>
      <c r="BD20">
        <f>IFERROR(($E20-MAX(OFFSET(高値!$E$6,IFERROR(MATCH($C20,銘柄管理!$B$6:$B$305,0),MATCH(TEXT($C20,"0"),銘柄管理!$B$6:$B$305,0))-1,0,1,25)))/MAX(OFFSET(高値!$E$6,IFERROR(MATCH($C20,銘柄管理!$B$6:$B$305,0),MATCH(TEXT($C20,"0"),銘柄管理!$B$6:$B$305,0))-1,0,1,25))*100,"")</f>
      </c>
      <c r="BE20">
        <f>IFERROR(($H20-$I20)/$F20*100,"")</f>
      </c>
      <c r="BF20">
        <f>IFERROR(-(($BA20-AVERAGE($BA$3:$BA$206))/STDEV($BA$3:$BA$206))-(($BE20-AVERAGE($BE$3:$BE$206))/STDEV($BE$3:$BE$206))-(($BB20-AVERAGE($BB$3:$BB$206))/STDEV($BB$3:$BB$206))-(($Z20-AVERAGE($Z$3:$Z$206))/STDEV($Z$3:$Z$206))-(($BC20-AVERAGE($BC$3:$BC$206))/STDEV($BC$3:$BC$206)),"")</f>
      </c>
      <c r="BG20">
        <f>IF(OR($C20="",$C20="TOPX",$BA20="",$BF20=""),0,IF(AND($BK$10=1,$BA20&lt;=$BK$2,$BB20&lt;=$BK$3,$BC20&lt;=$BK$4,$Z20&lt;=$BK$5,$Z20&gt;=$BK$6,$BD20&gt;=$BK$7,$BE20&lt;=$BK$8),1,0))</f>
      </c>
      <c r="BH20">
        <f>IF($C20="","",IF($BG20=1,"○ゲート通過",IF($BK$10&lt;&gt;1,"― この方向は停止中",IF($BA20&gt;$BK$2,"×値動きが荒い",IF($BB20&gt;$BK$3,"×レンジが広い",IF($BC20&gt;$BK$4,"×窓を開けて上昇",IF($Z20&gt;$BK$5,"×前日に急騰",IF($Z20&lt;$BK$6,"×前日に急落",IF($BD20&lt;$BK$7,"×高値から離れすぎ",IF($BE20&gt;$BK$8,"×当日の値幅が大きい","×")))))))))</f>
      </c>
    </row>
    <row r="21" spans="1:60"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IF(AND(E21&lt;&gt;"",K21&lt;&gt;"",K21&lt;&gt;0),(E21-K21)/K21*100,"")</f>
        <v>-23.901712583767683</v>
      </c>
      <c r="M21" s="166">
        <f>IF(C21&lt;&gt;"",IFERROR(AVERAGE(出来高!E126:I126),""),"")</f>
        <v>217800</v>
      </c>
      <c r="N21" s="166">
        <f>IF(C21&lt;&gt;"",IFERROR(AVERAGE(出来高!E126:AC126),""),"")</f>
        <v>331356</v>
      </c>
      <c r="O21" s="168">
        <f>IF(AND(J21&lt;&gt;"",M21&lt;&gt;"",M21&lt;&gt;0),J21/M21,"")</f>
        <v>0.76308539944903586</v>
      </c>
      <c r="P21" s="163" t="str">
        <f>IF(O21="","",IF(O21&gt;=2,"急増↑↑",IF(O21&gt;=1.5,"増加↑",IF(O21&gt;=1,"普通→","減少↓"))))</f>
        <v>減少↓</v>
      </c>
      <c r="Q21" s="163" t="str">
        <f>IF(E21="","",IF(AND(E21&gt;G21,O21&gt;=1.5),"買い▲",IF(E21&lt;G21,"様子見▼","中立→")))</f>
        <v>中立→</v>
      </c>
      <c r="R21" s="166">
        <f>IF(E21&lt;&gt;"",ROUND(E21*1.08,0),"")</f>
        <v>1104</v>
      </c>
      <c r="S21" s="166">
        <f>IF(E21&lt;&gt;"",ROUND(E21*0.96,0),"")</f>
        <v>981</v>
      </c>
      <c r="T21" s="163">
        <f>IF(C21="","",IFERROR(IF(O21&gt;=2,3,IF(O21&gt;=1.5,2,IF(O21&gt;=1,1,0)))+IF(E21&gt;G21,1,0)+IF(L21&gt;=-5,1,0)+IF(Q21="買い▲",2,0)+IF(W21&lt;=30,3,IF(W21&lt;=40,2,IF(AND(W21&gt;=40,W21&lt;=60),1,0)))+IF(X21&gt;0,1,0)+IF(V21="年初来高値更新●",3,IF(V21="高値圏",2,0))+IF(AD21="パーフェクト▲",3,IF(AD21="上昇トレンド▲",2,0))+IF(AE21="25日線押し目●",2,IF(AE21="5日線押し目○",1,0))+IF(P21="急増↑↑",2,IF(P21="増加↑",1,0))+N(AI21),0))</f>
        <v>4</v>
      </c>
      <c r="U21" s="163" t="str">
        <f>IF(T21="","",IF(AND(T21&gt;=3,O21&gt;=1.5),"有効",IF(T21&gt;=3,"要確認","除外")))</f>
        <v>要確認</v>
      </c>
      <c r="V21" s="163" t="str">
        <f>IF(AND(H21&lt;&gt;"",K21&lt;&gt;""),IF(H21&gt;=K21,"年初来高値更新●",IF(H21&gt;=K21*0.95,"高値圏","通常")),"")</f>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IF(AND(E21&lt;&gt;"",G21&lt;&gt;"",G21&lt;&gt;0),(E21-G21)/G21*100,"")</f>
        <v>0.19607843137254902</v>
      </c>
      <c r="AA21" s="163" t="str">
        <f>IF(OR(C21="",E21="",E21=0),"",IF(E21&gt;G21,"上昇▲",IF(E21&lt;G21,"下落▼","横ばい→")))</f>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IF(OR(C21="",AB21="",AC21=""),"",IF(AND(E21&gt;AB21,AB21&gt;AC21),"パーフェクト▲",IF(E21&gt;AC21,"上昇トレンド▲",IF(AND(E21&lt;AB21,AB21&lt;AC21),"下降トレンド▼","もみ合い→"))))</f>
        <v>もみ合い→</v>
      </c>
      <c r="AE21" s="406" t="str">
        <f>IF(OR(C21="",AB21="",AC21=""),"",IF(AND(ABS(E21-AC21)/AC21&lt;=0.02,E21&gt;AC21),"25日押し目★",IF(AND(ABS(E21-AB21)/AB21&lt;=0.01,E21&gt;AB21),"5日押し目○","なし")))</f>
        <v>なし</v>
      </c>
      <c r="AF21" s="365">
        <f t="array" ref="AF21">IF(C21="","",IFERROR((INDEX(終値!$E:$E,MATCH(TEXT(C21,"0"),終値!$A:$A,0))-INDEX(終値!$E:$CZ,MATCH(TEXT(C21,"0"),終値!$A:$A,0),$AL$2))/INDEX(終値!$E:$CZ,MATCH(TEXT(C21,"0"),終値!$A:$A,0),$AL$2)*100,""))</f>
        <v>6.0165975103734439</v>
      </c>
      <c r="AG21" s="365">
        <f t="array" ref="AG21">IFERROR((終値!$E$5-INDEX(終値!$E$5:$IT$5,1,$AL$2))/INDEX(終値!$E$5:$IT$5,1,$AL$2)*100,"")</f>
        <v>1.0179378228534113</v>
      </c>
      <c r="AH21" s="366">
        <f>IF(OR(AF21="",AG21=""),"",AF21-AG21)</f>
        <v>4.9986596875200329</v>
      </c>
      <c r="AI21" s="364">
        <f>IF(AH21="","",IF(AH21&gt;5,3,IF(AH21&gt;0,1,IF(AH21&gt;-3,-1,-2))))</f>
        <v>1</v>
      </c>
      <c r="BA21">
        <f>IFERROR((SUM(OFFSET(高値!$E$6,IFERROR(MATCH($C21,銘柄管理!$B$6:$B$305,0),MATCH(TEXT($C21,"0"),銘柄管理!$B$6:$B$305,0))-1,0,1,14))-SUM(OFFSET(安値!$E$6,IFERROR(MATCH($C21,銘柄管理!$B$6:$B$305,0),MATCH(TEXT($C21,"0"),銘柄管理!$B$6:$B$305,0))-1,0,1,14)))/SUM(OFFSET(終値!$E$6,IFERROR(MATCH($C21,銘柄管理!$B$6:$B$305,0),MATCH(TEXT($C21,"0"),銘柄管理!$B$6:$B$305,0))-1,0,1,14))*100,"")</f>
      </c>
      <c r="BB21">
        <f>IFERROR((MAX(OFFSET(高値!$E$6,IFERROR(MATCH($C21,銘柄管理!$B$6:$B$305,0),MATCH(TEXT($C21,"0"),銘柄管理!$B$6:$B$305,0))-1,0,1,25))-MIN(OFFSET(安値!$E$6,IFERROR(MATCH($C21,銘柄管理!$B$6:$B$305,0),MATCH(TEXT($C21,"0"),銘柄管理!$B$6:$B$305,0))-1,0,1,25)))/$E21*100,"")</f>
      </c>
      <c r="BC21">
        <f>IFERROR(($F21-$G21)/$G21*100,"")</f>
      </c>
      <c r="BD21">
        <f>IFERROR(($E21-MAX(OFFSET(高値!$E$6,IFERROR(MATCH($C21,銘柄管理!$B$6:$B$305,0),MATCH(TEXT($C21,"0"),銘柄管理!$B$6:$B$305,0))-1,0,1,25)))/MAX(OFFSET(高値!$E$6,IFERROR(MATCH($C21,銘柄管理!$B$6:$B$305,0),MATCH(TEXT($C21,"0"),銘柄管理!$B$6:$B$305,0))-1,0,1,25))*100,"")</f>
      </c>
      <c r="BE21">
        <f>IFERROR(($H21-$I21)/$F21*100,"")</f>
      </c>
      <c r="BF21">
        <f>IFERROR(-(($BA21-AVERAGE($BA$3:$BA$206))/STDEV($BA$3:$BA$206))-(($BE21-AVERAGE($BE$3:$BE$206))/STDEV($BE$3:$BE$206))-(($BB21-AVERAGE($BB$3:$BB$206))/STDEV($BB$3:$BB$206))-(($Z21-AVERAGE($Z$3:$Z$206))/STDEV($Z$3:$Z$206))-(($BC21-AVERAGE($BC$3:$BC$206))/STDEV($BC$3:$BC$206)),"")</f>
      </c>
      <c r="BG21">
        <f>IF(OR($C21="",$C21="TOPX",$BA21="",$BF21=""),0,IF(AND($BK$10=1,$BA21&lt;=$BK$2,$BB21&lt;=$BK$3,$BC21&lt;=$BK$4,$Z21&lt;=$BK$5,$Z21&gt;=$BK$6,$BD21&gt;=$BK$7,$BE21&lt;=$BK$8),1,0))</f>
      </c>
      <c r="BH21">
        <f>IF($C21="","",IF($BG21=1,"○ゲート通過",IF($BK$10&lt;&gt;1,"― この方向は停止中",IF($BA21&gt;$BK$2,"×値動きが荒い",IF($BB21&gt;$BK$3,"×レンジが広い",IF($BC21&gt;$BK$4,"×窓を開けて上昇",IF($Z21&gt;$BK$5,"×前日に急騰",IF($Z21&lt;$BK$6,"×前日に急落",IF($BD21&lt;$BK$7,"×高値から離れすぎ",IF($BE21&gt;$BK$8,"×当日の値幅が大きい","×")))))))))</f>
      </c>
    </row>
    <row r="22" spans="1:60"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IF(AND(E22&lt;&gt;"",K22&lt;&gt;"",K22&lt;&gt;0),(E22-K22)/K22*100,"")</f>
        <v>-52.5</v>
      </c>
      <c r="M22" s="166">
        <f>IF(C22&lt;&gt;"",IFERROR(AVERAGE(出来高!E56:I56),""),"")</f>
        <v>4240860</v>
      </c>
      <c r="N22" s="166">
        <f>IF(C22&lt;&gt;"",IFERROR(AVERAGE(出来高!E56:AC56),""),"")</f>
        <v>2814848</v>
      </c>
      <c r="O22" s="168">
        <f>IF(AND(J22&lt;&gt;"",M22&lt;&gt;"",M22&lt;&gt;0),J22/M22,"")</f>
        <v>1.0687454903014955</v>
      </c>
      <c r="P22" s="163" t="str">
        <f>IF(O22="","",IF(O22&gt;=2,"急増↑↑",IF(O22&gt;=1.5,"増加↑",IF(O22&gt;=1,"普通→","減少↓"))))</f>
        <v>普通→</v>
      </c>
      <c r="Q22" s="163" t="str">
        <f>IF(E22="","",IF(AND(E22&gt;G22,O22&gt;=1.5),"買い▲",IF(E22&lt;G22,"様子見▼","中立→")))</f>
        <v>様子見▼</v>
      </c>
      <c r="R22" s="166">
        <f>IF(E22&lt;&gt;"",ROUND(E22*1.08,0),"")</f>
        <v>2421</v>
      </c>
      <c r="S22" s="166">
        <f>IF(E22&lt;&gt;"",ROUND(E22*0.96,0),"")</f>
        <v>2152</v>
      </c>
      <c r="T22" s="163">
        <f>IF(C22="","",IFERROR(IF(O22&gt;=2,3,IF(O22&gt;=1.5,2,IF(O22&gt;=1,1,0)))+IF(E22&gt;G22,1,0)+IF(L22&gt;=-5,1,0)+IF(Q22="買い▲",2,0)+IF(W22&lt;=30,3,IF(W22&lt;=40,2,IF(AND(W22&gt;=40,W22&lt;=60),1,0)))+IF(X22&gt;0,1,0)+IF(V22="年初来高値更新●",3,IF(V22="高値圏",2,0))+IF(AD22="パーフェクト▲",3,IF(AD22="上昇トレンド▲",2,0))+IF(AE22="25日線押し目●",2,IF(AE22="5日線押し目○",1,0))+IF(P22="急増↑↑",2,IF(P22="増加↑",1,0))+N(AI22),0))</f>
        <v>2</v>
      </c>
      <c r="U22" s="163" t="str">
        <f>IF(T22="","",IF(AND(T22&gt;=3,O22&gt;=1.5),"有効",IF(T22&gt;=3,"要確認","除外")))</f>
        <v>除外</v>
      </c>
      <c r="V22" s="163" t="str">
        <f>IF(AND(H22&lt;&gt;"",K22&lt;&gt;""),IF(H22&gt;=K22,"年初来高値更新●",IF(H22&gt;=K22*0.95,"高値圏","通常")),"")</f>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IF(AND(E22&lt;&gt;"",G22&lt;&gt;"",G22&lt;&gt;0),(E22-G22)/G22*100,"")</f>
        <v>-10.32</v>
      </c>
      <c r="AA22" s="163" t="str">
        <f>IF(OR(C22="",E22="",E22=0),"",IF(E22&gt;G22,"上昇▲",IF(E22&lt;G22,"下落▼","横ばい→")))</f>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IF(OR(C22="",AB22="",AC22=""),"",IF(AND(E22&gt;AB22,AB22&gt;AC22),"パーフェクト▲",IF(E22&gt;AC22,"上昇トレンド▲",IF(AND(E22&lt;AB22,AB22&lt;AC22),"下降トレンド▼","もみ合い→"))))</f>
        <v>上昇トレンド▲</v>
      </c>
      <c r="AE22" s="404" t="str">
        <f>IF(OR(C22="",AB22="",AC22=""),"",IF(AND(ABS(E22-AC22)/AC22&lt;=0.02,E22&gt;AC22),"25日押し目★",IF(AND(ABS(E22-AB22)/AB22&lt;=0.01,E22&gt;AB22),"5日押し目○","なし")))</f>
        <v>なし</v>
      </c>
      <c r="AF22" s="365">
        <f t="array" ref="AF22">IF(C22="","",IFERROR((INDEX(終値!$E:$E,MATCH(TEXT(C22,"0"),終値!$A:$A,0))-INDEX(終値!$E:$CZ,MATCH(TEXT(C22,"0"),終値!$A:$A,0),$AL$2))/INDEX(終値!$E:$CZ,MATCH(TEXT(C22,"0"),終値!$A:$A,0),$AL$2)*100,""))</f>
        <v>-12.147335423197491</v>
      </c>
      <c r="AG22" s="365">
        <f t="array" ref="AG22">IFERROR((終値!$E$5-INDEX(終値!$E$5:$IT$5,1,$AL$2))/INDEX(終値!$E$5:$IT$5,1,$AL$2)*100,"")</f>
        <v>1.0179378228534113</v>
      </c>
      <c r="AH22" s="366">
        <f>IF(OR(AF22="",AG22=""),"",AF22-AG22)</f>
        <v>-13.165273246050903</v>
      </c>
      <c r="AI22" s="364">
        <f>IF(AH22="","",IF(AH22&gt;5,3,IF(AH22&gt;0,1,IF(AH22&gt;-3,-1,-2))))</f>
        <v>-2</v>
      </c>
      <c r="BA22">
        <f>IFERROR((SUM(OFFSET(高値!$E$6,IFERROR(MATCH($C22,銘柄管理!$B$6:$B$305,0),MATCH(TEXT($C22,"0"),銘柄管理!$B$6:$B$305,0))-1,0,1,14))-SUM(OFFSET(安値!$E$6,IFERROR(MATCH($C22,銘柄管理!$B$6:$B$305,0),MATCH(TEXT($C22,"0"),銘柄管理!$B$6:$B$305,0))-1,0,1,14)))/SUM(OFFSET(終値!$E$6,IFERROR(MATCH($C22,銘柄管理!$B$6:$B$305,0),MATCH(TEXT($C22,"0"),銘柄管理!$B$6:$B$305,0))-1,0,1,14))*100,"")</f>
      </c>
      <c r="BB22">
        <f>IFERROR((MAX(OFFSET(高値!$E$6,IFERROR(MATCH($C22,銘柄管理!$B$6:$B$305,0),MATCH(TEXT($C22,"0"),銘柄管理!$B$6:$B$305,0))-1,0,1,25))-MIN(OFFSET(安値!$E$6,IFERROR(MATCH($C22,銘柄管理!$B$6:$B$305,0),MATCH(TEXT($C22,"0"),銘柄管理!$B$6:$B$305,0))-1,0,1,25)))/$E22*100,"")</f>
      </c>
      <c r="BC22">
        <f>IFERROR(($F22-$G22)/$G22*100,"")</f>
      </c>
      <c r="BD22">
        <f>IFERROR(($E22-MAX(OFFSET(高値!$E$6,IFERROR(MATCH($C22,銘柄管理!$B$6:$B$305,0),MATCH(TEXT($C22,"0"),銘柄管理!$B$6:$B$305,0))-1,0,1,25)))/MAX(OFFSET(高値!$E$6,IFERROR(MATCH($C22,銘柄管理!$B$6:$B$305,0),MATCH(TEXT($C22,"0"),銘柄管理!$B$6:$B$305,0))-1,0,1,25))*100,"")</f>
      </c>
      <c r="BE22">
        <f>IFERROR(($H22-$I22)/$F22*100,"")</f>
      </c>
      <c r="BF22">
        <f>IFERROR(-(($BA22-AVERAGE($BA$3:$BA$206))/STDEV($BA$3:$BA$206))-(($BE22-AVERAGE($BE$3:$BE$206))/STDEV($BE$3:$BE$206))-(($BB22-AVERAGE($BB$3:$BB$206))/STDEV($BB$3:$BB$206))-(($Z22-AVERAGE($Z$3:$Z$206))/STDEV($Z$3:$Z$206))-(($BC22-AVERAGE($BC$3:$BC$206))/STDEV($BC$3:$BC$206)),"")</f>
      </c>
      <c r="BG22">
        <f>IF(OR($C22="",$C22="TOPX",$BA22="",$BF22=""),0,IF(AND($BK$10=1,$BA22&lt;=$BK$2,$BB22&lt;=$BK$3,$BC22&lt;=$BK$4,$Z22&lt;=$BK$5,$Z22&gt;=$BK$6,$BD22&gt;=$BK$7,$BE22&lt;=$BK$8),1,0))</f>
      </c>
      <c r="BH22">
        <f>IF($C22="","",IF($BG22=1,"○ゲート通過",IF($BK$10&lt;&gt;1,"― この方向は停止中",IF($BA22&gt;$BK$2,"×値動きが荒い",IF($BB22&gt;$BK$3,"×レンジが広い",IF($BC22&gt;$BK$4,"×窓を開けて上昇",IF($Z22&gt;$BK$5,"×前日に急騰",IF($Z22&lt;$BK$6,"×前日に急落",IF($BD22&lt;$BK$7,"×高値から離れすぎ",IF($BE22&gt;$BK$8,"×当日の値幅が大きい","×")))))))))</f>
      </c>
    </row>
    <row r="23" spans="1:60"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IF(AND(E23&lt;&gt;"",K23&lt;&gt;"",K23&lt;&gt;0),(E23-K23)/K23*100,"")</f>
        <v>-27.371616493802176</v>
      </c>
      <c r="M23" s="166">
        <f>IF(C23&lt;&gt;"",IFERROR(AVERAGE(出来高!E119:I119),""),"")</f>
        <v>674800</v>
      </c>
      <c r="N23" s="166">
        <f>IF(C23&lt;&gt;"",IFERROR(AVERAGE(出来高!E119:AC119),""),"")</f>
        <v>510732</v>
      </c>
      <c r="O23" s="168">
        <f>IF(AND(J23&lt;&gt;"",M23&lt;&gt;"",M23&lt;&gt;0),J23/M23,"")</f>
        <v>0.8934499110847659</v>
      </c>
      <c r="P23" s="163" t="str">
        <f>IF(O23="","",IF(O23&gt;=2,"急増↑↑",IF(O23&gt;=1.5,"増加↑",IF(O23&gt;=1,"普通→","減少↓"))))</f>
        <v>減少↓</v>
      </c>
      <c r="Q23" s="163" t="str">
        <f>IF(E23="","",IF(AND(E23&gt;G23,O23&gt;=1.5),"買い▲",IF(E23&lt;G23,"様子見▼","中立→")))</f>
        <v>中立→</v>
      </c>
      <c r="R23" s="166">
        <f>IF(E23&lt;&gt;"",ROUND(E23*1.08,0),"")</f>
        <v>3101</v>
      </c>
      <c r="S23" s="166">
        <f>IF(E23&lt;&gt;"",ROUND(E23*0.96,0),"")</f>
        <v>2756</v>
      </c>
      <c r="T23" s="163">
        <f>IF(C23="","",IFERROR(IF(O23&gt;=2,3,IF(O23&gt;=1.5,2,IF(O23&gt;=1,1,0)))+IF(E23&gt;G23,1,0)+IF(L23&gt;=-5,1,0)+IF(Q23="買い▲",2,0)+IF(W23&lt;=30,3,IF(W23&lt;=40,2,IF(AND(W23&gt;=40,W23&lt;=60),1,0)))+IF(X23&gt;0,1,0)+IF(V23="年初来高値更新●",3,IF(V23="高値圏",2,0))+IF(AD23="パーフェクト▲",3,IF(AD23="上昇トレンド▲",2,0))+IF(AE23="25日線押し目●",2,IF(AE23="5日線押し目○",1,0))+IF(P23="急増↑↑",2,IF(P23="増加↑",1,0))+N(AI23),0))</f>
        <v>6</v>
      </c>
      <c r="U23" s="163" t="str">
        <f>IF(T23="","",IF(AND(T23&gt;=3,O23&gt;=1.5),"有効",IF(T23&gt;=3,"要確認","除外")))</f>
        <v>要確認</v>
      </c>
      <c r="V23" s="163" t="str">
        <f>IF(AND(H23&lt;&gt;"",K23&lt;&gt;""),IF(H23&gt;=K23,"年初来高値更新●",IF(H23&gt;=K23*0.95,"高値圏","通常")),"")</f>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IF(AND(E23&lt;&gt;"",G23&lt;&gt;"",G23&lt;&gt;0),(E23-G23)/G23*100,"")</f>
        <v>3.5154137371552192</v>
      </c>
      <c r="AA23" s="163" t="str">
        <f>IF(OR(C23="",E23="",E23=0),"",IF(E23&gt;G23,"上昇▲",IF(E23&lt;G23,"下落▼","横ばい→")))</f>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IF(OR(C23="",AB23="",AC23=""),"",IF(AND(E23&gt;AB23,AB23&gt;AC23),"パーフェクト▲",IF(E23&gt;AC23,"上昇トレンド▲",IF(AND(E23&lt;AB23,AB23&lt;AC23),"下降トレンド▼","もみ合い→"))))</f>
        <v>パーフェクト▲</v>
      </c>
      <c r="AE23" s="406" t="str">
        <f>IF(OR(C23="",AB23="",AC23=""),"",IF(AND(ABS(E23-AC23)/AC23&lt;=0.02,E23&gt;AC23),"25日押し目★",IF(AND(ABS(E23-AB23)/AB23&lt;=0.01,E23&gt;AB23),"5日押し目○","なし")))</f>
        <v>なし</v>
      </c>
      <c r="AF23" s="365">
        <f t="array" ref="AF23">IF(C23="","",IFERROR((INDEX(終値!$E:$E,MATCH(TEXT(C23,"0"),終値!$A:$A,0))-INDEX(終値!$E:$CZ,MATCH(TEXT(C23,"0"),終値!$A:$A,0),$AL$2))/INDEX(終値!$E:$CZ,MATCH(TEXT(C23,"0"),終値!$A:$A,0),$AL$2)*100,""))</f>
        <v>1.7543859649122806</v>
      </c>
      <c r="AG23" s="365">
        <f t="array" ref="AG23">IFERROR((終値!$E$5-INDEX(終値!$E$5:$IT$5,1,$AL$2))/INDEX(終値!$E$5:$IT$5,1,$AL$2)*100,"")</f>
        <v>1.0179378228534113</v>
      </c>
      <c r="AH23" s="366">
        <f>IF(OR(AF23="",AG23=""),"",AF23-AG23)</f>
        <v>0.73644814205886933</v>
      </c>
      <c r="AI23" s="364">
        <f>IF(AH23="","",IF(AH23&gt;5,3,IF(AH23&gt;0,1,IF(AH23&gt;-3,-1,-2))))</f>
        <v>1</v>
      </c>
      <c r="BA23">
        <f>IFERROR((SUM(OFFSET(高値!$E$6,IFERROR(MATCH($C23,銘柄管理!$B$6:$B$305,0),MATCH(TEXT($C23,"0"),銘柄管理!$B$6:$B$305,0))-1,0,1,14))-SUM(OFFSET(安値!$E$6,IFERROR(MATCH($C23,銘柄管理!$B$6:$B$305,0),MATCH(TEXT($C23,"0"),銘柄管理!$B$6:$B$305,0))-1,0,1,14)))/SUM(OFFSET(終値!$E$6,IFERROR(MATCH($C23,銘柄管理!$B$6:$B$305,0),MATCH(TEXT($C23,"0"),銘柄管理!$B$6:$B$305,0))-1,0,1,14))*100,"")</f>
      </c>
      <c r="BB23">
        <f>IFERROR((MAX(OFFSET(高値!$E$6,IFERROR(MATCH($C23,銘柄管理!$B$6:$B$305,0),MATCH(TEXT($C23,"0"),銘柄管理!$B$6:$B$305,0))-1,0,1,25))-MIN(OFFSET(安値!$E$6,IFERROR(MATCH($C23,銘柄管理!$B$6:$B$305,0),MATCH(TEXT($C23,"0"),銘柄管理!$B$6:$B$305,0))-1,0,1,25)))/$E23*100,"")</f>
      </c>
      <c r="BC23">
        <f>IFERROR(($F23-$G23)/$G23*100,"")</f>
      </c>
      <c r="BD23">
        <f>IFERROR(($E23-MAX(OFFSET(高値!$E$6,IFERROR(MATCH($C23,銘柄管理!$B$6:$B$305,0),MATCH(TEXT($C23,"0"),銘柄管理!$B$6:$B$305,0))-1,0,1,25)))/MAX(OFFSET(高値!$E$6,IFERROR(MATCH($C23,銘柄管理!$B$6:$B$305,0),MATCH(TEXT($C23,"0"),銘柄管理!$B$6:$B$305,0))-1,0,1,25))*100,"")</f>
      </c>
      <c r="BE23">
        <f>IFERROR(($H23-$I23)/$F23*100,"")</f>
      </c>
      <c r="BF23">
        <f>IFERROR(-(($BA23-AVERAGE($BA$3:$BA$206))/STDEV($BA$3:$BA$206))-(($BE23-AVERAGE($BE$3:$BE$206))/STDEV($BE$3:$BE$206))-(($BB23-AVERAGE($BB$3:$BB$206))/STDEV($BB$3:$BB$206))-(($Z23-AVERAGE($Z$3:$Z$206))/STDEV($Z$3:$Z$206))-(($BC23-AVERAGE($BC$3:$BC$206))/STDEV($BC$3:$BC$206)),"")</f>
      </c>
      <c r="BG23">
        <f>IF(OR($C23="",$C23="TOPX",$BA23="",$BF23=""),0,IF(AND($BK$10=1,$BA23&lt;=$BK$2,$BB23&lt;=$BK$3,$BC23&lt;=$BK$4,$Z23&lt;=$BK$5,$Z23&gt;=$BK$6,$BD23&gt;=$BK$7,$BE23&lt;=$BK$8),1,0))</f>
      </c>
      <c r="BH23">
        <f>IF($C23="","",IF($BG23=1,"○ゲート通過",IF($BK$10&lt;&gt;1,"― この方向は停止中",IF($BA23&gt;$BK$2,"×値動きが荒い",IF($BB23&gt;$BK$3,"×レンジが広い",IF($BC23&gt;$BK$4,"×窓を開けて上昇",IF($Z23&gt;$BK$5,"×前日に急騰",IF($Z23&lt;$BK$6,"×前日に急落",IF($BD23&lt;$BK$7,"×高値から離れすぎ",IF($BE23&gt;$BK$8,"×当日の値幅が大きい","×")))))))))</f>
      </c>
    </row>
    <row r="24" spans="1:60"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IF(AND(E24&lt;&gt;"",K24&lt;&gt;"",K24&lt;&gt;0),(E24-K24)/K24*100,"")</f>
        <v>-41.267605633802816</v>
      </c>
      <c r="M24" s="166">
        <f>IF(C24&lt;&gt;"",IFERROR(AVERAGE(出来高!E112:I112),""),"")</f>
        <v>842480</v>
      </c>
      <c r="N24" s="166">
        <f>IF(C24&lt;&gt;"",IFERROR(AVERAGE(出来高!E112:AC112),""),"")</f>
        <v>1585795.8333333333</v>
      </c>
      <c r="O24" s="168">
        <f>IF(AND(J24&lt;&gt;"",M24&lt;&gt;"",M24&lt;&gt;0),J24/M24,"")</f>
        <v>0.58850061722533475</v>
      </c>
      <c r="P24" s="163" t="str">
        <f>IF(O24="","",IF(O24&gt;=2,"急増↑↑",IF(O24&gt;=1.5,"増加↑",IF(O24&gt;=1,"普通→","減少↓"))))</f>
        <v>減少↓</v>
      </c>
      <c r="Q24" s="163" t="str">
        <f>IF(E24="","",IF(AND(E24&gt;G24,O24&gt;=1.5),"買い▲",IF(E24&lt;G24,"様子見▼","中立→")))</f>
        <v>様子見▼</v>
      </c>
      <c r="R24" s="166">
        <f>IF(E24&lt;&gt;"",ROUND(E24*1.08,0),"")</f>
        <v>450</v>
      </c>
      <c r="S24" s="166">
        <f>IF(E24&lt;&gt;"",ROUND(E24*0.96,0),"")</f>
        <v>400</v>
      </c>
      <c r="T24" s="163">
        <f>IF(C24="","",IFERROR(IF(O24&gt;=2,3,IF(O24&gt;=1.5,2,IF(O24&gt;=1,1,0)))+IF(E24&gt;G24,1,0)+IF(L24&gt;=-5,1,0)+IF(Q24="買い▲",2,0)+IF(W24&lt;=30,3,IF(W24&lt;=40,2,IF(AND(W24&gt;=40,W24&lt;=60),1,0)))+IF(X24&gt;0,1,0)+IF(V24="年初来高値更新●",3,IF(V24="高値圏",2,0))+IF(AD24="パーフェクト▲",3,IF(AD24="上昇トレンド▲",2,0))+IF(AE24="25日線押し目●",2,IF(AE24="5日線押し目○",1,0))+IF(P24="急増↑↑",2,IF(P24="増加↑",1,0))+N(AI24),0))</f>
        <v>-1</v>
      </c>
      <c r="U24" s="163" t="str">
        <f>IF(T24="","",IF(AND(T24&gt;=3,O24&gt;=1.5),"有効",IF(T24&gt;=3,"要確認","除外")))</f>
        <v>除外</v>
      </c>
      <c r="V24" s="163" t="str">
        <f>IF(AND(H24&lt;&gt;"",K24&lt;&gt;""),IF(H24&gt;=K24,"年初来高値更新●",IF(H24&gt;=K24*0.95,"高値圏","通常")),"")</f>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IF(AND(E24&lt;&gt;"",G24&lt;&gt;"",G24&lt;&gt;0),(E24-G24)/G24*100,"")</f>
        <v>-1.1848341232227488</v>
      </c>
      <c r="AA24" s="163" t="str">
        <f>IF(OR(C24="",E24="",E24=0),"",IF(E24&gt;G24,"上昇▲",IF(E24&lt;G24,"下落▼","横ばい→")))</f>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IF(OR(C24="",AB24="",AC24=""),"",IF(AND(E24&gt;AB24,AB24&gt;AC24),"パーフェクト▲",IF(E24&gt;AC24,"上昇トレンド▲",IF(AND(E24&lt;AB24,AB24&lt;AC24),"下降トレンド▼","もみ合い→"))))</f>
        <v>もみ合い→</v>
      </c>
      <c r="AE24" s="404" t="str">
        <f>IF(OR(C24="",AB24="",AC24=""),"",IF(AND(ABS(E24-AC24)/AC24&lt;=0.02,E24&gt;AC24),"25日押し目★",IF(AND(ABS(E24-AB24)/AB24&lt;=0.01,E24&gt;AB24),"5日押し目○","なし")))</f>
        <v>なし</v>
      </c>
      <c r="AF24" s="365">
        <f t="array" ref="AF24">IF(C24="","",IFERROR((INDEX(終値!$E:$E,MATCH(TEXT(C24,"0"),終値!$A:$A,0))-INDEX(終値!$E:$CZ,MATCH(TEXT(C24,"0"),終値!$A:$A,0),$AL$2))/INDEX(終値!$E:$CZ,MATCH(TEXT(C24,"0"),終値!$A:$A,0),$AL$2)*100,""))</f>
        <v>-5.2272727272727266</v>
      </c>
      <c r="AG24" s="365">
        <f t="array" ref="AG24">IFERROR((終値!$E$5-INDEX(終値!$E$5:$IT$5,1,$AL$2))/INDEX(終値!$E$5:$IT$5,1,$AL$2)*100,"")</f>
        <v>1.0179378228534113</v>
      </c>
      <c r="AH24" s="366">
        <f>IF(OR(AF24="",AG24=""),"",AF24-AG24)</f>
        <v>-6.2452105501261377</v>
      </c>
      <c r="AI24" s="364">
        <f>IF(AH24="","",IF(AH24&gt;5,3,IF(AH24&gt;0,1,IF(AH24&gt;-3,-1,-2))))</f>
        <v>-2</v>
      </c>
      <c r="BA24">
        <f>IFERROR((SUM(OFFSET(高値!$E$6,IFERROR(MATCH($C24,銘柄管理!$B$6:$B$305,0),MATCH(TEXT($C24,"0"),銘柄管理!$B$6:$B$305,0))-1,0,1,14))-SUM(OFFSET(安値!$E$6,IFERROR(MATCH($C24,銘柄管理!$B$6:$B$305,0),MATCH(TEXT($C24,"0"),銘柄管理!$B$6:$B$305,0))-1,0,1,14)))/SUM(OFFSET(終値!$E$6,IFERROR(MATCH($C24,銘柄管理!$B$6:$B$305,0),MATCH(TEXT($C24,"0"),銘柄管理!$B$6:$B$305,0))-1,0,1,14))*100,"")</f>
      </c>
      <c r="BB24">
        <f>IFERROR((MAX(OFFSET(高値!$E$6,IFERROR(MATCH($C24,銘柄管理!$B$6:$B$305,0),MATCH(TEXT($C24,"0"),銘柄管理!$B$6:$B$305,0))-1,0,1,25))-MIN(OFFSET(安値!$E$6,IFERROR(MATCH($C24,銘柄管理!$B$6:$B$305,0),MATCH(TEXT($C24,"0"),銘柄管理!$B$6:$B$305,0))-1,0,1,25)))/$E24*100,"")</f>
      </c>
      <c r="BC24">
        <f>IFERROR(($F24-$G24)/$G24*100,"")</f>
      </c>
      <c r="BD24">
        <f>IFERROR(($E24-MAX(OFFSET(高値!$E$6,IFERROR(MATCH($C24,銘柄管理!$B$6:$B$305,0),MATCH(TEXT($C24,"0"),銘柄管理!$B$6:$B$305,0))-1,0,1,25)))/MAX(OFFSET(高値!$E$6,IFERROR(MATCH($C24,銘柄管理!$B$6:$B$305,0),MATCH(TEXT($C24,"0"),銘柄管理!$B$6:$B$305,0))-1,0,1,25))*100,"")</f>
      </c>
      <c r="BE24">
        <f>IFERROR(($H24-$I24)/$F24*100,"")</f>
      </c>
      <c r="BF24">
        <f>IFERROR(-(($BA24-AVERAGE($BA$3:$BA$206))/STDEV($BA$3:$BA$206))-(($BE24-AVERAGE($BE$3:$BE$206))/STDEV($BE$3:$BE$206))-(($BB24-AVERAGE($BB$3:$BB$206))/STDEV($BB$3:$BB$206))-(($Z24-AVERAGE($Z$3:$Z$206))/STDEV($Z$3:$Z$206))-(($BC24-AVERAGE($BC$3:$BC$206))/STDEV($BC$3:$BC$206)),"")</f>
      </c>
      <c r="BG24">
        <f>IF(OR($C24="",$C24="TOPX",$BA24="",$BF24=""),0,IF(AND($BK$10=1,$BA24&lt;=$BK$2,$BB24&lt;=$BK$3,$BC24&lt;=$BK$4,$Z24&lt;=$BK$5,$Z24&gt;=$BK$6,$BD24&gt;=$BK$7,$BE24&lt;=$BK$8),1,0))</f>
      </c>
      <c r="BH24">
        <f>IF($C24="","",IF($BG24=1,"○ゲート通過",IF($BK$10&lt;&gt;1,"― この方向は停止中",IF($BA24&gt;$BK$2,"×値動きが荒い",IF($BB24&gt;$BK$3,"×レンジが広い",IF($BC24&gt;$BK$4,"×窓を開けて上昇",IF($Z24&gt;$BK$5,"×前日に急騰",IF($Z24&lt;$BK$6,"×前日に急落",IF($BD24&lt;$BK$7,"×高値から離れすぎ",IF($BE24&gt;$BK$8,"×当日の値幅が大きい","×")))))))))</f>
      </c>
    </row>
    <row r="25" spans="1:60"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IF(AND(E25&lt;&gt;"",K25&lt;&gt;"",K25&lt;&gt;0),(E25-K25)/K25*100,"")</f>
        <v>-44.506172839506178</v>
      </c>
      <c r="M25" s="166">
        <f>IF(C25&lt;&gt;"",IFERROR(AVERAGE(出来高!E111:I111),""),"")</f>
        <v>256380</v>
      </c>
      <c r="N25" s="166">
        <f>IF(C25&lt;&gt;"",IFERROR(AVERAGE(出来高!E111:AC111),""),"")</f>
        <v>396204.16666666669</v>
      </c>
      <c r="O25" s="168">
        <f>IF(AND(J25&lt;&gt;"",M25&lt;&gt;"",M25&lt;&gt;0),J25/M25,"")</f>
        <v>0.58389890007020828</v>
      </c>
      <c r="P25" s="163" t="str">
        <f>IF(O25="","",IF(O25&gt;=2,"急増↑↑",IF(O25&gt;=1.5,"増加↑",IF(O25&gt;=1,"普通→","減少↓"))))</f>
        <v>減少↓</v>
      </c>
      <c r="Q25" s="163" t="str">
        <f>IF(E25="","",IF(AND(E25&gt;G25,O25&gt;=1.5),"買い▲",IF(E25&lt;G25,"様子見▼","中立→")))</f>
        <v>中立→</v>
      </c>
      <c r="R25" s="166">
        <f>IF(E25&lt;&gt;"",ROUND(E25*1.08,0),"")</f>
        <v>971</v>
      </c>
      <c r="S25" s="166">
        <f>IF(E25&lt;&gt;"",ROUND(E25*0.96,0),"")</f>
        <v>863</v>
      </c>
      <c r="T25" s="163">
        <f>IF(C25="","",IFERROR(IF(O25&gt;=2,3,IF(O25&gt;=1.5,2,IF(O25&gt;=1,1,0)))+IF(E25&gt;G25,1,0)+IF(L25&gt;=-5,1,0)+IF(Q25="買い▲",2,0)+IF(W25&lt;=30,3,IF(W25&lt;=40,2,IF(AND(W25&gt;=40,W25&lt;=60),1,0)))+IF(X25&gt;0,1,0)+IF(V25="年初来高値更新●",3,IF(V25="高値圏",2,0))+IF(AD25="パーフェクト▲",3,IF(AD25="上昇トレンド▲",2,0))+IF(AE25="25日線押し目●",2,IF(AE25="5日線押し目○",1,0))+IF(P25="急増↑↑",2,IF(P25="増加↑",1,0))+N(AI25),0))</f>
        <v>0</v>
      </c>
      <c r="U25" s="163" t="str">
        <f>IF(T25="","",IF(AND(T25&gt;=3,O25&gt;=1.5),"有効",IF(T25&gt;=3,"要確認","除外")))</f>
        <v>除外</v>
      </c>
      <c r="V25" s="163" t="str">
        <f>IF(AND(H25&lt;&gt;"",K25&lt;&gt;""),IF(H25&gt;=K25,"年初来高値更新●",IF(H25&gt;=K25*0.95,"高値圏","通常")),"")</f>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IF(AND(E25&lt;&gt;"",G25&lt;&gt;"",G25&lt;&gt;0),(E25-G25)/G25*100,"")</f>
        <v>0.67189249720044786</v>
      </c>
      <c r="AA25" s="163" t="str">
        <f>IF(OR(C25="",E25="",E25=0),"",IF(E25&gt;G25,"上昇▲",IF(E25&lt;G25,"下落▼","横ばい→")))</f>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IF(OR(C25="",AB25="",AC25=""),"",IF(AND(E25&gt;AB25,AB25&gt;AC25),"パーフェクト▲",IF(E25&gt;AC25,"上昇トレンド▲",IF(AND(E25&lt;AB25,AB25&lt;AC25),"下降トレンド▼","もみ合い→"))))</f>
        <v>下降トレンド▼</v>
      </c>
      <c r="AE25" s="406" t="str">
        <f>IF(OR(C25="",AB25="",AC25=""),"",IF(AND(ABS(E25-AC25)/AC25&lt;=0.02,E25&gt;AC25),"25日押し目★",IF(AND(ABS(E25-AB25)/AB25&lt;=0.01,E25&gt;AB25),"5日押し目○","なし")))</f>
        <v>なし</v>
      </c>
      <c r="AF25" s="365">
        <f t="array" ref="AF25">IF(C25="","",IFERROR((INDEX(終値!$E:$E,MATCH(TEXT(C25,"0"),終値!$A:$A,0))-INDEX(終値!$E:$CZ,MATCH(TEXT(C25,"0"),終値!$A:$A,0),$AL$2))/INDEX(終値!$E:$CZ,MATCH(TEXT(C25,"0"),終値!$A:$A,0),$AL$2)*100,""))</f>
        <v>-4.3617021276595747</v>
      </c>
      <c r="AG25" s="365">
        <f t="array" ref="AG25">IFERROR((終値!$E$5-INDEX(終値!$E$5:$IT$5,1,$AL$2))/INDEX(終値!$E$5:$IT$5,1,$AL$2)*100,"")</f>
        <v>1.0179378228534113</v>
      </c>
      <c r="AH25" s="366">
        <f>IF(OR(AF25="",AG25=""),"",AF25-AG25)</f>
        <v>-5.3796399505129857</v>
      </c>
      <c r="AI25" s="364">
        <f>IF(AH25="","",IF(AH25&gt;5,3,IF(AH25&gt;0,1,IF(AH25&gt;-3,-1,-2))))</f>
        <v>-2</v>
      </c>
      <c r="BA25">
        <f>IFERROR((SUM(OFFSET(高値!$E$6,IFERROR(MATCH($C25,銘柄管理!$B$6:$B$305,0),MATCH(TEXT($C25,"0"),銘柄管理!$B$6:$B$305,0))-1,0,1,14))-SUM(OFFSET(安値!$E$6,IFERROR(MATCH($C25,銘柄管理!$B$6:$B$305,0),MATCH(TEXT($C25,"0"),銘柄管理!$B$6:$B$305,0))-1,0,1,14)))/SUM(OFFSET(終値!$E$6,IFERROR(MATCH($C25,銘柄管理!$B$6:$B$305,0),MATCH(TEXT($C25,"0"),銘柄管理!$B$6:$B$305,0))-1,0,1,14))*100,"")</f>
      </c>
      <c r="BB25">
        <f>IFERROR((MAX(OFFSET(高値!$E$6,IFERROR(MATCH($C25,銘柄管理!$B$6:$B$305,0),MATCH(TEXT($C25,"0"),銘柄管理!$B$6:$B$305,0))-1,0,1,25))-MIN(OFFSET(安値!$E$6,IFERROR(MATCH($C25,銘柄管理!$B$6:$B$305,0),MATCH(TEXT($C25,"0"),銘柄管理!$B$6:$B$305,0))-1,0,1,25)))/$E25*100,"")</f>
      </c>
      <c r="BC25">
        <f>IFERROR(($F25-$G25)/$G25*100,"")</f>
      </c>
      <c r="BD25">
        <f>IFERROR(($E25-MAX(OFFSET(高値!$E$6,IFERROR(MATCH($C25,銘柄管理!$B$6:$B$305,0),MATCH(TEXT($C25,"0"),銘柄管理!$B$6:$B$305,0))-1,0,1,25)))/MAX(OFFSET(高値!$E$6,IFERROR(MATCH($C25,銘柄管理!$B$6:$B$305,0),MATCH(TEXT($C25,"0"),銘柄管理!$B$6:$B$305,0))-1,0,1,25))*100,"")</f>
      </c>
      <c r="BE25">
        <f>IFERROR(($H25-$I25)/$F25*100,"")</f>
      </c>
      <c r="BF25">
        <f>IFERROR(-(($BA25-AVERAGE($BA$3:$BA$206))/STDEV($BA$3:$BA$206))-(($BE25-AVERAGE($BE$3:$BE$206))/STDEV($BE$3:$BE$206))-(($BB25-AVERAGE($BB$3:$BB$206))/STDEV($BB$3:$BB$206))-(($Z25-AVERAGE($Z$3:$Z$206))/STDEV($Z$3:$Z$206))-(($BC25-AVERAGE($BC$3:$BC$206))/STDEV($BC$3:$BC$206)),"")</f>
      </c>
      <c r="BG25">
        <f>IF(OR($C25="",$C25="TOPX",$BA25="",$BF25=""),0,IF(AND($BK$10=1,$BA25&lt;=$BK$2,$BB25&lt;=$BK$3,$BC25&lt;=$BK$4,$Z25&lt;=$BK$5,$Z25&gt;=$BK$6,$BD25&gt;=$BK$7,$BE25&lt;=$BK$8),1,0))</f>
      </c>
      <c r="BH25">
        <f>IF($C25="","",IF($BG25=1,"○ゲート通過",IF($BK$10&lt;&gt;1,"― この方向は停止中",IF($BA25&gt;$BK$2,"×値動きが荒い",IF($BB25&gt;$BK$3,"×レンジが広い",IF($BC25&gt;$BK$4,"×窓を開けて上昇",IF($Z25&gt;$BK$5,"×前日に急騰",IF($Z25&lt;$BK$6,"×前日に急落",IF($BD25&lt;$BK$7,"×高値から離れすぎ",IF($BE25&gt;$BK$8,"×当日の値幅が大きい","×")))))))))</f>
      </c>
    </row>
    <row r="26" spans="1:60"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IF(AND(E26&lt;&gt;"",K26&lt;&gt;"",K26&lt;&gt;0),(E26-K26)/K26*100,"")</f>
        <v>-7.4583211465340753</v>
      </c>
      <c r="M26" s="166">
        <f>IF(C26&lt;&gt;"",IFERROR(AVERAGE(出来高!E74:I74),""),"")</f>
        <v>2516960</v>
      </c>
      <c r="N26" s="166">
        <f>IF(C26&lt;&gt;"",IFERROR(AVERAGE(出来高!E74:AC74),""),"")</f>
        <v>2701416</v>
      </c>
      <c r="O26" s="168">
        <f>IF(AND(J26&lt;&gt;"",M26&lt;&gt;"",M26&lt;&gt;0),J26/M26,"")</f>
        <v>0.63437639056639761</v>
      </c>
      <c r="P26" s="163" t="str">
        <f>IF(O26="","",IF(O26&gt;=2,"急増↑↑",IF(O26&gt;=1.5,"増加↑",IF(O26&gt;=1,"普通→","減少↓"))))</f>
        <v>減少↓</v>
      </c>
      <c r="Q26" s="163" t="str">
        <f>IF(E26="","",IF(AND(E26&gt;G26,O26&gt;=1.5),"買い▲",IF(E26&lt;G26,"様子見▼","中立→")))</f>
        <v>中立→</v>
      </c>
      <c r="R26" s="166">
        <f>IF(E26&lt;&gt;"",ROUND(E26*1.08,0),"")</f>
        <v>3417</v>
      </c>
      <c r="S26" s="166">
        <f>IF(E26&lt;&gt;"",ROUND(E26*0.96,0),"")</f>
        <v>3037</v>
      </c>
      <c r="T26" s="163">
        <f>IF(C26="","",IFERROR(IF(O26&gt;=2,3,IF(O26&gt;=1.5,2,IF(O26&gt;=1,1,0)))+IF(E26&gt;G26,1,0)+IF(L26&gt;=-5,1,0)+IF(Q26="買い▲",2,0)+IF(W26&lt;=30,3,IF(W26&lt;=40,2,IF(AND(W26&gt;=40,W26&lt;=60),1,0)))+IF(X26&gt;0,1,0)+IF(V26="年初来高値更新●",3,IF(V26="高値圏",2,0))+IF(AD26="パーフェクト▲",3,IF(AD26="上昇トレンド▲",2,0))+IF(AE26="25日線押し目●",2,IF(AE26="5日線押し目○",1,0))+IF(P26="急増↑↑",2,IF(P26="増加↑",1,0))+N(AI26),0))</f>
        <v>5</v>
      </c>
      <c r="U26" s="163" t="str">
        <f>IF(T26="","",IF(AND(T26&gt;=3,O26&gt;=1.5),"有効",IF(T26&gt;=3,"要確認","除外")))</f>
        <v>要確認</v>
      </c>
      <c r="V26" s="163" t="str">
        <f>IF(AND(H26&lt;&gt;"",K26&lt;&gt;""),IF(H26&gt;=K26,"年初来高値更新●",IF(H26&gt;=K26*0.95,"高値圏","通常")),"")</f>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IF(AND(E26&lt;&gt;"",G26&lt;&gt;"",G26&lt;&gt;0),(E26-G26)/G26*100,"")</f>
        <v>0.41256743890828312</v>
      </c>
      <c r="AA26" s="163" t="str">
        <f>IF(OR(C26="",E26="",E26=0),"",IF(E26&gt;G26,"上昇▲",IF(E26&lt;G26,"下落▼","横ばい→")))</f>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IF(OR(C26="",AB26="",AC26=""),"",IF(AND(E26&gt;AB26,AB26&gt;AC26),"パーフェクト▲",IF(E26&gt;AC26,"上昇トレンド▲",IF(AND(E26&lt;AB26,AB26&lt;AC26),"下降トレンド▼","もみ合い→"))))</f>
        <v>下降トレンド▼</v>
      </c>
      <c r="AE26" s="404" t="str">
        <f>IF(OR(C26="",AB26="",AC26=""),"",IF(AND(ABS(E26-AC26)/AC26&lt;=0.02,E26&gt;AC26),"25日押し目★",IF(AND(ABS(E26-AB26)/AB26&lt;=0.01,E26&gt;AB26),"5日押し目○","なし")))</f>
        <v>なし</v>
      </c>
      <c r="AF26" s="365">
        <f t="array" ref="AF26">IF(C26="","",IFERROR((INDEX(終値!$E:$E,MATCH(TEXT(C26,"0"),終値!$A:$A,0))-INDEX(終値!$E:$CZ,MATCH(TEXT(C26,"0"),終値!$A:$A,0),$AL$2))/INDEX(終値!$E:$CZ,MATCH(TEXT(C26,"0"),終値!$A:$A,0),$AL$2)*100,""))</f>
        <v>7.0184339590732279</v>
      </c>
      <c r="AG26" s="365">
        <f t="array" ref="AG26">IFERROR((終値!$E$5-INDEX(終値!$E$5:$IT$5,1,$AL$2))/INDEX(終値!$E$5:$IT$5,1,$AL$2)*100,"")</f>
        <v>1.0179378228534113</v>
      </c>
      <c r="AH26" s="366">
        <f>IF(OR(AF26="",AG26=""),"",AF26-AG26)</f>
        <v>6.0004961362198168</v>
      </c>
      <c r="AI26" s="364">
        <f>IF(AH26="","",IF(AH26&gt;5,3,IF(AH26&gt;0,1,IF(AH26&gt;-3,-1,-2))))</f>
        <v>3</v>
      </c>
      <c r="BA26">
        <f>IFERROR((SUM(OFFSET(高値!$E$6,IFERROR(MATCH($C26,銘柄管理!$B$6:$B$305,0),MATCH(TEXT($C26,"0"),銘柄管理!$B$6:$B$305,0))-1,0,1,14))-SUM(OFFSET(安値!$E$6,IFERROR(MATCH($C26,銘柄管理!$B$6:$B$305,0),MATCH(TEXT($C26,"0"),銘柄管理!$B$6:$B$305,0))-1,0,1,14)))/SUM(OFFSET(終値!$E$6,IFERROR(MATCH($C26,銘柄管理!$B$6:$B$305,0),MATCH(TEXT($C26,"0"),銘柄管理!$B$6:$B$305,0))-1,0,1,14))*100,"")</f>
      </c>
      <c r="BB26">
        <f>IFERROR((MAX(OFFSET(高値!$E$6,IFERROR(MATCH($C26,銘柄管理!$B$6:$B$305,0),MATCH(TEXT($C26,"0"),銘柄管理!$B$6:$B$305,0))-1,0,1,25))-MIN(OFFSET(安値!$E$6,IFERROR(MATCH($C26,銘柄管理!$B$6:$B$305,0),MATCH(TEXT($C26,"0"),銘柄管理!$B$6:$B$305,0))-1,0,1,25)))/$E26*100,"")</f>
      </c>
      <c r="BC26">
        <f>IFERROR(($F26-$G26)/$G26*100,"")</f>
      </c>
      <c r="BD26">
        <f>IFERROR(($E26-MAX(OFFSET(高値!$E$6,IFERROR(MATCH($C26,銘柄管理!$B$6:$B$305,0),MATCH(TEXT($C26,"0"),銘柄管理!$B$6:$B$305,0))-1,0,1,25)))/MAX(OFFSET(高値!$E$6,IFERROR(MATCH($C26,銘柄管理!$B$6:$B$305,0),MATCH(TEXT($C26,"0"),銘柄管理!$B$6:$B$305,0))-1,0,1,25))*100,"")</f>
      </c>
      <c r="BE26">
        <f>IFERROR(($H26-$I26)/$F26*100,"")</f>
      </c>
      <c r="BF26">
        <f>IFERROR(-(($BA26-AVERAGE($BA$3:$BA$206))/STDEV($BA$3:$BA$206))-(($BE26-AVERAGE($BE$3:$BE$206))/STDEV($BE$3:$BE$206))-(($BB26-AVERAGE($BB$3:$BB$206))/STDEV($BB$3:$BB$206))-(($Z26-AVERAGE($Z$3:$Z$206))/STDEV($Z$3:$Z$206))-(($BC26-AVERAGE($BC$3:$BC$206))/STDEV($BC$3:$BC$206)),"")</f>
      </c>
      <c r="BG26">
        <f>IF(OR($C26="",$C26="TOPX",$BA26="",$BF26=""),0,IF(AND($BK$10=1,$BA26&lt;=$BK$2,$BB26&lt;=$BK$3,$BC26&lt;=$BK$4,$Z26&lt;=$BK$5,$Z26&gt;=$BK$6,$BD26&gt;=$BK$7,$BE26&lt;=$BK$8),1,0))</f>
      </c>
      <c r="BH26">
        <f>IF($C26="","",IF($BG26=1,"○ゲート通過",IF($BK$10&lt;&gt;1,"― この方向は停止中",IF($BA26&gt;$BK$2,"×値動きが荒い",IF($BB26&gt;$BK$3,"×レンジが広い",IF($BC26&gt;$BK$4,"×窓を開けて上昇",IF($Z26&gt;$BK$5,"×前日に急騰",IF($Z26&lt;$BK$6,"×前日に急落",IF($BD26&lt;$BK$7,"×高値から離れすぎ",IF($BE26&gt;$BK$8,"×当日の値幅が大きい","×")))))))))</f>
      </c>
    </row>
    <row r="27" spans="1:60"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IF(AND(E27&lt;&gt;"",K27&lt;&gt;"",K27&lt;&gt;0),(E27-K27)/K27*100,"")</f>
        <v>-7.2411635908664369</v>
      </c>
      <c r="M27" s="166">
        <f>IF(C27&lt;&gt;"",IFERROR(AVERAGE(出来高!E206:I206),""),"")</f>
        <v>4034420</v>
      </c>
      <c r="N27" s="166">
        <f>IF(C27&lt;&gt;"",IFERROR(AVERAGE(出来高!E206:AC206),""),"")</f>
        <v>2991568</v>
      </c>
      <c r="O27" s="168">
        <f>IF(AND(J27&lt;&gt;"",M27&lt;&gt;"",M27&lt;&gt;0),J27/M27,"")</f>
        <v>0.81062457552758516</v>
      </c>
      <c r="P27" s="163" t="str">
        <f>IF(O27="","",IF(O27&gt;=2,"急増↑↑",IF(O27&gt;=1.5,"増加↑",IF(O27&gt;=1,"普通→","減少↓"))))</f>
        <v>減少↓</v>
      </c>
      <c r="Q27" s="163" t="str">
        <f>IF(E27="","",IF(AND(E27&gt;G27,O27&gt;=1.5),"買い▲",IF(E27&lt;G27,"様子見▼","中立→")))</f>
        <v>中立→</v>
      </c>
      <c r="R27" s="166">
        <f>IF(E27&lt;&gt;"",ROUND(E27*1.08,0),"")</f>
        <v>6405</v>
      </c>
      <c r="S27" s="166">
        <f>IF(E27&lt;&gt;"",ROUND(E27*0.96,0),"")</f>
        <v>5694</v>
      </c>
      <c r="T27" s="163">
        <f>IF(C27="","",IFERROR(IF(O27&gt;=2,3,IF(O27&gt;=1.5,2,IF(O27&gt;=1,1,0)))+IF(E27&gt;G27,1,0)+IF(L27&gt;=-5,1,0)+IF(Q27="買い▲",2,0)+IF(W27&lt;=30,3,IF(W27&lt;=40,2,IF(AND(W27&gt;=40,W27&lt;=60),1,0)))+IF(X27&gt;0,1,0)+IF(V27="年初来高値更新●",3,IF(V27="高値圏",2,0))+IF(AD27="パーフェクト▲",3,IF(AD27="上昇トレンド▲",2,0))+IF(AE27="25日線押し目●",2,IF(AE27="5日線押し目○",1,0))+IF(P27="急増↑↑",2,IF(P27="増加↑",1,0))+N(AI27),0))</f>
        <v>9</v>
      </c>
      <c r="U27" s="163" t="str">
        <f>IF(T27="","",IF(AND(T27&gt;=3,O27&gt;=1.5),"有効",IF(T27&gt;=3,"要確認","除外")))</f>
        <v>要確認</v>
      </c>
      <c r="V27" s="163" t="str">
        <f>IF(AND(H27&lt;&gt;"",K27&lt;&gt;""),IF(H27&gt;=K27,"年初来高値更新●",IF(H27&gt;=K27*0.95,"高値圏","通常")),"")</f>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IF(AND(E27&lt;&gt;"",G27&lt;&gt;"",G27&lt;&gt;0),(E27-G27)/G27*100,"")</f>
        <v>2.293894446360814</v>
      </c>
      <c r="AA27" s="163" t="str">
        <f>IF(OR(C27="",E27="",E27=0),"",IF(E27&gt;G27,"上昇▲",IF(E27&lt;G27,"下落▼","横ばい→")))</f>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IF(OR(C27="",AB27="",AC27=""),"",IF(AND(E27&gt;AB27,AB27&gt;AC27),"パーフェクト▲",IF(E27&gt;AC27,"上昇トレンド▲",IF(AND(E27&lt;AB27,AB27&lt;AC27),"下降トレンド▼","もみ合い→"))))</f>
        <v>パーフェクト▲</v>
      </c>
      <c r="AE27" s="406" t="str">
        <f>IF(OR(C27="",AB27="",AC27=""),"",IF(AND(ABS(E27-AC27)/AC27&lt;=0.02,E27&gt;AC27),"25日押し目★",IF(AND(ABS(E27-AB27)/AB27&lt;=0.01,E27&gt;AB27),"5日押し目○","なし")))</f>
        <v>なし</v>
      </c>
      <c r="AF27" s="365">
        <f t="array" ref="AF27">IF(C27="","",IFERROR((INDEX(終値!$E:$E,MATCH(TEXT(C27,"0"),終値!$A:$A,0))-INDEX(終値!$E:$CZ,MATCH(TEXT(C27,"0"),終値!$A:$A,0),$AL$2))/INDEX(終値!$E:$CZ,MATCH(TEXT(C27,"0"),終値!$A:$A,0),$AL$2)*100,""))</f>
        <v>16.751968503937007</v>
      </c>
      <c r="AG27" s="365">
        <f t="array" ref="AG27">IFERROR((終値!$E$5-INDEX(終値!$E$5:$IT$5,1,$AL$2))/INDEX(終値!$E$5:$IT$5,1,$AL$2)*100,"")</f>
        <v>1.0179378228534113</v>
      </c>
      <c r="AH27" s="366">
        <f>IF(OR(AF27="",AG27=""),"",AF27-AG27)</f>
        <v>15.734030681083595</v>
      </c>
      <c r="AI27" s="364">
        <f>IF(AH27="","",IF(AH27&gt;5,3,IF(AH27&gt;0,1,IF(AH27&gt;-3,-1,-2))))</f>
        <v>3</v>
      </c>
      <c r="BA27">
        <f>IFERROR((SUM(OFFSET(高値!$E$6,IFERROR(MATCH($C27,銘柄管理!$B$6:$B$305,0),MATCH(TEXT($C27,"0"),銘柄管理!$B$6:$B$305,0))-1,0,1,14))-SUM(OFFSET(安値!$E$6,IFERROR(MATCH($C27,銘柄管理!$B$6:$B$305,0),MATCH(TEXT($C27,"0"),銘柄管理!$B$6:$B$305,0))-1,0,1,14)))/SUM(OFFSET(終値!$E$6,IFERROR(MATCH($C27,銘柄管理!$B$6:$B$305,0),MATCH(TEXT($C27,"0"),銘柄管理!$B$6:$B$305,0))-1,0,1,14))*100,"")</f>
      </c>
      <c r="BB27">
        <f>IFERROR((MAX(OFFSET(高値!$E$6,IFERROR(MATCH($C27,銘柄管理!$B$6:$B$305,0),MATCH(TEXT($C27,"0"),銘柄管理!$B$6:$B$305,0))-1,0,1,25))-MIN(OFFSET(安値!$E$6,IFERROR(MATCH($C27,銘柄管理!$B$6:$B$305,0),MATCH(TEXT($C27,"0"),銘柄管理!$B$6:$B$305,0))-1,0,1,25)))/$E27*100,"")</f>
      </c>
      <c r="BC27">
        <f>IFERROR(($F27-$G27)/$G27*100,"")</f>
      </c>
      <c r="BD27">
        <f>IFERROR(($E27-MAX(OFFSET(高値!$E$6,IFERROR(MATCH($C27,銘柄管理!$B$6:$B$305,0),MATCH(TEXT($C27,"0"),銘柄管理!$B$6:$B$305,0))-1,0,1,25)))/MAX(OFFSET(高値!$E$6,IFERROR(MATCH($C27,銘柄管理!$B$6:$B$305,0),MATCH(TEXT($C27,"0"),銘柄管理!$B$6:$B$305,0))-1,0,1,25))*100,"")</f>
      </c>
      <c r="BE27">
        <f>IFERROR(($H27-$I27)/$F27*100,"")</f>
      </c>
      <c r="BF27">
        <f>IFERROR(-(($BA27-AVERAGE($BA$3:$BA$206))/STDEV($BA$3:$BA$206))-(($BE27-AVERAGE($BE$3:$BE$206))/STDEV($BE$3:$BE$206))-(($BB27-AVERAGE($BB$3:$BB$206))/STDEV($BB$3:$BB$206))-(($Z27-AVERAGE($Z$3:$Z$206))/STDEV($Z$3:$Z$206))-(($BC27-AVERAGE($BC$3:$BC$206))/STDEV($BC$3:$BC$206)),"")</f>
      </c>
      <c r="BG27">
        <f>IF(OR($C27="",$C27="TOPX",$BA27="",$BF27=""),0,IF(AND($BK$10=1,$BA27&lt;=$BK$2,$BB27&lt;=$BK$3,$BC27&lt;=$BK$4,$Z27&lt;=$BK$5,$Z27&gt;=$BK$6,$BD27&gt;=$BK$7,$BE27&lt;=$BK$8),1,0))</f>
      </c>
      <c r="BH27">
        <f>IF($C27="","",IF($BG27=1,"○ゲート通過",IF($BK$10&lt;&gt;1,"― この方向は停止中",IF($BA27&gt;$BK$2,"×値動きが荒い",IF($BB27&gt;$BK$3,"×レンジが広い",IF($BC27&gt;$BK$4,"×窓を開けて上昇",IF($Z27&gt;$BK$5,"×前日に急騰",IF($Z27&lt;$BK$6,"×前日に急落",IF($BD27&lt;$BK$7,"×高値から離れすぎ",IF($BE27&gt;$BK$8,"×当日の値幅が大きい","×")))))))))</f>
      </c>
    </row>
    <row r="28" spans="1:60"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IF(AND(E28&lt;&gt;"",K28&lt;&gt;"",K28&lt;&gt;0),(E28-K28)/K28*100,"")</f>
        <v>-2.5725593667546174</v>
      </c>
      <c r="M28" s="166">
        <f>IF(C28&lt;&gt;"",IFERROR(AVERAGE(出来高!E110:I110),""),"")</f>
        <v>509460</v>
      </c>
      <c r="N28" s="166">
        <f>IF(C28&lt;&gt;"",IFERROR(AVERAGE(出来高!E110:AC110),""),"")</f>
        <v>410856</v>
      </c>
      <c r="O28" s="168">
        <f>IF(AND(J28&lt;&gt;"",M28&lt;&gt;"",M28&lt;&gt;0),J28/M28,"")</f>
        <v>1.0835001766576375</v>
      </c>
      <c r="P28" s="163" t="str">
        <f>IF(O28="","",IF(O28&gt;=2,"急増↑↑",IF(O28&gt;=1.5,"増加↑",IF(O28&gt;=1,"普通→","減少↓"))))</f>
        <v>普通→</v>
      </c>
      <c r="Q28" s="163" t="str">
        <f>IF(E28="","",IF(AND(E28&gt;G28,O28&gt;=1.5),"買い▲",IF(E28&lt;G28,"様子見▼","中立→")))</f>
        <v>中立→</v>
      </c>
      <c r="R28" s="166">
        <f>IF(E28&lt;&gt;"",ROUND(E28*1.08,0),"")</f>
        <v>2393</v>
      </c>
      <c r="S28" s="166">
        <f>IF(E28&lt;&gt;"",ROUND(E28*0.96,0),"")</f>
        <v>2127</v>
      </c>
      <c r="T28" s="163">
        <f>IF(C28="","",IFERROR(IF(O28&gt;=2,3,IF(O28&gt;=1.5,2,IF(O28&gt;=1,1,0)))+IF(E28&gt;G28,1,0)+IF(L28&gt;=-5,1,0)+IF(Q28="買い▲",2,0)+IF(W28&lt;=30,3,IF(W28&lt;=40,2,IF(AND(W28&gt;=40,W28&lt;=60),1,0)))+IF(X28&gt;0,1,0)+IF(V28="年初来高値更新●",3,IF(V28="高値圏",2,0))+IF(AD28="パーフェクト▲",3,IF(AD28="上昇トレンド▲",2,0))+IF(AE28="25日線押し目●",2,IF(AE28="5日線押し目○",1,0))+IF(P28="急増↑↑",2,IF(P28="増加↑",1,0))+N(AI28),0))</f>
        <v>10</v>
      </c>
      <c r="U28" s="163" t="str">
        <f>IF(T28="","",IF(AND(T28&gt;=3,O28&gt;=1.5),"有効",IF(T28&gt;=3,"要確認","除外")))</f>
        <v>要確認</v>
      </c>
      <c r="V28" s="163" t="str">
        <f>IF(AND(H28&lt;&gt;"",K28&lt;&gt;""),IF(H28&gt;=K28,"年初来高値更新●",IF(H28&gt;=K28*0.95,"高値圏","通常")),"")</f>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IF(AND(E28&lt;&gt;"",G28&lt;&gt;"",G28&lt;&gt;0),(E28-G28)/G28*100,"")</f>
        <v>0.88797814207650272</v>
      </c>
      <c r="AA28" s="163" t="str">
        <f>IF(OR(C28="",E28="",E28=0),"",IF(E28&gt;G28,"上昇▲",IF(E28&lt;G28,"下落▼","横ばい→")))</f>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IF(OR(C28="",AB28="",AC28=""),"",IF(AND(E28&gt;AB28,AB28&gt;AC28),"パーフェクト▲",IF(E28&gt;AC28,"上昇トレンド▲",IF(AND(E28&lt;AB28,AB28&lt;AC28),"下降トレンド▼","もみ合い→"))))</f>
        <v>もみ合い→</v>
      </c>
      <c r="AE28" s="404" t="str">
        <f>IF(OR(C28="",AB28="",AC28=""),"",IF(AND(ABS(E28-AC28)/AC28&lt;=0.02,E28&gt;AC28),"25日押し目★",IF(AND(ABS(E28-AB28)/AB28&lt;=0.01,E28&gt;AB28),"5日押し目○","なし")))</f>
        <v>なし</v>
      </c>
      <c r="AF28" s="365">
        <f t="array" ref="AF28">IF(C28="","",IFERROR((INDEX(終値!$E:$E,MATCH(TEXT(C28,"0"),終値!$A:$A,0))-INDEX(終値!$E:$CZ,MATCH(TEXT(C28,"0"),終値!$A:$A,0),$AL$2))/INDEX(終値!$E:$CZ,MATCH(TEXT(C28,"0"),終値!$A:$A,0),$AL$2)*100,""))</f>
        <v>16.605263157894736</v>
      </c>
      <c r="AG28" s="365">
        <f t="array" ref="AG28">IFERROR((終値!$E$5-INDEX(終値!$E$5:$IT$5,1,$AL$2))/INDEX(終値!$E$5:$IT$5,1,$AL$2)*100,"")</f>
        <v>1.0179378228534113</v>
      </c>
      <c r="AH28" s="366">
        <f>IF(OR(AF28="",AG28=""),"",AF28-AG28)</f>
        <v>15.587325335041324</v>
      </c>
      <c r="AI28" s="364">
        <f>IF(AH28="","",IF(AH28&gt;5,3,IF(AH28&gt;0,1,IF(AH28&gt;-3,-1,-2))))</f>
        <v>3</v>
      </c>
      <c r="BA28">
        <f>IFERROR((SUM(OFFSET(高値!$E$6,IFERROR(MATCH($C28,銘柄管理!$B$6:$B$305,0),MATCH(TEXT($C28,"0"),銘柄管理!$B$6:$B$305,0))-1,0,1,14))-SUM(OFFSET(安値!$E$6,IFERROR(MATCH($C28,銘柄管理!$B$6:$B$305,0),MATCH(TEXT($C28,"0"),銘柄管理!$B$6:$B$305,0))-1,0,1,14)))/SUM(OFFSET(終値!$E$6,IFERROR(MATCH($C28,銘柄管理!$B$6:$B$305,0),MATCH(TEXT($C28,"0"),銘柄管理!$B$6:$B$305,0))-1,0,1,14))*100,"")</f>
      </c>
      <c r="BB28">
        <f>IFERROR((MAX(OFFSET(高値!$E$6,IFERROR(MATCH($C28,銘柄管理!$B$6:$B$305,0),MATCH(TEXT($C28,"0"),銘柄管理!$B$6:$B$305,0))-1,0,1,25))-MIN(OFFSET(安値!$E$6,IFERROR(MATCH($C28,銘柄管理!$B$6:$B$305,0),MATCH(TEXT($C28,"0"),銘柄管理!$B$6:$B$305,0))-1,0,1,25)))/$E28*100,"")</f>
      </c>
      <c r="BC28">
        <f>IFERROR(($F28-$G28)/$G28*100,"")</f>
      </c>
      <c r="BD28">
        <f>IFERROR(($E28-MAX(OFFSET(高値!$E$6,IFERROR(MATCH($C28,銘柄管理!$B$6:$B$305,0),MATCH(TEXT($C28,"0"),銘柄管理!$B$6:$B$305,0))-1,0,1,25)))/MAX(OFFSET(高値!$E$6,IFERROR(MATCH($C28,銘柄管理!$B$6:$B$305,0),MATCH(TEXT($C28,"0"),銘柄管理!$B$6:$B$305,0))-1,0,1,25))*100,"")</f>
      </c>
      <c r="BE28">
        <f>IFERROR(($H28-$I28)/$F28*100,"")</f>
      </c>
      <c r="BF28">
        <f>IFERROR(-(($BA28-AVERAGE($BA$3:$BA$206))/STDEV($BA$3:$BA$206))-(($BE28-AVERAGE($BE$3:$BE$206))/STDEV($BE$3:$BE$206))-(($BB28-AVERAGE($BB$3:$BB$206))/STDEV($BB$3:$BB$206))-(($Z28-AVERAGE($Z$3:$Z$206))/STDEV($Z$3:$Z$206))-(($BC28-AVERAGE($BC$3:$BC$206))/STDEV($BC$3:$BC$206)),"")</f>
      </c>
      <c r="BG28">
        <f>IF(OR($C28="",$C28="TOPX",$BA28="",$BF28=""),0,IF(AND($BK$10=1,$BA28&lt;=$BK$2,$BB28&lt;=$BK$3,$BC28&lt;=$BK$4,$Z28&lt;=$BK$5,$Z28&gt;=$BK$6,$BD28&gt;=$BK$7,$BE28&lt;=$BK$8),1,0))</f>
      </c>
      <c r="BH28">
        <f>IF($C28="","",IF($BG28=1,"○ゲート通過",IF($BK$10&lt;&gt;1,"― この方向は停止中",IF($BA28&gt;$BK$2,"×値動きが荒い",IF($BB28&gt;$BK$3,"×レンジが広い",IF($BC28&gt;$BK$4,"×窓を開けて上昇",IF($Z28&gt;$BK$5,"×前日に急騰",IF($Z28&lt;$BK$6,"×前日に急落",IF($BD28&lt;$BK$7,"×高値から離れすぎ",IF($BE28&gt;$BK$8,"×当日の値幅が大きい","×")))))))))</f>
      </c>
    </row>
    <row r="29" spans="1:60"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IF(AND(E29&lt;&gt;"",K29&lt;&gt;"",K29&lt;&gt;0),(E29-K29)/K29*100,"")</f>
        <v>-20.351966873706004</v>
      </c>
      <c r="M29" s="166">
        <f>IF(C29&lt;&gt;"",IFERROR(AVERAGE(出来高!E184:I184),""),"")</f>
        <v>3419500</v>
      </c>
      <c r="N29" s="166">
        <f>IF(C29&lt;&gt;"",IFERROR(AVERAGE(出来高!E184:AC184),""),"")</f>
        <v>3138100</v>
      </c>
      <c r="O29" s="168">
        <f>IF(AND(J29&lt;&gt;"",M29&lt;&gt;"",M29&lt;&gt;0),J29/M29,"")</f>
        <v>0.6305892674367598</v>
      </c>
      <c r="P29" s="163" t="str">
        <f>IF(O29="","",IF(O29&gt;=2,"急増↑↑",IF(O29&gt;=1.5,"増加↑",IF(O29&gt;=1,"普通→","減少↓"))))</f>
        <v>減少↓</v>
      </c>
      <c r="Q29" s="163" t="str">
        <f>IF(E29="","",IF(AND(E29&gt;G29,O29&gt;=1.5),"買い▲",IF(E29&lt;G29,"様子見▼","中立→")))</f>
        <v>中立→</v>
      </c>
      <c r="R29" s="166">
        <f>IF(E29&lt;&gt;"",ROUND(E29*1.08,0),"")</f>
        <v>4155</v>
      </c>
      <c r="S29" s="166">
        <f>IF(E29&lt;&gt;"",ROUND(E29*0.96,0),"")</f>
        <v>3693</v>
      </c>
      <c r="T29" s="163">
        <f>IF(C29="","",IFERROR(IF(O29&gt;=2,3,IF(O29&gt;=1.5,2,IF(O29&gt;=1,1,0)))+IF(E29&gt;G29,1,0)+IF(L29&gt;=-5,1,0)+IF(Q29="買い▲",2,0)+IF(W29&lt;=30,3,IF(W29&lt;=40,2,IF(AND(W29&gt;=40,W29&lt;=60),1,0)))+IF(X29&gt;0,1,0)+IF(V29="年初来高値更新●",3,IF(V29="高値圏",2,0))+IF(AD29="パーフェクト▲",3,IF(AD29="上昇トレンド▲",2,0))+IF(AE29="25日線押し目●",2,IF(AE29="5日線押し目○",1,0))+IF(P29="急増↑↑",2,IF(P29="増加↑",1,0))+N(AI29),0))</f>
        <v>8</v>
      </c>
      <c r="U29" s="163" t="str">
        <f>IF(T29="","",IF(AND(T29&gt;=3,O29&gt;=1.5),"有効",IF(T29&gt;=3,"要確認","除外")))</f>
        <v>要確認</v>
      </c>
      <c r="V29" s="163" t="str">
        <f>IF(AND(H29&lt;&gt;"",K29&lt;&gt;""),IF(H29&gt;=K29,"年初来高値更新●",IF(H29&gt;=K29*0.95,"高値圏","通常")),"")</f>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IF(AND(E29&lt;&gt;"",G29&lt;&gt;"",G29&lt;&gt;0),(E29-G29)/G29*100,"")</f>
        <v>0.44386422976501305</v>
      </c>
      <c r="AA29" s="163" t="str">
        <f>IF(OR(C29="",E29="",E29=0),"",IF(E29&gt;G29,"上昇▲",IF(E29&lt;G29,"下落▼","横ばい→")))</f>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IF(OR(C29="",AB29="",AC29=""),"",IF(AND(E29&gt;AB29,AB29&gt;AC29),"パーフェクト▲",IF(E29&gt;AC29,"上昇トレンド▲",IF(AND(E29&lt;AB29,AB29&lt;AC29),"下降トレンド▼","もみ合い→"))))</f>
        <v>上昇トレンド▲</v>
      </c>
      <c r="AE29" s="406" t="str">
        <f>IF(OR(C29="",AB29="",AC29=""),"",IF(AND(ABS(E29-AC29)/AC29&lt;=0.02,E29&gt;AC29),"25日押し目★",IF(AND(ABS(E29-AB29)/AB29&lt;=0.01,E29&gt;AB29),"5日押し目○","なし")))</f>
        <v>なし</v>
      </c>
      <c r="AF29" s="365">
        <f t="array" ref="AF29">IF(C29="","",IFERROR((INDEX(終値!$E:$E,MATCH(TEXT(C29,"0"),終値!$A:$A,0))-INDEX(終値!$E:$CZ,MATCH(TEXT(C29,"0"),終値!$A:$A,0),$AL$2))/INDEX(終値!$E:$CZ,MATCH(TEXT(C29,"0"),終値!$A:$A,0),$AL$2)*100,""))</f>
        <v>13.682033096926713</v>
      </c>
      <c r="AG29" s="365">
        <f t="array" ref="AG29">IFERROR((終値!$E$5-INDEX(終値!$E$5:$IT$5,1,$AL$2))/INDEX(終値!$E$5:$IT$5,1,$AL$2)*100,"")</f>
        <v>1.0179378228534113</v>
      </c>
      <c r="AH29" s="366">
        <f>IF(OR(AF29="",AG29=""),"",AF29-AG29)</f>
        <v>12.664095274073301</v>
      </c>
      <c r="AI29" s="364">
        <f>IF(AH29="","",IF(AH29&gt;5,3,IF(AH29&gt;0,1,IF(AH29&gt;-3,-1,-2))))</f>
        <v>3</v>
      </c>
      <c r="BA29">
        <f>IFERROR((SUM(OFFSET(高値!$E$6,IFERROR(MATCH($C29,銘柄管理!$B$6:$B$305,0),MATCH(TEXT($C29,"0"),銘柄管理!$B$6:$B$305,0))-1,0,1,14))-SUM(OFFSET(安値!$E$6,IFERROR(MATCH($C29,銘柄管理!$B$6:$B$305,0),MATCH(TEXT($C29,"0"),銘柄管理!$B$6:$B$305,0))-1,0,1,14)))/SUM(OFFSET(終値!$E$6,IFERROR(MATCH($C29,銘柄管理!$B$6:$B$305,0),MATCH(TEXT($C29,"0"),銘柄管理!$B$6:$B$305,0))-1,0,1,14))*100,"")</f>
      </c>
      <c r="BB29">
        <f>IFERROR((MAX(OFFSET(高値!$E$6,IFERROR(MATCH($C29,銘柄管理!$B$6:$B$305,0),MATCH(TEXT($C29,"0"),銘柄管理!$B$6:$B$305,0))-1,0,1,25))-MIN(OFFSET(安値!$E$6,IFERROR(MATCH($C29,銘柄管理!$B$6:$B$305,0),MATCH(TEXT($C29,"0"),銘柄管理!$B$6:$B$305,0))-1,0,1,25)))/$E29*100,"")</f>
      </c>
      <c r="BC29">
        <f>IFERROR(($F29-$G29)/$G29*100,"")</f>
      </c>
      <c r="BD29">
        <f>IFERROR(($E29-MAX(OFFSET(高値!$E$6,IFERROR(MATCH($C29,銘柄管理!$B$6:$B$305,0),MATCH(TEXT($C29,"0"),銘柄管理!$B$6:$B$305,0))-1,0,1,25)))/MAX(OFFSET(高値!$E$6,IFERROR(MATCH($C29,銘柄管理!$B$6:$B$305,0),MATCH(TEXT($C29,"0"),銘柄管理!$B$6:$B$305,0))-1,0,1,25))*100,"")</f>
      </c>
      <c r="BE29">
        <f>IFERROR(($H29-$I29)/$F29*100,"")</f>
      </c>
      <c r="BF29">
        <f>IFERROR(-(($BA29-AVERAGE($BA$3:$BA$206))/STDEV($BA$3:$BA$206))-(($BE29-AVERAGE($BE$3:$BE$206))/STDEV($BE$3:$BE$206))-(($BB29-AVERAGE($BB$3:$BB$206))/STDEV($BB$3:$BB$206))-(($Z29-AVERAGE($Z$3:$Z$206))/STDEV($Z$3:$Z$206))-(($BC29-AVERAGE($BC$3:$BC$206))/STDEV($BC$3:$BC$206)),"")</f>
      </c>
      <c r="BG29">
        <f>IF(OR($C29="",$C29="TOPX",$BA29="",$BF29=""),0,IF(AND($BK$10=1,$BA29&lt;=$BK$2,$BB29&lt;=$BK$3,$BC29&lt;=$BK$4,$Z29&lt;=$BK$5,$Z29&gt;=$BK$6,$BD29&gt;=$BK$7,$BE29&lt;=$BK$8),1,0))</f>
      </c>
      <c r="BH29">
        <f>IF($C29="","",IF($BG29=1,"○ゲート通過",IF($BK$10&lt;&gt;1,"― この方向は停止中",IF($BA29&gt;$BK$2,"×値動きが荒い",IF($BB29&gt;$BK$3,"×レンジが広い",IF($BC29&gt;$BK$4,"×窓を開けて上昇",IF($Z29&gt;$BK$5,"×前日に急騰",IF($Z29&lt;$BK$6,"×前日に急落",IF($BD29&lt;$BK$7,"×高値から離れすぎ",IF($BE29&gt;$BK$8,"×当日の値幅が大きい","×")))))))))</f>
      </c>
    </row>
    <row r="30" spans="1:60"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IF(AND(E30&lt;&gt;"",K30&lt;&gt;"",K30&lt;&gt;0),(E30-K30)/K30*100,"")</f>
        <v>-18.594158157207314</v>
      </c>
      <c r="M30" s="166">
        <f>IF(C30&lt;&gt;"",IFERROR(AVERAGE(出来高!E109:I109),""),"")</f>
        <v>4503300</v>
      </c>
      <c r="N30" s="166">
        <f>IF(C30&lt;&gt;"",IFERROR(AVERAGE(出来高!E109:AC109),""),"")</f>
        <v>3279896</v>
      </c>
      <c r="O30" s="168">
        <f>IF(AND(J30&lt;&gt;"",M30&lt;&gt;"",M30&lt;&gt;0),J30/M30,"")</f>
        <v>0.84866653343103948</v>
      </c>
      <c r="P30" s="163" t="str">
        <f>IF(O30="","",IF(O30&gt;=2,"急増↑↑",IF(O30&gt;=1.5,"増加↑",IF(O30&gt;=1,"普通→","減少↓"))))</f>
        <v>減少↓</v>
      </c>
      <c r="Q30" s="163" t="str">
        <f>IF(E30="","",IF(AND(E30&gt;G30,O30&gt;=1.5),"買い▲",IF(E30&lt;G30,"様子見▼","中立→")))</f>
        <v>中立→</v>
      </c>
      <c r="R30" s="166">
        <f>IF(E30&lt;&gt;"",ROUND(E30*1.08,0),"")</f>
        <v>3702</v>
      </c>
      <c r="S30" s="166">
        <f>IF(E30&lt;&gt;"",ROUND(E30*0.96,0),"")</f>
        <v>3291</v>
      </c>
      <c r="T30" s="163">
        <f>IF(C30="","",IFERROR(IF(O30&gt;=2,3,IF(O30&gt;=1.5,2,IF(O30&gt;=1,1,0)))+IF(E30&gt;G30,1,0)+IF(L30&gt;=-5,1,0)+IF(Q30="買い▲",2,0)+IF(W30&lt;=30,3,IF(W30&lt;=40,2,IF(AND(W30&gt;=40,W30&lt;=60),1,0)))+IF(X30&gt;0,1,0)+IF(V30="年初来高値更新●",3,IF(V30="高値圏",2,0))+IF(AD30="パーフェクト▲",3,IF(AD30="上昇トレンド▲",2,0))+IF(AE30="25日線押し目●",2,IF(AE30="5日線押し目○",1,0))+IF(P30="急増↑↑",2,IF(P30="増加↑",1,0))+N(AI30),0))</f>
        <v>5</v>
      </c>
      <c r="U30" s="163" t="str">
        <f>IF(T30="","",IF(AND(T30&gt;=3,O30&gt;=1.5),"有効",IF(T30&gt;=3,"要確認","除外")))</f>
        <v>要確認</v>
      </c>
      <c r="V30" s="163" t="str">
        <f>IF(AND(H30&lt;&gt;"",K30&lt;&gt;""),IF(H30&gt;=K30,"年初来高値更新●",IF(H30&gt;=K30*0.95,"高値圏","通常")),"")</f>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IF(AND(E30&lt;&gt;"",G30&lt;&gt;"",G30&lt;&gt;0),(E30-G30)/G30*100,"")</f>
        <v>1.7512615019293558</v>
      </c>
      <c r="AA30" s="163" t="str">
        <f>IF(OR(C30="",E30="",E30=0),"",IF(E30&gt;G30,"上昇▲",IF(E30&lt;G30,"下落▼","横ばい→")))</f>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IF(OR(C30="",AB30="",AC30=""),"",IF(AND(E30&gt;AB30,AB30&gt;AC30),"パーフェクト▲",IF(E30&gt;AC30,"上昇トレンド▲",IF(AND(E30&lt;AB30,AB30&lt;AC30),"下降トレンド▼","もみ合い→"))))</f>
        <v>上昇トレンド▲</v>
      </c>
      <c r="AE30" s="404" t="str">
        <f>IF(OR(C30="",AB30="",AC30=""),"",IF(AND(ABS(E30-AC30)/AC30&lt;=0.02,E30&gt;AC30),"25日押し目★",IF(AND(ABS(E30-AB30)/AB30&lt;=0.01,E30&gt;AB30),"5日押し目○","なし")))</f>
        <v>なし</v>
      </c>
      <c r="AF30" s="365">
        <f t="array" ref="AF30">IF(C30="","",IFERROR((INDEX(終値!$E:$E,MATCH(TEXT(C30,"0"),終値!$A:$A,0))-INDEX(終値!$E:$CZ,MATCH(TEXT(C30,"0"),終値!$A:$A,0),$AL$2))/INDEX(終値!$E:$CZ,MATCH(TEXT(C30,"0"),終値!$A:$A,0),$AL$2)*100,""))</f>
        <v>4.0364188163884673</v>
      </c>
      <c r="AG30" s="365">
        <f t="array" ref="AG30">IFERROR((終値!$E$5-INDEX(終値!$E$5:$IT$5,1,$AL$2))/INDEX(終値!$E$5:$IT$5,1,$AL$2)*100,"")</f>
        <v>1.0179378228534113</v>
      </c>
      <c r="AH30" s="366">
        <f>IF(OR(AF30="",AG30=""),"",AF30-AG30)</f>
        <v>3.0184809935350563</v>
      </c>
      <c r="AI30" s="364">
        <f>IF(AH30="","",IF(AH30&gt;5,3,IF(AH30&gt;0,1,IF(AH30&gt;-3,-1,-2))))</f>
        <v>1</v>
      </c>
      <c r="BA30">
        <f>IFERROR((SUM(OFFSET(高値!$E$6,IFERROR(MATCH($C30,銘柄管理!$B$6:$B$305,0),MATCH(TEXT($C30,"0"),銘柄管理!$B$6:$B$305,0))-1,0,1,14))-SUM(OFFSET(安値!$E$6,IFERROR(MATCH($C30,銘柄管理!$B$6:$B$305,0),MATCH(TEXT($C30,"0"),銘柄管理!$B$6:$B$305,0))-1,0,1,14)))/SUM(OFFSET(終値!$E$6,IFERROR(MATCH($C30,銘柄管理!$B$6:$B$305,0),MATCH(TEXT($C30,"0"),銘柄管理!$B$6:$B$305,0))-1,0,1,14))*100,"")</f>
      </c>
      <c r="BB30">
        <f>IFERROR((MAX(OFFSET(高値!$E$6,IFERROR(MATCH($C30,銘柄管理!$B$6:$B$305,0),MATCH(TEXT($C30,"0"),銘柄管理!$B$6:$B$305,0))-1,0,1,25))-MIN(OFFSET(安値!$E$6,IFERROR(MATCH($C30,銘柄管理!$B$6:$B$305,0),MATCH(TEXT($C30,"0"),銘柄管理!$B$6:$B$305,0))-1,0,1,25)))/$E30*100,"")</f>
      </c>
      <c r="BC30">
        <f>IFERROR(($F30-$G30)/$G30*100,"")</f>
      </c>
      <c r="BD30">
        <f>IFERROR(($E30-MAX(OFFSET(高値!$E$6,IFERROR(MATCH($C30,銘柄管理!$B$6:$B$305,0),MATCH(TEXT($C30,"0"),銘柄管理!$B$6:$B$305,0))-1,0,1,25)))/MAX(OFFSET(高値!$E$6,IFERROR(MATCH($C30,銘柄管理!$B$6:$B$305,0),MATCH(TEXT($C30,"0"),銘柄管理!$B$6:$B$305,0))-1,0,1,25))*100,"")</f>
      </c>
      <c r="BE30">
        <f>IFERROR(($H30-$I30)/$F30*100,"")</f>
      </c>
      <c r="BF30">
        <f>IFERROR(-(($BA30-AVERAGE($BA$3:$BA$206))/STDEV($BA$3:$BA$206))-(($BE30-AVERAGE($BE$3:$BE$206))/STDEV($BE$3:$BE$206))-(($BB30-AVERAGE($BB$3:$BB$206))/STDEV($BB$3:$BB$206))-(($Z30-AVERAGE($Z$3:$Z$206))/STDEV($Z$3:$Z$206))-(($BC30-AVERAGE($BC$3:$BC$206))/STDEV($BC$3:$BC$206)),"")</f>
      </c>
      <c r="BG30">
        <f>IF(OR($C30="",$C30="TOPX",$BA30="",$BF30=""),0,IF(AND($BK$10=1,$BA30&lt;=$BK$2,$BB30&lt;=$BK$3,$BC30&lt;=$BK$4,$Z30&lt;=$BK$5,$Z30&gt;=$BK$6,$BD30&gt;=$BK$7,$BE30&lt;=$BK$8),1,0))</f>
      </c>
      <c r="BH30">
        <f>IF($C30="","",IF($BG30=1,"○ゲート通過",IF($BK$10&lt;&gt;1,"― この方向は停止中",IF($BA30&gt;$BK$2,"×値動きが荒い",IF($BB30&gt;$BK$3,"×レンジが広い",IF($BC30&gt;$BK$4,"×窓を開けて上昇",IF($Z30&gt;$BK$5,"×前日に急騰",IF($Z30&lt;$BK$6,"×前日に急落",IF($BD30&lt;$BK$7,"×高値から離れすぎ",IF($BE30&gt;$BK$8,"×当日の値幅が大きい","×")))))))))</f>
      </c>
    </row>
    <row r="31" spans="1:60"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IF(AND(E31&lt;&gt;"",K31&lt;&gt;"",K31&lt;&gt;0),(E31-K31)/K31*100,"")</f>
        <v>-15.147313691507799</v>
      </c>
      <c r="M31" s="166">
        <f>IF(C31&lt;&gt;"",IFERROR(AVERAGE(出来高!E125:I125),""),"")</f>
        <v>106800</v>
      </c>
      <c r="N31" s="166">
        <f>IF(C31&lt;&gt;"",IFERROR(AVERAGE(出来高!E125:AC125),""),"")</f>
        <v>115548</v>
      </c>
      <c r="O31" s="168">
        <f>IF(AND(J31&lt;&gt;"",M31&lt;&gt;"",M31&lt;&gt;0),J31/M31,"")</f>
        <v>1.1132958801498127</v>
      </c>
      <c r="P31" s="163" t="str">
        <f>IF(O31="","",IF(O31&gt;=2,"急増↑↑",IF(O31&gt;=1.5,"増加↑",IF(O31&gt;=1,"普通→","減少↓"))))</f>
        <v>普通→</v>
      </c>
      <c r="Q31" s="163" t="str">
        <f>IF(E31="","",IF(AND(E31&gt;G31,O31&gt;=1.5),"買い▲",IF(E31&lt;G31,"様子見▼","中立→")))</f>
        <v>中立→</v>
      </c>
      <c r="R31" s="166">
        <f>IF(E31&lt;&gt;"",ROUND(E31*1.08,0),"")</f>
        <v>2644</v>
      </c>
      <c r="S31" s="166">
        <f>IF(E31&lt;&gt;"",ROUND(E31*0.96,0),"")</f>
        <v>2350</v>
      </c>
      <c r="T31" s="163">
        <f>IF(C31="","",IFERROR(IF(O31&gt;=2,3,IF(O31&gt;=1.5,2,IF(O31&gt;=1,1,0)))+IF(E31&gt;G31,1,0)+IF(L31&gt;=-5,1,0)+IF(Q31="買い▲",2,0)+IF(W31&lt;=30,3,IF(W31&lt;=40,2,IF(AND(W31&gt;=40,W31&lt;=60),1,0)))+IF(X31&gt;0,1,0)+IF(V31="年初来高値更新●",3,IF(V31="高値圏",2,0))+IF(AD31="パーフェクト▲",3,IF(AD31="上昇トレンド▲",2,0))+IF(AE31="25日線押し目●",2,IF(AE31="5日線押し目○",1,0))+IF(P31="急増↑↑",2,IF(P31="増加↑",1,0))+N(AI31),0))</f>
        <v>8</v>
      </c>
      <c r="U31" s="163" t="str">
        <f>IF(T31="","",IF(AND(T31&gt;=3,O31&gt;=1.5),"有効",IF(T31&gt;=3,"要確認","除外")))</f>
        <v>要確認</v>
      </c>
      <c r="V31" s="163" t="str">
        <f>IF(AND(H31&lt;&gt;"",K31&lt;&gt;""),IF(H31&gt;=K31,"年初来高値更新●",IF(H31&gt;=K31*0.95,"高値圏","通常")),"")</f>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IF(AND(E31&lt;&gt;"",G31&lt;&gt;"",G31&lt;&gt;0),(E31-G31)/G31*100,"")</f>
        <v>0.57518488085456043</v>
      </c>
      <c r="AA31" s="163" t="str">
        <f>IF(OR(C31="",E31="",E31=0),"",IF(E31&gt;G31,"上昇▲",IF(E31&lt;G31,"下落▼","横ばい→")))</f>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IF(OR(C31="",AB31="",AC31=""),"",IF(AND(E31&gt;AB31,AB31&gt;AC31),"パーフェクト▲",IF(E31&gt;AC31,"上昇トレンド▲",IF(AND(E31&lt;AB31,AB31&lt;AC31),"下降トレンド▼","もみ合い→"))))</f>
        <v>パーフェクト▲</v>
      </c>
      <c r="AE31" s="406" t="str">
        <f>IF(OR(C31="",AB31="",AC31=""),"",IF(AND(ABS(E31-AC31)/AC31&lt;=0.02,E31&gt;AC31),"25日押し目★",IF(AND(ABS(E31-AB31)/AB31&lt;=0.01,E31&gt;AB31),"5日押し目○","なし")))</f>
        <v>なし</v>
      </c>
      <c r="AF31" s="365">
        <f t="array" ref="AF31">IF(C31="","",IFERROR((INDEX(終値!$E:$E,MATCH(TEXT(C31,"0"),終値!$A:$A,0))-INDEX(終値!$E:$CZ,MATCH(TEXT(C31,"0"),終値!$A:$A,0),$AL$2))/INDEX(終値!$E:$CZ,MATCH(TEXT(C31,"0"),終値!$A:$A,0),$AL$2)*100,""))</f>
        <v>2.5555090071219104</v>
      </c>
      <c r="AG31" s="365">
        <f t="array" ref="AG31">IFERROR((終値!$E$5-INDEX(終値!$E$5:$IT$5,1,$AL$2))/INDEX(終値!$E$5:$IT$5,1,$AL$2)*100,"")</f>
        <v>1.0179378228534113</v>
      </c>
      <c r="AH31" s="366">
        <f>IF(OR(AF31="",AG31=""),"",AF31-AG31)</f>
        <v>1.5375711842684991</v>
      </c>
      <c r="AI31" s="364">
        <f>IF(AH31="","",IF(AH31&gt;5,3,IF(AH31&gt;0,1,IF(AH31&gt;-3,-1,-2))))</f>
        <v>1</v>
      </c>
      <c r="BA31">
        <f>IFERROR((SUM(OFFSET(高値!$E$6,IFERROR(MATCH($C31,銘柄管理!$B$6:$B$305,0),MATCH(TEXT($C31,"0"),銘柄管理!$B$6:$B$305,0))-1,0,1,14))-SUM(OFFSET(安値!$E$6,IFERROR(MATCH($C31,銘柄管理!$B$6:$B$305,0),MATCH(TEXT($C31,"0"),銘柄管理!$B$6:$B$305,0))-1,0,1,14)))/SUM(OFFSET(終値!$E$6,IFERROR(MATCH($C31,銘柄管理!$B$6:$B$305,0),MATCH(TEXT($C31,"0"),銘柄管理!$B$6:$B$305,0))-1,0,1,14))*100,"")</f>
      </c>
      <c r="BB31">
        <f>IFERROR((MAX(OFFSET(高値!$E$6,IFERROR(MATCH($C31,銘柄管理!$B$6:$B$305,0),MATCH(TEXT($C31,"0"),銘柄管理!$B$6:$B$305,0))-1,0,1,25))-MIN(OFFSET(安値!$E$6,IFERROR(MATCH($C31,銘柄管理!$B$6:$B$305,0),MATCH(TEXT($C31,"0"),銘柄管理!$B$6:$B$305,0))-1,0,1,25)))/$E31*100,"")</f>
      </c>
      <c r="BC31">
        <f>IFERROR(($F31-$G31)/$G31*100,"")</f>
      </c>
      <c r="BD31">
        <f>IFERROR(($E31-MAX(OFFSET(高値!$E$6,IFERROR(MATCH($C31,銘柄管理!$B$6:$B$305,0),MATCH(TEXT($C31,"0"),銘柄管理!$B$6:$B$305,0))-1,0,1,25)))/MAX(OFFSET(高値!$E$6,IFERROR(MATCH($C31,銘柄管理!$B$6:$B$305,0),MATCH(TEXT($C31,"0"),銘柄管理!$B$6:$B$305,0))-1,0,1,25))*100,"")</f>
      </c>
      <c r="BE31">
        <f>IFERROR(($H31-$I31)/$F31*100,"")</f>
      </c>
      <c r="BF31">
        <f>IFERROR(-(($BA31-AVERAGE($BA$3:$BA$206))/STDEV($BA$3:$BA$206))-(($BE31-AVERAGE($BE$3:$BE$206))/STDEV($BE$3:$BE$206))-(($BB31-AVERAGE($BB$3:$BB$206))/STDEV($BB$3:$BB$206))-(($Z31-AVERAGE($Z$3:$Z$206))/STDEV($Z$3:$Z$206))-(($BC31-AVERAGE($BC$3:$BC$206))/STDEV($BC$3:$BC$206)),"")</f>
      </c>
      <c r="BG31">
        <f>IF(OR($C31="",$C31="TOPX",$BA31="",$BF31=""),0,IF(AND($BK$10=1,$BA31&lt;=$BK$2,$BB31&lt;=$BK$3,$BC31&lt;=$BK$4,$Z31&lt;=$BK$5,$Z31&gt;=$BK$6,$BD31&gt;=$BK$7,$BE31&lt;=$BK$8),1,0))</f>
      </c>
      <c r="BH31">
        <f>IF($C31="","",IF($BG31=1,"○ゲート通過",IF($BK$10&lt;&gt;1,"― この方向は停止中",IF($BA31&gt;$BK$2,"×値動きが荒い",IF($BB31&gt;$BK$3,"×レンジが広い",IF($BC31&gt;$BK$4,"×窓を開けて上昇",IF($Z31&gt;$BK$5,"×前日に急騰",IF($Z31&lt;$BK$6,"×前日に急落",IF($BD31&lt;$BK$7,"×高値から離れすぎ",IF($BE31&gt;$BK$8,"×当日の値幅が大きい","×")))))))))</f>
      </c>
    </row>
    <row r="32" spans="1:60"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IF(AND(E32&lt;&gt;"",K32&lt;&gt;"",K32&lt;&gt;0),(E32-K32)/K32*100,"")</f>
        <v>-15.153906866614051</v>
      </c>
      <c r="M32" s="166">
        <f>IF(C32&lt;&gt;"",IFERROR(AVERAGE(出来高!E161:I161),""),"")</f>
        <v>230220</v>
      </c>
      <c r="N32" s="166">
        <f>IF(C32&lt;&gt;"",IFERROR(AVERAGE(出来高!E161:AC161),""),"")</f>
        <v>185733.33333333334</v>
      </c>
      <c r="O32" s="168">
        <f>IF(AND(J32&lt;&gt;"",M32&lt;&gt;"",M32&lt;&gt;0),J32/M32,"")</f>
        <v>0.45174181217965426</v>
      </c>
      <c r="P32" s="163" t="str">
        <f>IF(O32="","",IF(O32&gt;=2,"急増↑↑",IF(O32&gt;=1.5,"増加↑",IF(O32&gt;=1,"普通→","減少↓"))))</f>
        <v>減少↓</v>
      </c>
      <c r="Q32" s="163" t="str">
        <f>IF(E32="","",IF(AND(E32&gt;G32,O32&gt;=1.5),"買い▲",IF(E32&lt;G32,"様子見▼","中立→")))</f>
        <v>中立→</v>
      </c>
      <c r="R32" s="166">
        <f>IF(E32&lt;&gt;"",ROUND(E32*1.08,0),"")</f>
        <v>1161</v>
      </c>
      <c r="S32" s="166">
        <f>IF(E32&lt;&gt;"",ROUND(E32*0.96,0),"")</f>
        <v>1032</v>
      </c>
      <c r="T32" s="163">
        <f>IF(C32="","",IFERROR(IF(O32&gt;=2,3,IF(O32&gt;=1.5,2,IF(O32&gt;=1,1,0)))+IF(E32&gt;G32,1,0)+IF(L32&gt;=-5,1,0)+IF(Q32="買い▲",2,0)+IF(W32&lt;=30,3,IF(W32&lt;=40,2,IF(AND(W32&gt;=40,W32&lt;=60),1,0)))+IF(X32&gt;0,1,0)+IF(V32="年初来高値更新●",3,IF(V32="高値圏",2,0))+IF(AD32="パーフェクト▲",3,IF(AD32="上昇トレンド▲",2,0))+IF(AE32="25日線押し目●",2,IF(AE32="5日線押し目○",1,0))+IF(P32="急増↑↑",2,IF(P32="増加↑",1,0))+N(AI32),0))</f>
        <v>1</v>
      </c>
      <c r="U32" s="163" t="str">
        <f>IF(T32="","",IF(AND(T32&gt;=3,O32&gt;=1.5),"有効",IF(T32&gt;=3,"要確認","除外")))</f>
        <v>除外</v>
      </c>
      <c r="V32" s="163" t="str">
        <f>IF(AND(H32&lt;&gt;"",K32&lt;&gt;""),IF(H32&gt;=K32,"年初来高値更新●",IF(H32&gt;=K32*0.95,"高値圏","通常")),"")</f>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IF(AND(E32&lt;&gt;"",G32&lt;&gt;"",G32&lt;&gt;0),(E32-G32)/G32*100,"")</f>
        <v>0.27985074626865669</v>
      </c>
      <c r="AA32" s="163" t="str">
        <f>IF(OR(C32="",E32="",E32=0),"",IF(E32&gt;G32,"上昇▲",IF(E32&lt;G32,"下落▼","横ばい→")))</f>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IF(OR(C32="",AB32="",AC32=""),"",IF(AND(E32&gt;AB32,AB32&gt;AC32),"パーフェクト▲",IF(E32&gt;AC32,"上昇トレンド▲",IF(AND(E32&lt;AB32,AB32&lt;AC32),"下降トレンド▼","もみ合い→"))))</f>
        <v>もみ合い→</v>
      </c>
      <c r="AE32" s="404" t="str">
        <f>IF(OR(C32="",AB32="",AC32=""),"",IF(AND(ABS(E32-AC32)/AC32&lt;=0.02,E32&gt;AC32),"25日押し目★",IF(AND(ABS(E32-AB32)/AB32&lt;=0.01,E32&gt;AB32),"5日押し目○","なし")))</f>
        <v>なし</v>
      </c>
      <c r="AF32" s="365">
        <f t="array" ref="AF32">IF(C32="","",IFERROR((INDEX(終値!$E:$E,MATCH(TEXT(C32,"0"),終値!$A:$A,0))-INDEX(終値!$E:$CZ,MATCH(TEXT(C32,"0"),終値!$A:$A,0),$AL$2))/INDEX(終値!$E:$CZ,MATCH(TEXT(C32,"0"),終値!$A:$A,0),$AL$2)*100,""))</f>
        <v>9.3109869646182494E-2</v>
      </c>
      <c r="AG32" s="365">
        <f t="array" ref="AG32">IFERROR((終値!$E$5-INDEX(終値!$E$5:$IT$5,1,$AL$2))/INDEX(終値!$E$5:$IT$5,1,$AL$2)*100,"")</f>
        <v>1.0179378228534113</v>
      </c>
      <c r="AH32" s="366">
        <f>IF(OR(AF32="",AG32=""),"",AF32-AG32)</f>
        <v>-0.92482795320722877</v>
      </c>
      <c r="AI32" s="364">
        <f>IF(AH32="","",IF(AH32&gt;5,3,IF(AH32&gt;0,1,IF(AH32&gt;-3,-1,-2))))</f>
        <v>-1</v>
      </c>
      <c r="BA32">
        <f>IFERROR((SUM(OFFSET(高値!$E$6,IFERROR(MATCH($C32,銘柄管理!$B$6:$B$305,0),MATCH(TEXT($C32,"0"),銘柄管理!$B$6:$B$305,0))-1,0,1,14))-SUM(OFFSET(安値!$E$6,IFERROR(MATCH($C32,銘柄管理!$B$6:$B$305,0),MATCH(TEXT($C32,"0"),銘柄管理!$B$6:$B$305,0))-1,0,1,14)))/SUM(OFFSET(終値!$E$6,IFERROR(MATCH($C32,銘柄管理!$B$6:$B$305,0),MATCH(TEXT($C32,"0"),銘柄管理!$B$6:$B$305,0))-1,0,1,14))*100,"")</f>
      </c>
      <c r="BB32">
        <f>IFERROR((MAX(OFFSET(高値!$E$6,IFERROR(MATCH($C32,銘柄管理!$B$6:$B$305,0),MATCH(TEXT($C32,"0"),銘柄管理!$B$6:$B$305,0))-1,0,1,25))-MIN(OFFSET(安値!$E$6,IFERROR(MATCH($C32,銘柄管理!$B$6:$B$305,0),MATCH(TEXT($C32,"0"),銘柄管理!$B$6:$B$305,0))-1,0,1,25)))/$E32*100,"")</f>
      </c>
      <c r="BC32">
        <f>IFERROR(($F32-$G32)/$G32*100,"")</f>
      </c>
      <c r="BD32">
        <f>IFERROR(($E32-MAX(OFFSET(高値!$E$6,IFERROR(MATCH($C32,銘柄管理!$B$6:$B$305,0),MATCH(TEXT($C32,"0"),銘柄管理!$B$6:$B$305,0))-1,0,1,25)))/MAX(OFFSET(高値!$E$6,IFERROR(MATCH($C32,銘柄管理!$B$6:$B$305,0),MATCH(TEXT($C32,"0"),銘柄管理!$B$6:$B$305,0))-1,0,1,25))*100,"")</f>
      </c>
      <c r="BE32">
        <f>IFERROR(($H32-$I32)/$F32*100,"")</f>
      </c>
      <c r="BF32">
        <f>IFERROR(-(($BA32-AVERAGE($BA$3:$BA$206))/STDEV($BA$3:$BA$206))-(($BE32-AVERAGE($BE$3:$BE$206))/STDEV($BE$3:$BE$206))-(($BB32-AVERAGE($BB$3:$BB$206))/STDEV($BB$3:$BB$206))-(($Z32-AVERAGE($Z$3:$Z$206))/STDEV($Z$3:$Z$206))-(($BC32-AVERAGE($BC$3:$BC$206))/STDEV($BC$3:$BC$206)),"")</f>
      </c>
      <c r="BG32">
        <f>IF(OR($C32="",$C32="TOPX",$BA32="",$BF32=""),0,IF(AND($BK$10=1,$BA32&lt;=$BK$2,$BB32&lt;=$BK$3,$BC32&lt;=$BK$4,$Z32&lt;=$BK$5,$Z32&gt;=$BK$6,$BD32&gt;=$BK$7,$BE32&lt;=$BK$8),1,0))</f>
      </c>
      <c r="BH32">
        <f>IF($C32="","",IF($BG32=1,"○ゲート通過",IF($BK$10&lt;&gt;1,"― この方向は停止中",IF($BA32&gt;$BK$2,"×値動きが荒い",IF($BB32&gt;$BK$3,"×レンジが広い",IF($BC32&gt;$BK$4,"×窓を開けて上昇",IF($Z32&gt;$BK$5,"×前日に急騰",IF($Z32&lt;$BK$6,"×前日に急落",IF($BD32&lt;$BK$7,"×高値から離れすぎ",IF($BE32&gt;$BK$8,"×当日の値幅が大きい","×")))))))))</f>
      </c>
    </row>
    <row r="33" spans="1:60"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IF(AND(E33&lt;&gt;"",K33&lt;&gt;"",K33&lt;&gt;0),(E33-K33)/K33*100,"")</f>
        <v>-31.047265987025025</v>
      </c>
      <c r="M33" s="166">
        <f>IF(C33&lt;&gt;"",IFERROR(AVERAGE(出来高!E124:I124),""),"")</f>
        <v>10539140</v>
      </c>
      <c r="N33" s="166">
        <f>IF(C33&lt;&gt;"",IFERROR(AVERAGE(出来高!E124:AC124),""),"")</f>
        <v>8742800</v>
      </c>
      <c r="O33" s="168">
        <f>IF(AND(J33&lt;&gt;"",M33&lt;&gt;"",M33&lt;&gt;0),J33/M33,"")</f>
        <v>0.93994386638757998</v>
      </c>
      <c r="P33" s="163" t="str">
        <f>IF(O33="","",IF(O33&gt;=2,"急増↑↑",IF(O33&gt;=1.5,"増加↑",IF(O33&gt;=1,"普通→","減少↓"))))</f>
        <v>減少↓</v>
      </c>
      <c r="Q33" s="163" t="str">
        <f>IF(E33="","",IF(AND(E33&gt;G33,O33&gt;=1.5),"買い▲",IF(E33&lt;G33,"様子見▼","中立→")))</f>
        <v>中立→</v>
      </c>
      <c r="R33" s="166">
        <f>IF(E33&lt;&gt;"",ROUND(E33*1.08,0),"")</f>
        <v>1607</v>
      </c>
      <c r="S33" s="166">
        <f>IF(E33&lt;&gt;"",ROUND(E33*0.96,0),"")</f>
        <v>1428</v>
      </c>
      <c r="T33" s="163">
        <f>IF(C33="","",IFERROR(IF(O33&gt;=2,3,IF(O33&gt;=1.5,2,IF(O33&gt;=1,1,0)))+IF(E33&gt;G33,1,0)+IF(L33&gt;=-5,1,0)+IF(Q33="買い▲",2,0)+IF(W33&lt;=30,3,IF(W33&lt;=40,2,IF(AND(W33&gt;=40,W33&lt;=60),1,0)))+IF(X33&gt;0,1,0)+IF(V33="年初来高値更新●",3,IF(V33="高値圏",2,0))+IF(AD33="パーフェクト▲",3,IF(AD33="上昇トレンド▲",2,0))+IF(AE33="25日線押し目●",2,IF(AE33="5日線押し目○",1,0))+IF(P33="急増↑↑",2,IF(P33="増加↑",1,0))+N(AI33),0))</f>
        <v>2</v>
      </c>
      <c r="U33" s="163" t="str">
        <f>IF(T33="","",IF(AND(T33&gt;=3,O33&gt;=1.5),"有効",IF(T33&gt;=3,"要確認","除外")))</f>
        <v>除外</v>
      </c>
      <c r="V33" s="163" t="str">
        <f>IF(AND(H33&lt;&gt;"",K33&lt;&gt;""),IF(H33&gt;=K33,"年初来高値更新●",IF(H33&gt;=K33*0.95,"高値圏","通常")),"")</f>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IF(AND(E33&lt;&gt;"",G33&lt;&gt;"",G33&lt;&gt;0),(E33-G33)/G33*100,"")</f>
        <v>0.43874451569355388</v>
      </c>
      <c r="AA33" s="163" t="str">
        <f>IF(OR(C33="",E33="",E33=0),"",IF(E33&gt;G33,"上昇▲",IF(E33&lt;G33,"下落▼","横ばい→")))</f>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IF(OR(C33="",AB33="",AC33=""),"",IF(AND(E33&gt;AB33,AB33&gt;AC33),"パーフェクト▲",IF(E33&gt;AC33,"上昇トレンド▲",IF(AND(E33&lt;AB33,AB33&lt;AC33),"下降トレンド▼","もみ合い→"))))</f>
        <v>下降トレンド▼</v>
      </c>
      <c r="AE33" s="406" t="str">
        <f>IF(OR(C33="",AB33="",AC33=""),"",IF(AND(ABS(E33-AC33)/AC33&lt;=0.02,E33&gt;AC33),"25日押し目★",IF(AND(ABS(E33-AB33)/AB33&lt;=0.01,E33&gt;AB33),"5日押し目○","なし")))</f>
        <v>なし</v>
      </c>
      <c r="AF33" s="365">
        <f t="array" ref="AF33">IF(C33="","",IFERROR((INDEX(終値!$E:$E,MATCH(TEXT(C33,"0"),終値!$A:$A,0))-INDEX(終値!$E:$CZ,MATCH(TEXT(C33,"0"),終値!$A:$A,0),$AL$2))/INDEX(終値!$E:$CZ,MATCH(TEXT(C33,"0"),終値!$A:$A,0),$AL$2)*100,""))</f>
        <v>0.6085192697768762</v>
      </c>
      <c r="AG33" s="365">
        <f t="array" ref="AG33">IFERROR((終値!$E$5-INDEX(終値!$E$5:$IT$5,1,$AL$2))/INDEX(終値!$E$5:$IT$5,1,$AL$2)*100,"")</f>
        <v>1.0179378228534113</v>
      </c>
      <c r="AH33" s="366">
        <f>IF(OR(AF33="",AG33=""),"",AF33-AG33)</f>
        <v>-0.40941855307653507</v>
      </c>
      <c r="AI33" s="364">
        <f>IF(AH33="","",IF(AH33&gt;5,3,IF(AH33&gt;0,1,IF(AH33&gt;-3,-1,-2))))</f>
        <v>-1</v>
      </c>
      <c r="BA33">
        <f>IFERROR((SUM(OFFSET(高値!$E$6,IFERROR(MATCH($C33,銘柄管理!$B$6:$B$305,0),MATCH(TEXT($C33,"0"),銘柄管理!$B$6:$B$305,0))-1,0,1,14))-SUM(OFFSET(安値!$E$6,IFERROR(MATCH($C33,銘柄管理!$B$6:$B$305,0),MATCH(TEXT($C33,"0"),銘柄管理!$B$6:$B$305,0))-1,0,1,14)))/SUM(OFFSET(終値!$E$6,IFERROR(MATCH($C33,銘柄管理!$B$6:$B$305,0),MATCH(TEXT($C33,"0"),銘柄管理!$B$6:$B$305,0))-1,0,1,14))*100,"")</f>
      </c>
      <c r="BB33">
        <f>IFERROR((MAX(OFFSET(高値!$E$6,IFERROR(MATCH($C33,銘柄管理!$B$6:$B$305,0),MATCH(TEXT($C33,"0"),銘柄管理!$B$6:$B$305,0))-1,0,1,25))-MIN(OFFSET(安値!$E$6,IFERROR(MATCH($C33,銘柄管理!$B$6:$B$305,0),MATCH(TEXT($C33,"0"),銘柄管理!$B$6:$B$305,0))-1,0,1,25)))/$E33*100,"")</f>
      </c>
      <c r="BC33">
        <f>IFERROR(($F33-$G33)/$G33*100,"")</f>
      </c>
      <c r="BD33">
        <f>IFERROR(($E33-MAX(OFFSET(高値!$E$6,IFERROR(MATCH($C33,銘柄管理!$B$6:$B$305,0),MATCH(TEXT($C33,"0"),銘柄管理!$B$6:$B$305,0))-1,0,1,25)))/MAX(OFFSET(高値!$E$6,IFERROR(MATCH($C33,銘柄管理!$B$6:$B$305,0),MATCH(TEXT($C33,"0"),銘柄管理!$B$6:$B$305,0))-1,0,1,25))*100,"")</f>
      </c>
      <c r="BE33">
        <f>IFERROR(($H33-$I33)/$F33*100,"")</f>
      </c>
      <c r="BF33">
        <f>IFERROR(-(($BA33-AVERAGE($BA$3:$BA$206))/STDEV($BA$3:$BA$206))-(($BE33-AVERAGE($BE$3:$BE$206))/STDEV($BE$3:$BE$206))-(($BB33-AVERAGE($BB$3:$BB$206))/STDEV($BB$3:$BB$206))-(($Z33-AVERAGE($Z$3:$Z$206))/STDEV($Z$3:$Z$206))-(($BC33-AVERAGE($BC$3:$BC$206))/STDEV($BC$3:$BC$206)),"")</f>
      </c>
      <c r="BG33">
        <f>IF(OR($C33="",$C33="TOPX",$BA33="",$BF33=""),0,IF(AND($BK$10=1,$BA33&lt;=$BK$2,$BB33&lt;=$BK$3,$BC33&lt;=$BK$4,$Z33&lt;=$BK$5,$Z33&gt;=$BK$6,$BD33&gt;=$BK$7,$BE33&lt;=$BK$8),1,0))</f>
      </c>
      <c r="BH33">
        <f>IF($C33="","",IF($BG33=1,"○ゲート通過",IF($BK$10&lt;&gt;1,"― この方向は停止中",IF($BA33&gt;$BK$2,"×値動きが荒い",IF($BB33&gt;$BK$3,"×レンジが広い",IF($BC33&gt;$BK$4,"×窓を開けて上昇",IF($Z33&gt;$BK$5,"×前日に急騰",IF($Z33&lt;$BK$6,"×前日に急落",IF($BD33&lt;$BK$7,"×高値から離れすぎ",IF($BE33&gt;$BK$8,"×当日の値幅が大きい","×")))))))))</f>
      </c>
    </row>
    <row r="34" spans="1:60"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IF(AND(E34&lt;&gt;"",K34&lt;&gt;"",K34&lt;&gt;0),(E34-K34)/K34*100,"")</f>
        <v>-4.1344667697063366</v>
      </c>
      <c r="M34" s="166">
        <f>IF(C34&lt;&gt;"",IFERROR(AVERAGE(出来高!E23:I23),""),"")</f>
        <v>1516460</v>
      </c>
      <c r="N34" s="166">
        <f>IF(C34&lt;&gt;"",IFERROR(AVERAGE(出来高!E23:AC23),""),"")</f>
        <v>1565250</v>
      </c>
      <c r="O34" s="168">
        <f>IF(AND(J34&lt;&gt;"",M34&lt;&gt;"",M34&lt;&gt;0),J34/M34,"")</f>
        <v>1.470595993300186</v>
      </c>
      <c r="P34" s="163" t="str">
        <f>IF(O34="","",IF(O34&gt;=2,"急増↑↑",IF(O34&gt;=1.5,"増加↑",IF(O34&gt;=1,"普通→","減少↓"))))</f>
        <v>普通→</v>
      </c>
      <c r="Q34" s="163" t="str">
        <f>IF(E34="","",IF(AND(E34&gt;G34,O34&gt;=1.5),"買い▲",IF(E34&lt;G34,"様子見▼","中立→")))</f>
        <v>様子見▼</v>
      </c>
      <c r="R34" s="166">
        <f>IF(E34&lt;&gt;"",ROUND(E34*1.08,0),"")</f>
        <v>5359</v>
      </c>
      <c r="S34" s="166">
        <f>IF(E34&lt;&gt;"",ROUND(E34*0.96,0),"")</f>
        <v>4764</v>
      </c>
      <c r="T34" s="163">
        <f>IF(C34="","",IFERROR(IF(O34&gt;=2,3,IF(O34&gt;=1.5,2,IF(O34&gt;=1,1,0)))+IF(E34&gt;G34,1,0)+IF(L34&gt;=-5,1,0)+IF(Q34="買い▲",2,0)+IF(W34&lt;=30,3,IF(W34&lt;=40,2,IF(AND(W34&gt;=40,W34&lt;=60),1,0)))+IF(X34&gt;0,1,0)+IF(V34="年初来高値更新●",3,IF(V34="高値圏",2,0))+IF(AD34="パーフェクト▲",3,IF(AD34="上昇トレンド▲",2,0))+IF(AE34="25日線押し目●",2,IF(AE34="5日線押し目○",1,0))+IF(P34="急増↑↑",2,IF(P34="増加↑",1,0))+N(AI34),0))</f>
        <v>8</v>
      </c>
      <c r="U34" s="163" t="str">
        <f>IF(T34="","",IF(AND(T34&gt;=3,O34&gt;=1.5),"有効",IF(T34&gt;=3,"要確認","除外")))</f>
        <v>要確認</v>
      </c>
      <c r="V34" s="163" t="str">
        <f>IF(AND(H34&lt;&gt;"",K34&lt;&gt;""),IF(H34&gt;=K34,"年初来高値更新●",IF(H34&gt;=K34*0.95,"高値圏","通常")),"")</f>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IF(AND(E34&lt;&gt;"",G34&lt;&gt;"",G34&lt;&gt;0),(E34-G34)/G34*100,"")</f>
        <v>-1.3910969793322734</v>
      </c>
      <c r="AA34" s="163" t="str">
        <f>IF(OR(C34="",E34="",E34=0),"",IF(E34&gt;G34,"上昇▲",IF(E34&lt;G34,"下落▼","横ばい→")))</f>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IF(OR(C34="",AB34="",AC34=""),"",IF(AND(E34&gt;AB34,AB34&gt;AC34),"パーフェクト▲",IF(E34&gt;AC34,"上昇トレンド▲",IF(AND(E34&lt;AB34,AB34&lt;AC34),"下降トレンド▼","もみ合い→"))))</f>
        <v>上昇トレンド▲</v>
      </c>
      <c r="AE34" s="404" t="str">
        <f>IF(OR(C34="",AB34="",AC34=""),"",IF(AND(ABS(E34-AC34)/AC34&lt;=0.02,E34&gt;AC34),"25日押し目★",IF(AND(ABS(E34-AB34)/AB34&lt;=0.01,E34&gt;AB34),"5日押し目○","なし")))</f>
        <v>なし</v>
      </c>
      <c r="AF34" s="365">
        <f t="array" ref="AF34">IF(C34="","",IFERROR((INDEX(終値!$E:$E,MATCH(TEXT(C34,"0"),終値!$A:$A,0))-INDEX(終値!$E:$CZ,MATCH(TEXT(C34,"0"),終値!$A:$A,0),$AL$2))/INDEX(終値!$E:$CZ,MATCH(TEXT(C34,"0"),終値!$A:$A,0),$AL$2)*100,""))</f>
        <v>3.0529595015576323</v>
      </c>
      <c r="AG34" s="365">
        <f t="array" ref="AG34">IFERROR((終値!$E$5-INDEX(終値!$E$5:$IT$5,1,$AL$2))/INDEX(終値!$E$5:$IT$5,1,$AL$2)*100,"")</f>
        <v>1.0179378228534113</v>
      </c>
      <c r="AH34" s="366">
        <f>IF(OR(AF34="",AG34=""),"",AF34-AG34)</f>
        <v>2.0350216787042212</v>
      </c>
      <c r="AI34" s="364">
        <f>IF(AH34="","",IF(AH34&gt;5,3,IF(AH34&gt;0,1,IF(AH34&gt;-3,-1,-2))))</f>
        <v>1</v>
      </c>
      <c r="BA34">
        <f>IFERROR((SUM(OFFSET(高値!$E$6,IFERROR(MATCH($C34,銘柄管理!$B$6:$B$305,0),MATCH(TEXT($C34,"0"),銘柄管理!$B$6:$B$305,0))-1,0,1,14))-SUM(OFFSET(安値!$E$6,IFERROR(MATCH($C34,銘柄管理!$B$6:$B$305,0),MATCH(TEXT($C34,"0"),銘柄管理!$B$6:$B$305,0))-1,0,1,14)))/SUM(OFFSET(終値!$E$6,IFERROR(MATCH($C34,銘柄管理!$B$6:$B$305,0),MATCH(TEXT($C34,"0"),銘柄管理!$B$6:$B$305,0))-1,0,1,14))*100,"")</f>
      </c>
      <c r="BB34">
        <f>IFERROR((MAX(OFFSET(高値!$E$6,IFERROR(MATCH($C34,銘柄管理!$B$6:$B$305,0),MATCH(TEXT($C34,"0"),銘柄管理!$B$6:$B$305,0))-1,0,1,25))-MIN(OFFSET(安値!$E$6,IFERROR(MATCH($C34,銘柄管理!$B$6:$B$305,0),MATCH(TEXT($C34,"0"),銘柄管理!$B$6:$B$305,0))-1,0,1,25)))/$E34*100,"")</f>
      </c>
      <c r="BC34">
        <f>IFERROR(($F34-$G34)/$G34*100,"")</f>
      </c>
      <c r="BD34">
        <f>IFERROR(($E34-MAX(OFFSET(高値!$E$6,IFERROR(MATCH($C34,銘柄管理!$B$6:$B$305,0),MATCH(TEXT($C34,"0"),銘柄管理!$B$6:$B$305,0))-1,0,1,25)))/MAX(OFFSET(高値!$E$6,IFERROR(MATCH($C34,銘柄管理!$B$6:$B$305,0),MATCH(TEXT($C34,"0"),銘柄管理!$B$6:$B$305,0))-1,0,1,25))*100,"")</f>
      </c>
      <c r="BE34">
        <f>IFERROR(($H34-$I34)/$F34*100,"")</f>
      </c>
      <c r="BF34">
        <f>IFERROR(-(($BA34-AVERAGE($BA$3:$BA$206))/STDEV($BA$3:$BA$206))-(($BE34-AVERAGE($BE$3:$BE$206))/STDEV($BE$3:$BE$206))-(($BB34-AVERAGE($BB$3:$BB$206))/STDEV($BB$3:$BB$206))-(($Z34-AVERAGE($Z$3:$Z$206))/STDEV($Z$3:$Z$206))-(($BC34-AVERAGE($BC$3:$BC$206))/STDEV($BC$3:$BC$206)),"")</f>
      </c>
      <c r="BG34">
        <f>IF(OR($C34="",$C34="TOPX",$BA34="",$BF34=""),0,IF(AND($BK$10=1,$BA34&lt;=$BK$2,$BB34&lt;=$BK$3,$BC34&lt;=$BK$4,$Z34&lt;=$BK$5,$Z34&gt;=$BK$6,$BD34&gt;=$BK$7,$BE34&lt;=$BK$8),1,0))</f>
      </c>
      <c r="BH34">
        <f>IF($C34="","",IF($BG34=1,"○ゲート通過",IF($BK$10&lt;&gt;1,"― この方向は停止中",IF($BA34&gt;$BK$2,"×値動きが荒い",IF($BB34&gt;$BK$3,"×レンジが広い",IF($BC34&gt;$BK$4,"×窓を開けて上昇",IF($Z34&gt;$BK$5,"×前日に急騰",IF($Z34&lt;$BK$6,"×前日に急落",IF($BD34&lt;$BK$7,"×高値から離れすぎ",IF($BE34&gt;$BK$8,"×当日の値幅が大きい","×")))))))))</f>
      </c>
    </row>
    <row r="35" spans="1:60"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IF(AND(E35&lt;&gt;"",K35&lt;&gt;"",K35&lt;&gt;0),(E35-K35)/K35*100,"")</f>
        <v>-7.687765706188002</v>
      </c>
      <c r="M35" s="166">
        <f>IF(C35&lt;&gt;"",IFERROR(AVERAGE(出来高!E52:I52),""),"")</f>
        <v>4208460</v>
      </c>
      <c r="N35" s="166">
        <f>IF(C35&lt;&gt;"",IFERROR(AVERAGE(出来高!E52:AC52),""),"")</f>
        <v>5066816</v>
      </c>
      <c r="O35" s="168">
        <f>IF(AND(J35&lt;&gt;"",M35&lt;&gt;"",M35&lt;&gt;0),J35/M35,"")</f>
        <v>0.85777220170798818</v>
      </c>
      <c r="P35" s="163" t="str">
        <f>IF(O35="","",IF(O35&gt;=2,"急増↑↑",IF(O35&gt;=1.5,"増加↑",IF(O35&gt;=1,"普通→","減少↓"))))</f>
        <v>減少↓</v>
      </c>
      <c r="Q35" s="163" t="str">
        <f>IF(E35="","",IF(AND(E35&gt;G35,O35&gt;=1.5),"買い▲",IF(E35&lt;G35,"様子見▼","中立→")))</f>
        <v>中立→</v>
      </c>
      <c r="R35" s="166">
        <f>IF(E35&lt;&gt;"",ROUND(E35*1.08,0),"")</f>
        <v>8442</v>
      </c>
      <c r="S35" s="166">
        <f>IF(E35&lt;&gt;"",ROUND(E35*0.96,0),"")</f>
        <v>7504</v>
      </c>
      <c r="T35" s="163">
        <f>IF(C35="","",IFERROR(IF(O35&gt;=2,3,IF(O35&gt;=1.5,2,IF(O35&gt;=1,1,0)))+IF(E35&gt;G35,1,0)+IF(L35&gt;=-5,1,0)+IF(Q35="買い▲",2,0)+IF(W35&lt;=30,3,IF(W35&lt;=40,2,IF(AND(W35&gt;=40,W35&lt;=60),1,0)))+IF(X35&gt;0,1,0)+IF(V35="年初来高値更新●",3,IF(V35="高値圏",2,0))+IF(AD35="パーフェクト▲",3,IF(AD35="上昇トレンド▲",2,0))+IF(AE35="25日線押し目●",2,IF(AE35="5日線押し目○",1,0))+IF(P35="急増↑↑",2,IF(P35="増加↑",1,0))+N(AI35),0))</f>
        <v>9</v>
      </c>
      <c r="U35" s="163" t="str">
        <f>IF(T35="","",IF(AND(T35&gt;=3,O35&gt;=1.5),"有効",IF(T35&gt;=3,"要確認","除外")))</f>
        <v>要確認</v>
      </c>
      <c r="V35" s="163" t="str">
        <f>IF(AND(H35&lt;&gt;"",K35&lt;&gt;""),IF(H35&gt;=K35,"年初来高値更新●",IF(H35&gt;=K35*0.95,"高値圏","通常")),"")</f>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IF(AND(E35&lt;&gt;"",G35&lt;&gt;"",G35&lt;&gt;0),(E35-G35)/G35*100,"")</f>
        <v>0.96874192715060703</v>
      </c>
      <c r="AA35" s="163" t="str">
        <f>IF(OR(C35="",E35="",E35=0),"",IF(E35&gt;G35,"上昇▲",IF(E35&lt;G35,"下落▼","横ばい→")))</f>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IF(OR(C35="",AB35="",AC35=""),"",IF(AND(E35&gt;AB35,AB35&gt;AC35),"パーフェクト▲",IF(E35&gt;AC35,"上昇トレンド▲",IF(AND(E35&lt;AB35,AB35&lt;AC35),"下降トレンド▼","もみ合い→"))))</f>
        <v>パーフェクト▲</v>
      </c>
      <c r="AE35" s="406" t="str">
        <f>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IFERROR((終値!$E$5-INDEX(終値!$E$5:$IT$5,1,$AL$2))/INDEX(終値!$E$5:$IT$5,1,$AL$2)*100,"")</f>
        <v>1.0179378228534113</v>
      </c>
      <c r="AH35" s="366">
        <f>IF(OR(AF35="",AG35=""),"",AF35-AG35)</f>
        <v>8.8948855742219539</v>
      </c>
      <c r="AI35" s="364">
        <f>IF(AH35="","",IF(AH35&gt;5,3,IF(AH35&gt;0,1,IF(AH35&gt;-3,-1,-2))))</f>
        <v>3</v>
      </c>
      <c r="BA35">
        <f>IFERROR((SUM(OFFSET(高値!$E$6,IFERROR(MATCH($C35,銘柄管理!$B$6:$B$305,0),MATCH(TEXT($C35,"0"),銘柄管理!$B$6:$B$305,0))-1,0,1,14))-SUM(OFFSET(安値!$E$6,IFERROR(MATCH($C35,銘柄管理!$B$6:$B$305,0),MATCH(TEXT($C35,"0"),銘柄管理!$B$6:$B$305,0))-1,0,1,14)))/SUM(OFFSET(終値!$E$6,IFERROR(MATCH($C35,銘柄管理!$B$6:$B$305,0),MATCH(TEXT($C35,"0"),銘柄管理!$B$6:$B$305,0))-1,0,1,14))*100,"")</f>
      </c>
      <c r="BB35">
        <f>IFERROR((MAX(OFFSET(高値!$E$6,IFERROR(MATCH($C35,銘柄管理!$B$6:$B$305,0),MATCH(TEXT($C35,"0"),銘柄管理!$B$6:$B$305,0))-1,0,1,25))-MIN(OFFSET(安値!$E$6,IFERROR(MATCH($C35,銘柄管理!$B$6:$B$305,0),MATCH(TEXT($C35,"0"),銘柄管理!$B$6:$B$305,0))-1,0,1,25)))/$E35*100,"")</f>
      </c>
      <c r="BC35">
        <f>IFERROR(($F35-$G35)/$G35*100,"")</f>
      </c>
      <c r="BD35">
        <f>IFERROR(($E35-MAX(OFFSET(高値!$E$6,IFERROR(MATCH($C35,銘柄管理!$B$6:$B$305,0),MATCH(TEXT($C35,"0"),銘柄管理!$B$6:$B$305,0))-1,0,1,25)))/MAX(OFFSET(高値!$E$6,IFERROR(MATCH($C35,銘柄管理!$B$6:$B$305,0),MATCH(TEXT($C35,"0"),銘柄管理!$B$6:$B$305,0))-1,0,1,25))*100,"")</f>
      </c>
      <c r="BE35">
        <f>IFERROR(($H35-$I35)/$F35*100,"")</f>
      </c>
      <c r="BF35">
        <f>IFERROR(-(($BA35-AVERAGE($BA$3:$BA$206))/STDEV($BA$3:$BA$206))-(($BE35-AVERAGE($BE$3:$BE$206))/STDEV($BE$3:$BE$206))-(($BB35-AVERAGE($BB$3:$BB$206))/STDEV($BB$3:$BB$206))-(($Z35-AVERAGE($Z$3:$Z$206))/STDEV($Z$3:$Z$206))-(($BC35-AVERAGE($BC$3:$BC$206))/STDEV($BC$3:$BC$206)),"")</f>
      </c>
      <c r="BG35">
        <f>IF(OR($C35="",$C35="TOPX",$BA35="",$BF35=""),0,IF(AND($BK$10=1,$BA35&lt;=$BK$2,$BB35&lt;=$BK$3,$BC35&lt;=$BK$4,$Z35&lt;=$BK$5,$Z35&gt;=$BK$6,$BD35&gt;=$BK$7,$BE35&lt;=$BK$8),1,0))</f>
      </c>
      <c r="BH35">
        <f>IF($C35="","",IF($BG35=1,"○ゲート通過",IF($BK$10&lt;&gt;1,"― この方向は停止中",IF($BA35&gt;$BK$2,"×値動きが荒い",IF($BB35&gt;$BK$3,"×レンジが広い",IF($BC35&gt;$BK$4,"×窓を開けて上昇",IF($Z35&gt;$BK$5,"×前日に急騰",IF($Z35&lt;$BK$6,"×前日に急落",IF($BD35&lt;$BK$7,"×高値から離れすぎ",IF($BE35&gt;$BK$8,"×当日の値幅が大きい","×")))))))))</f>
      </c>
    </row>
    <row r="36" spans="1:60"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IF(AND(E36&lt;&gt;"",K36&lt;&gt;"",K36&lt;&gt;0),(E36-K36)/K36*100,"")</f>
        <v>-1.9397651863195506</v>
      </c>
      <c r="M36" s="166">
        <f>IF(C36&lt;&gt;"",IFERROR(AVERAGE(出来高!E43:I43),""),"")</f>
        <v>8316500</v>
      </c>
      <c r="N36" s="166">
        <f>IF(C36&lt;&gt;"",IFERROR(AVERAGE(出来高!E43:AC43),""),"")</f>
        <v>9897258.333333334</v>
      </c>
      <c r="O36" s="168">
        <f>IF(AND(J36&lt;&gt;"",M36&lt;&gt;"",M36&lt;&gt;0),J36/M36,"")</f>
        <v>0.90636686105933983</v>
      </c>
      <c r="P36" s="163" t="str">
        <f>IF(O36="","",IF(O36&gt;=2,"急増↑↑",IF(O36&gt;=1.5,"増加↑",IF(O36&gt;=1,"普通→","減少↓"))))</f>
        <v>減少↓</v>
      </c>
      <c r="Q36" s="163" t="str">
        <f>IF(E36="","",IF(AND(E36&gt;G36,O36&gt;=1.5),"買い▲",IF(E36&lt;G36,"様子見▼","中立→")))</f>
        <v>中立→</v>
      </c>
      <c r="R36" s="166">
        <f>IF(E36&lt;&gt;"",ROUND(E36*1.08,0),"")</f>
        <v>2075</v>
      </c>
      <c r="S36" s="166">
        <f>IF(E36&lt;&gt;"",ROUND(E36*0.96,0),"")</f>
        <v>1844</v>
      </c>
      <c r="T36" s="163">
        <f>IF(C36="","",IFERROR(IF(O36&gt;=2,3,IF(O36&gt;=1.5,2,IF(O36&gt;=1,1,0)))+IF(E36&gt;G36,1,0)+IF(L36&gt;=-5,1,0)+IF(Q36="買い▲",2,0)+IF(W36&lt;=30,3,IF(W36&lt;=40,2,IF(AND(W36&gt;=40,W36&lt;=60),1,0)))+IF(X36&gt;0,1,0)+IF(V36="年初来高値更新●",3,IF(V36="高値圏",2,0))+IF(AD36="パーフェクト▲",3,IF(AD36="上昇トレンド▲",2,0))+IF(AE36="25日線押し目●",2,IF(AE36="5日線押し目○",1,0))+IF(P36="急増↑↑",2,IF(P36="増加↑",1,0))+N(AI36),0))</f>
        <v>9</v>
      </c>
      <c r="U36" s="163" t="str">
        <f>IF(T36="","",IF(AND(T36&gt;=3,O36&gt;=1.5),"有効",IF(T36&gt;=3,"要確認","除外")))</f>
        <v>要確認</v>
      </c>
      <c r="V36" s="163" t="str">
        <f>IF(AND(H36&lt;&gt;"",K36&lt;&gt;""),IF(H36&gt;=K36,"年初来高値更新●",IF(H36&gt;=K36*0.95,"高値圏","通常")),"")</f>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IF(AND(E36&lt;&gt;"",G36&lt;&gt;"",G36&lt;&gt;0),(E36-G36)/G36*100,"")</f>
        <v>0.39195192056441075</v>
      </c>
      <c r="AA36" s="163" t="str">
        <f>IF(OR(C36="",E36="",E36=0),"",IF(E36&gt;G36,"上昇▲",IF(E36&lt;G36,"下落▼","横ばい→")))</f>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IF(OR(C36="",AB36="",AC36=""),"",IF(AND(E36&gt;AB36,AB36&gt;AC36),"パーフェクト▲",IF(E36&gt;AC36,"上昇トレンド▲",IF(AND(E36&lt;AB36,AB36&lt;AC36),"下降トレンド▼","もみ合い→"))))</f>
        <v>もみ合い→</v>
      </c>
      <c r="AE36" s="404" t="str">
        <f>IF(OR(C36="",AB36="",AC36=""),"",IF(AND(ABS(E36-AC36)/AC36&lt;=0.02,E36&gt;AC36),"25日押し目★",IF(AND(ABS(E36-AB36)/AB36&lt;=0.01,E36&gt;AB36),"5日押し目○","なし")))</f>
        <v>なし</v>
      </c>
      <c r="AF36" s="365">
        <f t="array" ref="AF36">IF(C36="","",IFERROR((INDEX(終値!$E:$E,MATCH(TEXT(C36,"0"),終値!$A:$A,0))-INDEX(終値!$E:$CZ,MATCH(TEXT(C36,"0"),終値!$A:$A,0),$AL$2))/INDEX(終値!$E:$CZ,MATCH(TEXT(C36,"0"),終値!$A:$A,0),$AL$2)*100,""))</f>
        <v>7.2585147962032384</v>
      </c>
      <c r="AG36" s="365">
        <f t="array" ref="AG36">IFERROR((終値!$E$5-INDEX(終値!$E$5:$IT$5,1,$AL$2))/INDEX(終値!$E$5:$IT$5,1,$AL$2)*100,"")</f>
        <v>1.0179378228534113</v>
      </c>
      <c r="AH36" s="366">
        <f>IF(OR(AF36="",AG36=""),"",AF36-AG36)</f>
        <v>6.2405769733498273</v>
      </c>
      <c r="AI36" s="364">
        <f>IF(AH36="","",IF(AH36&gt;5,3,IF(AH36&gt;0,1,IF(AH36&gt;-3,-1,-2))))</f>
        <v>3</v>
      </c>
      <c r="BA36">
        <f>IFERROR((SUM(OFFSET(高値!$E$6,IFERROR(MATCH($C36,銘柄管理!$B$6:$B$305,0),MATCH(TEXT($C36,"0"),銘柄管理!$B$6:$B$305,0))-1,0,1,14))-SUM(OFFSET(安値!$E$6,IFERROR(MATCH($C36,銘柄管理!$B$6:$B$305,0),MATCH(TEXT($C36,"0"),銘柄管理!$B$6:$B$305,0))-1,0,1,14)))/SUM(OFFSET(終値!$E$6,IFERROR(MATCH($C36,銘柄管理!$B$6:$B$305,0),MATCH(TEXT($C36,"0"),銘柄管理!$B$6:$B$305,0))-1,0,1,14))*100,"")</f>
      </c>
      <c r="BB36">
        <f>IFERROR((MAX(OFFSET(高値!$E$6,IFERROR(MATCH($C36,銘柄管理!$B$6:$B$305,0),MATCH(TEXT($C36,"0"),銘柄管理!$B$6:$B$305,0))-1,0,1,25))-MIN(OFFSET(安値!$E$6,IFERROR(MATCH($C36,銘柄管理!$B$6:$B$305,0),MATCH(TEXT($C36,"0"),銘柄管理!$B$6:$B$305,0))-1,0,1,25)))/$E36*100,"")</f>
      </c>
      <c r="BC36">
        <f>IFERROR(($F36-$G36)/$G36*100,"")</f>
      </c>
      <c r="BD36">
        <f>IFERROR(($E36-MAX(OFFSET(高値!$E$6,IFERROR(MATCH($C36,銘柄管理!$B$6:$B$305,0),MATCH(TEXT($C36,"0"),銘柄管理!$B$6:$B$305,0))-1,0,1,25)))/MAX(OFFSET(高値!$E$6,IFERROR(MATCH($C36,銘柄管理!$B$6:$B$305,0),MATCH(TEXT($C36,"0"),銘柄管理!$B$6:$B$305,0))-1,0,1,25))*100,"")</f>
      </c>
      <c r="BE36">
        <f>IFERROR(($H36-$I36)/$F36*100,"")</f>
      </c>
      <c r="BF36">
        <f>IFERROR(-(($BA36-AVERAGE($BA$3:$BA$206))/STDEV($BA$3:$BA$206))-(($BE36-AVERAGE($BE$3:$BE$206))/STDEV($BE$3:$BE$206))-(($BB36-AVERAGE($BB$3:$BB$206))/STDEV($BB$3:$BB$206))-(($Z36-AVERAGE($Z$3:$Z$206))/STDEV($Z$3:$Z$206))-(($BC36-AVERAGE($BC$3:$BC$206))/STDEV($BC$3:$BC$206)),"")</f>
      </c>
      <c r="BG36">
        <f>IF(OR($C36="",$C36="TOPX",$BA36="",$BF36=""),0,IF(AND($BK$10=1,$BA36&lt;=$BK$2,$BB36&lt;=$BK$3,$BC36&lt;=$BK$4,$Z36&lt;=$BK$5,$Z36&gt;=$BK$6,$BD36&gt;=$BK$7,$BE36&lt;=$BK$8),1,0))</f>
      </c>
      <c r="BH36">
        <f>IF($C36="","",IF($BG36=1,"○ゲート通過",IF($BK$10&lt;&gt;1,"― この方向は停止中",IF($BA36&gt;$BK$2,"×値動きが荒い",IF($BB36&gt;$BK$3,"×レンジが広い",IF($BC36&gt;$BK$4,"×窓を開けて上昇",IF($Z36&gt;$BK$5,"×前日に急騰",IF($Z36&lt;$BK$6,"×前日に急落",IF($BD36&lt;$BK$7,"×高値から離れすぎ",IF($BE36&gt;$BK$8,"×当日の値幅が大きい","×")))))))))</f>
      </c>
    </row>
    <row r="37" spans="1:60"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IF(AND(E37&lt;&gt;"",K37&lt;&gt;"",K37&lt;&gt;0),(E37-K37)/K37*100,"")</f>
        <v>-4.849201655824956</v>
      </c>
      <c r="M37" s="166">
        <f>IF(C37&lt;&gt;"",IFERROR(AVERAGE(出来高!E22:I22),""),"")</f>
        <v>4114620</v>
      </c>
      <c r="N37" s="166">
        <f>IF(C37&lt;&gt;"",IFERROR(AVERAGE(出来高!E22:AC22),""),"")</f>
        <v>4694064</v>
      </c>
      <c r="O37" s="168">
        <f>IF(AND(J37&lt;&gt;"",M37&lt;&gt;"",M37&lt;&gt;0),J37/M37,"")</f>
        <v>0.79803238209117733</v>
      </c>
      <c r="P37" s="163" t="str">
        <f>IF(O37="","",IF(O37&gt;=2,"急増↑↑",IF(O37&gt;=1.5,"増加↑",IF(O37&gt;=1,"普通→","減少↓"))))</f>
        <v>減少↓</v>
      </c>
      <c r="Q37" s="163" t="str">
        <f>IF(E37="","",IF(AND(E37&gt;G37,O37&gt;=1.5),"買い▲",IF(E37&lt;G37,"様子見▼","中立→")))</f>
        <v>中立→</v>
      </c>
      <c r="R37" s="166">
        <f>IF(E37&lt;&gt;"",ROUND(E37*1.08,0),"")</f>
        <v>5213</v>
      </c>
      <c r="S37" s="166">
        <f>IF(E37&lt;&gt;"",ROUND(E37*0.96,0),"")</f>
        <v>4634</v>
      </c>
      <c r="T37" s="163">
        <f>IF(C37="","",IFERROR(IF(O37&gt;=2,3,IF(O37&gt;=1.5,2,IF(O37&gt;=1,1,0)))+IF(E37&gt;G37,1,0)+IF(L37&gt;=-5,1,0)+IF(Q37="買い▲",2,0)+IF(W37&lt;=30,3,IF(W37&lt;=40,2,IF(AND(W37&gt;=40,W37&lt;=60),1,0)))+IF(X37&gt;0,1,0)+IF(V37="年初来高値更新●",3,IF(V37="高値圏",2,0))+IF(AD37="パーフェクト▲",3,IF(AD37="上昇トレンド▲",2,0))+IF(AE37="25日線押し目●",2,IF(AE37="5日線押し目○",1,0))+IF(P37="急増↑↑",2,IF(P37="増加↑",1,0))+N(AI37),0))</f>
        <v>11</v>
      </c>
      <c r="U37" s="163" t="str">
        <f>IF(T37="","",IF(AND(T37&gt;=3,O37&gt;=1.5),"有効",IF(T37&gt;=3,"要確認","除外")))</f>
        <v>要確認</v>
      </c>
      <c r="V37" s="163" t="str">
        <f>IF(AND(H37&lt;&gt;"",K37&lt;&gt;""),IF(H37&gt;=K37,"年初来高値更新●",IF(H37&gt;=K37*0.95,"高値圏","通常")),"")</f>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IF(AND(E37&lt;&gt;"",G37&lt;&gt;"",G37&lt;&gt;0),(E37-G37)/G37*100,"")</f>
        <v>1.0043942247332078</v>
      </c>
      <c r="AA37" s="163" t="str">
        <f>IF(OR(C37="",E37="",E37=0),"",IF(E37&gt;G37,"上昇▲",IF(E37&lt;G37,"下落▼","横ばい→")))</f>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IF(OR(C37="",AB37="",AC37=""),"",IF(AND(E37&gt;AB37,AB37&gt;AC37),"パーフェクト▲",IF(E37&gt;AC37,"上昇トレンド▲",IF(AND(E37&lt;AB37,AB37&lt;AC37),"下降トレンド▼","もみ合い→"))))</f>
        <v>パーフェクト▲</v>
      </c>
      <c r="AE37" s="406" t="str">
        <f>IF(OR(C37="",AB37="",AC37=""),"",IF(AND(ABS(E37-AC37)/AC37&lt;=0.02,E37&gt;AC37),"25日押し目★",IF(AND(ABS(E37-AB37)/AB37&lt;=0.01,E37&gt;AB37),"5日押し目○","なし")))</f>
        <v>なし</v>
      </c>
      <c r="AF37" s="365">
        <f t="array" ref="AF37">IF(C37="","",IFERROR((INDEX(終値!$E:$E,MATCH(TEXT(C37,"0"),終値!$A:$A,0))-INDEX(終値!$E:$CZ,MATCH(TEXT(C37,"0"),終値!$A:$A,0),$AL$2))/INDEX(終値!$E:$CZ,MATCH(TEXT(C37,"0"),終値!$A:$A,0),$AL$2)*100,""))</f>
        <v>12.754029432375614</v>
      </c>
      <c r="AG37" s="365">
        <f t="array" ref="AG37">IFERROR((終値!$E$5-INDEX(終値!$E$5:$IT$5,1,$AL$2))/INDEX(終値!$E$5:$IT$5,1,$AL$2)*100,"")</f>
        <v>1.0179378228534113</v>
      </c>
      <c r="AH37" s="366">
        <f>IF(OR(AF37="",AG37=""),"",AF37-AG37)</f>
        <v>11.736091609522202</v>
      </c>
      <c r="AI37" s="364">
        <f>IF(AH37="","",IF(AH37&gt;5,3,IF(AH37&gt;0,1,IF(AH37&gt;-3,-1,-2))))</f>
        <v>3</v>
      </c>
      <c r="BA37">
        <f>IFERROR((SUM(OFFSET(高値!$E$6,IFERROR(MATCH($C37,銘柄管理!$B$6:$B$305,0),MATCH(TEXT($C37,"0"),銘柄管理!$B$6:$B$305,0))-1,0,1,14))-SUM(OFFSET(安値!$E$6,IFERROR(MATCH($C37,銘柄管理!$B$6:$B$305,0),MATCH(TEXT($C37,"0"),銘柄管理!$B$6:$B$305,0))-1,0,1,14)))/SUM(OFFSET(終値!$E$6,IFERROR(MATCH($C37,銘柄管理!$B$6:$B$305,0),MATCH(TEXT($C37,"0"),銘柄管理!$B$6:$B$305,0))-1,0,1,14))*100,"")</f>
      </c>
      <c r="BB37">
        <f>IFERROR((MAX(OFFSET(高値!$E$6,IFERROR(MATCH($C37,銘柄管理!$B$6:$B$305,0),MATCH(TEXT($C37,"0"),銘柄管理!$B$6:$B$305,0))-1,0,1,25))-MIN(OFFSET(安値!$E$6,IFERROR(MATCH($C37,銘柄管理!$B$6:$B$305,0),MATCH(TEXT($C37,"0"),銘柄管理!$B$6:$B$305,0))-1,0,1,25)))/$E37*100,"")</f>
      </c>
      <c r="BC37">
        <f>IFERROR(($F37-$G37)/$G37*100,"")</f>
      </c>
      <c r="BD37">
        <f>IFERROR(($E37-MAX(OFFSET(高値!$E$6,IFERROR(MATCH($C37,銘柄管理!$B$6:$B$305,0),MATCH(TEXT($C37,"0"),銘柄管理!$B$6:$B$305,0))-1,0,1,25)))/MAX(OFFSET(高値!$E$6,IFERROR(MATCH($C37,銘柄管理!$B$6:$B$305,0),MATCH(TEXT($C37,"0"),銘柄管理!$B$6:$B$305,0))-1,0,1,25))*100,"")</f>
      </c>
      <c r="BE37">
        <f>IFERROR(($H37-$I37)/$F37*100,"")</f>
      </c>
      <c r="BF37">
        <f>IFERROR(-(($BA37-AVERAGE($BA$3:$BA$206))/STDEV($BA$3:$BA$206))-(($BE37-AVERAGE($BE$3:$BE$206))/STDEV($BE$3:$BE$206))-(($BB37-AVERAGE($BB$3:$BB$206))/STDEV($BB$3:$BB$206))-(($Z37-AVERAGE($Z$3:$Z$206))/STDEV($Z$3:$Z$206))-(($BC37-AVERAGE($BC$3:$BC$206))/STDEV($BC$3:$BC$206)),"")</f>
      </c>
      <c r="BG37">
        <f>IF(OR($C37="",$C37="TOPX",$BA37="",$BF37=""),0,IF(AND($BK$10=1,$BA37&lt;=$BK$2,$BB37&lt;=$BK$3,$BC37&lt;=$BK$4,$Z37&lt;=$BK$5,$Z37&gt;=$BK$6,$BD37&gt;=$BK$7,$BE37&lt;=$BK$8),1,0))</f>
      </c>
      <c r="BH37">
        <f>IF($C37="","",IF($BG37=1,"○ゲート通過",IF($BK$10&lt;&gt;1,"― この方向は停止中",IF($BA37&gt;$BK$2,"×値動きが荒い",IF($BB37&gt;$BK$3,"×レンジが広い",IF($BC37&gt;$BK$4,"×窓を開けて上昇",IF($Z37&gt;$BK$5,"×前日に急騰",IF($Z37&lt;$BK$6,"×前日に急落",IF($BD37&lt;$BK$7,"×高値から離れすぎ",IF($BE37&gt;$BK$8,"×当日の値幅が大きい","×")))))))))</f>
      </c>
    </row>
    <row r="38" spans="1:60"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IF(AND(E38&lt;&gt;"",K38&lt;&gt;"",K38&lt;&gt;0),(E38-K38)/K38*100,"")</f>
        <v>-1.2686567164179103</v>
      </c>
      <c r="M38" s="166">
        <f>IF(C38&lt;&gt;"",IFERROR(AVERAGE(出来高!E164:I164),""),"")</f>
        <v>128980</v>
      </c>
      <c r="N38" s="166">
        <f>IF(C38&lt;&gt;"",IFERROR(AVERAGE(出来高!E164:AC164),""),"")</f>
        <v>95876</v>
      </c>
      <c r="O38" s="168">
        <f>IF(AND(J38&lt;&gt;"",M38&lt;&gt;"",M38&lt;&gt;0),J38/M38,"")</f>
        <v>0.37680260505504731</v>
      </c>
      <c r="P38" s="163" t="str">
        <f>IF(O38="","",IF(O38&gt;=2,"急増↑↑",IF(O38&gt;=1.5,"増加↑",IF(O38&gt;=1,"普通→","減少↓"))))</f>
        <v>減少↓</v>
      </c>
      <c r="Q38" s="163" t="str">
        <f>IF(E38="","",IF(AND(E38&gt;G38,O38&gt;=1.5),"買い▲",IF(E38&lt;G38,"様子見▼","中立→")))</f>
        <v>様子見▼</v>
      </c>
      <c r="R38" s="166">
        <f>IF(E38&lt;&gt;"",ROUND(E38*1.08,0),"")</f>
        <v>1429</v>
      </c>
      <c r="S38" s="166">
        <f>IF(E38&lt;&gt;"",ROUND(E38*0.96,0),"")</f>
        <v>1270</v>
      </c>
      <c r="T38" s="163">
        <f>IF(C38="","",IFERROR(IF(O38&gt;=2,3,IF(O38&gt;=1.5,2,IF(O38&gt;=1,1,0)))+IF(E38&gt;G38,1,0)+IF(L38&gt;=-5,1,0)+IF(Q38="買い▲",2,0)+IF(W38&lt;=30,3,IF(W38&lt;=40,2,IF(AND(W38&gt;=40,W38&lt;=60),1,0)))+IF(X38&gt;0,1,0)+IF(V38="年初来高値更新●",3,IF(V38="高値圏",2,0))+IF(AD38="パーフェクト▲",3,IF(AD38="上昇トレンド▲",2,0))+IF(AE38="25日線押し目●",2,IF(AE38="5日線押し目○",1,0))+IF(P38="急増↑↑",2,IF(P38="増加↑",1,0))+N(AI38),0))</f>
        <v>9</v>
      </c>
      <c r="U38" s="163" t="str">
        <f>IF(T38="","",IF(AND(T38&gt;=3,O38&gt;=1.5),"有効",IF(T38&gt;=3,"要確認","除外")))</f>
        <v>要確認</v>
      </c>
      <c r="V38" s="163" t="str">
        <f>IF(AND(H38&lt;&gt;"",K38&lt;&gt;""),IF(H38&gt;=K38,"年初来高値更新●",IF(H38&gt;=K38*0.95,"高値圏","通常")),"")</f>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IF(AND(E38&lt;&gt;"",G38&lt;&gt;"",G38&lt;&gt;0),(E38-G38)/G38*100,"")</f>
        <v>-0.45146726862302478</v>
      </c>
      <c r="AA38" s="163" t="str">
        <f>IF(OR(C38="",E38="",E38=0),"",IF(E38&gt;G38,"上昇▲",IF(E38&lt;G38,"下落▼","横ばい→")))</f>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IF(OR(C38="",AB38="",AC38=""),"",IF(AND(E38&gt;AB38,AB38&gt;AC38),"パーフェクト▲",IF(E38&gt;AC38,"上昇トレンド▲",IF(AND(E38&lt;AB38,AB38&lt;AC38),"下降トレンド▼","もみ合い→"))))</f>
        <v>下降トレンド▼</v>
      </c>
      <c r="AE38" s="404" t="str">
        <f>IF(OR(C38="",AB38="",AC38=""),"",IF(AND(ABS(E38-AC38)/AC38&lt;=0.02,E38&gt;AC38),"25日押し目★",IF(AND(ABS(E38-AB38)/AB38&lt;=0.01,E38&gt;AB38),"5日押し目○","なし")))</f>
        <v>なし</v>
      </c>
      <c r="AF38" s="365">
        <f t="array" ref="AF38">IF(C38="","",IFERROR((INDEX(終値!$E:$E,MATCH(TEXT(C38,"0"),終値!$A:$A,0))-INDEX(終値!$E:$CZ,MATCH(TEXT(C38,"0"),終値!$A:$A,0),$AL$2))/INDEX(終値!$E:$CZ,MATCH(TEXT(C38,"0"),終値!$A:$A,0),$AL$2)*100,""))</f>
        <v>9.5198675496688736</v>
      </c>
      <c r="AG38" s="365">
        <f t="array" ref="AG38">IFERROR((終値!$E$5-INDEX(終値!$E$5:$IT$5,1,$AL$2))/INDEX(終値!$E$5:$IT$5,1,$AL$2)*100,"")</f>
        <v>1.0179378228534113</v>
      </c>
      <c r="AH38" s="366">
        <f>IF(OR(AF38="",AG38=""),"",AF38-AG38)</f>
        <v>8.5019297268154617</v>
      </c>
      <c r="AI38" s="364">
        <f>IF(AH38="","",IF(AH38&gt;5,3,IF(AH38&gt;0,1,IF(AH38&gt;-3,-1,-2))))</f>
        <v>3</v>
      </c>
      <c r="BA38">
        <f>IFERROR((SUM(OFFSET(高値!$E$6,IFERROR(MATCH($C38,銘柄管理!$B$6:$B$305,0),MATCH(TEXT($C38,"0"),銘柄管理!$B$6:$B$305,0))-1,0,1,14))-SUM(OFFSET(安値!$E$6,IFERROR(MATCH($C38,銘柄管理!$B$6:$B$305,0),MATCH(TEXT($C38,"0"),銘柄管理!$B$6:$B$305,0))-1,0,1,14)))/SUM(OFFSET(終値!$E$6,IFERROR(MATCH($C38,銘柄管理!$B$6:$B$305,0),MATCH(TEXT($C38,"0"),銘柄管理!$B$6:$B$305,0))-1,0,1,14))*100,"")</f>
      </c>
      <c r="BB38">
        <f>IFERROR((MAX(OFFSET(高値!$E$6,IFERROR(MATCH($C38,銘柄管理!$B$6:$B$305,0),MATCH(TEXT($C38,"0"),銘柄管理!$B$6:$B$305,0))-1,0,1,25))-MIN(OFFSET(安値!$E$6,IFERROR(MATCH($C38,銘柄管理!$B$6:$B$305,0),MATCH(TEXT($C38,"0"),銘柄管理!$B$6:$B$305,0))-1,0,1,25)))/$E38*100,"")</f>
      </c>
      <c r="BC38">
        <f>IFERROR(($F38-$G38)/$G38*100,"")</f>
      </c>
      <c r="BD38">
        <f>IFERROR(($E38-MAX(OFFSET(高値!$E$6,IFERROR(MATCH($C38,銘柄管理!$B$6:$B$305,0),MATCH(TEXT($C38,"0"),銘柄管理!$B$6:$B$305,0))-1,0,1,25)))/MAX(OFFSET(高値!$E$6,IFERROR(MATCH($C38,銘柄管理!$B$6:$B$305,0),MATCH(TEXT($C38,"0"),銘柄管理!$B$6:$B$305,0))-1,0,1,25))*100,"")</f>
      </c>
      <c r="BE38">
        <f>IFERROR(($H38-$I38)/$F38*100,"")</f>
      </c>
      <c r="BF38">
        <f>IFERROR(-(($BA38-AVERAGE($BA$3:$BA$206))/STDEV($BA$3:$BA$206))-(($BE38-AVERAGE($BE$3:$BE$206))/STDEV($BE$3:$BE$206))-(($BB38-AVERAGE($BB$3:$BB$206))/STDEV($BB$3:$BB$206))-(($Z38-AVERAGE($Z$3:$Z$206))/STDEV($Z$3:$Z$206))-(($BC38-AVERAGE($BC$3:$BC$206))/STDEV($BC$3:$BC$206)),"")</f>
      </c>
      <c r="BG38">
        <f>IF(OR($C38="",$C38="TOPX",$BA38="",$BF38=""),0,IF(AND($BK$10=1,$BA38&lt;=$BK$2,$BB38&lt;=$BK$3,$BC38&lt;=$BK$4,$Z38&lt;=$BK$5,$Z38&gt;=$BK$6,$BD38&gt;=$BK$7,$BE38&lt;=$BK$8),1,0))</f>
      </c>
      <c r="BH38">
        <f>IF($C38="","",IF($BG38=1,"○ゲート通過",IF($BK$10&lt;&gt;1,"― この方向は停止中",IF($BA38&gt;$BK$2,"×値動きが荒い",IF($BB38&gt;$BK$3,"×レンジが広い",IF($BC38&gt;$BK$4,"×窓を開けて上昇",IF($Z38&gt;$BK$5,"×前日に急騰",IF($Z38&lt;$BK$6,"×前日に急落",IF($BD38&lt;$BK$7,"×高値から離れすぎ",IF($BE38&gt;$BK$8,"×当日の値幅が大きい","×")))))))))</f>
      </c>
    </row>
    <row r="39" spans="1:60"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IF(AND(E39&lt;&gt;"",K39&lt;&gt;"",K39&lt;&gt;0),(E39-K39)/K39*100,"")</f>
        <v>-5.6117631188452721</v>
      </c>
      <c r="M39" s="166">
        <f>IF(C39&lt;&gt;"",IFERROR(AVERAGE(出来高!E54:I54),""),"")</f>
        <v>2527720</v>
      </c>
      <c r="N39" s="166">
        <f>IF(C39&lt;&gt;"",IFERROR(AVERAGE(出来高!E54:AC54),""),"")</f>
        <v>2598076</v>
      </c>
      <c r="O39" s="168">
        <f>IF(AND(J39&lt;&gt;"",M39&lt;&gt;"",M39&lt;&gt;0),J39/M39,"")</f>
        <v>0.84368521829949517</v>
      </c>
      <c r="P39" s="163" t="str">
        <f>IF(O39="","",IF(O39&gt;=2,"急増↑↑",IF(O39&gt;=1.5,"増加↑",IF(O39&gt;=1,"普通→","減少↓"))))</f>
        <v>減少↓</v>
      </c>
      <c r="Q39" s="163" t="str">
        <f>IF(E39="","",IF(AND(E39&gt;G39,O39&gt;=1.5),"買い▲",IF(E39&lt;G39,"様子見▼","中立→")))</f>
        <v>中立→</v>
      </c>
      <c r="R39" s="166">
        <f>IF(E39&lt;&gt;"",ROUND(E39*1.08,0),"")</f>
        <v>7557</v>
      </c>
      <c r="S39" s="166">
        <f>IF(E39&lt;&gt;"",ROUND(E39*0.96,0),"")</f>
        <v>6717</v>
      </c>
      <c r="T39" s="163">
        <f>IF(C39="","",IFERROR(IF(O39&gt;=2,3,IF(O39&gt;=1.5,2,IF(O39&gt;=1,1,0)))+IF(E39&gt;G39,1,0)+IF(L39&gt;=-5,1,0)+IF(Q39="買い▲",2,0)+IF(W39&lt;=30,3,IF(W39&lt;=40,2,IF(AND(W39&gt;=40,W39&lt;=60),1,0)))+IF(X39&gt;0,1,0)+IF(V39="年初来高値更新●",3,IF(V39="高値圏",2,0))+IF(AD39="パーフェクト▲",3,IF(AD39="上昇トレンド▲",2,0))+IF(AE39="25日線押し目●",2,IF(AE39="5日線押し目○",1,0))+IF(P39="急増↑↑",2,IF(P39="増加↑",1,0))+N(AI39),0))</f>
        <v>8</v>
      </c>
      <c r="U39" s="163" t="str">
        <f>IF(T39="","",IF(AND(T39&gt;=3,O39&gt;=1.5),"有効",IF(T39&gt;=3,"要確認","除外")))</f>
        <v>要確認</v>
      </c>
      <c r="V39" s="163" t="str">
        <f>IF(AND(H39&lt;&gt;"",K39&lt;&gt;""),IF(H39&gt;=K39,"年初来高値更新●",IF(H39&gt;=K39*0.95,"高値圏","通常")),"")</f>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IF(AND(E39&lt;&gt;"",G39&lt;&gt;"",G39&lt;&gt;0),(E39-G39)/G39*100,"")</f>
        <v>0.50272910083309397</v>
      </c>
      <c r="AA39" s="163" t="str">
        <f>IF(OR(C39="",E39="",E39=0),"",IF(E39&gt;G39,"上昇▲",IF(E39&lt;G39,"下落▼","横ばい→")))</f>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IF(OR(C39="",AB39="",AC39=""),"",IF(AND(E39&gt;AB39,AB39&gt;AC39),"パーフェクト▲",IF(E39&gt;AC39,"上昇トレンド▲",IF(AND(E39&lt;AB39,AB39&lt;AC39),"下降トレンド▼","もみ合い→"))))</f>
        <v>パーフェクト▲</v>
      </c>
      <c r="AE39" s="406" t="str">
        <f>IF(OR(C39="",AB39="",AC39=""),"",IF(AND(ABS(E39-AC39)/AC39&lt;=0.02,E39&gt;AC39),"25日押し目★",IF(AND(ABS(E39-AB39)/AB39&lt;=0.01,E39&gt;AB39),"5日押し目○","なし")))</f>
        <v>なし</v>
      </c>
      <c r="AF39" s="365">
        <f t="array" ref="AF39">IF(C39="","",IFERROR((INDEX(終値!$E:$E,MATCH(TEXT(C39,"0"),終値!$A:$A,0))-INDEX(終値!$E:$CZ,MATCH(TEXT(C39,"0"),終値!$A:$A,0),$AL$2))/INDEX(終値!$E:$CZ,MATCH(TEXT(C39,"0"),終値!$A:$A,0),$AL$2)*100,""))</f>
        <v>11.952</v>
      </c>
      <c r="AG39" s="365">
        <f t="array" ref="AG39">IFERROR((終値!$E$5-INDEX(終値!$E$5:$IT$5,1,$AL$2))/INDEX(終値!$E$5:$IT$5,1,$AL$2)*100,"")</f>
        <v>1.0179378228534113</v>
      </c>
      <c r="AH39" s="366">
        <f>IF(OR(AF39="",AG39=""),"",AF39-AG39)</f>
        <v>10.934062177146588</v>
      </c>
      <c r="AI39" s="364">
        <f>IF(AH39="","",IF(AH39&gt;5,3,IF(AH39&gt;0,1,IF(AH39&gt;-3,-1,-2))))</f>
        <v>3</v>
      </c>
      <c r="BA39">
        <f>IFERROR((SUM(OFFSET(高値!$E$6,IFERROR(MATCH($C39,銘柄管理!$B$6:$B$305,0),MATCH(TEXT($C39,"0"),銘柄管理!$B$6:$B$305,0))-1,0,1,14))-SUM(OFFSET(安値!$E$6,IFERROR(MATCH($C39,銘柄管理!$B$6:$B$305,0),MATCH(TEXT($C39,"0"),銘柄管理!$B$6:$B$305,0))-1,0,1,14)))/SUM(OFFSET(終値!$E$6,IFERROR(MATCH($C39,銘柄管理!$B$6:$B$305,0),MATCH(TEXT($C39,"0"),銘柄管理!$B$6:$B$305,0))-1,0,1,14))*100,"")</f>
      </c>
      <c r="BB39">
        <f>IFERROR((MAX(OFFSET(高値!$E$6,IFERROR(MATCH($C39,銘柄管理!$B$6:$B$305,0),MATCH(TEXT($C39,"0"),銘柄管理!$B$6:$B$305,0))-1,0,1,25))-MIN(OFFSET(安値!$E$6,IFERROR(MATCH($C39,銘柄管理!$B$6:$B$305,0),MATCH(TEXT($C39,"0"),銘柄管理!$B$6:$B$305,0))-1,0,1,25)))/$E39*100,"")</f>
      </c>
      <c r="BC39">
        <f>IFERROR(($F39-$G39)/$G39*100,"")</f>
      </c>
      <c r="BD39">
        <f>IFERROR(($E39-MAX(OFFSET(高値!$E$6,IFERROR(MATCH($C39,銘柄管理!$B$6:$B$305,0),MATCH(TEXT($C39,"0"),銘柄管理!$B$6:$B$305,0))-1,0,1,25)))/MAX(OFFSET(高値!$E$6,IFERROR(MATCH($C39,銘柄管理!$B$6:$B$305,0),MATCH(TEXT($C39,"0"),銘柄管理!$B$6:$B$305,0))-1,0,1,25))*100,"")</f>
      </c>
      <c r="BE39">
        <f>IFERROR(($H39-$I39)/$F39*100,"")</f>
      </c>
      <c r="BF39">
        <f>IFERROR(-(($BA39-AVERAGE($BA$3:$BA$206))/STDEV($BA$3:$BA$206))-(($BE39-AVERAGE($BE$3:$BE$206))/STDEV($BE$3:$BE$206))-(($BB39-AVERAGE($BB$3:$BB$206))/STDEV($BB$3:$BB$206))-(($Z39-AVERAGE($Z$3:$Z$206))/STDEV($Z$3:$Z$206))-(($BC39-AVERAGE($BC$3:$BC$206))/STDEV($BC$3:$BC$206)),"")</f>
      </c>
      <c r="BG39">
        <f>IF(OR($C39="",$C39="TOPX",$BA39="",$BF39=""),0,IF(AND($BK$10=1,$BA39&lt;=$BK$2,$BB39&lt;=$BK$3,$BC39&lt;=$BK$4,$Z39&lt;=$BK$5,$Z39&gt;=$BK$6,$BD39&gt;=$BK$7,$BE39&lt;=$BK$8),1,0))</f>
      </c>
      <c r="BH39">
        <f>IF($C39="","",IF($BG39=1,"○ゲート通過",IF($BK$10&lt;&gt;1,"― この方向は停止中",IF($BA39&gt;$BK$2,"×値動きが荒い",IF($BB39&gt;$BK$3,"×レンジが広い",IF($BC39&gt;$BK$4,"×窓を開けて上昇",IF($Z39&gt;$BK$5,"×前日に急騰",IF($Z39&lt;$BK$6,"×前日に急落",IF($BD39&lt;$BK$7,"×高値から離れすぎ",IF($BE39&gt;$BK$8,"×当日の値幅が大きい","×")))))))))</f>
      </c>
    </row>
    <row r="40" spans="1:60"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IF(AND(E40&lt;&gt;"",K40&lt;&gt;"",K40&lt;&gt;0),(E40-K40)/K40*100,"")</f>
        <v>-3.6063569682151591</v>
      </c>
      <c r="M40" s="166">
        <f>IF(C40&lt;&gt;"",IFERROR(AVERAGE(出来高!E40:I40),""),"")</f>
        <v>12119640</v>
      </c>
      <c r="N40" s="166">
        <f>IF(C40&lt;&gt;"",IFERROR(AVERAGE(出来高!E40:AC40),""),"")</f>
        <v>11148344</v>
      </c>
      <c r="O40" s="168">
        <f>IF(AND(J40&lt;&gt;"",M40&lt;&gt;"",M40&lt;&gt;0),J40/M40,"")</f>
        <v>0.6971081649289913</v>
      </c>
      <c r="P40" s="163" t="str">
        <f>IF(O40="","",IF(O40&gt;=2,"急増↑↑",IF(O40&gt;=1.5,"増加↑",IF(O40&gt;=1,"普通→","減少↓"))))</f>
        <v>減少↓</v>
      </c>
      <c r="Q40" s="163" t="str">
        <f>IF(E40="","",IF(AND(E40&gt;G40,O40&gt;=1.5),"買い▲",IF(E40&lt;G40,"様子見▼","中立→")))</f>
        <v>中立→</v>
      </c>
      <c r="R40" s="166">
        <f>IF(E40&lt;&gt;"",ROUND(E40*1.08,0),"")</f>
        <v>1703</v>
      </c>
      <c r="S40" s="166">
        <f>IF(E40&lt;&gt;"",ROUND(E40*0.96,0),"")</f>
        <v>1514</v>
      </c>
      <c r="T40" s="163">
        <f>IF(C40="","",IFERROR(IF(O40&gt;=2,3,IF(O40&gt;=1.5,2,IF(O40&gt;=1,1,0)))+IF(E40&gt;G40,1,0)+IF(L40&gt;=-5,1,0)+IF(Q40="買い▲",2,0)+IF(W40&lt;=30,3,IF(W40&lt;=40,2,IF(AND(W40&gt;=40,W40&lt;=60),1,0)))+IF(X40&gt;0,1,0)+IF(V40="年初来高値更新●",3,IF(V40="高値圏",2,0))+IF(AD40="パーフェクト▲",3,IF(AD40="上昇トレンド▲",2,0))+IF(AE40="25日線押し目●",2,IF(AE40="5日線押し目○",1,0))+IF(P40="急増↑↑",2,IF(P40="増加↑",1,0))+N(AI40),0))</f>
        <v>9</v>
      </c>
      <c r="U40" s="163" t="str">
        <f>IF(T40="","",IF(AND(T40&gt;=3,O40&gt;=1.5),"有効",IF(T40&gt;=3,"要確認","除外")))</f>
        <v>要確認</v>
      </c>
      <c r="V40" s="163" t="str">
        <f>IF(AND(H40&lt;&gt;"",K40&lt;&gt;""),IF(H40&gt;=K40,"年初来高値更新●",IF(H40&gt;=K40*0.95,"高値圏","通常")),"")</f>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IF(AND(E40&lt;&gt;"",G40&lt;&gt;"",G40&lt;&gt;0),(E40-G40)/G40*100,"")</f>
        <v>1.1870388193776067</v>
      </c>
      <c r="AA40" s="163" t="str">
        <f>IF(OR(C40="",E40="",E40=0),"",IF(E40&gt;G40,"上昇▲",IF(E40&lt;G40,"下落▼","横ばい→")))</f>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IF(OR(C40="",AB40="",AC40=""),"",IF(AND(E40&gt;AB40,AB40&gt;AC40),"パーフェクト▲",IF(E40&gt;AC40,"上昇トレンド▲",IF(AND(E40&lt;AB40,AB40&lt;AC40),"下降トレンド▼","もみ合い→"))))</f>
        <v>下降トレンド▼</v>
      </c>
      <c r="AE40" s="404" t="str">
        <f>IF(OR(C40="",AB40="",AC40=""),"",IF(AND(ABS(E40-AC40)/AC40&lt;=0.02,E40&gt;AC40),"25日押し目★",IF(AND(ABS(E40-AB40)/AB40&lt;=0.01,E40&gt;AB40),"5日押し目○","なし")))</f>
        <v>なし</v>
      </c>
      <c r="AF40" s="365">
        <f t="array" ref="AF40">IF(C40="","",IFERROR((INDEX(終値!$E:$E,MATCH(TEXT(C40,"0"),終値!$A:$A,0))-INDEX(終値!$E:$CZ,MATCH(TEXT(C40,"0"),終値!$A:$A,0),$AL$2))/INDEX(終値!$E:$CZ,MATCH(TEXT(C40,"0"),終値!$A:$A,0),$AL$2)*100,""))</f>
        <v>9.5519277526919062</v>
      </c>
      <c r="AG40" s="365">
        <f t="array" ref="AG40">IFERROR((終値!$E$5-INDEX(終値!$E$5:$IT$5,1,$AL$2))/INDEX(終値!$E$5:$IT$5,1,$AL$2)*100,"")</f>
        <v>1.0179378228534113</v>
      </c>
      <c r="AH40" s="366">
        <f>IF(OR(AF40="",AG40=""),"",AF40-AG40)</f>
        <v>8.5339899298384942</v>
      </c>
      <c r="AI40" s="364">
        <f>IF(AH40="","",IF(AH40&gt;5,3,IF(AH40&gt;0,1,IF(AH40&gt;-3,-1,-2))))</f>
        <v>3</v>
      </c>
      <c r="BA40">
        <f>IFERROR((SUM(OFFSET(高値!$E$6,IFERROR(MATCH($C40,銘柄管理!$B$6:$B$305,0),MATCH(TEXT($C40,"0"),銘柄管理!$B$6:$B$305,0))-1,0,1,14))-SUM(OFFSET(安値!$E$6,IFERROR(MATCH($C40,銘柄管理!$B$6:$B$305,0),MATCH(TEXT($C40,"0"),銘柄管理!$B$6:$B$305,0))-1,0,1,14)))/SUM(OFFSET(終値!$E$6,IFERROR(MATCH($C40,銘柄管理!$B$6:$B$305,0),MATCH(TEXT($C40,"0"),銘柄管理!$B$6:$B$305,0))-1,0,1,14))*100,"")</f>
      </c>
      <c r="BB40">
        <f>IFERROR((MAX(OFFSET(高値!$E$6,IFERROR(MATCH($C40,銘柄管理!$B$6:$B$305,0),MATCH(TEXT($C40,"0"),銘柄管理!$B$6:$B$305,0))-1,0,1,25))-MIN(OFFSET(安値!$E$6,IFERROR(MATCH($C40,銘柄管理!$B$6:$B$305,0),MATCH(TEXT($C40,"0"),銘柄管理!$B$6:$B$305,0))-1,0,1,25)))/$E40*100,"")</f>
      </c>
      <c r="BC40">
        <f>IFERROR(($F40-$G40)/$G40*100,"")</f>
      </c>
      <c r="BD40">
        <f>IFERROR(($E40-MAX(OFFSET(高値!$E$6,IFERROR(MATCH($C40,銘柄管理!$B$6:$B$305,0),MATCH(TEXT($C40,"0"),銘柄管理!$B$6:$B$305,0))-1,0,1,25)))/MAX(OFFSET(高値!$E$6,IFERROR(MATCH($C40,銘柄管理!$B$6:$B$305,0),MATCH(TEXT($C40,"0"),銘柄管理!$B$6:$B$305,0))-1,0,1,25))*100,"")</f>
      </c>
      <c r="BE40">
        <f>IFERROR(($H40-$I40)/$F40*100,"")</f>
      </c>
      <c r="BF40">
        <f>IFERROR(-(($BA40-AVERAGE($BA$3:$BA$206))/STDEV($BA$3:$BA$206))-(($BE40-AVERAGE($BE$3:$BE$206))/STDEV($BE$3:$BE$206))-(($BB40-AVERAGE($BB$3:$BB$206))/STDEV($BB$3:$BB$206))-(($Z40-AVERAGE($Z$3:$Z$206))/STDEV($Z$3:$Z$206))-(($BC40-AVERAGE($BC$3:$BC$206))/STDEV($BC$3:$BC$206)),"")</f>
      </c>
      <c r="BG40">
        <f>IF(OR($C40="",$C40="TOPX",$BA40="",$BF40=""),0,IF(AND($BK$10=1,$BA40&lt;=$BK$2,$BB40&lt;=$BK$3,$BC40&lt;=$BK$4,$Z40&lt;=$BK$5,$Z40&gt;=$BK$6,$BD40&gt;=$BK$7,$BE40&lt;=$BK$8),1,0))</f>
      </c>
      <c r="BH40">
        <f>IF($C40="","",IF($BG40=1,"○ゲート通過",IF($BK$10&lt;&gt;1,"― この方向は停止中",IF($BA40&gt;$BK$2,"×値動きが荒い",IF($BB40&gt;$BK$3,"×レンジが広い",IF($BC40&gt;$BK$4,"×窓を開けて上昇",IF($Z40&gt;$BK$5,"×前日に急騰",IF($Z40&lt;$BK$6,"×前日に急落",IF($BD40&lt;$BK$7,"×高値から離れすぎ",IF($BE40&gt;$BK$8,"×当日の値幅が大きい","×")))))))))</f>
      </c>
    </row>
    <row r="41" spans="1:60"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IF(AND(E41&lt;&gt;"",K41&lt;&gt;"",K41&lt;&gt;0),(E41-K41)/K41*100,"")</f>
        <v>-3.2335011926848662</v>
      </c>
      <c r="M41" s="166">
        <f>IF(C41&lt;&gt;"",IFERROR(AVERAGE(出来高!E33:I33),""),"")</f>
        <v>5796960</v>
      </c>
      <c r="N41" s="166">
        <f>IF(C41&lt;&gt;"",IFERROR(AVERAGE(出来高!E33:AC33),""),"")</f>
        <v>4949128</v>
      </c>
      <c r="O41" s="168">
        <f>IF(AND(J41&lt;&gt;"",M41&lt;&gt;"",M41&lt;&gt;0),J41/M41,"")</f>
        <v>0.62831208081477186</v>
      </c>
      <c r="P41" s="163" t="str">
        <f>IF(O41="","",IF(O41&gt;=2,"急増↑↑",IF(O41&gt;=1.5,"増加↑",IF(O41&gt;=1,"普通→","減少↓"))))</f>
        <v>減少↓</v>
      </c>
      <c r="Q41" s="163" t="str">
        <f>IF(E41="","",IF(AND(E41&gt;G41,O41&gt;=1.5),"買い▲",IF(E41&lt;G41,"様子見▼","中立→")))</f>
        <v>中立→</v>
      </c>
      <c r="R41" s="166">
        <f>IF(E41&lt;&gt;"",ROUND(E41*1.08,0),"")</f>
        <v>1972</v>
      </c>
      <c r="S41" s="166">
        <f>IF(E41&lt;&gt;"",ROUND(E41*0.96,0),"")</f>
        <v>1752</v>
      </c>
      <c r="T41" s="163">
        <f>IF(C41="","",IFERROR(IF(O41&gt;=2,3,IF(O41&gt;=1.5,2,IF(O41&gt;=1,1,0)))+IF(E41&gt;G41,1,0)+IF(L41&gt;=-5,1,0)+IF(Q41="買い▲",2,0)+IF(W41&lt;=30,3,IF(W41&lt;=40,2,IF(AND(W41&gt;=40,W41&lt;=60),1,0)))+IF(X41&gt;0,1,0)+IF(V41="年初来高値更新●",3,IF(V41="高値圏",2,0))+IF(AD41="パーフェクト▲",3,IF(AD41="上昇トレンド▲",2,0))+IF(AE41="25日線押し目●",2,IF(AE41="5日線押し目○",1,0))+IF(P41="急増↑↑",2,IF(P41="増加↑",1,0))+N(AI41),0))</f>
        <v>11</v>
      </c>
      <c r="U41" s="163" t="str">
        <f>IF(T41="","",IF(AND(T41&gt;=3,O41&gt;=1.5),"有効",IF(T41&gt;=3,"要確認","除外")))</f>
        <v>要確認</v>
      </c>
      <c r="V41" s="163" t="str">
        <f>IF(AND(H41&lt;&gt;"",K41&lt;&gt;""),IF(H41&gt;=K41,"年初来高値更新●",IF(H41&gt;=K41*0.95,"高値圏","通常")),"")</f>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IF(AND(E41&lt;&gt;"",G41&lt;&gt;"",G41&lt;&gt;0),(E41-G41)/G41*100,"")</f>
        <v>0.80066261733848698</v>
      </c>
      <c r="AA41" s="163" t="str">
        <f>IF(OR(C41="",E41="",E41=0),"",IF(E41&gt;G41,"上昇▲",IF(E41&lt;G41,"下落▼","横ばい→")))</f>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IF(OR(C41="",AB41="",AC41=""),"",IF(AND(E41&gt;AB41,AB41&gt;AC41),"パーフェクト▲",IF(E41&gt;AC41,"上昇トレンド▲",IF(AND(E41&lt;AB41,AB41&lt;AC41),"下降トレンド▼","もみ合い→"))))</f>
        <v>上昇トレンド▲</v>
      </c>
      <c r="AE41" s="406" t="str">
        <f>IF(OR(C41="",AB41="",AC41=""),"",IF(AND(ABS(E41-AC41)/AC41&lt;=0.02,E41&gt;AC41),"25日押し目★",IF(AND(ABS(E41-AB41)/AB41&lt;=0.01,E41&gt;AB41),"5日押し目○","なし")))</f>
        <v>25日押し目★</v>
      </c>
      <c r="AF41" s="365">
        <f t="array" ref="AF41">IF(C41="","",IFERROR((INDEX(終値!$E:$E,MATCH(TEXT(C41,"0"),終値!$A:$A,0))-INDEX(終値!$E:$CZ,MATCH(TEXT(C41,"0"),終値!$A:$A,0),$AL$2))/INDEX(終値!$E:$CZ,MATCH(TEXT(C41,"0"),終値!$A:$A,0),$AL$2)*100,""))</f>
        <v>11.890897946674839</v>
      </c>
      <c r="AG41" s="365">
        <f t="array" ref="AG41">IFERROR((終値!$E$5-INDEX(終値!$E$5:$IT$5,1,$AL$2))/INDEX(終値!$E$5:$IT$5,1,$AL$2)*100,"")</f>
        <v>1.0179378228534113</v>
      </c>
      <c r="AH41" s="366">
        <f>IF(OR(AF41="",AG41=""),"",AF41-AG41)</f>
        <v>10.872960123821427</v>
      </c>
      <c r="AI41" s="364">
        <f>IF(AH41="","",IF(AH41&gt;5,3,IF(AH41&gt;0,1,IF(AH41&gt;-3,-1,-2))))</f>
        <v>3</v>
      </c>
      <c r="BA41">
        <f>IFERROR((SUM(OFFSET(高値!$E$6,IFERROR(MATCH($C41,銘柄管理!$B$6:$B$305,0),MATCH(TEXT($C41,"0"),銘柄管理!$B$6:$B$305,0))-1,0,1,14))-SUM(OFFSET(安値!$E$6,IFERROR(MATCH($C41,銘柄管理!$B$6:$B$305,0),MATCH(TEXT($C41,"0"),銘柄管理!$B$6:$B$305,0))-1,0,1,14)))/SUM(OFFSET(終値!$E$6,IFERROR(MATCH($C41,銘柄管理!$B$6:$B$305,0),MATCH(TEXT($C41,"0"),銘柄管理!$B$6:$B$305,0))-1,0,1,14))*100,"")</f>
      </c>
      <c r="BB41">
        <f>IFERROR((MAX(OFFSET(高値!$E$6,IFERROR(MATCH($C41,銘柄管理!$B$6:$B$305,0),MATCH(TEXT($C41,"0"),銘柄管理!$B$6:$B$305,0))-1,0,1,25))-MIN(OFFSET(安値!$E$6,IFERROR(MATCH($C41,銘柄管理!$B$6:$B$305,0),MATCH(TEXT($C41,"0"),銘柄管理!$B$6:$B$305,0))-1,0,1,25)))/$E41*100,"")</f>
      </c>
      <c r="BC41">
        <f>IFERROR(($F41-$G41)/$G41*100,"")</f>
      </c>
      <c r="BD41">
        <f>IFERROR(($E41-MAX(OFFSET(高値!$E$6,IFERROR(MATCH($C41,銘柄管理!$B$6:$B$305,0),MATCH(TEXT($C41,"0"),銘柄管理!$B$6:$B$305,0))-1,0,1,25)))/MAX(OFFSET(高値!$E$6,IFERROR(MATCH($C41,銘柄管理!$B$6:$B$305,0),MATCH(TEXT($C41,"0"),銘柄管理!$B$6:$B$305,0))-1,0,1,25))*100,"")</f>
      </c>
      <c r="BE41">
        <f>IFERROR(($H41-$I41)/$F41*100,"")</f>
      </c>
      <c r="BF41">
        <f>IFERROR(-(($BA41-AVERAGE($BA$3:$BA$206))/STDEV($BA$3:$BA$206))-(($BE41-AVERAGE($BE$3:$BE$206))/STDEV($BE$3:$BE$206))-(($BB41-AVERAGE($BB$3:$BB$206))/STDEV($BB$3:$BB$206))-(($Z41-AVERAGE($Z$3:$Z$206))/STDEV($Z$3:$Z$206))-(($BC41-AVERAGE($BC$3:$BC$206))/STDEV($BC$3:$BC$206)),"")</f>
      </c>
      <c r="BG41">
        <f>IF(OR($C41="",$C41="TOPX",$BA41="",$BF41=""),0,IF(AND($BK$10=1,$BA41&lt;=$BK$2,$BB41&lt;=$BK$3,$BC41&lt;=$BK$4,$Z41&lt;=$BK$5,$Z41&gt;=$BK$6,$BD41&gt;=$BK$7,$BE41&lt;=$BK$8),1,0))</f>
      </c>
      <c r="BH41">
        <f>IF($C41="","",IF($BG41=1,"○ゲート通過",IF($BK$10&lt;&gt;1,"― この方向は停止中",IF($BA41&gt;$BK$2,"×値動きが荒い",IF($BB41&gt;$BK$3,"×レンジが広い",IF($BC41&gt;$BK$4,"×窓を開けて上昇",IF($Z41&gt;$BK$5,"×前日に急騰",IF($Z41&lt;$BK$6,"×前日に急落",IF($BD41&lt;$BK$7,"×高値から離れすぎ",IF($BE41&gt;$BK$8,"×当日の値幅が大きい","×")))))))))</f>
      </c>
    </row>
    <row r="42" spans="1:60"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IF(AND(E42&lt;&gt;"",K42&lt;&gt;"",K42&lt;&gt;0),(E42-K42)/K42*100,"")</f>
        <v>-7.3953940966590981</v>
      </c>
      <c r="M42" s="166">
        <f>IF(C42&lt;&gt;"",IFERROR(AVERAGE(出来高!E39:I39),""),"")</f>
        <v>5093880</v>
      </c>
      <c r="N42" s="166">
        <f>IF(C42&lt;&gt;"",IFERROR(AVERAGE(出来高!E39:AC39),""),"")</f>
        <v>4330540</v>
      </c>
      <c r="O42" s="168">
        <f>IF(AND(J42&lt;&gt;"",M42&lt;&gt;"",M42&lt;&gt;0),J42/M42,"")</f>
        <v>0.74640549051018079</v>
      </c>
      <c r="P42" s="163" t="str">
        <f>IF(O42="","",IF(O42&gt;=2,"急増↑↑",IF(O42&gt;=1.5,"増加↑",IF(O42&gt;=1,"普通→","減少↓"))))</f>
        <v>減少↓</v>
      </c>
      <c r="Q42" s="163" t="str">
        <f>IF(E42="","",IF(AND(E42&gt;G42,O42&gt;=1.5),"買い▲",IF(E42&lt;G42,"様子見▼","中立→")))</f>
        <v>中立→</v>
      </c>
      <c r="R42" s="166">
        <f>IF(E42&lt;&gt;"",ROUND(E42*1.08,0),"")</f>
        <v>1542</v>
      </c>
      <c r="S42" s="166">
        <f>IF(E42&lt;&gt;"",ROUND(E42*0.96,0),"")</f>
        <v>1370</v>
      </c>
      <c r="T42" s="163">
        <f>IF(C42="","",IFERROR(IF(O42&gt;=2,3,IF(O42&gt;=1.5,2,IF(O42&gt;=1,1,0)))+IF(E42&gt;G42,1,0)+IF(L42&gt;=-5,1,0)+IF(Q42="買い▲",2,0)+IF(W42&lt;=30,3,IF(W42&lt;=40,2,IF(AND(W42&gt;=40,W42&lt;=60),1,0)))+IF(X42&gt;0,1,0)+IF(V42="年初来高値更新●",3,IF(V42="高値圏",2,0))+IF(AD42="パーフェクト▲",3,IF(AD42="上昇トレンド▲",2,0))+IF(AE42="25日線押し目●",2,IF(AE42="5日線押し目○",1,0))+IF(P42="急増↑↑",2,IF(P42="増加↑",1,0))+N(AI42),0))</f>
        <v>9</v>
      </c>
      <c r="U42" s="163" t="str">
        <f>IF(T42="","",IF(AND(T42&gt;=3,O42&gt;=1.5),"有効",IF(T42&gt;=3,"要確認","除外")))</f>
        <v>要確認</v>
      </c>
      <c r="V42" s="163" t="str">
        <f>IF(AND(H42&lt;&gt;"",K42&lt;&gt;""),IF(H42&gt;=K42,"年初来高値更新●",IF(H42&gt;=K42*0.95,"高値圏","通常")),"")</f>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IF(AND(E42&lt;&gt;"",G42&lt;&gt;"",G42&lt;&gt;0),(E42-G42)/G42*100,"")</f>
        <v>0.7765619484645252</v>
      </c>
      <c r="AA42" s="163" t="str">
        <f>IF(OR(C42="",E42="",E42=0),"",IF(E42&gt;G42,"上昇▲",IF(E42&lt;G42,"下落▼","横ばい→")))</f>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IF(OR(C42="",AB42="",AC42=""),"",IF(AND(E42&gt;AB42,AB42&gt;AC42),"パーフェクト▲",IF(E42&gt;AC42,"上昇トレンド▲",IF(AND(E42&lt;AB42,AB42&lt;AC42),"下降トレンド▼","もみ合い→"))))</f>
        <v>パーフェクト▲</v>
      </c>
      <c r="AE42" s="404" t="str">
        <f>IF(OR(C42="",AB42="",AC42=""),"",IF(AND(ABS(E42-AC42)/AC42&lt;=0.02,E42&gt;AC42),"25日押し目★",IF(AND(ABS(E42-AB42)/AB42&lt;=0.01,E42&gt;AB42),"5日押し目○","なし")))</f>
        <v>なし</v>
      </c>
      <c r="AF42" s="365">
        <f t="array" ref="AF42">IF(C42="","",IFERROR((INDEX(終値!$E:$E,MATCH(TEXT(C42,"0"),終値!$A:$A,0))-INDEX(終値!$E:$CZ,MATCH(TEXT(C42,"0"),終値!$A:$A,0),$AL$2))/INDEX(終値!$E:$CZ,MATCH(TEXT(C42,"0"),終値!$A:$A,0),$AL$2)*100,""))</f>
        <v>9.1360856269113153</v>
      </c>
      <c r="AG42" s="365">
        <f t="array" ref="AG42">IFERROR((終値!$E$5-INDEX(終値!$E$5:$IT$5,1,$AL$2))/INDEX(終値!$E$5:$IT$5,1,$AL$2)*100,"")</f>
        <v>1.0179378228534113</v>
      </c>
      <c r="AH42" s="366">
        <f>IF(OR(AF42="",AG42=""),"",AF42-AG42)</f>
        <v>8.1181478040579034</v>
      </c>
      <c r="AI42" s="364">
        <f>IF(AH42="","",IF(AH42&gt;5,3,IF(AH42&gt;0,1,IF(AH42&gt;-3,-1,-2))))</f>
        <v>3</v>
      </c>
      <c r="BA42">
        <f>IFERROR((SUM(OFFSET(高値!$E$6,IFERROR(MATCH($C42,銘柄管理!$B$6:$B$305,0),MATCH(TEXT($C42,"0"),銘柄管理!$B$6:$B$305,0))-1,0,1,14))-SUM(OFFSET(安値!$E$6,IFERROR(MATCH($C42,銘柄管理!$B$6:$B$305,0),MATCH(TEXT($C42,"0"),銘柄管理!$B$6:$B$305,0))-1,0,1,14)))/SUM(OFFSET(終値!$E$6,IFERROR(MATCH($C42,銘柄管理!$B$6:$B$305,0),MATCH(TEXT($C42,"0"),銘柄管理!$B$6:$B$305,0))-1,0,1,14))*100,"")</f>
      </c>
      <c r="BB42">
        <f>IFERROR((MAX(OFFSET(高値!$E$6,IFERROR(MATCH($C42,銘柄管理!$B$6:$B$305,0),MATCH(TEXT($C42,"0"),銘柄管理!$B$6:$B$305,0))-1,0,1,25))-MIN(OFFSET(安値!$E$6,IFERROR(MATCH($C42,銘柄管理!$B$6:$B$305,0),MATCH(TEXT($C42,"0"),銘柄管理!$B$6:$B$305,0))-1,0,1,25)))/$E42*100,"")</f>
      </c>
      <c r="BC42">
        <f>IFERROR(($F42-$G42)/$G42*100,"")</f>
      </c>
      <c r="BD42">
        <f>IFERROR(($E42-MAX(OFFSET(高値!$E$6,IFERROR(MATCH($C42,銘柄管理!$B$6:$B$305,0),MATCH(TEXT($C42,"0"),銘柄管理!$B$6:$B$305,0))-1,0,1,25)))/MAX(OFFSET(高値!$E$6,IFERROR(MATCH($C42,銘柄管理!$B$6:$B$305,0),MATCH(TEXT($C42,"0"),銘柄管理!$B$6:$B$305,0))-1,0,1,25))*100,"")</f>
      </c>
      <c r="BE42">
        <f>IFERROR(($H42-$I42)/$F42*100,"")</f>
      </c>
      <c r="BF42">
        <f>IFERROR(-(($BA42-AVERAGE($BA$3:$BA$206))/STDEV($BA$3:$BA$206))-(($BE42-AVERAGE($BE$3:$BE$206))/STDEV($BE$3:$BE$206))-(($BB42-AVERAGE($BB$3:$BB$206))/STDEV($BB$3:$BB$206))-(($Z42-AVERAGE($Z$3:$Z$206))/STDEV($Z$3:$Z$206))-(($BC42-AVERAGE($BC$3:$BC$206))/STDEV($BC$3:$BC$206)),"")</f>
      </c>
      <c r="BG42">
        <f>IF(OR($C42="",$C42="TOPX",$BA42="",$BF42=""),0,IF(AND($BK$10=1,$BA42&lt;=$BK$2,$BB42&lt;=$BK$3,$BC42&lt;=$BK$4,$Z42&lt;=$BK$5,$Z42&gt;=$BK$6,$BD42&gt;=$BK$7,$BE42&lt;=$BK$8),1,0))</f>
      </c>
      <c r="BH42">
        <f>IF($C42="","",IF($BG42=1,"○ゲート通過",IF($BK$10&lt;&gt;1,"― この方向は停止中",IF($BA42&gt;$BK$2,"×値動きが荒い",IF($BB42&gt;$BK$3,"×レンジが広い",IF($BC42&gt;$BK$4,"×窓を開けて上昇",IF($Z42&gt;$BK$5,"×前日に急騰",IF($Z42&lt;$BK$6,"×前日に急落",IF($BD42&lt;$BK$7,"×高値から離れすぎ",IF($BE42&gt;$BK$8,"×当日の値幅が大きい","×")))))))))</f>
      </c>
    </row>
    <row r="43" spans="1:60"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IF(AND(E43&lt;&gt;"",K43&lt;&gt;"",K43&lt;&gt;0),(E43-K43)/K43*100,"")</f>
        <v>-2.5</v>
      </c>
      <c r="M43" s="166">
        <f>IF(C43&lt;&gt;"",IFERROR(AVERAGE(出来高!E26:I26),""),"")</f>
        <v>3313460</v>
      </c>
      <c r="N43" s="166">
        <f>IF(C43&lt;&gt;"",IFERROR(AVERAGE(出来高!E26:AC26),""),"")</f>
        <v>3144688</v>
      </c>
      <c r="O43" s="168">
        <f>IF(AND(J43&lt;&gt;"",M43&lt;&gt;"",M43&lt;&gt;0),J43/M43,"")</f>
        <v>0.86722036783302048</v>
      </c>
      <c r="P43" s="163" t="str">
        <f>IF(O43="","",IF(O43&gt;=2,"急増↑↑",IF(O43&gt;=1.5,"増加↑",IF(O43&gt;=1,"普通→","減少↓"))))</f>
        <v>減少↓</v>
      </c>
      <c r="Q43" s="163" t="str">
        <f>IF(E43="","",IF(AND(E43&gt;G43,O43&gt;=1.5),"買い▲",IF(E43&lt;G43,"様子見▼","中立→")))</f>
        <v>様子見▼</v>
      </c>
      <c r="R43" s="166">
        <f>IF(E43&lt;&gt;"",ROUND(E43*1.08,0),"")</f>
        <v>7034</v>
      </c>
      <c r="S43" s="166">
        <f>IF(E43&lt;&gt;"",ROUND(E43*0.96,0),"")</f>
        <v>6252</v>
      </c>
      <c r="T43" s="163">
        <f>IF(C43="","",IFERROR(IF(O43&gt;=2,3,IF(O43&gt;=1.5,2,IF(O43&gt;=1,1,0)))+IF(E43&gt;G43,1,0)+IF(L43&gt;=-5,1,0)+IF(Q43="買い▲",2,0)+IF(W43&lt;=30,3,IF(W43&lt;=40,2,IF(AND(W43&gt;=40,W43&lt;=60),1,0)))+IF(X43&gt;0,1,0)+IF(V43="年初来高値更新●",3,IF(V43="高値圏",2,0))+IF(AD43="パーフェクト▲",3,IF(AD43="上昇トレンド▲",2,0))+IF(AE43="25日線押し目●",2,IF(AE43="5日線押し目○",1,0))+IF(P43="急増↑↑",2,IF(P43="増加↑",1,0))+N(AI43),0))</f>
        <v>8</v>
      </c>
      <c r="U43" s="163" t="str">
        <f>IF(T43="","",IF(AND(T43&gt;=3,O43&gt;=1.5),"有効",IF(T43&gt;=3,"要確認","除外")))</f>
        <v>要確認</v>
      </c>
      <c r="V43" s="163" t="str">
        <f>IF(AND(H43&lt;&gt;"",K43&lt;&gt;""),IF(H43&gt;=K43,"年初来高値更新●",IF(H43&gt;=K43*0.95,"高値圏","通常")),"")</f>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IF(AND(E43&lt;&gt;"",G43&lt;&gt;"",G43&lt;&gt;0),(E43-G43)/G43*100,"")</f>
        <v>-0.51932182679089667</v>
      </c>
      <c r="AA43" s="163" t="str">
        <f>IF(OR(C43="",E43="",E43=0),"",IF(E43&gt;G43,"上昇▲",IF(E43&lt;G43,"下落▼","横ばい→")))</f>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IF(OR(C43="",AB43="",AC43=""),"",IF(AND(E43&gt;AB43,AB43&gt;AC43),"パーフェクト▲",IF(E43&gt;AC43,"上昇トレンド▲",IF(AND(E43&lt;AB43,AB43&lt;AC43),"下降トレンド▼","もみ合い→"))))</f>
        <v>上昇トレンド▲</v>
      </c>
      <c r="AE43" s="406" t="str">
        <f>IF(OR(C43="",AB43="",AC43=""),"",IF(AND(ABS(E43-AC43)/AC43&lt;=0.02,E43&gt;AC43),"25日押し目★",IF(AND(ABS(E43-AB43)/AB43&lt;=0.01,E43&gt;AB43),"5日押し目○","なし")))</f>
        <v>なし</v>
      </c>
      <c r="AF43" s="365">
        <f t="array" ref="AF43">IF(C43="","",IFERROR((INDEX(終値!$E:$E,MATCH(TEXT(C43,"0"),終値!$A:$A,0))-INDEX(終値!$E:$CZ,MATCH(TEXT(C43,"0"),終値!$A:$A,0),$AL$2))/INDEX(終値!$E:$CZ,MATCH(TEXT(C43,"0"),終値!$A:$A,0),$AL$2)*100,""))</f>
        <v>5.0653331182448778</v>
      </c>
      <c r="AG43" s="365">
        <f t="array" ref="AG43">IFERROR((終値!$E$5-INDEX(終値!$E$5:$IT$5,1,$AL$2))/INDEX(終値!$E$5:$IT$5,1,$AL$2)*100,"")</f>
        <v>1.0179378228534113</v>
      </c>
      <c r="AH43" s="366">
        <f>IF(OR(AF43="",AG43=""),"",AF43-AG43)</f>
        <v>4.0473952953914667</v>
      </c>
      <c r="AI43" s="364">
        <f>IF(AH43="","",IF(AH43&gt;5,3,IF(AH43&gt;0,1,IF(AH43&gt;-3,-1,-2))))</f>
        <v>1</v>
      </c>
      <c r="BA43">
        <f>IFERROR((SUM(OFFSET(高値!$E$6,IFERROR(MATCH($C43,銘柄管理!$B$6:$B$305,0),MATCH(TEXT($C43,"0"),銘柄管理!$B$6:$B$305,0))-1,0,1,14))-SUM(OFFSET(安値!$E$6,IFERROR(MATCH($C43,銘柄管理!$B$6:$B$305,0),MATCH(TEXT($C43,"0"),銘柄管理!$B$6:$B$305,0))-1,0,1,14)))/SUM(OFFSET(終値!$E$6,IFERROR(MATCH($C43,銘柄管理!$B$6:$B$305,0),MATCH(TEXT($C43,"0"),銘柄管理!$B$6:$B$305,0))-1,0,1,14))*100,"")</f>
      </c>
      <c r="BB43">
        <f>IFERROR((MAX(OFFSET(高値!$E$6,IFERROR(MATCH($C43,銘柄管理!$B$6:$B$305,0),MATCH(TEXT($C43,"0"),銘柄管理!$B$6:$B$305,0))-1,0,1,25))-MIN(OFFSET(安値!$E$6,IFERROR(MATCH($C43,銘柄管理!$B$6:$B$305,0),MATCH(TEXT($C43,"0"),銘柄管理!$B$6:$B$305,0))-1,0,1,25)))/$E43*100,"")</f>
      </c>
      <c r="BC43">
        <f>IFERROR(($F43-$G43)/$G43*100,"")</f>
      </c>
      <c r="BD43">
        <f>IFERROR(($E43-MAX(OFFSET(高値!$E$6,IFERROR(MATCH($C43,銘柄管理!$B$6:$B$305,0),MATCH(TEXT($C43,"0"),銘柄管理!$B$6:$B$305,0))-1,0,1,25)))/MAX(OFFSET(高値!$E$6,IFERROR(MATCH($C43,銘柄管理!$B$6:$B$305,0),MATCH(TEXT($C43,"0"),銘柄管理!$B$6:$B$305,0))-1,0,1,25))*100,"")</f>
      </c>
      <c r="BE43">
        <f>IFERROR(($H43-$I43)/$F43*100,"")</f>
      </c>
      <c r="BF43">
        <f>IFERROR(-(($BA43-AVERAGE($BA$3:$BA$206))/STDEV($BA$3:$BA$206))-(($BE43-AVERAGE($BE$3:$BE$206))/STDEV($BE$3:$BE$206))-(($BB43-AVERAGE($BB$3:$BB$206))/STDEV($BB$3:$BB$206))-(($Z43-AVERAGE($Z$3:$Z$206))/STDEV($Z$3:$Z$206))-(($BC43-AVERAGE($BC$3:$BC$206))/STDEV($BC$3:$BC$206)),"")</f>
      </c>
      <c r="BG43">
        <f>IF(OR($C43="",$C43="TOPX",$BA43="",$BF43=""),0,IF(AND($BK$10=1,$BA43&lt;=$BK$2,$BB43&lt;=$BK$3,$BC43&lt;=$BK$4,$Z43&lt;=$BK$5,$Z43&gt;=$BK$6,$BD43&gt;=$BK$7,$BE43&lt;=$BK$8),1,0))</f>
      </c>
      <c r="BH43">
        <f>IF($C43="","",IF($BG43=1,"○ゲート通過",IF($BK$10&lt;&gt;1,"― この方向は停止中",IF($BA43&gt;$BK$2,"×値動きが荒い",IF($BB43&gt;$BK$3,"×レンジが広い",IF($BC43&gt;$BK$4,"×窓を開けて上昇",IF($Z43&gt;$BK$5,"×前日に急騰",IF($Z43&lt;$BK$6,"×前日に急落",IF($BD43&lt;$BK$7,"×高値から離れすぎ",IF($BE43&gt;$BK$8,"×当日の値幅が大きい","×")))))))))</f>
      </c>
    </row>
    <row r="44" spans="1:60"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IF(AND(E44&lt;&gt;"",K44&lt;&gt;"",K44&lt;&gt;0),(E44-K44)/K44*100,"")</f>
        <v>-10.983515465826997</v>
      </c>
      <c r="M44" s="166">
        <f>IF(C44&lt;&gt;"",IFERROR(AVERAGE(出来高!E47:I47),""),"")</f>
        <v>1505340</v>
      </c>
      <c r="N44" s="166">
        <f>IF(C44&lt;&gt;"",IFERROR(AVERAGE(出来高!E47:AC47),""),"")</f>
        <v>1400124</v>
      </c>
      <c r="O44" s="168">
        <f>IF(AND(J44&lt;&gt;"",M44&lt;&gt;"",M44&lt;&gt;0),J44/M44,"")</f>
        <v>0.74149361606015918</v>
      </c>
      <c r="P44" s="163" t="str">
        <f>IF(O44="","",IF(O44&gt;=2,"急増↑↑",IF(O44&gt;=1.5,"増加↑",IF(O44&gt;=1,"普通→","減少↓"))))</f>
        <v>減少↓</v>
      </c>
      <c r="Q44" s="163" t="str">
        <f>IF(E44="","",IF(AND(E44&gt;G44,O44&gt;=1.5),"買い▲",IF(E44&lt;G44,"様子見▼","中立→")))</f>
        <v>中立→</v>
      </c>
      <c r="R44" s="166">
        <f>IF(E44&lt;&gt;"",ROUND(E44*1.08,0),"")</f>
        <v>519</v>
      </c>
      <c r="S44" s="166">
        <f>IF(E44&lt;&gt;"",ROUND(E44*0.96,0),"")</f>
        <v>461</v>
      </c>
      <c r="T44" s="163">
        <f>IF(C44="","",IFERROR(IF(O44&gt;=2,3,IF(O44&gt;=1.5,2,IF(O44&gt;=1,1,0)))+IF(E44&gt;G44,1,0)+IF(L44&gt;=-5,1,0)+IF(Q44="買い▲",2,0)+IF(W44&lt;=30,3,IF(W44&lt;=40,2,IF(AND(W44&gt;=40,W44&lt;=60),1,0)))+IF(X44&gt;0,1,0)+IF(V44="年初来高値更新●",3,IF(V44="高値圏",2,0))+IF(AD44="パーフェクト▲",3,IF(AD44="上昇トレンド▲",2,0))+IF(AE44="25日線押し目●",2,IF(AE44="5日線押し目○",1,0))+IF(P44="急増↑↑",2,IF(P44="増加↑",1,0))+N(AI44),0))</f>
        <v>4</v>
      </c>
      <c r="U44" s="163" t="str">
        <f>IF(T44="","",IF(AND(T44&gt;=3,O44&gt;=1.5),"有効",IF(T44&gt;=3,"要確認","除外")))</f>
        <v>要確認</v>
      </c>
      <c r="V44" s="163" t="str">
        <f>IF(AND(H44&lt;&gt;"",K44&lt;&gt;""),IF(H44&gt;=K44,"年初来高値更新●",IF(H44&gt;=K44*0.95,"高値圏","通常")),"")</f>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IF(AND(E44&lt;&gt;"",G44&lt;&gt;"",G44&lt;&gt;0),(E44-G44)/G44*100,"")</f>
        <v>1.2855637513171809</v>
      </c>
      <c r="AA44" s="163" t="str">
        <f>IF(OR(C44="",E44="",E44=0),"",IF(E44&gt;G44,"上昇▲",IF(E44&lt;G44,"下落▼","横ばい→")))</f>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IF(OR(C44="",AB44="",AC44=""),"",IF(AND(E44&gt;AB44,AB44&gt;AC44),"パーフェクト▲",IF(E44&gt;AC44,"上昇トレンド▲",IF(AND(E44&lt;AB44,AB44&lt;AC44),"下降トレンド▼","もみ合い→"))))</f>
        <v>もみ合い→</v>
      </c>
      <c r="AE44" s="404" t="str">
        <f>IF(OR(C44="",AB44="",AC44=""),"",IF(AND(ABS(E44-AC44)/AC44&lt;=0.02,E44&gt;AC44),"25日押し目★",IF(AND(ABS(E44-AB44)/AB44&lt;=0.01,E44&gt;AB44),"5日押し目○","なし")))</f>
        <v>なし</v>
      </c>
      <c r="AF44" s="365">
        <f t="array" ref="AF44">IF(C44="","",IFERROR((INDEX(終値!$E:$E,MATCH(TEXT(C44,"0"),終値!$A:$A,0))-INDEX(終値!$E:$CZ,MATCH(TEXT(C44,"0"),終値!$A:$A,0),$AL$2))/INDEX(終値!$E:$CZ,MATCH(TEXT(C44,"0"),終値!$A:$A,0),$AL$2)*100,""))</f>
        <v>5.4641211323239052</v>
      </c>
      <c r="AG44" s="365">
        <f t="array" ref="AG44">IFERROR((終値!$E$5-INDEX(終値!$E$5:$IT$5,1,$AL$2))/INDEX(終値!$E$5:$IT$5,1,$AL$2)*100,"")</f>
        <v>1.0179378228534113</v>
      </c>
      <c r="AH44" s="366">
        <f>IF(OR(AF44="",AG44=""),"",AF44-AG44)</f>
        <v>4.4461833094704941</v>
      </c>
      <c r="AI44" s="364">
        <f>IF(AH44="","",IF(AH44&gt;5,3,IF(AH44&gt;0,1,IF(AH44&gt;-3,-1,-2))))</f>
        <v>1</v>
      </c>
      <c r="BA44">
        <f>IFERROR((SUM(OFFSET(高値!$E$6,IFERROR(MATCH($C44,銘柄管理!$B$6:$B$305,0),MATCH(TEXT($C44,"0"),銘柄管理!$B$6:$B$305,0))-1,0,1,14))-SUM(OFFSET(安値!$E$6,IFERROR(MATCH($C44,銘柄管理!$B$6:$B$305,0),MATCH(TEXT($C44,"0"),銘柄管理!$B$6:$B$305,0))-1,0,1,14)))/SUM(OFFSET(終値!$E$6,IFERROR(MATCH($C44,銘柄管理!$B$6:$B$305,0),MATCH(TEXT($C44,"0"),銘柄管理!$B$6:$B$305,0))-1,0,1,14))*100,"")</f>
      </c>
      <c r="BB44">
        <f>IFERROR((MAX(OFFSET(高値!$E$6,IFERROR(MATCH($C44,銘柄管理!$B$6:$B$305,0),MATCH(TEXT($C44,"0"),銘柄管理!$B$6:$B$305,0))-1,0,1,25))-MIN(OFFSET(安値!$E$6,IFERROR(MATCH($C44,銘柄管理!$B$6:$B$305,0),MATCH(TEXT($C44,"0"),銘柄管理!$B$6:$B$305,0))-1,0,1,25)))/$E44*100,"")</f>
      </c>
      <c r="BC44">
        <f>IFERROR(($F44-$G44)/$G44*100,"")</f>
      </c>
      <c r="BD44">
        <f>IFERROR(($E44-MAX(OFFSET(高値!$E$6,IFERROR(MATCH($C44,銘柄管理!$B$6:$B$305,0),MATCH(TEXT($C44,"0"),銘柄管理!$B$6:$B$305,0))-1,0,1,25)))/MAX(OFFSET(高値!$E$6,IFERROR(MATCH($C44,銘柄管理!$B$6:$B$305,0),MATCH(TEXT($C44,"0"),銘柄管理!$B$6:$B$305,0))-1,0,1,25))*100,"")</f>
      </c>
      <c r="BE44">
        <f>IFERROR(($H44-$I44)/$F44*100,"")</f>
      </c>
      <c r="BF44">
        <f>IFERROR(-(($BA44-AVERAGE($BA$3:$BA$206))/STDEV($BA$3:$BA$206))-(($BE44-AVERAGE($BE$3:$BE$206))/STDEV($BE$3:$BE$206))-(($BB44-AVERAGE($BB$3:$BB$206))/STDEV($BB$3:$BB$206))-(($Z44-AVERAGE($Z$3:$Z$206))/STDEV($Z$3:$Z$206))-(($BC44-AVERAGE($BC$3:$BC$206))/STDEV($BC$3:$BC$206)),"")</f>
      </c>
      <c r="BG44">
        <f>IF(OR($C44="",$C44="TOPX",$BA44="",$BF44=""),0,IF(AND($BK$10=1,$BA44&lt;=$BK$2,$BB44&lt;=$BK$3,$BC44&lt;=$BK$4,$Z44&lt;=$BK$5,$Z44&gt;=$BK$6,$BD44&gt;=$BK$7,$BE44&lt;=$BK$8),1,0))</f>
      </c>
      <c r="BH44">
        <f>IF($C44="","",IF($BG44=1,"○ゲート通過",IF($BK$10&lt;&gt;1,"― この方向は停止中",IF($BA44&gt;$BK$2,"×値動きが荒い",IF($BB44&gt;$BK$3,"×レンジが広い",IF($BC44&gt;$BK$4,"×窓を開けて上昇",IF($Z44&gt;$BK$5,"×前日に急騰",IF($Z44&lt;$BK$6,"×前日に急落",IF($BD44&lt;$BK$7,"×高値から離れすぎ",IF($BE44&gt;$BK$8,"×当日の値幅が大きい","×")))))))))</f>
      </c>
    </row>
    <row r="45" spans="1:60"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IF(AND(E45&lt;&gt;"",K45&lt;&gt;"",K45&lt;&gt;0),(E45-K45)/K45*100,"")</f>
        <v>-14.274193548387096</v>
      </c>
      <c r="M45" s="166">
        <f>IF(C45&lt;&gt;"",IFERROR(AVERAGE(出来高!E37:I37),""),"")</f>
        <v>598360</v>
      </c>
      <c r="N45" s="166">
        <f>IF(C45&lt;&gt;"",IFERROR(AVERAGE(出来高!E37:AC37),""),"")</f>
        <v>544956</v>
      </c>
      <c r="O45" s="168">
        <f>IF(AND(J45&lt;&gt;"",M45&lt;&gt;"",M45&lt;&gt;0),J45/M45,"")</f>
        <v>1.4902399893040978</v>
      </c>
      <c r="P45" s="163" t="str">
        <f>IF(O45="","",IF(O45&gt;=2,"急増↑↑",IF(O45&gt;=1.5,"増加↑",IF(O45&gt;=1,"普通→","減少↓"))))</f>
        <v>普通→</v>
      </c>
      <c r="Q45" s="163" t="str">
        <f>IF(E45="","",IF(AND(E45&gt;G45,O45&gt;=1.5),"買い▲",IF(E45&lt;G45,"様子見▼","中立→")))</f>
        <v>中立→</v>
      </c>
      <c r="R45" s="166">
        <f>IF(E45&lt;&gt;"",ROUND(E45*1.08,0),"")</f>
        <v>1722</v>
      </c>
      <c r="S45" s="166">
        <f>IF(E45&lt;&gt;"",ROUND(E45*0.96,0),"")</f>
        <v>1531</v>
      </c>
      <c r="T45" s="163">
        <f>IF(C45="","",IFERROR(IF(O45&gt;=2,3,IF(O45&gt;=1.5,2,IF(O45&gt;=1,1,0)))+IF(E45&gt;G45,1,0)+IF(L45&gt;=-5,1,0)+IF(Q45="買い▲",2,0)+IF(W45&lt;=30,3,IF(W45&lt;=40,2,IF(AND(W45&gt;=40,W45&lt;=60),1,0)))+IF(X45&gt;0,1,0)+IF(V45="年初来高値更新●",3,IF(V45="高値圏",2,0))+IF(AD45="パーフェクト▲",3,IF(AD45="上昇トレンド▲",2,0))+IF(AE45="25日線押し目●",2,IF(AE45="5日線押し目○",1,0))+IF(P45="急増↑↑",2,IF(P45="増加↑",1,0))+N(AI45),0))</f>
        <v>9</v>
      </c>
      <c r="U45" s="163" t="str">
        <f>IF(T45="","",IF(AND(T45&gt;=3,O45&gt;=1.5),"有効",IF(T45&gt;=3,"要確認","除外")))</f>
        <v>要確認</v>
      </c>
      <c r="V45" s="163" t="str">
        <f>IF(AND(H45&lt;&gt;"",K45&lt;&gt;""),IF(H45&gt;=K45,"年初来高値更新●",IF(H45&gt;=K45*0.95,"高値圏","通常")),"")</f>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IF(AND(E45&lt;&gt;"",G45&lt;&gt;"",G45&lt;&gt;0),(E45-G45)/G45*100,"")</f>
        <v>3.1037827352085356</v>
      </c>
      <c r="AA45" s="163" t="str">
        <f>IF(OR(C45="",E45="",E45=0),"",IF(E45&gt;G45,"上昇▲",IF(E45&lt;G45,"下落▼","横ばい→")))</f>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IF(OR(C45="",AB45="",AC45=""),"",IF(AND(E45&gt;AB45,AB45&gt;AC45),"パーフェクト▲",IF(E45&gt;AC45,"上昇トレンド▲",IF(AND(E45&lt;AB45,AB45&lt;AC45),"下降トレンド▼","もみ合い→"))))</f>
        <v>上昇トレンド▲</v>
      </c>
      <c r="AE45" s="406" t="str">
        <f>IF(OR(C45="",AB45="",AC45=""),"",IF(AND(ABS(E45-AC45)/AC45&lt;=0.02,E45&gt;AC45),"25日押し目★",IF(AND(ABS(E45-AB45)/AB45&lt;=0.01,E45&gt;AB45),"5日押し目○","なし")))</f>
        <v>なし</v>
      </c>
      <c r="AF45" s="365">
        <f t="array" ref="AF45">IF(C45="","",IFERROR((INDEX(終値!$E:$E,MATCH(TEXT(C45,"0"),終値!$A:$A,0))-INDEX(終値!$E:$CZ,MATCH(TEXT(C45,"0"),終値!$A:$A,0),$AL$2))/INDEX(終値!$E:$CZ,MATCH(TEXT(C45,"0"),終値!$A:$A,0),$AL$2)*100,""))</f>
        <v>8.4325059503570223</v>
      </c>
      <c r="AG45" s="365">
        <f t="array" ref="AG45">IFERROR((終値!$E$5-INDEX(終値!$E$5:$IT$5,1,$AL$2))/INDEX(終値!$E$5:$IT$5,1,$AL$2)*100,"")</f>
        <v>1.0179378228534113</v>
      </c>
      <c r="AH45" s="366">
        <f>IF(OR(AF45="",AG45=""),"",AF45-AG45)</f>
        <v>7.4145681275036113</v>
      </c>
      <c r="AI45" s="364">
        <f>IF(AH45="","",IF(AH45&gt;5,3,IF(AH45&gt;0,1,IF(AH45&gt;-3,-1,-2))))</f>
        <v>3</v>
      </c>
      <c r="BA45">
        <f>IFERROR((SUM(OFFSET(高値!$E$6,IFERROR(MATCH($C45,銘柄管理!$B$6:$B$305,0),MATCH(TEXT($C45,"0"),銘柄管理!$B$6:$B$305,0))-1,0,1,14))-SUM(OFFSET(安値!$E$6,IFERROR(MATCH($C45,銘柄管理!$B$6:$B$305,0),MATCH(TEXT($C45,"0"),銘柄管理!$B$6:$B$305,0))-1,0,1,14)))/SUM(OFFSET(終値!$E$6,IFERROR(MATCH($C45,銘柄管理!$B$6:$B$305,0),MATCH(TEXT($C45,"0"),銘柄管理!$B$6:$B$305,0))-1,0,1,14))*100,"")</f>
      </c>
      <c r="BB45">
        <f>IFERROR((MAX(OFFSET(高値!$E$6,IFERROR(MATCH($C45,銘柄管理!$B$6:$B$305,0),MATCH(TEXT($C45,"0"),銘柄管理!$B$6:$B$305,0))-1,0,1,25))-MIN(OFFSET(安値!$E$6,IFERROR(MATCH($C45,銘柄管理!$B$6:$B$305,0),MATCH(TEXT($C45,"0"),銘柄管理!$B$6:$B$305,0))-1,0,1,25)))/$E45*100,"")</f>
      </c>
      <c r="BC45">
        <f>IFERROR(($F45-$G45)/$G45*100,"")</f>
      </c>
      <c r="BD45">
        <f>IFERROR(($E45-MAX(OFFSET(高値!$E$6,IFERROR(MATCH($C45,銘柄管理!$B$6:$B$305,0),MATCH(TEXT($C45,"0"),銘柄管理!$B$6:$B$305,0))-1,0,1,25)))/MAX(OFFSET(高値!$E$6,IFERROR(MATCH($C45,銘柄管理!$B$6:$B$305,0),MATCH(TEXT($C45,"0"),銘柄管理!$B$6:$B$305,0))-1,0,1,25))*100,"")</f>
      </c>
      <c r="BE45">
        <f>IFERROR(($H45-$I45)/$F45*100,"")</f>
      </c>
      <c r="BF45">
        <f>IFERROR(-(($BA45-AVERAGE($BA$3:$BA$206))/STDEV($BA$3:$BA$206))-(($BE45-AVERAGE($BE$3:$BE$206))/STDEV($BE$3:$BE$206))-(($BB45-AVERAGE($BB$3:$BB$206))/STDEV($BB$3:$BB$206))-(($Z45-AVERAGE($Z$3:$Z$206))/STDEV($Z$3:$Z$206))-(($BC45-AVERAGE($BC$3:$BC$206))/STDEV($BC$3:$BC$206)),"")</f>
      </c>
      <c r="BG45">
        <f>IF(OR($C45="",$C45="TOPX",$BA45="",$BF45=""),0,IF(AND($BK$10=1,$BA45&lt;=$BK$2,$BB45&lt;=$BK$3,$BC45&lt;=$BK$4,$Z45&lt;=$BK$5,$Z45&gt;=$BK$6,$BD45&gt;=$BK$7,$BE45&lt;=$BK$8),1,0))</f>
      </c>
      <c r="BH45">
        <f>IF($C45="","",IF($BG45=1,"○ゲート通過",IF($BK$10&lt;&gt;1,"― この方向は停止中",IF($BA45&gt;$BK$2,"×値動きが荒い",IF($BB45&gt;$BK$3,"×レンジが広い",IF($BC45&gt;$BK$4,"×窓を開けて上昇",IF($Z45&gt;$BK$5,"×前日に急騰",IF($Z45&lt;$BK$6,"×前日に急落",IF($BD45&lt;$BK$7,"×高値から離れすぎ",IF($BE45&gt;$BK$8,"×当日の値幅が大きい","×")))))))))</f>
      </c>
    </row>
    <row r="46" spans="1:60"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IF(AND(E46&lt;&gt;"",K46&lt;&gt;"",K46&lt;&gt;0),(E46-K46)/K46*100,"")</f>
        <v>-5.3816466552315614</v>
      </c>
      <c r="M46" s="166">
        <f>IF(C46&lt;&gt;"",IFERROR(AVERAGE(出来高!E108:I108),""),"")</f>
        <v>224060</v>
      </c>
      <c r="N46" s="166">
        <f>IF(C46&lt;&gt;"",IFERROR(AVERAGE(出来高!E108:AC108),""),"")</f>
        <v>182876</v>
      </c>
      <c r="O46" s="168">
        <f>IF(AND(J46&lt;&gt;"",M46&lt;&gt;"",M46&lt;&gt;0),J46/M46,"")</f>
        <v>0.58421851289833082</v>
      </c>
      <c r="P46" s="163" t="str">
        <f>IF(O46="","",IF(O46&gt;=2,"急増↑↑",IF(O46&gt;=1.5,"増加↑",IF(O46&gt;=1,"普通→","減少↓"))))</f>
        <v>減少↓</v>
      </c>
      <c r="Q46" s="163" t="str">
        <f>IF(E46="","",IF(AND(E46&gt;G46,O46&gt;=1.5),"買い▲",IF(E46&lt;G46,"様子見▼","中立→")))</f>
        <v>中立→</v>
      </c>
      <c r="R46" s="166">
        <f>IF(E46&lt;&gt;"",ROUND(E46*1.08,0),"")</f>
        <v>4766</v>
      </c>
      <c r="S46" s="166">
        <f>IF(E46&lt;&gt;"",ROUND(E46*0.96,0),"")</f>
        <v>4236</v>
      </c>
      <c r="T46" s="163">
        <f>IF(C46="","",IFERROR(IF(O46&gt;=2,3,IF(O46&gt;=1.5,2,IF(O46&gt;=1,1,0)))+IF(E46&gt;G46,1,0)+IF(L46&gt;=-5,1,0)+IF(Q46="買い▲",2,0)+IF(W46&lt;=30,3,IF(W46&lt;=40,2,IF(AND(W46&gt;=40,W46&lt;=60),1,0)))+IF(X46&gt;0,1,0)+IF(V46="年初来高値更新●",3,IF(V46="高値圏",2,0))+IF(AD46="パーフェクト▲",3,IF(AD46="上昇トレンド▲",2,0))+IF(AE46="25日線押し目●",2,IF(AE46="5日線押し目○",1,0))+IF(P46="急増↑↑",2,IF(P46="増加↑",1,0))+N(AI46),0))</f>
        <v>7</v>
      </c>
      <c r="U46" s="163" t="str">
        <f>IF(T46="","",IF(AND(T46&gt;=3,O46&gt;=1.5),"有効",IF(T46&gt;=3,"要確認","除外")))</f>
        <v>要確認</v>
      </c>
      <c r="V46" s="163" t="str">
        <f>IF(AND(H46&lt;&gt;"",K46&lt;&gt;""),IF(H46&gt;=K46,"年初来高値更新●",IF(H46&gt;=K46*0.95,"高値圏","通常")),"")</f>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IF(AND(E46&lt;&gt;"",G46&lt;&gt;"",G46&lt;&gt;0),(E46-G46)/G46*100,"")</f>
        <v>1.0996563573883162</v>
      </c>
      <c r="AA46" s="163" t="str">
        <f>IF(OR(C46="",E46="",E46=0),"",IF(E46&gt;G46,"上昇▲",IF(E46&lt;G46,"下落▼","横ばい→")))</f>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IF(OR(C46="",AB46="",AC46=""),"",IF(AND(E46&gt;AB46,AB46&gt;AC46),"パーフェクト▲",IF(E46&gt;AC46,"上昇トレンド▲",IF(AND(E46&lt;AB46,AB46&lt;AC46),"下降トレンド▼","もみ合い→"))))</f>
        <v>パーフェクト▲</v>
      </c>
      <c r="AE46" s="404" t="str">
        <f>IF(OR(C46="",AB46="",AC46=""),"",IF(AND(ABS(E46-AC46)/AC46&lt;=0.02,E46&gt;AC46),"25日押し目★",IF(AND(ABS(E46-AB46)/AB46&lt;=0.01,E46&gt;AB46),"5日押し目○","なし")))</f>
        <v>なし</v>
      </c>
      <c r="AF46" s="365">
        <f t="array" ref="AF46">IF(C46="","",IFERROR((INDEX(終値!$E:$E,MATCH(TEXT(C46,"0"),終値!$A:$A,0))-INDEX(終値!$E:$CZ,MATCH(TEXT(C46,"0"),終値!$A:$A,0),$AL$2))/INDEX(終値!$E:$CZ,MATCH(TEXT(C46,"0"),終値!$A:$A,0),$AL$2)*100,""))</f>
        <v>6.0052846504924329</v>
      </c>
      <c r="AG46" s="365">
        <f t="array" ref="AG46">IFERROR((終値!$E$5-INDEX(終値!$E$5:$IT$5,1,$AL$2))/INDEX(終値!$E$5:$IT$5,1,$AL$2)*100,"")</f>
        <v>1.0179378228534113</v>
      </c>
      <c r="AH46" s="366">
        <f>IF(OR(AF46="",AG46=""),"",AF46-AG46)</f>
        <v>4.9873468276390218</v>
      </c>
      <c r="AI46" s="364">
        <f>IF(AH46="","",IF(AH46&gt;5,3,IF(AH46&gt;0,1,IF(AH46&gt;-3,-1,-2))))</f>
        <v>1</v>
      </c>
      <c r="BA46">
        <f>IFERROR((SUM(OFFSET(高値!$E$6,IFERROR(MATCH($C46,銘柄管理!$B$6:$B$305,0),MATCH(TEXT($C46,"0"),銘柄管理!$B$6:$B$305,0))-1,0,1,14))-SUM(OFFSET(安値!$E$6,IFERROR(MATCH($C46,銘柄管理!$B$6:$B$305,0),MATCH(TEXT($C46,"0"),銘柄管理!$B$6:$B$305,0))-1,0,1,14)))/SUM(OFFSET(終値!$E$6,IFERROR(MATCH($C46,銘柄管理!$B$6:$B$305,0),MATCH(TEXT($C46,"0"),銘柄管理!$B$6:$B$305,0))-1,0,1,14))*100,"")</f>
      </c>
      <c r="BB46">
        <f>IFERROR((MAX(OFFSET(高値!$E$6,IFERROR(MATCH($C46,銘柄管理!$B$6:$B$305,0),MATCH(TEXT($C46,"0"),銘柄管理!$B$6:$B$305,0))-1,0,1,25))-MIN(OFFSET(安値!$E$6,IFERROR(MATCH($C46,銘柄管理!$B$6:$B$305,0),MATCH(TEXT($C46,"0"),銘柄管理!$B$6:$B$305,0))-1,0,1,25)))/$E46*100,"")</f>
      </c>
      <c r="BC46">
        <f>IFERROR(($F46-$G46)/$G46*100,"")</f>
      </c>
      <c r="BD46">
        <f>IFERROR(($E46-MAX(OFFSET(高値!$E$6,IFERROR(MATCH($C46,銘柄管理!$B$6:$B$305,0),MATCH(TEXT($C46,"0"),銘柄管理!$B$6:$B$305,0))-1,0,1,25)))/MAX(OFFSET(高値!$E$6,IFERROR(MATCH($C46,銘柄管理!$B$6:$B$305,0),MATCH(TEXT($C46,"0"),銘柄管理!$B$6:$B$305,0))-1,0,1,25))*100,"")</f>
      </c>
      <c r="BE46">
        <f>IFERROR(($H46-$I46)/$F46*100,"")</f>
      </c>
      <c r="BF46">
        <f>IFERROR(-(($BA46-AVERAGE($BA$3:$BA$206))/STDEV($BA$3:$BA$206))-(($BE46-AVERAGE($BE$3:$BE$206))/STDEV($BE$3:$BE$206))-(($BB46-AVERAGE($BB$3:$BB$206))/STDEV($BB$3:$BB$206))-(($Z46-AVERAGE($Z$3:$Z$206))/STDEV($Z$3:$Z$206))-(($BC46-AVERAGE($BC$3:$BC$206))/STDEV($BC$3:$BC$206)),"")</f>
      </c>
      <c r="BG46">
        <f>IF(OR($C46="",$C46="TOPX",$BA46="",$BF46=""),0,IF(AND($BK$10=1,$BA46&lt;=$BK$2,$BB46&lt;=$BK$3,$BC46&lt;=$BK$4,$Z46&lt;=$BK$5,$Z46&gt;=$BK$6,$BD46&gt;=$BK$7,$BE46&lt;=$BK$8),1,0))</f>
      </c>
      <c r="BH46">
        <f>IF($C46="","",IF($BG46=1,"○ゲート通過",IF($BK$10&lt;&gt;1,"― この方向は停止中",IF($BA46&gt;$BK$2,"×値動きが荒い",IF($BB46&gt;$BK$3,"×レンジが広い",IF($BC46&gt;$BK$4,"×窓を開けて上昇",IF($Z46&gt;$BK$5,"×前日に急騰",IF($Z46&lt;$BK$6,"×前日に急落",IF($BD46&lt;$BK$7,"×高値から離れすぎ",IF($BE46&gt;$BK$8,"×当日の値幅が大きい","×")))))))))</f>
      </c>
    </row>
    <row r="47" spans="1:60"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IF(AND(E47&lt;&gt;"",K47&lt;&gt;"",K47&lt;&gt;0),(E47-K47)/K47*100,"")</f>
        <v>-3.5957350272232307</v>
      </c>
      <c r="M47" s="166">
        <f>IF(C47&lt;&gt;"",IFERROR(AVERAGE(出来高!E19:I19),""),"")</f>
        <v>10416060</v>
      </c>
      <c r="N47" s="166">
        <f>IF(C47&lt;&gt;"",IFERROR(AVERAGE(出来高!E19:AC19),""),"")</f>
        <v>9841340</v>
      </c>
      <c r="O47" s="168">
        <f>IF(AND(J47&lt;&gt;"",M47&lt;&gt;"",M47&lt;&gt;0),J47/M47,"")</f>
        <v>0.8944840947536784</v>
      </c>
      <c r="P47" s="163" t="str">
        <f>IF(O47="","",IF(O47&gt;=2,"急増↑↑",IF(O47&gt;=1.5,"増加↑",IF(O47&gt;=1,"普通→","減少↓"))))</f>
        <v>減少↓</v>
      </c>
      <c r="Q47" s="163" t="str">
        <f>IF(E47="","",IF(AND(E47&gt;G47,O47&gt;=1.5),"買い▲",IF(E47&lt;G47,"様子見▼","中立→")))</f>
        <v>中立→</v>
      </c>
      <c r="R47" s="166">
        <f>IF(E47&lt;&gt;"",ROUND(E47*1.08,0),"")</f>
        <v>9179</v>
      </c>
      <c r="S47" s="166">
        <f>IF(E47&lt;&gt;"",ROUND(E47*0.96,0),"")</f>
        <v>8159</v>
      </c>
      <c r="T47" s="163">
        <f>IF(C47="","",IFERROR(IF(O47&gt;=2,3,IF(O47&gt;=1.5,2,IF(O47&gt;=1,1,0)))+IF(E47&gt;G47,1,0)+IF(L47&gt;=-5,1,0)+IF(Q47="買い▲",2,0)+IF(W47&lt;=30,3,IF(W47&lt;=40,2,IF(AND(W47&gt;=40,W47&lt;=60),1,0)))+IF(X47&gt;0,1,0)+IF(V47="年初来高値更新●",3,IF(V47="高値圏",2,0))+IF(AD47="パーフェクト▲",3,IF(AD47="上昇トレンド▲",2,0))+IF(AE47="25日線押し目●",2,IF(AE47="5日線押し目○",1,0))+IF(P47="急増↑↑",2,IF(P47="増加↑",1,0))+N(AI47),0))</f>
        <v>12</v>
      </c>
      <c r="U47" s="163" t="str">
        <f>IF(T47="","",IF(AND(T47&gt;=3,O47&gt;=1.5),"有効",IF(T47&gt;=3,"要確認","除外")))</f>
        <v>要確認</v>
      </c>
      <c r="V47" s="163" t="str">
        <f>IF(AND(H47&lt;&gt;"",K47&lt;&gt;""),IF(H47&gt;=K47,"年初来高値更新●",IF(H47&gt;=K47*0.95,"高値圏","通常")),"")</f>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IF(AND(E47&lt;&gt;"",G47&lt;&gt;"",G47&lt;&gt;0),(E47-G47)/G47*100,"")</f>
        <v>0.34238488783943333</v>
      </c>
      <c r="AA47" s="163" t="str">
        <f>IF(OR(C47="",E47="",E47=0),"",IF(E47&gt;G47,"上昇▲",IF(E47&lt;G47,"下落▼","横ばい→")))</f>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IF(OR(C47="",AB47="",AC47=""),"",IF(AND(E47&gt;AB47,AB47&gt;AC47),"パーフェクト▲",IF(E47&gt;AC47,"上昇トレンド▲",IF(AND(E47&lt;AB47,AB47&lt;AC47),"下降トレンド▼","もみ合い→"))))</f>
        <v>パーフェクト▲</v>
      </c>
      <c r="AE47" s="406" t="str">
        <f>IF(OR(C47="",AB47="",AC47=""),"",IF(AND(ABS(E47-AC47)/AC47&lt;=0.02,E47&gt;AC47),"25日押し目★",IF(AND(ABS(E47-AB47)/AB47&lt;=0.01,E47&gt;AB47),"5日押し目○","なし")))</f>
        <v>なし</v>
      </c>
      <c r="AF47" s="365">
        <f t="array" ref="AF47">IF(C47="","",IFERROR((INDEX(終値!$E:$E,MATCH(TEXT(C47,"0"),終値!$A:$A,0))-INDEX(終値!$E:$CZ,MATCH(TEXT(C47,"0"),終値!$A:$A,0),$AL$2))/INDEX(終値!$E:$CZ,MATCH(TEXT(C47,"0"),終値!$A:$A,0),$AL$2)*100,""))</f>
        <v>8.766316867161505</v>
      </c>
      <c r="AG47" s="365">
        <f t="array" ref="AG47">IFERROR((終値!$E$5-INDEX(終値!$E$5:$IT$5,1,$AL$2))/INDEX(終値!$E$5:$IT$5,1,$AL$2)*100,"")</f>
        <v>1.0179378228534113</v>
      </c>
      <c r="AH47" s="366">
        <f>IF(OR(AF47="",AG47=""),"",AF47-AG47)</f>
        <v>7.748379044308094</v>
      </c>
      <c r="AI47" s="364">
        <f>IF(AH47="","",IF(AH47&gt;5,3,IF(AH47&gt;0,1,IF(AH47&gt;-3,-1,-2))))</f>
        <v>3</v>
      </c>
      <c r="BA47">
        <f>IFERROR((SUM(OFFSET(高値!$E$6,IFERROR(MATCH($C47,銘柄管理!$B$6:$B$305,0),MATCH(TEXT($C47,"0"),銘柄管理!$B$6:$B$305,0))-1,0,1,14))-SUM(OFFSET(安値!$E$6,IFERROR(MATCH($C47,銘柄管理!$B$6:$B$305,0),MATCH(TEXT($C47,"0"),銘柄管理!$B$6:$B$305,0))-1,0,1,14)))/SUM(OFFSET(終値!$E$6,IFERROR(MATCH($C47,銘柄管理!$B$6:$B$305,0),MATCH(TEXT($C47,"0"),銘柄管理!$B$6:$B$305,0))-1,0,1,14))*100,"")</f>
      </c>
      <c r="BB47">
        <f>IFERROR((MAX(OFFSET(高値!$E$6,IFERROR(MATCH($C47,銘柄管理!$B$6:$B$305,0),MATCH(TEXT($C47,"0"),銘柄管理!$B$6:$B$305,0))-1,0,1,25))-MIN(OFFSET(安値!$E$6,IFERROR(MATCH($C47,銘柄管理!$B$6:$B$305,0),MATCH(TEXT($C47,"0"),銘柄管理!$B$6:$B$305,0))-1,0,1,25)))/$E47*100,"")</f>
      </c>
      <c r="BC47">
        <f>IFERROR(($F47-$G47)/$G47*100,"")</f>
      </c>
      <c r="BD47">
        <f>IFERROR(($E47-MAX(OFFSET(高値!$E$6,IFERROR(MATCH($C47,銘柄管理!$B$6:$B$305,0),MATCH(TEXT($C47,"0"),銘柄管理!$B$6:$B$305,0))-1,0,1,25)))/MAX(OFFSET(高値!$E$6,IFERROR(MATCH($C47,銘柄管理!$B$6:$B$305,0),MATCH(TEXT($C47,"0"),銘柄管理!$B$6:$B$305,0))-1,0,1,25))*100,"")</f>
      </c>
      <c r="BE47">
        <f>IFERROR(($H47-$I47)/$F47*100,"")</f>
      </c>
      <c r="BF47">
        <f>IFERROR(-(($BA47-AVERAGE($BA$3:$BA$206))/STDEV($BA$3:$BA$206))-(($BE47-AVERAGE($BE$3:$BE$206))/STDEV($BE$3:$BE$206))-(($BB47-AVERAGE($BB$3:$BB$206))/STDEV($BB$3:$BB$206))-(($Z47-AVERAGE($Z$3:$Z$206))/STDEV($Z$3:$Z$206))-(($BC47-AVERAGE($BC$3:$BC$206))/STDEV($BC$3:$BC$206)),"")</f>
      </c>
      <c r="BG47">
        <f>IF(OR($C47="",$C47="TOPX",$BA47="",$BF47=""),0,IF(AND($BK$10=1,$BA47&lt;=$BK$2,$BB47&lt;=$BK$3,$BC47&lt;=$BK$4,$Z47&lt;=$BK$5,$Z47&gt;=$BK$6,$BD47&gt;=$BK$7,$BE47&lt;=$BK$8),1,0))</f>
      </c>
      <c r="BH47">
        <f>IF($C47="","",IF($BG47=1,"○ゲート通過",IF($BK$10&lt;&gt;1,"― この方向は停止中",IF($BA47&gt;$BK$2,"×値動きが荒い",IF($BB47&gt;$BK$3,"×レンジが広い",IF($BC47&gt;$BK$4,"×窓を開けて上昇",IF($Z47&gt;$BK$5,"×前日に急騰",IF($Z47&lt;$BK$6,"×前日に急落",IF($BD47&lt;$BK$7,"×高値から離れすぎ",IF($BE47&gt;$BK$8,"×当日の値幅が大きい","×")))))))))</f>
      </c>
    </row>
    <row r="48" spans="1:60"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IF(AND(E48&lt;&gt;"",K48&lt;&gt;"",K48&lt;&gt;0),(E48-K48)/K48*100,"")</f>
        <v>-5.3713650676051117</v>
      </c>
      <c r="M48" s="166">
        <f>IF(C48&lt;&gt;"",IFERROR(AVERAGE(出来高!E123:I123),""),"")</f>
        <v>1915160</v>
      </c>
      <c r="N48" s="166">
        <f>IF(C48&lt;&gt;"",IFERROR(AVERAGE(出来高!E123:AC123),""),"")</f>
        <v>1476476</v>
      </c>
      <c r="O48" s="168">
        <f>IF(AND(J48&lt;&gt;"",M48&lt;&gt;"",M48&lt;&gt;0),J48/M48,"")</f>
        <v>1.3061049729526515</v>
      </c>
      <c r="P48" s="163" t="str">
        <f>IF(O48="","",IF(O48&gt;=2,"急増↑↑",IF(O48&gt;=1.5,"増加↑",IF(O48&gt;=1,"普通→","減少↓"))))</f>
        <v>普通→</v>
      </c>
      <c r="Q48" s="163" t="str">
        <f>IF(E48="","",IF(AND(E48&gt;G48,O48&gt;=1.5),"買い▲",IF(E48&lt;G48,"様子見▼","中立→")))</f>
        <v>様子見▼</v>
      </c>
      <c r="R48" s="166">
        <f>IF(E48&lt;&gt;"",ROUND(E48*1.08,0),"")</f>
        <v>2759</v>
      </c>
      <c r="S48" s="166">
        <f>IF(E48&lt;&gt;"",ROUND(E48*0.96,0),"")</f>
        <v>2452</v>
      </c>
      <c r="T48" s="163">
        <f>IF(C48="","",IFERROR(IF(O48&gt;=2,3,IF(O48&gt;=1.5,2,IF(O48&gt;=1,1,0)))+IF(E48&gt;G48,1,0)+IF(L48&gt;=-5,1,0)+IF(Q48="買い▲",2,0)+IF(W48&lt;=30,3,IF(W48&lt;=40,2,IF(AND(W48&gt;=40,W48&lt;=60),1,0)))+IF(X48&gt;0,1,0)+IF(V48="年初来高値更新●",3,IF(V48="高値圏",2,0))+IF(AD48="パーフェクト▲",3,IF(AD48="上昇トレンド▲",2,0))+IF(AE48="25日線押し目●",2,IF(AE48="5日線押し目○",1,0))+IF(P48="急増↑↑",2,IF(P48="増加↑",1,0))+N(AI48),0))</f>
        <v>5</v>
      </c>
      <c r="U48" s="163" t="str">
        <f>IF(T48="","",IF(AND(T48&gt;=3,O48&gt;=1.5),"有効",IF(T48&gt;=3,"要確認","除外")))</f>
        <v>要確認</v>
      </c>
      <c r="V48" s="163" t="str">
        <f>IF(AND(H48&lt;&gt;"",K48&lt;&gt;""),IF(H48&gt;=K48,"年初来高値更新●",IF(H48&gt;=K48*0.95,"高値圏","通常")),"")</f>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IF(AND(E48&lt;&gt;"",G48&lt;&gt;"",G48&lt;&gt;0),(E48-G48)/G48*100,"")</f>
        <v>-0.98837209302325579</v>
      </c>
      <c r="AA48" s="163" t="str">
        <f>IF(OR(C48="",E48="",E48=0),"",IF(E48&gt;G48,"上昇▲",IF(E48&lt;G48,"下落▼","横ばい→")))</f>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IF(OR(C48="",AB48="",AC48=""),"",IF(AND(E48&gt;AB48,AB48&gt;AC48),"パーフェクト▲",IF(E48&gt;AC48,"上昇トレンド▲",IF(AND(E48&lt;AB48,AB48&lt;AC48),"下降トレンド▼","もみ合い→"))))</f>
        <v>下降トレンド▼</v>
      </c>
      <c r="AE48" s="404" t="str">
        <f>IF(OR(C48="",AB48="",AC48=""),"",IF(AND(ABS(E48-AC48)/AC48&lt;=0.02,E48&gt;AC48),"25日押し目★",IF(AND(ABS(E48-AB48)/AB48&lt;=0.01,E48&gt;AB48),"5日押し目○","なし")))</f>
        <v>なし</v>
      </c>
      <c r="AF48" s="365">
        <f t="array" ref="AF48">IF(C48="","",IFERROR((INDEX(終値!$E:$E,MATCH(TEXT(C48,"0"),終値!$A:$A,0))-INDEX(終値!$E:$CZ,MATCH(TEXT(C48,"0"),終値!$A:$A,0),$AL$2))/INDEX(終値!$E:$CZ,MATCH(TEXT(C48,"0"),終値!$A:$A,0),$AL$2)*100,""))</f>
        <v>5.886010362694301</v>
      </c>
      <c r="AG48" s="365">
        <f t="array" ref="AG48">IFERROR((終値!$E$5-INDEX(終値!$E$5:$IT$5,1,$AL$2))/INDEX(終値!$E$5:$IT$5,1,$AL$2)*100,"")</f>
        <v>1.0179378228534113</v>
      </c>
      <c r="AH48" s="366">
        <f>IF(OR(AF48="",AG48=""),"",AF48-AG48)</f>
        <v>4.8680725398408899</v>
      </c>
      <c r="AI48" s="364">
        <f>IF(AH48="","",IF(AH48&gt;5,3,IF(AH48&gt;0,1,IF(AH48&gt;-3,-1,-2))))</f>
        <v>1</v>
      </c>
      <c r="BA48">
        <f>IFERROR((SUM(OFFSET(高値!$E$6,IFERROR(MATCH($C48,銘柄管理!$B$6:$B$305,0),MATCH(TEXT($C48,"0"),銘柄管理!$B$6:$B$305,0))-1,0,1,14))-SUM(OFFSET(安値!$E$6,IFERROR(MATCH($C48,銘柄管理!$B$6:$B$305,0),MATCH(TEXT($C48,"0"),銘柄管理!$B$6:$B$305,0))-1,0,1,14)))/SUM(OFFSET(終値!$E$6,IFERROR(MATCH($C48,銘柄管理!$B$6:$B$305,0),MATCH(TEXT($C48,"0"),銘柄管理!$B$6:$B$305,0))-1,0,1,14))*100,"")</f>
      </c>
      <c r="BB48">
        <f>IFERROR((MAX(OFFSET(高値!$E$6,IFERROR(MATCH($C48,銘柄管理!$B$6:$B$305,0),MATCH(TEXT($C48,"0"),銘柄管理!$B$6:$B$305,0))-1,0,1,25))-MIN(OFFSET(安値!$E$6,IFERROR(MATCH($C48,銘柄管理!$B$6:$B$305,0),MATCH(TEXT($C48,"0"),銘柄管理!$B$6:$B$305,0))-1,0,1,25)))/$E48*100,"")</f>
      </c>
      <c r="BC48">
        <f>IFERROR(($F48-$G48)/$G48*100,"")</f>
      </c>
      <c r="BD48">
        <f>IFERROR(($E48-MAX(OFFSET(高値!$E$6,IFERROR(MATCH($C48,銘柄管理!$B$6:$B$305,0),MATCH(TEXT($C48,"0"),銘柄管理!$B$6:$B$305,0))-1,0,1,25)))/MAX(OFFSET(高値!$E$6,IFERROR(MATCH($C48,銘柄管理!$B$6:$B$305,0),MATCH(TEXT($C48,"0"),銘柄管理!$B$6:$B$305,0))-1,0,1,25))*100,"")</f>
      </c>
      <c r="BE48">
        <f>IFERROR(($H48-$I48)/$F48*100,"")</f>
      </c>
      <c r="BF48">
        <f>IFERROR(-(($BA48-AVERAGE($BA$3:$BA$206))/STDEV($BA$3:$BA$206))-(($BE48-AVERAGE($BE$3:$BE$206))/STDEV($BE$3:$BE$206))-(($BB48-AVERAGE($BB$3:$BB$206))/STDEV($BB$3:$BB$206))-(($Z48-AVERAGE($Z$3:$Z$206))/STDEV($Z$3:$Z$206))-(($BC48-AVERAGE($BC$3:$BC$206))/STDEV($BC$3:$BC$206)),"")</f>
      </c>
      <c r="BG48">
        <f>IF(OR($C48="",$C48="TOPX",$BA48="",$BF48=""),0,IF(AND($BK$10=1,$BA48&lt;=$BK$2,$BB48&lt;=$BK$3,$BC48&lt;=$BK$4,$Z48&lt;=$BK$5,$Z48&gt;=$BK$6,$BD48&gt;=$BK$7,$BE48&lt;=$BK$8),1,0))</f>
      </c>
      <c r="BH48">
        <f>IF($C48="","",IF($BG48=1,"○ゲート通過",IF($BK$10&lt;&gt;1,"― この方向は停止中",IF($BA48&gt;$BK$2,"×値動きが荒い",IF($BB48&gt;$BK$3,"×レンジが広い",IF($BC48&gt;$BK$4,"×窓を開けて上昇",IF($Z48&gt;$BK$5,"×前日に急騰",IF($Z48&lt;$BK$6,"×前日に急落",IF($BD48&lt;$BK$7,"×高値から離れすぎ",IF($BE48&gt;$BK$8,"×当日の値幅が大きい","×")))))))))</f>
      </c>
    </row>
    <row r="49" spans="1:60"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IF(AND(E49&lt;&gt;"",K49&lt;&gt;"",K49&lt;&gt;0),(E49-K49)/K49*100,"")</f>
        <v>-2.5178504321683577</v>
      </c>
      <c r="M49" s="166">
        <f>IF(C49&lt;&gt;"",IFERROR(AVERAGE(出来高!E122:I122),""),"")</f>
        <v>1120580</v>
      </c>
      <c r="N49" s="166">
        <f>IF(C49&lt;&gt;"",IFERROR(AVERAGE(出来高!E122:AC122),""),"")</f>
        <v>970820</v>
      </c>
      <c r="O49" s="168">
        <f>IF(AND(J49&lt;&gt;"",M49&lt;&gt;"",M49&lt;&gt;0),J49/M49,"")</f>
        <v>1.0559710150100841</v>
      </c>
      <c r="P49" s="163" t="str">
        <f>IF(O49="","",IF(O49&gt;=2,"急増↑↑",IF(O49&gt;=1.5,"増加↑",IF(O49&gt;=1,"普通→","減少↓"))))</f>
        <v>普通→</v>
      </c>
      <c r="Q49" s="163" t="str">
        <f>IF(E49="","",IF(AND(E49&gt;G49,O49&gt;=1.5),"買い▲",IF(E49&lt;G49,"様子見▼","中立→")))</f>
        <v>中立→</v>
      </c>
      <c r="R49" s="166">
        <f>IF(E49&lt;&gt;"",ROUND(E49*1.08,0),"")</f>
        <v>2802</v>
      </c>
      <c r="S49" s="166">
        <f>IF(E49&lt;&gt;"",ROUND(E49*0.96,0),"")</f>
        <v>2490</v>
      </c>
      <c r="T49" s="163">
        <f>IF(C49="","",IFERROR(IF(O49&gt;=2,3,IF(O49&gt;=1.5,2,IF(O49&gt;=1,1,0)))+IF(E49&gt;G49,1,0)+IF(L49&gt;=-5,1,0)+IF(Q49="買い▲",2,0)+IF(W49&lt;=30,3,IF(W49&lt;=40,2,IF(AND(W49&gt;=40,W49&lt;=60),1,0)))+IF(X49&gt;0,1,0)+IF(V49="年初来高値更新●",3,IF(V49="高値圏",2,0))+IF(AD49="パーフェクト▲",3,IF(AD49="上昇トレンド▲",2,0))+IF(AE49="25日線押し目●",2,IF(AE49="5日線押し目○",1,0))+IF(P49="急増↑↑",2,IF(P49="増加↑",1,0))+N(AI49),0))</f>
        <v>10</v>
      </c>
      <c r="U49" s="163" t="str">
        <f>IF(T49="","",IF(AND(T49&gt;=3,O49&gt;=1.5),"有効",IF(T49&gt;=3,"要確認","除外")))</f>
        <v>要確認</v>
      </c>
      <c r="V49" s="163" t="str">
        <f>IF(AND(H49&lt;&gt;"",K49&lt;&gt;""),IF(H49&gt;=K49,"年初来高値更新●",IF(H49&gt;=K49*0.95,"高値圏","通常")),"")</f>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IF(AND(E49&lt;&gt;"",G49&lt;&gt;"",G49&lt;&gt;0),(E49-G49)/G49*100,"")</f>
        <v>1.0124610591900312</v>
      </c>
      <c r="AA49" s="163" t="str">
        <f>IF(OR(C49="",E49="",E49=0),"",IF(E49&gt;G49,"上昇▲",IF(E49&lt;G49,"下落▼","横ばい→")))</f>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IF(OR(C49="",AB49="",AC49=""),"",IF(AND(E49&gt;AB49,AB49&gt;AC49),"パーフェクト▲",IF(E49&gt;AC49,"上昇トレンド▲",IF(AND(E49&lt;AB49,AB49&lt;AC49),"下降トレンド▼","もみ合い→"))))</f>
        <v>もみ合い→</v>
      </c>
      <c r="AE49" s="406" t="str">
        <f>IF(OR(C49="",AB49="",AC49=""),"",IF(AND(ABS(E49-AC49)/AC49&lt;=0.02,E49&gt;AC49),"25日押し目★",IF(AND(ABS(E49-AB49)/AB49&lt;=0.01,E49&gt;AB49),"5日押し目○","なし")))</f>
        <v>なし</v>
      </c>
      <c r="AF49" s="365">
        <f t="array" ref="AF49">IF(C49="","",IFERROR((INDEX(終値!$E:$E,MATCH(TEXT(C49,"0"),終値!$A:$A,0))-INDEX(終値!$E:$CZ,MATCH(TEXT(C49,"0"),終値!$A:$A,0),$AL$2))/INDEX(終値!$E:$CZ,MATCH(TEXT(C49,"0"),終値!$A:$A,0),$AL$2)*100,""))</f>
        <v>9.985160059359762</v>
      </c>
      <c r="AG49" s="365">
        <f t="array" ref="AG49">IFERROR((終値!$E$5-INDEX(終値!$E$5:$IT$5,1,$AL$2))/INDEX(終値!$E$5:$IT$5,1,$AL$2)*100,"")</f>
        <v>1.0179378228534113</v>
      </c>
      <c r="AH49" s="366">
        <f>IF(OR(AF49="",AG49=""),"",AF49-AG49)</f>
        <v>8.9672222365063501</v>
      </c>
      <c r="AI49" s="364">
        <f>IF(AH49="","",IF(AH49&gt;5,3,IF(AH49&gt;0,1,IF(AH49&gt;-3,-1,-2))))</f>
        <v>3</v>
      </c>
      <c r="BA49">
        <f>IFERROR((SUM(OFFSET(高値!$E$6,IFERROR(MATCH($C49,銘柄管理!$B$6:$B$305,0),MATCH(TEXT($C49,"0"),銘柄管理!$B$6:$B$305,0))-1,0,1,14))-SUM(OFFSET(安値!$E$6,IFERROR(MATCH($C49,銘柄管理!$B$6:$B$305,0),MATCH(TEXT($C49,"0"),銘柄管理!$B$6:$B$305,0))-1,0,1,14)))/SUM(OFFSET(終値!$E$6,IFERROR(MATCH($C49,銘柄管理!$B$6:$B$305,0),MATCH(TEXT($C49,"0"),銘柄管理!$B$6:$B$305,0))-1,0,1,14))*100,"")</f>
      </c>
      <c r="BB49">
        <f>IFERROR((MAX(OFFSET(高値!$E$6,IFERROR(MATCH($C49,銘柄管理!$B$6:$B$305,0),MATCH(TEXT($C49,"0"),銘柄管理!$B$6:$B$305,0))-1,0,1,25))-MIN(OFFSET(安値!$E$6,IFERROR(MATCH($C49,銘柄管理!$B$6:$B$305,0),MATCH(TEXT($C49,"0"),銘柄管理!$B$6:$B$305,0))-1,0,1,25)))/$E49*100,"")</f>
      </c>
      <c r="BC49">
        <f>IFERROR(($F49-$G49)/$G49*100,"")</f>
      </c>
      <c r="BD49">
        <f>IFERROR(($E49-MAX(OFFSET(高値!$E$6,IFERROR(MATCH($C49,銘柄管理!$B$6:$B$305,0),MATCH(TEXT($C49,"0"),銘柄管理!$B$6:$B$305,0))-1,0,1,25)))/MAX(OFFSET(高値!$E$6,IFERROR(MATCH($C49,銘柄管理!$B$6:$B$305,0),MATCH(TEXT($C49,"0"),銘柄管理!$B$6:$B$305,0))-1,0,1,25))*100,"")</f>
      </c>
      <c r="BE49">
        <f>IFERROR(($H49-$I49)/$F49*100,"")</f>
      </c>
      <c r="BF49">
        <f>IFERROR(-(($BA49-AVERAGE($BA$3:$BA$206))/STDEV($BA$3:$BA$206))-(($BE49-AVERAGE($BE$3:$BE$206))/STDEV($BE$3:$BE$206))-(($BB49-AVERAGE($BB$3:$BB$206))/STDEV($BB$3:$BB$206))-(($Z49-AVERAGE($Z$3:$Z$206))/STDEV($Z$3:$Z$206))-(($BC49-AVERAGE($BC$3:$BC$206))/STDEV($BC$3:$BC$206)),"")</f>
      </c>
      <c r="BG49">
        <f>IF(OR($C49="",$C49="TOPX",$BA49="",$BF49=""),0,IF(AND($BK$10=1,$BA49&lt;=$BK$2,$BB49&lt;=$BK$3,$BC49&lt;=$BK$4,$Z49&lt;=$BK$5,$Z49&gt;=$BK$6,$BD49&gt;=$BK$7,$BE49&lt;=$BK$8),1,0))</f>
      </c>
      <c r="BH49">
        <f>IF($C49="","",IF($BG49=1,"○ゲート通過",IF($BK$10&lt;&gt;1,"― この方向は停止中",IF($BA49&gt;$BK$2,"×値動きが荒い",IF($BB49&gt;$BK$3,"×レンジが広い",IF($BC49&gt;$BK$4,"×窓を開けて上昇",IF($Z49&gt;$BK$5,"×前日に急騰",IF($Z49&lt;$BK$6,"×前日に急落",IF($BD49&lt;$BK$7,"×高値から離れすぎ",IF($BE49&gt;$BK$8,"×当日の値幅が大きい","×")))))))))</f>
      </c>
    </row>
    <row r="50" spans="1:60"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IF(AND(E50&lt;&gt;"",K50&lt;&gt;"",K50&lt;&gt;0),(E50-K50)/K50*100,"")</f>
        <v>-6.5977961432506893</v>
      </c>
      <c r="M50" s="166">
        <f>IF(C50&lt;&gt;"",IFERROR(AVERAGE(出来高!E50:I50),""),"")</f>
        <v>14272960</v>
      </c>
      <c r="N50" s="166">
        <f>IF(C50&lt;&gt;"",IFERROR(AVERAGE(出来高!E50:AC50),""),"")</f>
        <v>12951480</v>
      </c>
      <c r="O50" s="168">
        <f>IF(AND(J50&lt;&gt;"",M50&lt;&gt;"",M50&lt;&gt;0),J50/M50,"")</f>
        <v>0.74868842902943744</v>
      </c>
      <c r="P50" s="163" t="str">
        <f>IF(O50="","",IF(O50&gt;=2,"急増↑↑",IF(O50&gt;=1.5,"増加↑",IF(O50&gt;=1,"普通→","減少↓"))))</f>
        <v>減少↓</v>
      </c>
      <c r="Q50" s="163" t="str">
        <f>IF(E50="","",IF(AND(E50&gt;G50,O50&gt;=1.5),"買い▲",IF(E50&lt;G50,"様子見▼","中立→")))</f>
        <v>中立→</v>
      </c>
      <c r="R50" s="166">
        <f>IF(E50&lt;&gt;"",ROUND(E50*1.08,0),"")</f>
        <v>7323</v>
      </c>
      <c r="S50" s="166">
        <f>IF(E50&lt;&gt;"",ROUND(E50*0.96,0),"")</f>
        <v>6510</v>
      </c>
      <c r="T50" s="163">
        <f>IF(C50="","",IFERROR(IF(O50&gt;=2,3,IF(O50&gt;=1.5,2,IF(O50&gt;=1,1,0)))+IF(E50&gt;G50,1,0)+IF(L50&gt;=-5,1,0)+IF(Q50="買い▲",2,0)+IF(W50&lt;=30,3,IF(W50&lt;=40,2,IF(AND(W50&gt;=40,W50&lt;=60),1,0)))+IF(X50&gt;0,1,0)+IF(V50="年初来高値更新●",3,IF(V50="高値圏",2,0))+IF(AD50="パーフェクト▲",3,IF(AD50="上昇トレンド▲",2,0))+IF(AE50="25日線押し目●",2,IF(AE50="5日線押し目○",1,0))+IF(P50="急増↑↑",2,IF(P50="増加↑",1,0))+N(AI50),0))</f>
        <v>4</v>
      </c>
      <c r="U50" s="163" t="str">
        <f>IF(T50="","",IF(AND(T50&gt;=3,O50&gt;=1.5),"有効",IF(T50&gt;=3,"要確認","除外")))</f>
        <v>要確認</v>
      </c>
      <c r="V50" s="163" t="str">
        <f>IF(AND(H50&lt;&gt;"",K50&lt;&gt;""),IF(H50&gt;=K50,"年初来高値更新●",IF(H50&gt;=K50*0.95,"高値圏","通常")),"")</f>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IF(AND(E50&lt;&gt;"",G50&lt;&gt;"",G50&lt;&gt;0),(E50-G50)/G50*100,"")</f>
        <v>1.7251725172517254</v>
      </c>
      <c r="AA50" s="163" t="str">
        <f>IF(OR(C50="",E50="",E50=0),"",IF(E50&gt;G50,"上昇▲",IF(E50&lt;G50,"下落▼","横ばい→")))</f>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IF(OR(C50="",AB50="",AC50=""),"",IF(AND(E50&gt;AB50,AB50&gt;AC50),"パーフェクト▲",IF(E50&gt;AC50,"上昇トレンド▲",IF(AND(E50&lt;AB50,AB50&lt;AC50),"下降トレンド▼","もみ合い→"))))</f>
        <v>下降トレンド▼</v>
      </c>
      <c r="AE50" s="404" t="str">
        <f>IF(OR(C50="",AB50="",AC50=""),"",IF(AND(ABS(E50-AC50)/AC50&lt;=0.02,E50&gt;AC50),"25日押し目★",IF(AND(ABS(E50-AB50)/AB50&lt;=0.01,E50&gt;AB50),"5日押し目○","なし")))</f>
        <v>なし</v>
      </c>
      <c r="AF50" s="365">
        <f t="array" ref="AF50">IF(C50="","",IFERROR((INDEX(終値!$E:$E,MATCH(TEXT(C50,"0"),終値!$A:$A,0))-INDEX(終値!$E:$CZ,MATCH(TEXT(C50,"0"),終値!$A:$A,0),$AL$2))/INDEX(終値!$E:$CZ,MATCH(TEXT(C50,"0"),終値!$A:$A,0),$AL$2)*100,""))</f>
        <v>5.4096067153738536</v>
      </c>
      <c r="AG50" s="365">
        <f t="array" ref="AG50">IFERROR((終値!$E$5-INDEX(終値!$E$5:$IT$5,1,$AL$2))/INDEX(終値!$E$5:$IT$5,1,$AL$2)*100,"")</f>
        <v>1.0179378228534113</v>
      </c>
      <c r="AH50" s="366">
        <f>IF(OR(AF50="",AG50=""),"",AF50-AG50)</f>
        <v>4.3916688925204426</v>
      </c>
      <c r="AI50" s="364">
        <f>IF(AH50="","",IF(AH50&gt;5,3,IF(AH50&gt;0,1,IF(AH50&gt;-3,-1,-2))))</f>
        <v>1</v>
      </c>
      <c r="BA50">
        <f>IFERROR((SUM(OFFSET(高値!$E$6,IFERROR(MATCH($C50,銘柄管理!$B$6:$B$305,0),MATCH(TEXT($C50,"0"),銘柄管理!$B$6:$B$305,0))-1,0,1,14))-SUM(OFFSET(安値!$E$6,IFERROR(MATCH($C50,銘柄管理!$B$6:$B$305,0),MATCH(TEXT($C50,"0"),銘柄管理!$B$6:$B$305,0))-1,0,1,14)))/SUM(OFFSET(終値!$E$6,IFERROR(MATCH($C50,銘柄管理!$B$6:$B$305,0),MATCH(TEXT($C50,"0"),銘柄管理!$B$6:$B$305,0))-1,0,1,14))*100,"")</f>
      </c>
      <c r="BB50">
        <f>IFERROR((MAX(OFFSET(高値!$E$6,IFERROR(MATCH($C50,銘柄管理!$B$6:$B$305,0),MATCH(TEXT($C50,"0"),銘柄管理!$B$6:$B$305,0))-1,0,1,25))-MIN(OFFSET(安値!$E$6,IFERROR(MATCH($C50,銘柄管理!$B$6:$B$305,0),MATCH(TEXT($C50,"0"),銘柄管理!$B$6:$B$305,0))-1,0,1,25)))/$E50*100,"")</f>
      </c>
      <c r="BC50">
        <f>IFERROR(($F50-$G50)/$G50*100,"")</f>
      </c>
      <c r="BD50">
        <f>IFERROR(($E50-MAX(OFFSET(高値!$E$6,IFERROR(MATCH($C50,銘柄管理!$B$6:$B$305,0),MATCH(TEXT($C50,"0"),銘柄管理!$B$6:$B$305,0))-1,0,1,25)))/MAX(OFFSET(高値!$E$6,IFERROR(MATCH($C50,銘柄管理!$B$6:$B$305,0),MATCH(TEXT($C50,"0"),銘柄管理!$B$6:$B$305,0))-1,0,1,25))*100,"")</f>
      </c>
      <c r="BE50">
        <f>IFERROR(($H50-$I50)/$F50*100,"")</f>
      </c>
      <c r="BF50">
        <f>IFERROR(-(($BA50-AVERAGE($BA$3:$BA$206))/STDEV($BA$3:$BA$206))-(($BE50-AVERAGE($BE$3:$BE$206))/STDEV($BE$3:$BE$206))-(($BB50-AVERAGE($BB$3:$BB$206))/STDEV($BB$3:$BB$206))-(($Z50-AVERAGE($Z$3:$Z$206))/STDEV($Z$3:$Z$206))-(($BC50-AVERAGE($BC$3:$BC$206))/STDEV($BC$3:$BC$206)),"")</f>
      </c>
      <c r="BG50">
        <f>IF(OR($C50="",$C50="TOPX",$BA50="",$BF50=""),0,IF(AND($BK$10=1,$BA50&lt;=$BK$2,$BB50&lt;=$BK$3,$BC50&lt;=$BK$4,$Z50&lt;=$BK$5,$Z50&gt;=$BK$6,$BD50&gt;=$BK$7,$BE50&lt;=$BK$8),1,0))</f>
      </c>
      <c r="BH50">
        <f>IF($C50="","",IF($BG50=1,"○ゲート通過",IF($BK$10&lt;&gt;1,"― この方向は停止中",IF($BA50&gt;$BK$2,"×値動きが荒い",IF($BB50&gt;$BK$3,"×レンジが広い",IF($BC50&gt;$BK$4,"×窓を開けて上昇",IF($Z50&gt;$BK$5,"×前日に急騰",IF($Z50&lt;$BK$6,"×前日に急落",IF($BD50&lt;$BK$7,"×高値から離れすぎ",IF($BE50&gt;$BK$8,"×当日の値幅が大きい","×")))))))))</f>
      </c>
    </row>
    <row r="51" spans="1:60"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IF(AND(E51&lt;&gt;"",K51&lt;&gt;"",K51&lt;&gt;0),(E51-K51)/K51*100,"")</f>
        <v>-1.5249266862170088</v>
      </c>
      <c r="M51" s="166">
        <f>IF(C51&lt;&gt;"",IFERROR(AVERAGE(出来高!E31:I31),""),"")</f>
        <v>11203700</v>
      </c>
      <c r="N51" s="166">
        <f>IF(C51&lt;&gt;"",IFERROR(AVERAGE(出来高!E31:AC31),""),"")</f>
        <v>4648868</v>
      </c>
      <c r="O51" s="168">
        <f>IF(AND(J51&lt;&gt;"",M51&lt;&gt;"",M51&lt;&gt;0),J51/M51,"")</f>
        <v>0.68725510322482752</v>
      </c>
      <c r="P51" s="163" t="str">
        <f>IF(O51="","",IF(O51&gt;=2,"急増↑↑",IF(O51&gt;=1.5,"増加↑",IF(O51&gt;=1,"普通→","減少↓"))))</f>
        <v>減少↓</v>
      </c>
      <c r="Q51" s="163" t="str">
        <f>IF(E51="","",IF(AND(E51&gt;G51,O51&gt;=1.5),"買い▲",IF(E51&lt;G51,"様子見▼","中立→")))</f>
        <v>中立→</v>
      </c>
      <c r="R51" s="166">
        <f>IF(E51&lt;&gt;"",ROUND(E51*1.08,0),"")</f>
        <v>1813</v>
      </c>
      <c r="S51" s="166">
        <f>IF(E51&lt;&gt;"",ROUND(E51*0.96,0),"")</f>
        <v>1612</v>
      </c>
      <c r="T51" s="163">
        <f>IF(C51="","",IFERROR(IF(O51&gt;=2,3,IF(O51&gt;=1.5,2,IF(O51&gt;=1,1,0)))+IF(E51&gt;G51,1,0)+IF(L51&gt;=-5,1,0)+IF(Q51="買い▲",2,0)+IF(W51&lt;=30,3,IF(W51&lt;=40,2,IF(AND(W51&gt;=40,W51&lt;=60),1,0)))+IF(X51&gt;0,1,0)+IF(V51="年初来高値更新●",3,IF(V51="高値圏",2,0))+IF(AD51="パーフェクト▲",3,IF(AD51="上昇トレンド▲",2,0))+IF(AE51="25日線押し目●",2,IF(AE51="5日線押し目○",1,0))+IF(P51="急増↑↑",2,IF(P51="増加↑",1,0))+N(AI51),0))</f>
        <v>9</v>
      </c>
      <c r="U51" s="163" t="str">
        <f>IF(T51="","",IF(AND(T51&gt;=3,O51&gt;=1.5),"有効",IF(T51&gt;=3,"要確認","除外")))</f>
        <v>要確認</v>
      </c>
      <c r="V51" s="163" t="str">
        <f>IF(AND(H51&lt;&gt;"",K51&lt;&gt;""),IF(H51&gt;=K51,"年初来高値更新●",IF(H51&gt;=K51*0.95,"高値圏","通常")),"")</f>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IF(AND(E51&lt;&gt;"",G51&lt;&gt;"",G51&lt;&gt;0),(E51-G51)/G51*100,"")</f>
        <v>1.0836845273931366</v>
      </c>
      <c r="AA51" s="163" t="str">
        <f>IF(OR(C51="",E51="",E51=0),"",IF(E51&gt;G51,"上昇▲",IF(E51&lt;G51,"下落▼","横ばい→")))</f>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IF(OR(C51="",AB51="",AC51=""),"",IF(AND(E51&gt;AB51,AB51&gt;AC51),"パーフェクト▲",IF(E51&gt;AC51,"上昇トレンド▲",IF(AND(E51&lt;AB51,AB51&lt;AC51),"下降トレンド▼","もみ合い→"))))</f>
        <v>下降トレンド▼</v>
      </c>
      <c r="AE51" s="406" t="str">
        <f>IF(OR(C51="",AB51="",AC51=""),"",IF(AND(ABS(E51-AC51)/AC51&lt;=0.02,E51&gt;AC51),"25日押し目★",IF(AND(ABS(E51-AB51)/AB51&lt;=0.01,E51&gt;AB51),"5日押し目○","なし")))</f>
        <v>なし</v>
      </c>
      <c r="AF51" s="365">
        <f t="array" ref="AF51">IF(C51="","",IFERROR((INDEX(終値!$E:$E,MATCH(TEXT(C51,"0"),終値!$A:$A,0))-INDEX(終値!$E:$CZ,MATCH(TEXT(C51,"0"),終値!$A:$A,0),$AL$2))/INDEX(終値!$E:$CZ,MATCH(TEXT(C51,"0"),終値!$A:$A,0),$AL$2)*100,""))</f>
        <v>9.7385620915032689</v>
      </c>
      <c r="AG51" s="365">
        <f t="array" ref="AG51">IFERROR((終値!$E$5-INDEX(終値!$E$5:$IT$5,1,$AL$2))/INDEX(終値!$E$5:$IT$5,1,$AL$2)*100,"")</f>
        <v>1.0179378228534113</v>
      </c>
      <c r="AH51" s="366">
        <f>IF(OR(AF51="",AG51=""),"",AF51-AG51)</f>
        <v>8.720624268649857</v>
      </c>
      <c r="AI51" s="364">
        <f>IF(AH51="","",IF(AH51&gt;5,3,IF(AH51&gt;0,1,IF(AH51&gt;-3,-1,-2))))</f>
        <v>3</v>
      </c>
      <c r="BA51">
        <f>IFERROR((SUM(OFFSET(高値!$E$6,IFERROR(MATCH($C51,銘柄管理!$B$6:$B$305,0),MATCH(TEXT($C51,"0"),銘柄管理!$B$6:$B$305,0))-1,0,1,14))-SUM(OFFSET(安値!$E$6,IFERROR(MATCH($C51,銘柄管理!$B$6:$B$305,0),MATCH(TEXT($C51,"0"),銘柄管理!$B$6:$B$305,0))-1,0,1,14)))/SUM(OFFSET(終値!$E$6,IFERROR(MATCH($C51,銘柄管理!$B$6:$B$305,0),MATCH(TEXT($C51,"0"),銘柄管理!$B$6:$B$305,0))-1,0,1,14))*100,"")</f>
      </c>
      <c r="BB51">
        <f>IFERROR((MAX(OFFSET(高値!$E$6,IFERROR(MATCH($C51,銘柄管理!$B$6:$B$305,0),MATCH(TEXT($C51,"0"),銘柄管理!$B$6:$B$305,0))-1,0,1,25))-MIN(OFFSET(安値!$E$6,IFERROR(MATCH($C51,銘柄管理!$B$6:$B$305,0),MATCH(TEXT($C51,"0"),銘柄管理!$B$6:$B$305,0))-1,0,1,25)))/$E51*100,"")</f>
      </c>
      <c r="BC51">
        <f>IFERROR(($F51-$G51)/$G51*100,"")</f>
      </c>
      <c r="BD51">
        <f>IFERROR(($E51-MAX(OFFSET(高値!$E$6,IFERROR(MATCH($C51,銘柄管理!$B$6:$B$305,0),MATCH(TEXT($C51,"0"),銘柄管理!$B$6:$B$305,0))-1,0,1,25)))/MAX(OFFSET(高値!$E$6,IFERROR(MATCH($C51,銘柄管理!$B$6:$B$305,0),MATCH(TEXT($C51,"0"),銘柄管理!$B$6:$B$305,0))-1,0,1,25))*100,"")</f>
      </c>
      <c r="BE51">
        <f>IFERROR(($H51-$I51)/$F51*100,"")</f>
      </c>
      <c r="BF51">
        <f>IFERROR(-(($BA51-AVERAGE($BA$3:$BA$206))/STDEV($BA$3:$BA$206))-(($BE51-AVERAGE($BE$3:$BE$206))/STDEV($BE$3:$BE$206))-(($BB51-AVERAGE($BB$3:$BB$206))/STDEV($BB$3:$BB$206))-(($Z51-AVERAGE($Z$3:$Z$206))/STDEV($Z$3:$Z$206))-(($BC51-AVERAGE($BC$3:$BC$206))/STDEV($BC$3:$BC$206)),"")</f>
      </c>
      <c r="BG51">
        <f>IF(OR($C51="",$C51="TOPX",$BA51="",$BF51=""),0,IF(AND($BK$10=1,$BA51&lt;=$BK$2,$BB51&lt;=$BK$3,$BC51&lt;=$BK$4,$Z51&lt;=$BK$5,$Z51&gt;=$BK$6,$BD51&gt;=$BK$7,$BE51&lt;=$BK$8),1,0))</f>
      </c>
      <c r="BH51">
        <f>IF($C51="","",IF($BG51=1,"○ゲート通過",IF($BK$10&lt;&gt;1,"― この方向は停止中",IF($BA51&gt;$BK$2,"×値動きが荒い",IF($BB51&gt;$BK$3,"×レンジが広い",IF($BC51&gt;$BK$4,"×窓を開けて上昇",IF($Z51&gt;$BK$5,"×前日に急騰",IF($Z51&lt;$BK$6,"×前日に急落",IF($BD51&lt;$BK$7,"×高値から離れすぎ",IF($BE51&gt;$BK$8,"×当日の値幅が大きい","×")))))))))</f>
      </c>
    </row>
    <row r="52" spans="1:60"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IF(AND(E52&lt;&gt;"",K52&lt;&gt;"",K52&lt;&gt;0),(E52-K52)/K52*100,"")</f>
        <v>-3.2431315843833923</v>
      </c>
      <c r="M52" s="166">
        <f>IF(C52&lt;&gt;"",IFERROR(AVERAGE(出来高!E35:I35),""),"")</f>
        <v>12101780</v>
      </c>
      <c r="N52" s="166">
        <f>IF(C52&lt;&gt;"",IFERROR(AVERAGE(出来高!E35:AC35),""),"")</f>
        <v>10432052</v>
      </c>
      <c r="O52" s="168">
        <f>IF(AND(J52&lt;&gt;"",M52&lt;&gt;"",M52&lt;&gt;0),J52/M52,"")</f>
        <v>0.86551730406601346</v>
      </c>
      <c r="P52" s="163" t="str">
        <f>IF(O52="","",IF(O52&gt;=2,"急増↑↑",IF(O52&gt;=1.5,"増加↑",IF(O52&gt;=1,"普通→","減少↓"))))</f>
        <v>減少↓</v>
      </c>
      <c r="Q52" s="163" t="str">
        <f>IF(E52="","",IF(AND(E52&gt;G52,O52&gt;=1.5),"買い▲",IF(E52&lt;G52,"様子見▼","中立→")))</f>
        <v>中立→</v>
      </c>
      <c r="R52" s="166">
        <f>IF(E52&lt;&gt;"",ROUND(E52*1.08,0),"")</f>
        <v>2529</v>
      </c>
      <c r="S52" s="166">
        <f>IF(E52&lt;&gt;"",ROUND(E52*0.96,0),"")</f>
        <v>2248</v>
      </c>
      <c r="T52" s="163">
        <f>IF(C52="","",IFERROR(IF(O52&gt;=2,3,IF(O52&gt;=1.5,2,IF(O52&gt;=1,1,0)))+IF(E52&gt;G52,1,0)+IF(L52&gt;=-5,1,0)+IF(Q52="買い▲",2,0)+IF(W52&lt;=30,3,IF(W52&lt;=40,2,IF(AND(W52&gt;=40,W52&lt;=60),1,0)))+IF(X52&gt;0,1,0)+IF(V52="年初来高値更新●",3,IF(V52="高値圏",2,0))+IF(AD52="パーフェクト▲",3,IF(AD52="上昇トレンド▲",2,0))+IF(AE52="25日線押し目●",2,IF(AE52="5日線押し目○",1,0))+IF(P52="急増↑↑",2,IF(P52="増加↑",1,0))+N(AI52),0))</f>
        <v>8</v>
      </c>
      <c r="U52" s="163" t="str">
        <f>IF(T52="","",IF(AND(T52&gt;=3,O52&gt;=1.5),"有効",IF(T52&gt;=3,"要確認","除外")))</f>
        <v>要確認</v>
      </c>
      <c r="V52" s="163" t="str">
        <f>IF(AND(H52&lt;&gt;"",K52&lt;&gt;""),IF(H52&gt;=K52,"年初来高値更新●",IF(H52&gt;=K52*0.95,"高値圏","通常")),"")</f>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IF(AND(E52&lt;&gt;"",G52&lt;&gt;"",G52&lt;&gt;0),(E52-G52)/G52*100,"")</f>
        <v>2.5843188786684186</v>
      </c>
      <c r="AA52" s="163" t="str">
        <f>IF(OR(C52="",E52="",E52=0),"",IF(E52&gt;G52,"上昇▲",IF(E52&lt;G52,"下落▼","横ばい→")))</f>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IF(OR(C52="",AB52="",AC52=""),"",IF(AND(E52&gt;AB52,AB52&gt;AC52),"パーフェクト▲",IF(E52&gt;AC52,"上昇トレンド▲",IF(AND(E52&lt;AB52,AB52&lt;AC52),"下降トレンド▼","もみ合い→"))))</f>
        <v>もみ合い→</v>
      </c>
      <c r="AE52" s="404" t="str">
        <f>IF(OR(C52="",AB52="",AC52=""),"",IF(AND(ABS(E52-AC52)/AC52&lt;=0.02,E52&gt;AC52),"25日押し目★",IF(AND(ABS(E52-AB52)/AB52&lt;=0.01,E52&gt;AB52),"5日押し目○","なし")))</f>
        <v>なし</v>
      </c>
      <c r="AF52" s="365">
        <f t="array" ref="AF52">IF(C52="","",IFERROR((INDEX(終値!$E:$E,MATCH(TEXT(C52,"0"),終値!$A:$A,0))-INDEX(終値!$E:$CZ,MATCH(TEXT(C52,"0"),終値!$A:$A,0),$AL$2))/INDEX(終値!$E:$CZ,MATCH(TEXT(C52,"0"),終値!$A:$A,0),$AL$2)*100,""))</f>
        <v>10.759044691416412</v>
      </c>
      <c r="AG52" s="365">
        <f t="array" ref="AG52">IFERROR((終値!$E$5-INDEX(終値!$E$5:$IT$5,1,$AL$2))/INDEX(終値!$E$5:$IT$5,1,$AL$2)*100,"")</f>
        <v>1.0179378228534113</v>
      </c>
      <c r="AH52" s="366">
        <f>IF(OR(AF52="",AG52=""),"",AF52-AG52)</f>
        <v>9.7411068685629996</v>
      </c>
      <c r="AI52" s="364">
        <f>IF(AH52="","",IF(AH52&gt;5,3,IF(AH52&gt;0,1,IF(AH52&gt;-3,-1,-2))))</f>
        <v>3</v>
      </c>
      <c r="BA52">
        <f>IFERROR((SUM(OFFSET(高値!$E$6,IFERROR(MATCH($C52,銘柄管理!$B$6:$B$305,0),MATCH(TEXT($C52,"0"),銘柄管理!$B$6:$B$305,0))-1,0,1,14))-SUM(OFFSET(安値!$E$6,IFERROR(MATCH($C52,銘柄管理!$B$6:$B$305,0),MATCH(TEXT($C52,"0"),銘柄管理!$B$6:$B$305,0))-1,0,1,14)))/SUM(OFFSET(終値!$E$6,IFERROR(MATCH($C52,銘柄管理!$B$6:$B$305,0),MATCH(TEXT($C52,"0"),銘柄管理!$B$6:$B$305,0))-1,0,1,14))*100,"")</f>
      </c>
      <c r="BB52">
        <f>IFERROR((MAX(OFFSET(高値!$E$6,IFERROR(MATCH($C52,銘柄管理!$B$6:$B$305,0),MATCH(TEXT($C52,"0"),銘柄管理!$B$6:$B$305,0))-1,0,1,25))-MIN(OFFSET(安値!$E$6,IFERROR(MATCH($C52,銘柄管理!$B$6:$B$305,0),MATCH(TEXT($C52,"0"),銘柄管理!$B$6:$B$305,0))-1,0,1,25)))/$E52*100,"")</f>
      </c>
      <c r="BC52">
        <f>IFERROR(($F52-$G52)/$G52*100,"")</f>
      </c>
      <c r="BD52">
        <f>IFERROR(($E52-MAX(OFFSET(高値!$E$6,IFERROR(MATCH($C52,銘柄管理!$B$6:$B$305,0),MATCH(TEXT($C52,"0"),銘柄管理!$B$6:$B$305,0))-1,0,1,25)))/MAX(OFFSET(高値!$E$6,IFERROR(MATCH($C52,銘柄管理!$B$6:$B$305,0),MATCH(TEXT($C52,"0"),銘柄管理!$B$6:$B$305,0))-1,0,1,25))*100,"")</f>
      </c>
      <c r="BE52">
        <f>IFERROR(($H52-$I52)/$F52*100,"")</f>
      </c>
      <c r="BF52">
        <f>IFERROR(-(($BA52-AVERAGE($BA$3:$BA$206))/STDEV($BA$3:$BA$206))-(($BE52-AVERAGE($BE$3:$BE$206))/STDEV($BE$3:$BE$206))-(($BB52-AVERAGE($BB$3:$BB$206))/STDEV($BB$3:$BB$206))-(($Z52-AVERAGE($Z$3:$Z$206))/STDEV($Z$3:$Z$206))-(($BC52-AVERAGE($BC$3:$BC$206))/STDEV($BC$3:$BC$206)),"")</f>
      </c>
      <c r="BG52">
        <f>IF(OR($C52="",$C52="TOPX",$BA52="",$BF52=""),0,IF(AND($BK$10=1,$BA52&lt;=$BK$2,$BB52&lt;=$BK$3,$BC52&lt;=$BK$4,$Z52&lt;=$BK$5,$Z52&gt;=$BK$6,$BD52&gt;=$BK$7,$BE52&lt;=$BK$8),1,0))</f>
      </c>
      <c r="BH52">
        <f>IF($C52="","",IF($BG52=1,"○ゲート通過",IF($BK$10&lt;&gt;1,"― この方向は停止中",IF($BA52&gt;$BK$2,"×値動きが荒い",IF($BB52&gt;$BK$3,"×レンジが広い",IF($BC52&gt;$BK$4,"×窓を開けて上昇",IF($Z52&gt;$BK$5,"×前日に急騰",IF($Z52&lt;$BK$6,"×前日に急落",IF($BD52&lt;$BK$7,"×高値から離れすぎ",IF($BE52&gt;$BK$8,"×当日の値幅が大きい","×")))))))))</f>
      </c>
    </row>
    <row r="53" spans="1:60"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IF(AND(E53&lt;&gt;"",K53&lt;&gt;"",K53&lt;&gt;0),(E53-K53)/K53*100,"")</f>
        <v>-6.2680304222397067</v>
      </c>
      <c r="M53" s="166">
        <f>IF(C53&lt;&gt;"",IFERROR(AVERAGE(出来高!E45:I45),""),"")</f>
        <v>45988060</v>
      </c>
      <c r="N53" s="166">
        <f>IF(C53&lt;&gt;"",IFERROR(AVERAGE(出来高!E45:AC45),""),"")</f>
        <v>43282364</v>
      </c>
      <c r="O53" s="168">
        <f>IF(AND(J53&lt;&gt;"",M53&lt;&gt;"",M53&lt;&gt;0),J53/M53,"")</f>
        <v>0.7767494432250458</v>
      </c>
      <c r="P53" s="163" t="str">
        <f>IF(O53="","",IF(O53&gt;=2,"急増↑↑",IF(O53&gt;=1.5,"増加↑",IF(O53&gt;=1,"普通→","減少↓"))))</f>
        <v>減少↓</v>
      </c>
      <c r="Q53" s="163" t="str">
        <f>IF(E53="","",IF(AND(E53&gt;G53,O53&gt;=1.5),"買い▲",IF(E53&lt;G53,"様子見▼","中立→")))</f>
        <v>中立→</v>
      </c>
      <c r="R53" s="166">
        <f>IF(E53&lt;&gt;"",ROUND(E53*1.08,0),"")</f>
        <v>3860</v>
      </c>
      <c r="S53" s="166">
        <f>IF(E53&lt;&gt;"",ROUND(E53*0.96,0),"")</f>
        <v>3431</v>
      </c>
      <c r="T53" s="163">
        <f>IF(C53="","",IFERROR(IF(O53&gt;=2,3,IF(O53&gt;=1.5,2,IF(O53&gt;=1,1,0)))+IF(E53&gt;G53,1,0)+IF(L53&gt;=-5,1,0)+IF(Q53="買い▲",2,0)+IF(W53&lt;=30,3,IF(W53&lt;=40,2,IF(AND(W53&gt;=40,W53&lt;=60),1,0)))+IF(X53&gt;0,1,0)+IF(V53="年初来高値更新●",3,IF(V53="高値圏",2,0))+IF(AD53="パーフェクト▲",3,IF(AD53="上昇トレンド▲",2,0))+IF(AE53="25日線押し目●",2,IF(AE53="5日線押し目○",1,0))+IF(P53="急増↑↑",2,IF(P53="増加↑",1,0))+N(AI53),0))</f>
        <v>6</v>
      </c>
      <c r="U53" s="163" t="str">
        <f>IF(T53="","",IF(AND(T53&gt;=3,O53&gt;=1.5),"有効",IF(T53&gt;=3,"要確認","除外")))</f>
        <v>要確認</v>
      </c>
      <c r="V53" s="163" t="str">
        <f>IF(AND(H53&lt;&gt;"",K53&lt;&gt;""),IF(H53&gt;=K53,"年初来高値更新●",IF(H53&gt;=K53*0.95,"高値圏","通常")),"")</f>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IF(AND(E53&lt;&gt;"",G53&lt;&gt;"",G53&lt;&gt;0),(E53-G53)/G53*100,"")</f>
        <v>0.93194012990680597</v>
      </c>
      <c r="AA53" s="163" t="str">
        <f>IF(OR(C53="",E53="",E53=0),"",IF(E53&gt;G53,"上昇▲",IF(E53&lt;G53,"下落▼","横ばい→")))</f>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IF(OR(C53="",AB53="",AC53=""),"",IF(AND(E53&gt;AB53,AB53&gt;AC53),"パーフェクト▲",IF(E53&gt;AC53,"上昇トレンド▲",IF(AND(E53&lt;AB53,AB53&lt;AC53),"下降トレンド▼","もみ合い→"))))</f>
        <v>もみ合い→</v>
      </c>
      <c r="AE53" s="406" t="str">
        <f>IF(OR(C53="",AB53="",AC53=""),"",IF(AND(ABS(E53-AC53)/AC53&lt;=0.02,E53&gt;AC53),"25日押し目★",IF(AND(ABS(E53-AB53)/AB53&lt;=0.01,E53&gt;AB53),"5日押し目○","なし")))</f>
        <v>なし</v>
      </c>
      <c r="AF53" s="365">
        <f t="array" ref="AF53">IF(C53="","",IFERROR((INDEX(終値!$E:$E,MATCH(TEXT(C53,"0"),終値!$A:$A,0))-INDEX(終値!$E:$CZ,MATCH(TEXT(C53,"0"),終値!$A:$A,0),$AL$2))/INDEX(終値!$E:$CZ,MATCH(TEXT(C53,"0"),終値!$A:$A,0),$AL$2)*100,""))</f>
        <v>10.07083461656914</v>
      </c>
      <c r="AG53" s="365">
        <f t="array" ref="AG53">IFERROR((終値!$E$5-INDEX(終値!$E$5:$IT$5,1,$AL$2))/INDEX(終値!$E$5:$IT$5,1,$AL$2)*100,"")</f>
        <v>1.0179378228534113</v>
      </c>
      <c r="AH53" s="366">
        <f>IF(OR(AF53="",AG53=""),"",AF53-AG53)</f>
        <v>9.0528967937157283</v>
      </c>
      <c r="AI53" s="364">
        <f>IF(AH53="","",IF(AH53&gt;5,3,IF(AH53&gt;0,1,IF(AH53&gt;-3,-1,-2))))</f>
        <v>3</v>
      </c>
      <c r="BA53">
        <f>IFERROR((SUM(OFFSET(高値!$E$6,IFERROR(MATCH($C53,銘柄管理!$B$6:$B$305,0),MATCH(TEXT($C53,"0"),銘柄管理!$B$6:$B$305,0))-1,0,1,14))-SUM(OFFSET(安値!$E$6,IFERROR(MATCH($C53,銘柄管理!$B$6:$B$305,0),MATCH(TEXT($C53,"0"),銘柄管理!$B$6:$B$305,0))-1,0,1,14)))/SUM(OFFSET(終値!$E$6,IFERROR(MATCH($C53,銘柄管理!$B$6:$B$305,0),MATCH(TEXT($C53,"0"),銘柄管理!$B$6:$B$305,0))-1,0,1,14))*100,"")</f>
      </c>
      <c r="BB53">
        <f>IFERROR((MAX(OFFSET(高値!$E$6,IFERROR(MATCH($C53,銘柄管理!$B$6:$B$305,0),MATCH(TEXT($C53,"0"),銘柄管理!$B$6:$B$305,0))-1,0,1,25))-MIN(OFFSET(安値!$E$6,IFERROR(MATCH($C53,銘柄管理!$B$6:$B$305,0),MATCH(TEXT($C53,"0"),銘柄管理!$B$6:$B$305,0))-1,0,1,25)))/$E53*100,"")</f>
      </c>
      <c r="BC53">
        <f>IFERROR(($F53-$G53)/$G53*100,"")</f>
      </c>
      <c r="BD53">
        <f>IFERROR(($E53-MAX(OFFSET(高値!$E$6,IFERROR(MATCH($C53,銘柄管理!$B$6:$B$305,0),MATCH(TEXT($C53,"0"),銘柄管理!$B$6:$B$305,0))-1,0,1,25)))/MAX(OFFSET(高値!$E$6,IFERROR(MATCH($C53,銘柄管理!$B$6:$B$305,0),MATCH(TEXT($C53,"0"),銘柄管理!$B$6:$B$305,0))-1,0,1,25))*100,"")</f>
      </c>
      <c r="BE53">
        <f>IFERROR(($H53-$I53)/$F53*100,"")</f>
      </c>
      <c r="BF53">
        <f>IFERROR(-(($BA53-AVERAGE($BA$3:$BA$206))/STDEV($BA$3:$BA$206))-(($BE53-AVERAGE($BE$3:$BE$206))/STDEV($BE$3:$BE$206))-(($BB53-AVERAGE($BB$3:$BB$206))/STDEV($BB$3:$BB$206))-(($Z53-AVERAGE($Z$3:$Z$206))/STDEV($Z$3:$Z$206))-(($BC53-AVERAGE($BC$3:$BC$206))/STDEV($BC$3:$BC$206)),"")</f>
      </c>
      <c r="BG53">
        <f>IF(OR($C53="",$C53="TOPX",$BA53="",$BF53=""),0,IF(AND($BK$10=1,$BA53&lt;=$BK$2,$BB53&lt;=$BK$3,$BC53&lt;=$BK$4,$Z53&lt;=$BK$5,$Z53&gt;=$BK$6,$BD53&gt;=$BK$7,$BE53&lt;=$BK$8),1,0))</f>
      </c>
      <c r="BH53">
        <f>IF($C53="","",IF($BG53=1,"○ゲート通過",IF($BK$10&lt;&gt;1,"― この方向は停止中",IF($BA53&gt;$BK$2,"×値動きが荒い",IF($BB53&gt;$BK$3,"×レンジが広い",IF($BC53&gt;$BK$4,"×窓を開けて上昇",IF($Z53&gt;$BK$5,"×前日に急騰",IF($Z53&lt;$BK$6,"×前日に急落",IF($BD53&lt;$BK$7,"×高値から離れすぎ",IF($BE53&gt;$BK$8,"×当日の値幅が大きい","×")))))))))</f>
      </c>
    </row>
    <row r="54" spans="1:60"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IF(AND(E54&lt;&gt;"",K54&lt;&gt;"",K54&lt;&gt;0),(E54-K54)/K54*100,"")</f>
        <v>-28.886363636363637</v>
      </c>
      <c r="M54" s="166">
        <f>IF(C54&lt;&gt;"",IFERROR(AVERAGE(出来高!E172:I172),""),"")</f>
        <v>7272040</v>
      </c>
      <c r="N54" s="166">
        <f>IF(C54&lt;&gt;"",IFERROR(AVERAGE(出来高!E172:AC172),""),"")</f>
        <v>3990348</v>
      </c>
      <c r="O54" s="168">
        <f>IF(AND(J54&lt;&gt;"",M54&lt;&gt;"",M54&lt;&gt;0),J54/M54,"")</f>
        <v>1.1688192034147227</v>
      </c>
      <c r="P54" s="163" t="str">
        <f>IF(O54="","",IF(O54&gt;=2,"急増↑↑",IF(O54&gt;=1.5,"増加↑",IF(O54&gt;=1,"普通→","減少↓"))))</f>
        <v>普通→</v>
      </c>
      <c r="Q54" s="163" t="str">
        <f>IF(E54="","",IF(AND(E54&gt;G54,O54&gt;=1.5),"買い▲",IF(E54&lt;G54,"様子見▼","中立→")))</f>
        <v>中立→</v>
      </c>
      <c r="R54" s="166">
        <f>IF(E54&lt;&gt;"",ROUND(E54*1.08,0),"")</f>
        <v>1690</v>
      </c>
      <c r="S54" s="166">
        <f>IF(E54&lt;&gt;"",ROUND(E54*0.96,0),"")</f>
        <v>1502</v>
      </c>
      <c r="T54" s="163">
        <f>IF(C54="","",IFERROR(IF(O54&gt;=2,3,IF(O54&gt;=1.5,2,IF(O54&gt;=1,1,0)))+IF(E54&gt;G54,1,0)+IF(L54&gt;=-5,1,0)+IF(Q54="買い▲",2,0)+IF(W54&lt;=30,3,IF(W54&lt;=40,2,IF(AND(W54&gt;=40,W54&lt;=60),1,0)))+IF(X54&gt;0,1,0)+IF(V54="年初来高値更新●",3,IF(V54="高値圏",2,0))+IF(AD54="パーフェクト▲",3,IF(AD54="上昇トレンド▲",2,0))+IF(AE54="25日線押し目●",2,IF(AE54="5日線押し目○",1,0))+IF(P54="急増↑↑",2,IF(P54="増加↑",1,0))+N(AI54),0))</f>
        <v>7</v>
      </c>
      <c r="U54" s="163" t="str">
        <f>IF(T54="","",IF(AND(T54&gt;=3,O54&gt;=1.5),"有効",IF(T54&gt;=3,"要確認","除外")))</f>
        <v>要確認</v>
      </c>
      <c r="V54" s="163" t="str">
        <f>IF(AND(H54&lt;&gt;"",K54&lt;&gt;""),IF(H54&gt;=K54,"年初来高値更新●",IF(H54&gt;=K54*0.95,"高値圏","通常")),"")</f>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IF(AND(E54&lt;&gt;"",G54&lt;&gt;"",G54&lt;&gt;0),(E54-G54)/G54*100,"")</f>
        <v>4.2652449183605468</v>
      </c>
      <c r="AA54" s="163" t="str">
        <f>IF(OR(C54="",E54="",E54=0),"",IF(E54&gt;G54,"上昇▲",IF(E54&lt;G54,"下落▼","横ばい→")))</f>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IF(OR(C54="",AB54="",AC54=""),"",IF(AND(E54&gt;AB54,AB54&gt;AC54),"パーフェクト▲",IF(E54&gt;AC54,"上昇トレンド▲",IF(AND(E54&lt;AB54,AB54&lt;AC54),"下降トレンド▼","もみ合い→"))))</f>
        <v>下降トレンド▼</v>
      </c>
      <c r="AE54" s="404" t="str">
        <f>IF(OR(C54="",AB54="",AC54=""),"",IF(AND(ABS(E54-AC54)/AC54&lt;=0.02,E54&gt;AC54),"25日押し目★",IF(AND(ABS(E54-AB54)/AB54&lt;=0.01,E54&gt;AB54),"5日押し目○","なし")))</f>
        <v>なし</v>
      </c>
      <c r="AF54" s="365">
        <f t="array" ref="AF54">IF(C54="","",IFERROR((INDEX(終値!$E:$E,MATCH(TEXT(C54,"0"),終値!$A:$A,0))-INDEX(終値!$E:$CZ,MATCH(TEXT(C54,"0"),終値!$A:$A,0),$AL$2))/INDEX(終値!$E:$CZ,MATCH(TEXT(C54,"0"),終値!$A:$A,0),$AL$2)*100,""))</f>
        <v>14.447695683979516</v>
      </c>
      <c r="AG54" s="365">
        <f t="array" ref="AG54">IFERROR((終値!$E$5-INDEX(終値!$E$5:$IT$5,1,$AL$2))/INDEX(終値!$E$5:$IT$5,1,$AL$2)*100,"")</f>
        <v>1.0179378228534113</v>
      </c>
      <c r="AH54" s="366">
        <f>IF(OR(AF54="",AG54=""),"",AF54-AG54)</f>
        <v>13.429757861126104</v>
      </c>
      <c r="AI54" s="364">
        <f>IF(AH54="","",IF(AH54&gt;5,3,IF(AH54&gt;0,1,IF(AH54&gt;-3,-1,-2))))</f>
        <v>3</v>
      </c>
      <c r="BA54">
        <f>IFERROR((SUM(OFFSET(高値!$E$6,IFERROR(MATCH($C54,銘柄管理!$B$6:$B$305,0),MATCH(TEXT($C54,"0"),銘柄管理!$B$6:$B$305,0))-1,0,1,14))-SUM(OFFSET(安値!$E$6,IFERROR(MATCH($C54,銘柄管理!$B$6:$B$305,0),MATCH(TEXT($C54,"0"),銘柄管理!$B$6:$B$305,0))-1,0,1,14)))/SUM(OFFSET(終値!$E$6,IFERROR(MATCH($C54,銘柄管理!$B$6:$B$305,0),MATCH(TEXT($C54,"0"),銘柄管理!$B$6:$B$305,0))-1,0,1,14))*100,"")</f>
      </c>
      <c r="BB54">
        <f>IFERROR((MAX(OFFSET(高値!$E$6,IFERROR(MATCH($C54,銘柄管理!$B$6:$B$305,0),MATCH(TEXT($C54,"0"),銘柄管理!$B$6:$B$305,0))-1,0,1,25))-MIN(OFFSET(安値!$E$6,IFERROR(MATCH($C54,銘柄管理!$B$6:$B$305,0),MATCH(TEXT($C54,"0"),銘柄管理!$B$6:$B$305,0))-1,0,1,25)))/$E54*100,"")</f>
      </c>
      <c r="BC54">
        <f>IFERROR(($F54-$G54)/$G54*100,"")</f>
      </c>
      <c r="BD54">
        <f>IFERROR(($E54-MAX(OFFSET(高値!$E$6,IFERROR(MATCH($C54,銘柄管理!$B$6:$B$305,0),MATCH(TEXT($C54,"0"),銘柄管理!$B$6:$B$305,0))-1,0,1,25)))/MAX(OFFSET(高値!$E$6,IFERROR(MATCH($C54,銘柄管理!$B$6:$B$305,0),MATCH(TEXT($C54,"0"),銘柄管理!$B$6:$B$305,0))-1,0,1,25))*100,"")</f>
      </c>
      <c r="BE54">
        <f>IFERROR(($H54-$I54)/$F54*100,"")</f>
      </c>
      <c r="BF54">
        <f>IFERROR(-(($BA54-AVERAGE($BA$3:$BA$206))/STDEV($BA$3:$BA$206))-(($BE54-AVERAGE($BE$3:$BE$206))/STDEV($BE$3:$BE$206))-(($BB54-AVERAGE($BB$3:$BB$206))/STDEV($BB$3:$BB$206))-(($Z54-AVERAGE($Z$3:$Z$206))/STDEV($Z$3:$Z$206))-(($BC54-AVERAGE($BC$3:$BC$206))/STDEV($BC$3:$BC$206)),"")</f>
      </c>
      <c r="BG54">
        <f>IF(OR($C54="",$C54="TOPX",$BA54="",$BF54=""),0,IF(AND($BK$10=1,$BA54&lt;=$BK$2,$BB54&lt;=$BK$3,$BC54&lt;=$BK$4,$Z54&lt;=$BK$5,$Z54&gt;=$BK$6,$BD54&gt;=$BK$7,$BE54&lt;=$BK$8),1,0))</f>
      </c>
      <c r="BH54">
        <f>IF($C54="","",IF($BG54=1,"○ゲート通過",IF($BK$10&lt;&gt;1,"― この方向は停止中",IF($BA54&gt;$BK$2,"×値動きが荒い",IF($BB54&gt;$BK$3,"×レンジが広い",IF($BC54&gt;$BK$4,"×窓を開けて上昇",IF($Z54&gt;$BK$5,"×前日に急騰",IF($Z54&lt;$BK$6,"×前日に急落",IF($BD54&lt;$BK$7,"×高値から離れすぎ",IF($BE54&gt;$BK$8,"×当日の値幅が大きい","×")))))))))</f>
      </c>
    </row>
    <row r="55" spans="1:60"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IF(AND(E55&lt;&gt;"",K55&lt;&gt;"",K55&lt;&gt;0),(E55-K55)/K55*100,"")</f>
        <v>-7.1061643835616444</v>
      </c>
      <c r="M55" s="166">
        <f>IF(C55&lt;&gt;"",IFERROR(AVERAGE(出来高!E63:I63),""),"")</f>
        <v>79260</v>
      </c>
      <c r="N55" s="166">
        <f>IF(C55&lt;&gt;"",IFERROR(AVERAGE(出来高!E63:AC63),""),"")</f>
        <v>83300</v>
      </c>
      <c r="O55" s="168">
        <f>IF(AND(J55&lt;&gt;"",M55&lt;&gt;"",M55&lt;&gt;0),J55/M55,"")</f>
        <v>0.7292455210698966</v>
      </c>
      <c r="P55" s="163" t="str">
        <f>IF(O55="","",IF(O55&gt;=2,"急増↑↑",IF(O55&gt;=1.5,"増加↑",IF(O55&gt;=1,"普通→","減少↓"))))</f>
        <v>減少↓</v>
      </c>
      <c r="Q55" s="163" t="str">
        <f>IF(E55="","",IF(AND(E55&gt;G55,O55&gt;=1.5),"買い▲",IF(E55&lt;G55,"様子見▼","中立→")))</f>
        <v>中立→</v>
      </c>
      <c r="R55" s="166">
        <f>IF(E55&lt;&gt;"",ROUND(E55*1.08,0),"")</f>
        <v>1172</v>
      </c>
      <c r="S55" s="166">
        <f>IF(E55&lt;&gt;"",ROUND(E55*0.96,0),"")</f>
        <v>1042</v>
      </c>
      <c r="T55" s="163">
        <f>IF(C55="","",IFERROR(IF(O55&gt;=2,3,IF(O55&gt;=1.5,2,IF(O55&gt;=1,1,0)))+IF(E55&gt;G55,1,0)+IF(L55&gt;=-5,1,0)+IF(Q55="買い▲",2,0)+IF(W55&lt;=30,3,IF(W55&lt;=40,2,IF(AND(W55&gt;=40,W55&lt;=60),1,0)))+IF(X55&gt;0,1,0)+IF(V55="年初来高値更新●",3,IF(V55="高値圏",2,0))+IF(AD55="パーフェクト▲",3,IF(AD55="上昇トレンド▲",2,0))+IF(AE55="25日線押し目●",2,IF(AE55="5日線押し目○",1,0))+IF(P55="急増↑↑",2,IF(P55="増加↑",1,0))+N(AI55),0))</f>
        <v>3</v>
      </c>
      <c r="U55" s="163" t="str">
        <f>IF(T55="","",IF(AND(T55&gt;=3,O55&gt;=1.5),"有効",IF(T55&gt;=3,"要確認","除外")))</f>
        <v>要確認</v>
      </c>
      <c r="V55" s="163" t="str">
        <f>IF(AND(H55&lt;&gt;"",K55&lt;&gt;""),IF(H55&gt;=K55,"年初来高値更新●",IF(H55&gt;=K55*0.95,"高値圏","通常")),"")</f>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IF(AND(E55&lt;&gt;"",G55&lt;&gt;"",G55&lt;&gt;0),(E55-G55)/G55*100,"")</f>
        <v>1.6869728209934396</v>
      </c>
      <c r="AA55" s="163" t="str">
        <f>IF(OR(C55="",E55="",E55=0),"",IF(E55&gt;G55,"上昇▲",IF(E55&lt;G55,"下落▼","横ばい→")))</f>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IF(OR(C55="",AB55="",AC55=""),"",IF(AND(E55&gt;AB55,AB55&gt;AC55),"パーフェクト▲",IF(E55&gt;AC55,"上昇トレンド▲",IF(AND(E55&lt;AB55,AB55&lt;AC55),"下降トレンド▼","もみ合い→"))))</f>
        <v>下降トレンド▼</v>
      </c>
      <c r="AE55" s="406" t="str">
        <f>IF(OR(C55="",AB55="",AC55=""),"",IF(AND(ABS(E55-AC55)/AC55&lt;=0.02,E55&gt;AC55),"25日押し目★",IF(AND(ABS(E55-AB55)/AB55&lt;=0.01,E55&gt;AB55),"5日押し目○","なし")))</f>
        <v>なし</v>
      </c>
      <c r="AF55" s="365">
        <f t="array" ref="AF55">IF(C55="","",IFERROR((INDEX(終値!$E:$E,MATCH(TEXT(C55,"0"),終値!$A:$A,0))-INDEX(終値!$E:$CZ,MATCH(TEXT(C55,"0"),終値!$A:$A,0),$AL$2))/INDEX(終値!$E:$CZ,MATCH(TEXT(C55,"0"),終値!$A:$A,0),$AL$2)*100,""))</f>
        <v>3.0389363722697058</v>
      </c>
      <c r="AG55" s="365">
        <f t="array" ref="AG55">IFERROR((終値!$E$5-INDEX(終値!$E$5:$IT$5,1,$AL$2))/INDEX(終値!$E$5:$IT$5,1,$AL$2)*100,"")</f>
        <v>1.0179378228534113</v>
      </c>
      <c r="AH55" s="366">
        <f>IF(OR(AF55="",AG55=""),"",AF55-AG55)</f>
        <v>2.0209985494162943</v>
      </c>
      <c r="AI55" s="364">
        <f>IF(AH55="","",IF(AH55&gt;5,3,IF(AH55&gt;0,1,IF(AH55&gt;-3,-1,-2))))</f>
        <v>1</v>
      </c>
      <c r="BA55">
        <f>IFERROR((SUM(OFFSET(高値!$E$6,IFERROR(MATCH($C55,銘柄管理!$B$6:$B$305,0),MATCH(TEXT($C55,"0"),銘柄管理!$B$6:$B$305,0))-1,0,1,14))-SUM(OFFSET(安値!$E$6,IFERROR(MATCH($C55,銘柄管理!$B$6:$B$305,0),MATCH(TEXT($C55,"0"),銘柄管理!$B$6:$B$305,0))-1,0,1,14)))/SUM(OFFSET(終値!$E$6,IFERROR(MATCH($C55,銘柄管理!$B$6:$B$305,0),MATCH(TEXT($C55,"0"),銘柄管理!$B$6:$B$305,0))-1,0,1,14))*100,"")</f>
      </c>
      <c r="BB55">
        <f>IFERROR((MAX(OFFSET(高値!$E$6,IFERROR(MATCH($C55,銘柄管理!$B$6:$B$305,0),MATCH(TEXT($C55,"0"),銘柄管理!$B$6:$B$305,0))-1,0,1,25))-MIN(OFFSET(安値!$E$6,IFERROR(MATCH($C55,銘柄管理!$B$6:$B$305,0),MATCH(TEXT($C55,"0"),銘柄管理!$B$6:$B$305,0))-1,0,1,25)))/$E55*100,"")</f>
      </c>
      <c r="BC55">
        <f>IFERROR(($F55-$G55)/$G55*100,"")</f>
      </c>
      <c r="BD55">
        <f>IFERROR(($E55-MAX(OFFSET(高値!$E$6,IFERROR(MATCH($C55,銘柄管理!$B$6:$B$305,0),MATCH(TEXT($C55,"0"),銘柄管理!$B$6:$B$305,0))-1,0,1,25)))/MAX(OFFSET(高値!$E$6,IFERROR(MATCH($C55,銘柄管理!$B$6:$B$305,0),MATCH(TEXT($C55,"0"),銘柄管理!$B$6:$B$305,0))-1,0,1,25))*100,"")</f>
      </c>
      <c r="BE55">
        <f>IFERROR(($H55-$I55)/$F55*100,"")</f>
      </c>
      <c r="BF55">
        <f>IFERROR(-(($BA55-AVERAGE($BA$3:$BA$206))/STDEV($BA$3:$BA$206))-(($BE55-AVERAGE($BE$3:$BE$206))/STDEV($BE$3:$BE$206))-(($BB55-AVERAGE($BB$3:$BB$206))/STDEV($BB$3:$BB$206))-(($Z55-AVERAGE($Z$3:$Z$206))/STDEV($Z$3:$Z$206))-(($BC55-AVERAGE($BC$3:$BC$206))/STDEV($BC$3:$BC$206)),"")</f>
      </c>
      <c r="BG55">
        <f>IF(OR($C55="",$C55="TOPX",$BA55="",$BF55=""),0,IF(AND($BK$10=1,$BA55&lt;=$BK$2,$BB55&lt;=$BK$3,$BC55&lt;=$BK$4,$Z55&lt;=$BK$5,$Z55&gt;=$BK$6,$BD55&gt;=$BK$7,$BE55&lt;=$BK$8),1,0))</f>
      </c>
      <c r="BH55">
        <f>IF($C55="","",IF($BG55=1,"○ゲート通過",IF($BK$10&lt;&gt;1,"― この方向は停止中",IF($BA55&gt;$BK$2,"×値動きが荒い",IF($BB55&gt;$BK$3,"×レンジが広い",IF($BC55&gt;$BK$4,"×窓を開けて上昇",IF($Z55&gt;$BK$5,"×前日に急騰",IF($Z55&lt;$BK$6,"×前日に急落",IF($BD55&lt;$BK$7,"×高値から離れすぎ",IF($BE55&gt;$BK$8,"×当日の値幅が大きい","×")))))))))</f>
      </c>
    </row>
    <row r="56" spans="1:60"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IF(AND(E56&lt;&gt;"",K56&lt;&gt;"",K56&lt;&gt;0),(E56-K56)/K56*100,"")</f>
        <v>-13.544668587896252</v>
      </c>
      <c r="M56" s="166">
        <f>IF(C56&lt;&gt;"",IFERROR(AVERAGE(出来高!E169:I169),""),"")</f>
        <v>210320</v>
      </c>
      <c r="N56" s="166">
        <f>IF(C56&lt;&gt;"",IFERROR(AVERAGE(出来高!E169:AC169),""),"")</f>
        <v>184648</v>
      </c>
      <c r="O56" s="168">
        <f>IF(AND(J56&lt;&gt;"",M56&lt;&gt;"",M56&lt;&gt;0),J56/M56,"")</f>
        <v>0.49591099277291745</v>
      </c>
      <c r="P56" s="163" t="str">
        <f>IF(O56="","",IF(O56&gt;=2,"急増↑↑",IF(O56&gt;=1.5,"増加↑",IF(O56&gt;=1,"普通→","減少↓"))))</f>
        <v>減少↓</v>
      </c>
      <c r="Q56" s="163" t="str">
        <f>IF(E56="","",IF(AND(E56&gt;G56,O56&gt;=1.5),"買い▲",IF(E56&lt;G56,"様子見▼","中立→")))</f>
        <v>中立→</v>
      </c>
      <c r="R56" s="166">
        <f>IF(E56&lt;&gt;"",ROUND(E56*1.08,0),"")</f>
        <v>972</v>
      </c>
      <c r="S56" s="166">
        <f>IF(E56&lt;&gt;"",ROUND(E56*0.96,0),"")</f>
        <v>864</v>
      </c>
      <c r="T56" s="163">
        <f>IF(C56="","",IFERROR(IF(O56&gt;=2,3,IF(O56&gt;=1.5,2,IF(O56&gt;=1,1,0)))+IF(E56&gt;G56,1,0)+IF(L56&gt;=-5,1,0)+IF(Q56="買い▲",2,0)+IF(W56&lt;=30,3,IF(W56&lt;=40,2,IF(AND(W56&gt;=40,W56&lt;=60),1,0)))+IF(X56&gt;0,1,0)+IF(V56="年初来高値更新●",3,IF(V56="高値圏",2,0))+IF(AD56="パーフェクト▲",3,IF(AD56="上昇トレンド▲",2,0))+IF(AE56="25日線押し目●",2,IF(AE56="5日線押し目○",1,0))+IF(P56="急増↑↑",2,IF(P56="増加↑",1,0))+N(AI56),0))</f>
        <v>4</v>
      </c>
      <c r="U56" s="163" t="str">
        <f>IF(T56="","",IF(AND(T56&gt;=3,O56&gt;=1.5),"有効",IF(T56&gt;=3,"要確認","除外")))</f>
        <v>要確認</v>
      </c>
      <c r="V56" s="163" t="str">
        <f>IF(AND(H56&lt;&gt;"",K56&lt;&gt;""),IF(H56&gt;=K56,"年初来高値更新●",IF(H56&gt;=K56*0.95,"高値圏","通常")),"")</f>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IF(AND(E56&lt;&gt;"",G56&lt;&gt;"",G56&lt;&gt;0),(E56-G56)/G56*100,"")</f>
        <v>1.2373453318335208</v>
      </c>
      <c r="AA56" s="163" t="str">
        <f>IF(OR(C56="",E56="",E56=0),"",IF(E56&gt;G56,"上昇▲",IF(E56&lt;G56,"下落▼","横ばい→")))</f>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IF(OR(C56="",AB56="",AC56=""),"",IF(AND(E56&gt;AB56,AB56&gt;AC56),"パーフェクト▲",IF(E56&gt;AC56,"上昇トレンド▲",IF(AND(E56&lt;AB56,AB56&lt;AC56),"下降トレンド▼","もみ合い→"))))</f>
        <v>下降トレンド▼</v>
      </c>
      <c r="AE56" s="404" t="str">
        <f>IF(OR(C56="",AB56="",AC56=""),"",IF(AND(ABS(E56-AC56)/AC56&lt;=0.02,E56&gt;AC56),"25日押し目★",IF(AND(ABS(E56-AB56)/AB56&lt;=0.01,E56&gt;AB56),"5日押し目○","なし")))</f>
        <v>なし</v>
      </c>
      <c r="AF56" s="365">
        <f t="array" ref="AF56">IF(C56="","",IFERROR((INDEX(終値!$E:$E,MATCH(TEXT(C56,"0"),終値!$A:$A,0))-INDEX(終値!$E:$CZ,MATCH(TEXT(C56,"0"),終値!$A:$A,0),$AL$2))/INDEX(終値!$E:$CZ,MATCH(TEXT(C56,"0"),終値!$A:$A,0),$AL$2)*100,""))</f>
        <v>2.5056947608200453</v>
      </c>
      <c r="AG56" s="365">
        <f t="array" ref="AG56">IFERROR((終値!$E$5-INDEX(終値!$E$5:$IT$5,1,$AL$2))/INDEX(終値!$E$5:$IT$5,1,$AL$2)*100,"")</f>
        <v>1.0179378228534113</v>
      </c>
      <c r="AH56" s="366">
        <f>IF(OR(AF56="",AG56=""),"",AF56-AG56)</f>
        <v>1.487756937966634</v>
      </c>
      <c r="AI56" s="364">
        <f>IF(AH56="","",IF(AH56&gt;5,3,IF(AH56&gt;0,1,IF(AH56&gt;-3,-1,-2))))</f>
        <v>1</v>
      </c>
      <c r="BA56">
        <f>IFERROR((SUM(OFFSET(高値!$E$6,IFERROR(MATCH($C56,銘柄管理!$B$6:$B$305,0),MATCH(TEXT($C56,"0"),銘柄管理!$B$6:$B$305,0))-1,0,1,14))-SUM(OFFSET(安値!$E$6,IFERROR(MATCH($C56,銘柄管理!$B$6:$B$305,0),MATCH(TEXT($C56,"0"),銘柄管理!$B$6:$B$305,0))-1,0,1,14)))/SUM(OFFSET(終値!$E$6,IFERROR(MATCH($C56,銘柄管理!$B$6:$B$305,0),MATCH(TEXT($C56,"0"),銘柄管理!$B$6:$B$305,0))-1,0,1,14))*100,"")</f>
      </c>
      <c r="BB56">
        <f>IFERROR((MAX(OFFSET(高値!$E$6,IFERROR(MATCH($C56,銘柄管理!$B$6:$B$305,0),MATCH(TEXT($C56,"0"),銘柄管理!$B$6:$B$305,0))-1,0,1,25))-MIN(OFFSET(安値!$E$6,IFERROR(MATCH($C56,銘柄管理!$B$6:$B$305,0),MATCH(TEXT($C56,"0"),銘柄管理!$B$6:$B$305,0))-1,0,1,25)))/$E56*100,"")</f>
      </c>
      <c r="BC56">
        <f>IFERROR(($F56-$G56)/$G56*100,"")</f>
      </c>
      <c r="BD56">
        <f>IFERROR(($E56-MAX(OFFSET(高値!$E$6,IFERROR(MATCH($C56,銘柄管理!$B$6:$B$305,0),MATCH(TEXT($C56,"0"),銘柄管理!$B$6:$B$305,0))-1,0,1,25)))/MAX(OFFSET(高値!$E$6,IFERROR(MATCH($C56,銘柄管理!$B$6:$B$305,0),MATCH(TEXT($C56,"0"),銘柄管理!$B$6:$B$305,0))-1,0,1,25))*100,"")</f>
      </c>
      <c r="BE56">
        <f>IFERROR(($H56-$I56)/$F56*100,"")</f>
      </c>
      <c r="BF56">
        <f>IFERROR(-(($BA56-AVERAGE($BA$3:$BA$206))/STDEV($BA$3:$BA$206))-(($BE56-AVERAGE($BE$3:$BE$206))/STDEV($BE$3:$BE$206))-(($BB56-AVERAGE($BB$3:$BB$206))/STDEV($BB$3:$BB$206))-(($Z56-AVERAGE($Z$3:$Z$206))/STDEV($Z$3:$Z$206))-(($BC56-AVERAGE($BC$3:$BC$206))/STDEV($BC$3:$BC$206)),"")</f>
      </c>
      <c r="BG56">
        <f>IF(OR($C56="",$C56="TOPX",$BA56="",$BF56=""),0,IF(AND($BK$10=1,$BA56&lt;=$BK$2,$BB56&lt;=$BK$3,$BC56&lt;=$BK$4,$Z56&lt;=$BK$5,$Z56&gt;=$BK$6,$BD56&gt;=$BK$7,$BE56&lt;=$BK$8),1,0))</f>
      </c>
      <c r="BH56">
        <f>IF($C56="","",IF($BG56=1,"○ゲート通過",IF($BK$10&lt;&gt;1,"― この方向は停止中",IF($BA56&gt;$BK$2,"×値動きが荒い",IF($BB56&gt;$BK$3,"×レンジが広い",IF($BC56&gt;$BK$4,"×窓を開けて上昇",IF($Z56&gt;$BK$5,"×前日に急騰",IF($Z56&lt;$BK$6,"×前日に急落",IF($BD56&lt;$BK$7,"×高値から離れすぎ",IF($BE56&gt;$BK$8,"×当日の値幅が大きい","×")))))))))</f>
      </c>
    </row>
    <row r="57" spans="1:60"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IF(AND(E57&lt;&gt;"",K57&lt;&gt;"",K57&lt;&gt;0),(E57-K57)/K57*100,"")</f>
        <v>-13.36996336996337</v>
      </c>
      <c r="M57" s="166">
        <f>IF(C57&lt;&gt;"",IFERROR(AVERAGE(出来高!E182:I182),""),"")</f>
        <v>11960</v>
      </c>
      <c r="N57" s="166">
        <f>IF(C57&lt;&gt;"",IFERROR(AVERAGE(出来高!E182:AC182),""),"")</f>
        <v>14184</v>
      </c>
      <c r="O57" s="168">
        <f>IF(AND(J57&lt;&gt;"",M57&lt;&gt;"",M57&lt;&gt;0),J57/M57,"")</f>
        <v>0.64381270903010035</v>
      </c>
      <c r="P57" s="163" t="str">
        <f>IF(O57="","",IF(O57&gt;=2,"急増↑↑",IF(O57&gt;=1.5,"増加↑",IF(O57&gt;=1,"普通→","減少↓"))))</f>
        <v>減少↓</v>
      </c>
      <c r="Q57" s="163" t="str">
        <f>IF(E57="","",IF(AND(E57&gt;G57,O57&gt;=1.5),"買い▲",IF(E57&lt;G57,"様子見▼","中立→")))</f>
        <v>中立→</v>
      </c>
      <c r="R57" s="166">
        <f>IF(E57&lt;&gt;"",ROUND(E57*1.08,0),"")</f>
        <v>2554</v>
      </c>
      <c r="S57" s="166">
        <f>IF(E57&lt;&gt;"",ROUND(E57*0.96,0),"")</f>
        <v>2270</v>
      </c>
      <c r="T57" s="163">
        <f>IF(C57="","",IFERROR(IF(O57&gt;=2,3,IF(O57&gt;=1.5,2,IF(O57&gt;=1,1,0)))+IF(E57&gt;G57,1,0)+IF(L57&gt;=-5,1,0)+IF(Q57="買い▲",2,0)+IF(W57&lt;=30,3,IF(W57&lt;=40,2,IF(AND(W57&gt;=40,W57&lt;=60),1,0)))+IF(X57&gt;0,1,0)+IF(V57="年初来高値更新●",3,IF(V57="高値圏",2,0))+IF(AD57="パーフェクト▲",3,IF(AD57="上昇トレンド▲",2,0))+IF(AE57="25日線押し目●",2,IF(AE57="5日線押し目○",1,0))+IF(P57="急増↑↑",2,IF(P57="増加↑",1,0))+N(AI57),0))</f>
        <v>4</v>
      </c>
      <c r="U57" s="163" t="str">
        <f>IF(T57="","",IF(AND(T57&gt;=3,O57&gt;=1.5),"有効",IF(T57&gt;=3,"要確認","除外")))</f>
        <v>要確認</v>
      </c>
      <c r="V57" s="163" t="str">
        <f>IF(AND(H57&lt;&gt;"",K57&lt;&gt;""),IF(H57&gt;=K57,"年初来高値更新●",IF(H57&gt;=K57*0.95,"高値圏","通常")),"")</f>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IF(AND(E57&lt;&gt;"",G57&lt;&gt;"",G57&lt;&gt;0),(E57-G57)/G57*100,"")</f>
        <v>1.2414383561643836</v>
      </c>
      <c r="AA57" s="163" t="str">
        <f>IF(OR(C57="",E57="",E57=0),"",IF(E57&gt;G57,"上昇▲",IF(E57&lt;G57,"下落▼","横ばい→")))</f>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IF(OR(C57="",AB57="",AC57=""),"",IF(AND(E57&gt;AB57,AB57&gt;AC57),"パーフェクト▲",IF(E57&gt;AC57,"上昇トレンド▲",IF(AND(E57&lt;AB57,AB57&lt;AC57),"下降トレンド▼","もみ合い→"))))</f>
        <v>もみ合い→</v>
      </c>
      <c r="AE57" s="406" t="str">
        <f>IF(OR(C57="",AB57="",AC57=""),"",IF(AND(ABS(E57-AC57)/AC57&lt;=0.02,E57&gt;AC57),"25日押し目★",IF(AND(ABS(E57-AB57)/AB57&lt;=0.01,E57&gt;AB57),"5日押し目○","なし")))</f>
        <v>5日押し目○</v>
      </c>
      <c r="AF57" s="365">
        <f t="array" ref="AF57">IF(C57="","",IFERROR((INDEX(終値!$E:$E,MATCH(TEXT(C57,"0"),終値!$A:$A,0))-INDEX(終値!$E:$CZ,MATCH(TEXT(C57,"0"),終値!$A:$A,0),$AL$2))/INDEX(終値!$E:$CZ,MATCH(TEXT(C57,"0"),終値!$A:$A,0),$AL$2)*100,""))</f>
        <v>4.0017590149516273</v>
      </c>
      <c r="AG57" s="365">
        <f t="array" ref="AG57">IFERROR((終値!$E$5-INDEX(終値!$E$5:$IT$5,1,$AL$2))/INDEX(終値!$E$5:$IT$5,1,$AL$2)*100,"")</f>
        <v>1.0179378228534113</v>
      </c>
      <c r="AH57" s="366">
        <f>IF(OR(AF57="",AG57=""),"",AF57-AG57)</f>
        <v>2.9838211920982163</v>
      </c>
      <c r="AI57" s="364">
        <f>IF(AH57="","",IF(AH57&gt;5,3,IF(AH57&gt;0,1,IF(AH57&gt;-3,-1,-2))))</f>
        <v>1</v>
      </c>
      <c r="BA57">
        <f>IFERROR((SUM(OFFSET(高値!$E$6,IFERROR(MATCH($C57,銘柄管理!$B$6:$B$305,0),MATCH(TEXT($C57,"0"),銘柄管理!$B$6:$B$305,0))-1,0,1,14))-SUM(OFFSET(安値!$E$6,IFERROR(MATCH($C57,銘柄管理!$B$6:$B$305,0),MATCH(TEXT($C57,"0"),銘柄管理!$B$6:$B$305,0))-1,0,1,14)))/SUM(OFFSET(終値!$E$6,IFERROR(MATCH($C57,銘柄管理!$B$6:$B$305,0),MATCH(TEXT($C57,"0"),銘柄管理!$B$6:$B$305,0))-1,0,1,14))*100,"")</f>
      </c>
      <c r="BB57">
        <f>IFERROR((MAX(OFFSET(高値!$E$6,IFERROR(MATCH($C57,銘柄管理!$B$6:$B$305,0),MATCH(TEXT($C57,"0"),銘柄管理!$B$6:$B$305,0))-1,0,1,25))-MIN(OFFSET(安値!$E$6,IFERROR(MATCH($C57,銘柄管理!$B$6:$B$305,0),MATCH(TEXT($C57,"0"),銘柄管理!$B$6:$B$305,0))-1,0,1,25)))/$E57*100,"")</f>
      </c>
      <c r="BC57">
        <f>IFERROR(($F57-$G57)/$G57*100,"")</f>
      </c>
      <c r="BD57">
        <f>IFERROR(($E57-MAX(OFFSET(高値!$E$6,IFERROR(MATCH($C57,銘柄管理!$B$6:$B$305,0),MATCH(TEXT($C57,"0"),銘柄管理!$B$6:$B$305,0))-1,0,1,25)))/MAX(OFFSET(高値!$E$6,IFERROR(MATCH($C57,銘柄管理!$B$6:$B$305,0),MATCH(TEXT($C57,"0"),銘柄管理!$B$6:$B$305,0))-1,0,1,25))*100,"")</f>
      </c>
      <c r="BE57">
        <f>IFERROR(($H57-$I57)/$F57*100,"")</f>
      </c>
      <c r="BF57">
        <f>IFERROR(-(($BA57-AVERAGE($BA$3:$BA$206))/STDEV($BA$3:$BA$206))-(($BE57-AVERAGE($BE$3:$BE$206))/STDEV($BE$3:$BE$206))-(($BB57-AVERAGE($BB$3:$BB$206))/STDEV($BB$3:$BB$206))-(($Z57-AVERAGE($Z$3:$Z$206))/STDEV($Z$3:$Z$206))-(($BC57-AVERAGE($BC$3:$BC$206))/STDEV($BC$3:$BC$206)),"")</f>
      </c>
      <c r="BG57">
        <f>IF(OR($C57="",$C57="TOPX",$BA57="",$BF57=""),0,IF(AND($BK$10=1,$BA57&lt;=$BK$2,$BB57&lt;=$BK$3,$BC57&lt;=$BK$4,$Z57&lt;=$BK$5,$Z57&gt;=$BK$6,$BD57&gt;=$BK$7,$BE57&lt;=$BK$8),1,0))</f>
      </c>
      <c r="BH57">
        <f>IF($C57="","",IF($BG57=1,"○ゲート通過",IF($BK$10&lt;&gt;1,"― この方向は停止中",IF($BA57&gt;$BK$2,"×値動きが荒い",IF($BB57&gt;$BK$3,"×レンジが広い",IF($BC57&gt;$BK$4,"×窓を開けて上昇",IF($Z57&gt;$BK$5,"×前日に急騰",IF($Z57&lt;$BK$6,"×前日に急落",IF($BD57&lt;$BK$7,"×高値から離れすぎ",IF($BE57&gt;$BK$8,"×当日の値幅が大きい","×")))))))))</f>
      </c>
    </row>
    <row r="58" spans="1:60"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IF(AND(E58&lt;&gt;"",K58&lt;&gt;"",K58&lt;&gt;0),(E58-K58)/K58*100,"")</f>
        <v>-21.024617431803062</v>
      </c>
      <c r="M58" s="166">
        <f>IF(C58&lt;&gt;"",IFERROR(AVERAGE(出来高!E16:I16),""),"")</f>
        <v>9899860</v>
      </c>
      <c r="N58" s="166">
        <f>IF(C58&lt;&gt;"",IFERROR(AVERAGE(出来高!E16:AC16),""),"")</f>
        <v>8365096</v>
      </c>
      <c r="O58" s="168">
        <f>IF(AND(J58&lt;&gt;"",M58&lt;&gt;"",M58&lt;&gt;0),J58/M58,"")</f>
        <v>0.60798839579549613</v>
      </c>
      <c r="P58" s="163" t="str">
        <f>IF(O58="","",IF(O58&gt;=2,"急増↑↑",IF(O58&gt;=1.5,"増加↑",IF(O58&gt;=1,"普通→","減少↓"))))</f>
        <v>減少↓</v>
      </c>
      <c r="Q58" s="163" t="str">
        <f>IF(E58="","",IF(AND(E58&gt;G58,O58&gt;=1.5),"買い▲",IF(E58&lt;G58,"様子見▼","中立→")))</f>
        <v>中立→</v>
      </c>
      <c r="R58" s="166">
        <f>IF(E58&lt;&gt;"",ROUND(E58*1.08,0),"")</f>
        <v>5128</v>
      </c>
      <c r="S58" s="166">
        <f>IF(E58&lt;&gt;"",ROUND(E58*0.96,0),"")</f>
        <v>4558</v>
      </c>
      <c r="T58" s="163">
        <f>IF(C58="","",IFERROR(IF(O58&gt;=2,3,IF(O58&gt;=1.5,2,IF(O58&gt;=1,1,0)))+IF(E58&gt;G58,1,0)+IF(L58&gt;=-5,1,0)+IF(Q58="買い▲",2,0)+IF(W58&lt;=30,3,IF(W58&lt;=40,2,IF(AND(W58&gt;=40,W58&lt;=60),1,0)))+IF(X58&gt;0,1,0)+IF(V58="年初来高値更新●",3,IF(V58="高値圏",2,0))+IF(AD58="パーフェクト▲",3,IF(AD58="上昇トレンド▲",2,0))+IF(AE58="25日線押し目●",2,IF(AE58="5日線押し目○",1,0))+IF(P58="急増↑↑",2,IF(P58="増加↑",1,0))+N(AI58),0))</f>
        <v>9</v>
      </c>
      <c r="U58" s="163" t="str">
        <f>IF(T58="","",IF(AND(T58&gt;=3,O58&gt;=1.5),"有効",IF(T58&gt;=3,"要確認","除外")))</f>
        <v>要確認</v>
      </c>
      <c r="V58" s="163" t="str">
        <f>IF(AND(H58&lt;&gt;"",K58&lt;&gt;""),IF(H58&gt;=K58,"年初来高値更新●",IF(H58&gt;=K58*0.95,"高値圏","通常")),"")</f>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IF(AND(E58&lt;&gt;"",G58&lt;&gt;"",G58&lt;&gt;0),(E58-G58)/G58*100,"")</f>
        <v>2.305537599655247</v>
      </c>
      <c r="AA58" s="163" t="str">
        <f>IF(OR(C58="",E58="",E58=0),"",IF(E58&gt;G58,"上昇▲",IF(E58&lt;G58,"下落▼","横ばい→")))</f>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IF(OR(C58="",AB58="",AC58=""),"",IF(AND(E58&gt;AB58,AB58&gt;AC58),"パーフェクト▲",IF(E58&gt;AC58,"上昇トレンド▲",IF(AND(E58&lt;AB58,AB58&lt;AC58),"下降トレンド▼","もみ合い→"))))</f>
        <v>パーフェクト▲</v>
      </c>
      <c r="AE58" s="404" t="str">
        <f>IF(OR(C58="",AB58="",AC58=""),"",IF(AND(ABS(E58-AC58)/AC58&lt;=0.02,E58&gt;AC58),"25日押し目★",IF(AND(ABS(E58-AB58)/AB58&lt;=0.01,E58&gt;AB58),"5日押し目○","なし")))</f>
        <v>なし</v>
      </c>
      <c r="AF58" s="365">
        <f t="array" ref="AF58">IF(C58="","",IFERROR((INDEX(終値!$E:$E,MATCH(TEXT(C58,"0"),終値!$A:$A,0))-INDEX(終値!$E:$CZ,MATCH(TEXT(C58,"0"),終値!$A:$A,0),$AL$2))/INDEX(終値!$E:$CZ,MATCH(TEXT(C58,"0"),終値!$A:$A,0),$AL$2)*100,""))</f>
        <v>9.3001841620626156</v>
      </c>
      <c r="AG58" s="365">
        <f t="array" ref="AG58">IFERROR((終値!$E$5-INDEX(終値!$E$5:$IT$5,1,$AL$2))/INDEX(終値!$E$5:$IT$5,1,$AL$2)*100,"")</f>
        <v>1.0179378228534113</v>
      </c>
      <c r="AH58" s="366">
        <f>IF(OR(AF58="",AG58=""),"",AF58-AG58)</f>
        <v>8.2822463392092036</v>
      </c>
      <c r="AI58" s="364">
        <f>IF(AH58="","",IF(AH58&gt;5,3,IF(AH58&gt;0,1,IF(AH58&gt;-3,-1,-2))))</f>
        <v>3</v>
      </c>
      <c r="BA58">
        <f>IFERROR((SUM(OFFSET(高値!$E$6,IFERROR(MATCH($C58,銘柄管理!$B$6:$B$305,0),MATCH(TEXT($C58,"0"),銘柄管理!$B$6:$B$305,0))-1,0,1,14))-SUM(OFFSET(安値!$E$6,IFERROR(MATCH($C58,銘柄管理!$B$6:$B$305,0),MATCH(TEXT($C58,"0"),銘柄管理!$B$6:$B$305,0))-1,0,1,14)))/SUM(OFFSET(終値!$E$6,IFERROR(MATCH($C58,銘柄管理!$B$6:$B$305,0),MATCH(TEXT($C58,"0"),銘柄管理!$B$6:$B$305,0))-1,0,1,14))*100,"")</f>
      </c>
      <c r="BB58">
        <f>IFERROR((MAX(OFFSET(高値!$E$6,IFERROR(MATCH($C58,銘柄管理!$B$6:$B$305,0),MATCH(TEXT($C58,"0"),銘柄管理!$B$6:$B$305,0))-1,0,1,25))-MIN(OFFSET(安値!$E$6,IFERROR(MATCH($C58,銘柄管理!$B$6:$B$305,0),MATCH(TEXT($C58,"0"),銘柄管理!$B$6:$B$305,0))-1,0,1,25)))/$E58*100,"")</f>
      </c>
      <c r="BC58">
        <f>IFERROR(($F58-$G58)/$G58*100,"")</f>
      </c>
      <c r="BD58">
        <f>IFERROR(($E58-MAX(OFFSET(高値!$E$6,IFERROR(MATCH($C58,銘柄管理!$B$6:$B$305,0),MATCH(TEXT($C58,"0"),銘柄管理!$B$6:$B$305,0))-1,0,1,25)))/MAX(OFFSET(高値!$E$6,IFERROR(MATCH($C58,銘柄管理!$B$6:$B$305,0),MATCH(TEXT($C58,"0"),銘柄管理!$B$6:$B$305,0))-1,0,1,25))*100,"")</f>
      </c>
      <c r="BE58">
        <f>IFERROR(($H58-$I58)/$F58*100,"")</f>
      </c>
      <c r="BF58">
        <f>IFERROR(-(($BA58-AVERAGE($BA$3:$BA$206))/STDEV($BA$3:$BA$206))-(($BE58-AVERAGE($BE$3:$BE$206))/STDEV($BE$3:$BE$206))-(($BB58-AVERAGE($BB$3:$BB$206))/STDEV($BB$3:$BB$206))-(($Z58-AVERAGE($Z$3:$Z$206))/STDEV($Z$3:$Z$206))-(($BC58-AVERAGE($BC$3:$BC$206))/STDEV($BC$3:$BC$206)),"")</f>
      </c>
      <c r="BG58">
        <f>IF(OR($C58="",$C58="TOPX",$BA58="",$BF58=""),0,IF(AND($BK$10=1,$BA58&lt;=$BK$2,$BB58&lt;=$BK$3,$BC58&lt;=$BK$4,$Z58&lt;=$BK$5,$Z58&gt;=$BK$6,$BD58&gt;=$BK$7,$BE58&lt;=$BK$8),1,0))</f>
      </c>
      <c r="BH58">
        <f>IF($C58="","",IF($BG58=1,"○ゲート通過",IF($BK$10&lt;&gt;1,"― この方向は停止中",IF($BA58&gt;$BK$2,"×値動きが荒い",IF($BB58&gt;$BK$3,"×レンジが広い",IF($BC58&gt;$BK$4,"×窓を開けて上昇",IF($Z58&gt;$BK$5,"×前日に急騰",IF($Z58&lt;$BK$6,"×前日に急落",IF($BD58&lt;$BK$7,"×高値から離れすぎ",IF($BE58&gt;$BK$8,"×当日の値幅が大きい","×")))))))))</f>
      </c>
    </row>
    <row r="59" spans="1:60"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IF(AND(E59&lt;&gt;"",K59&lt;&gt;"",K59&lt;&gt;0),(E59-K59)/K59*100,"")</f>
        <v>1.6274338854984016</v>
      </c>
      <c r="M59" s="166">
        <f>IF(C59&lt;&gt;"",IFERROR(AVERAGE(出来高!E25:I25),""),"")</f>
        <v>16820420</v>
      </c>
      <c r="N59" s="166">
        <f>IF(C59&lt;&gt;"",IFERROR(AVERAGE(出来高!E25:AC25),""),"")</f>
        <v>12169588</v>
      </c>
      <c r="O59" s="168">
        <f>IF(AND(J59&lt;&gt;"",M59&lt;&gt;"",M59&lt;&gt;0),J59/M59,"")</f>
        <v>0.60042495966212495</v>
      </c>
      <c r="P59" s="163" t="str">
        <f>IF(O59="","",IF(O59&gt;=2,"急増↑↑",IF(O59&gt;=1.5,"増加↑",IF(O59&gt;=1,"普通→","減少↓"))))</f>
        <v>減少↓</v>
      </c>
      <c r="Q59" s="163" t="str">
        <f>IF(E59="","",IF(AND(E59&gt;G59,O59&gt;=1.5),"買い▲",IF(E59&lt;G59,"様子見▼","中立→")))</f>
        <v>中立→</v>
      </c>
      <c r="R59" s="166">
        <f>IF(E59&lt;&gt;"",ROUND(E59*1.08,0),"")</f>
        <v>1888</v>
      </c>
      <c r="S59" s="166">
        <f>IF(E59&lt;&gt;"",ROUND(E59*0.96,0),"")</f>
        <v>1679</v>
      </c>
      <c r="T59" s="163">
        <f>IF(C59="","",IFERROR(IF(O59&gt;=2,3,IF(O59&gt;=1.5,2,IF(O59&gt;=1,1,0)))+IF(E59&gt;G59,1,0)+IF(L59&gt;=-5,1,0)+IF(Q59="買い▲",2,0)+IF(W59&lt;=30,3,IF(W59&lt;=40,2,IF(AND(W59&gt;=40,W59&lt;=60),1,0)))+IF(X59&gt;0,1,0)+IF(V59="年初来高値更新●",3,IF(V59="高値圏",2,0))+IF(AD59="パーフェクト▲",3,IF(AD59="上昇トレンド▲",2,0))+IF(AE59="25日線押し目●",2,IF(AE59="5日線押し目○",1,0))+IF(P59="急増↑↑",2,IF(P59="増加↑",1,0))+N(AI59),0))</f>
        <v>9</v>
      </c>
      <c r="U59" s="163" t="str">
        <f>IF(T59="","",IF(AND(T59&gt;=3,O59&gt;=1.5),"有効",IF(T59&gt;=3,"要確認","除外")))</f>
        <v>要確認</v>
      </c>
      <c r="V59" s="163" t="str">
        <f>IF(AND(H59&lt;&gt;"",K59&lt;&gt;""),IF(H59&gt;=K59,"年初来高値更新●",IF(H59&gt;=K59*0.95,"高値圏","通常")),"")</f>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IF(AND(E59&lt;&gt;"",G59&lt;&gt;"",G59&lt;&gt;0),(E59-G59)/G59*100,"")</f>
        <v>1.6274338854984016</v>
      </c>
      <c r="AA59" s="163" t="str">
        <f>IF(OR(C59="",E59="",E59=0),"",IF(E59&gt;G59,"上昇▲",IF(E59&lt;G59,"下落▼","横ばい→")))</f>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IF(OR(C59="",AB59="",AC59=""),"",IF(AND(E59&gt;AB59,AB59&gt;AC59),"パーフェクト▲",IF(E59&gt;AC59,"上昇トレンド▲",IF(AND(E59&lt;AB59,AB59&lt;AC59),"下降トレンド▼","もみ合い→"))))</f>
        <v>もみ合い→</v>
      </c>
      <c r="AE59" s="406" t="str">
        <f>IF(OR(C59="",AB59="",AC59=""),"",IF(AND(ABS(E59-AC59)/AC59&lt;=0.02,E59&gt;AC59),"25日押し目★",IF(AND(ABS(E59-AB59)/AB59&lt;=0.01,E59&gt;AB59),"5日押し目○","なし")))</f>
        <v>なし</v>
      </c>
      <c r="AF59" s="365">
        <f t="array" ref="AF59">IF(C59="","",IFERROR((INDEX(終値!$E:$E,MATCH(TEXT(C59,"0"),終値!$A:$A,0))-INDEX(終値!$E:$CZ,MATCH(TEXT(C59,"0"),終値!$A:$A,0),$AL$2))/INDEX(終値!$E:$CZ,MATCH(TEXT(C59,"0"),終値!$A:$A,0),$AL$2)*100,""))</f>
        <v>11.68955605237943</v>
      </c>
      <c r="AG59" s="365">
        <f t="array" ref="AG59">IFERROR((終値!$E$5-INDEX(終値!$E$5:$IT$5,1,$AL$2))/INDEX(終値!$E$5:$IT$5,1,$AL$2)*100,"")</f>
        <v>1.0179378228534113</v>
      </c>
      <c r="AH59" s="366">
        <f>IF(OR(AF59="",AG59=""),"",AF59-AG59)</f>
        <v>10.671618229526018</v>
      </c>
      <c r="AI59" s="364">
        <f>IF(AH59="","",IF(AH59&gt;5,3,IF(AH59&gt;0,1,IF(AH59&gt;-3,-1,-2))))</f>
        <v>3</v>
      </c>
      <c r="BA59">
        <f>IFERROR((SUM(OFFSET(高値!$E$6,IFERROR(MATCH($C59,銘柄管理!$B$6:$B$305,0),MATCH(TEXT($C59,"0"),銘柄管理!$B$6:$B$305,0))-1,0,1,14))-SUM(OFFSET(安値!$E$6,IFERROR(MATCH($C59,銘柄管理!$B$6:$B$305,0),MATCH(TEXT($C59,"0"),銘柄管理!$B$6:$B$305,0))-1,0,1,14)))/SUM(OFFSET(終値!$E$6,IFERROR(MATCH($C59,銘柄管理!$B$6:$B$305,0),MATCH(TEXT($C59,"0"),銘柄管理!$B$6:$B$305,0))-1,0,1,14))*100,"")</f>
      </c>
      <c r="BB59">
        <f>IFERROR((MAX(OFFSET(高値!$E$6,IFERROR(MATCH($C59,銘柄管理!$B$6:$B$305,0),MATCH(TEXT($C59,"0"),銘柄管理!$B$6:$B$305,0))-1,0,1,25))-MIN(OFFSET(安値!$E$6,IFERROR(MATCH($C59,銘柄管理!$B$6:$B$305,0),MATCH(TEXT($C59,"0"),銘柄管理!$B$6:$B$305,0))-1,0,1,25)))/$E59*100,"")</f>
      </c>
      <c r="BC59">
        <f>IFERROR(($F59-$G59)/$G59*100,"")</f>
      </c>
      <c r="BD59">
        <f>IFERROR(($E59-MAX(OFFSET(高値!$E$6,IFERROR(MATCH($C59,銘柄管理!$B$6:$B$305,0),MATCH(TEXT($C59,"0"),銘柄管理!$B$6:$B$305,0))-1,0,1,25)))/MAX(OFFSET(高値!$E$6,IFERROR(MATCH($C59,銘柄管理!$B$6:$B$305,0),MATCH(TEXT($C59,"0"),銘柄管理!$B$6:$B$305,0))-1,0,1,25))*100,"")</f>
      </c>
      <c r="BE59">
        <f>IFERROR(($H59-$I59)/$F59*100,"")</f>
      </c>
      <c r="BF59">
        <f>IFERROR(-(($BA59-AVERAGE($BA$3:$BA$206))/STDEV($BA$3:$BA$206))-(($BE59-AVERAGE($BE$3:$BE$206))/STDEV($BE$3:$BE$206))-(($BB59-AVERAGE($BB$3:$BB$206))/STDEV($BB$3:$BB$206))-(($Z59-AVERAGE($Z$3:$Z$206))/STDEV($Z$3:$Z$206))-(($BC59-AVERAGE($BC$3:$BC$206))/STDEV($BC$3:$BC$206)),"")</f>
      </c>
      <c r="BG59">
        <f>IF(OR($C59="",$C59="TOPX",$BA59="",$BF59=""),0,IF(AND($BK$10=1,$BA59&lt;=$BK$2,$BB59&lt;=$BK$3,$BC59&lt;=$BK$4,$Z59&lt;=$BK$5,$Z59&gt;=$BK$6,$BD59&gt;=$BK$7,$BE59&lt;=$BK$8),1,0))</f>
      </c>
      <c r="BH59">
        <f>IF($C59="","",IF($BG59=1,"○ゲート通過",IF($BK$10&lt;&gt;1,"― この方向は停止中",IF($BA59&gt;$BK$2,"×値動きが荒い",IF($BB59&gt;$BK$3,"×レンジが広い",IF($BC59&gt;$BK$4,"×窓を開けて上昇",IF($Z59&gt;$BK$5,"×前日に急騰",IF($Z59&lt;$BK$6,"×前日に急落",IF($BD59&lt;$BK$7,"×高値から離れすぎ",IF($BE59&gt;$BK$8,"×当日の値幅が大きい","×")))))))))</f>
      </c>
    </row>
    <row r="60" spans="1:60"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IF(AND(E60&lt;&gt;"",K60&lt;&gt;"",K60&lt;&gt;0),(E60-K60)/K60*100,"")</f>
        <v>-31.909918779227169</v>
      </c>
      <c r="M60" s="166">
        <f>IF(C60&lt;&gt;"",IFERROR(AVERAGE(出来高!E198:I198),""),"")</f>
        <v>5880800</v>
      </c>
      <c r="N60" s="166">
        <f>IF(C60&lt;&gt;"",IFERROR(AVERAGE(出来高!E198:AC198),""),"")</f>
        <v>4666372</v>
      </c>
      <c r="O60" s="168">
        <f>IF(AND(J60&lt;&gt;"",M60&lt;&gt;"",M60&lt;&gt;0),J60/M60,"")</f>
        <v>0.61265474085158478</v>
      </c>
      <c r="P60" s="163" t="str">
        <f>IF(O60="","",IF(O60&gt;=2,"急増↑↑",IF(O60&gt;=1.5,"増加↑",IF(O60&gt;=1,"普通→","減少↓"))))</f>
        <v>減少↓</v>
      </c>
      <c r="Q60" s="163" t="str">
        <f>IF(E60="","",IF(AND(E60&gt;G60,O60&gt;=1.5),"買い▲",IF(E60&lt;G60,"様子見▼","中立→")))</f>
        <v>様子見▼</v>
      </c>
      <c r="R60" s="166">
        <f>IF(E60&lt;&gt;"",ROUND(E60*1.08,0),"")</f>
        <v>59756</v>
      </c>
      <c r="S60" s="166">
        <f>IF(E60&lt;&gt;"",ROUND(E60*0.96,0),"")</f>
        <v>53117</v>
      </c>
      <c r="T60" s="163">
        <f>IF(C60="","",IFERROR(IF(O60&gt;=2,3,IF(O60&gt;=1.5,2,IF(O60&gt;=1,1,0)))+IF(E60&gt;G60,1,0)+IF(L60&gt;=-5,1,0)+IF(Q60="買い▲",2,0)+IF(W60&lt;=30,3,IF(W60&lt;=40,2,IF(AND(W60&gt;=40,W60&lt;=60),1,0)))+IF(X60&gt;0,1,0)+IF(V60="年初来高値更新●",3,IF(V60="高値圏",2,0))+IF(AD60="パーフェクト▲",3,IF(AD60="上昇トレンド▲",2,0))+IF(AE60="25日線押し目●",2,IF(AE60="5日線押し目○",1,0))+IF(P60="急増↑↑",2,IF(P60="増加↑",1,0))+N(AI60),0))</f>
        <v>4</v>
      </c>
      <c r="U60" s="163" t="str">
        <f>IF(T60="","",IF(AND(T60&gt;=3,O60&gt;=1.5),"有効",IF(T60&gt;=3,"要確認","除外")))</f>
        <v>要確認</v>
      </c>
      <c r="V60" s="163" t="str">
        <f>IF(AND(H60&lt;&gt;"",K60&lt;&gt;""),IF(H60&gt;=K60,"年初来高値更新●",IF(H60&gt;=K60*0.95,"高値圏","通常")),"")</f>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IF(AND(E60&lt;&gt;"",G60&lt;&gt;"",G60&lt;&gt;0),(E60-G60)/G60*100,"")</f>
        <v>-5.499573014517507</v>
      </c>
      <c r="AA60" s="163" t="str">
        <f>IF(OR(C60="",E60="",E60=0),"",IF(E60&gt;G60,"上昇▲",IF(E60&lt;G60,"下落▼","横ばい→")))</f>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IF(OR(C60="",AB60="",AC60=""),"",IF(AND(E60&gt;AB60,AB60&gt;AC60),"パーフェクト▲",IF(E60&gt;AC60,"上昇トレンド▲",IF(AND(E60&lt;AB60,AB60&lt;AC60),"下降トレンド▼","もみ合い→"))))</f>
        <v>パーフェクト▲</v>
      </c>
      <c r="AE60" s="404" t="str">
        <f>IF(OR(C60="",AB60="",AC60=""),"",IF(AND(ABS(E60-AC60)/AC60&lt;=0.02,E60&gt;AC60),"25日押し目★",IF(AND(ABS(E60-AB60)/AB60&lt;=0.01,E60&gt;AB60),"5日押し目○","なし")))</f>
        <v>なし</v>
      </c>
      <c r="AF60" s="365">
        <f t="array" ref="AF60">IF(C60="","",IFERROR((INDEX(終値!$E:$E,MATCH(TEXT(C60,"0"),終値!$A:$A,0))-INDEX(終値!$E:$CZ,MATCH(TEXT(C60,"0"),終値!$A:$A,0),$AL$2))/INDEX(終値!$E:$CZ,MATCH(TEXT(C60,"0"),終値!$A:$A,0),$AL$2)*100,""))</f>
        <v>-29.784263959390859</v>
      </c>
      <c r="AG60" s="365">
        <f t="array" ref="AG60">IFERROR((終値!$E$5-INDEX(終値!$E$5:$IT$5,1,$AL$2))/INDEX(終値!$E$5:$IT$5,1,$AL$2)*100,"")</f>
        <v>1.0179378228534113</v>
      </c>
      <c r="AH60" s="366">
        <f>IF(OR(AF60="",AG60=""),"",AF60-AG60)</f>
        <v>-30.802201782244271</v>
      </c>
      <c r="AI60" s="364">
        <f>IF(AH60="","",IF(AH60&gt;5,3,IF(AH60&gt;0,1,IF(AH60&gt;-3,-1,-2))))</f>
        <v>-2</v>
      </c>
      <c r="BA60">
        <f>IFERROR((SUM(OFFSET(高値!$E$6,IFERROR(MATCH($C60,銘柄管理!$B$6:$B$305,0),MATCH(TEXT($C60,"0"),銘柄管理!$B$6:$B$305,0))-1,0,1,14))-SUM(OFFSET(安値!$E$6,IFERROR(MATCH($C60,銘柄管理!$B$6:$B$305,0),MATCH(TEXT($C60,"0"),銘柄管理!$B$6:$B$305,0))-1,0,1,14)))/SUM(OFFSET(終値!$E$6,IFERROR(MATCH($C60,銘柄管理!$B$6:$B$305,0),MATCH(TEXT($C60,"0"),銘柄管理!$B$6:$B$305,0))-1,0,1,14))*100,"")</f>
      </c>
      <c r="BB60">
        <f>IFERROR((MAX(OFFSET(高値!$E$6,IFERROR(MATCH($C60,銘柄管理!$B$6:$B$305,0),MATCH(TEXT($C60,"0"),銘柄管理!$B$6:$B$305,0))-1,0,1,25))-MIN(OFFSET(安値!$E$6,IFERROR(MATCH($C60,銘柄管理!$B$6:$B$305,0),MATCH(TEXT($C60,"0"),銘柄管理!$B$6:$B$305,0))-1,0,1,25)))/$E60*100,"")</f>
      </c>
      <c r="BC60">
        <f>IFERROR(($F60-$G60)/$G60*100,"")</f>
      </c>
      <c r="BD60">
        <f>IFERROR(($E60-MAX(OFFSET(高値!$E$6,IFERROR(MATCH($C60,銘柄管理!$B$6:$B$305,0),MATCH(TEXT($C60,"0"),銘柄管理!$B$6:$B$305,0))-1,0,1,25)))/MAX(OFFSET(高値!$E$6,IFERROR(MATCH($C60,銘柄管理!$B$6:$B$305,0),MATCH(TEXT($C60,"0"),銘柄管理!$B$6:$B$305,0))-1,0,1,25))*100,"")</f>
      </c>
      <c r="BE60">
        <f>IFERROR(($H60-$I60)/$F60*100,"")</f>
      </c>
      <c r="BF60">
        <f>IFERROR(-(($BA60-AVERAGE($BA$3:$BA$206))/STDEV($BA$3:$BA$206))-(($BE60-AVERAGE($BE$3:$BE$206))/STDEV($BE$3:$BE$206))-(($BB60-AVERAGE($BB$3:$BB$206))/STDEV($BB$3:$BB$206))-(($Z60-AVERAGE($Z$3:$Z$206))/STDEV($Z$3:$Z$206))-(($BC60-AVERAGE($BC$3:$BC$206))/STDEV($BC$3:$BC$206)),"")</f>
      </c>
      <c r="BG60">
        <f>IF(OR($C60="",$C60="TOPX",$BA60="",$BF60=""),0,IF(AND($BK$10=1,$BA60&lt;=$BK$2,$BB60&lt;=$BK$3,$BC60&lt;=$BK$4,$Z60&lt;=$BK$5,$Z60&gt;=$BK$6,$BD60&gt;=$BK$7,$BE60&lt;=$BK$8),1,0))</f>
      </c>
      <c r="BH60">
        <f>IF($C60="","",IF($BG60=1,"○ゲート通過",IF($BK$10&lt;&gt;1,"― この方向は停止中",IF($BA60&gt;$BK$2,"×値動きが荒い",IF($BB60&gt;$BK$3,"×レンジが広い",IF($BC60&gt;$BK$4,"×窓を開けて上昇",IF($Z60&gt;$BK$5,"×前日に急騰",IF($Z60&lt;$BK$6,"×前日に急落",IF($BD60&lt;$BK$7,"×高値から離れすぎ",IF($BE60&gt;$BK$8,"×当日の値幅が大きい","×")))))))))</f>
      </c>
    </row>
    <row r="61" spans="1:60"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IF(AND(E61&lt;&gt;"",K61&lt;&gt;"",K61&lt;&gt;0),(E61-K61)/K61*100,"")</f>
        <v>-1.3096970498743219</v>
      </c>
      <c r="M61" s="166">
        <f>IF(C61&lt;&gt;"",IFERROR(AVERAGE(出来高!E204:I204),""),"")</f>
        <v>3735360</v>
      </c>
      <c r="N61" s="166">
        <f>IF(C61&lt;&gt;"",IFERROR(AVERAGE(出来高!E204:AC204),""),"")</f>
        <v>2956032</v>
      </c>
      <c r="O61" s="168">
        <f>IF(AND(J61&lt;&gt;"",M61&lt;&gt;"",M61&lt;&gt;0),J61/M61,"")</f>
        <v>0.85962263342756784</v>
      </c>
      <c r="P61" s="163" t="str">
        <f>IF(O61="","",IF(O61&gt;=2,"急増↑↑",IF(O61&gt;=1.5,"増加↑",IF(O61&gt;=1,"普通→","減少↓"))))</f>
        <v>減少↓</v>
      </c>
      <c r="Q61" s="163" t="str">
        <f>IF(E61="","",IF(AND(E61&gt;G61,O61&gt;=1.5),"買い▲",IF(E61&lt;G61,"様子見▼","中立→")))</f>
        <v>中立→</v>
      </c>
      <c r="R61" s="166">
        <f>IF(E61&lt;&gt;"",ROUND(E61*1.08,0),"")</f>
        <v>8057</v>
      </c>
      <c r="S61" s="166">
        <f>IF(E61&lt;&gt;"",ROUND(E61*0.96,0),"")</f>
        <v>7162</v>
      </c>
      <c r="T61" s="163">
        <f>IF(C61="","",IFERROR(IF(O61&gt;=2,3,IF(O61&gt;=1.5,2,IF(O61&gt;=1,1,0)))+IF(E61&gt;G61,1,0)+IF(L61&gt;=-5,1,0)+IF(Q61="買い▲",2,0)+IF(W61&lt;=30,3,IF(W61&lt;=40,2,IF(AND(W61&gt;=40,W61&lt;=60),1,0)))+IF(X61&gt;0,1,0)+IF(V61="年初来高値更新●",3,IF(V61="高値圏",2,0))+IF(AD61="パーフェクト▲",3,IF(AD61="上昇トレンド▲",2,0))+IF(AE61="25日線押し目●",2,IF(AE61="5日線押し目○",1,0))+IF(P61="急増↑↑",2,IF(P61="増加↑",1,0))+N(AI61),0))</f>
        <v>11</v>
      </c>
      <c r="U61" s="163" t="str">
        <f>IF(T61="","",IF(AND(T61&gt;=3,O61&gt;=1.5),"有効",IF(T61&gt;=3,"要確認","除外")))</f>
        <v>要確認</v>
      </c>
      <c r="V61" s="163" t="str">
        <f>IF(AND(H61&lt;&gt;"",K61&lt;&gt;""),IF(H61&gt;=K61,"年初来高値更新●",IF(H61&gt;=K61*0.95,"高値圏","通常")),"")</f>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IF(AND(E61&lt;&gt;"",G61&lt;&gt;"",G61&lt;&gt;0),(E61-G61)/G61*100,"")</f>
        <v>2.9959961341985366</v>
      </c>
      <c r="AA61" s="163" t="str">
        <f>IF(OR(C61="",E61="",E61=0),"",IF(E61&gt;G61,"上昇▲",IF(E61&lt;G61,"下落▼","横ばい→")))</f>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IF(OR(C61="",AB61="",AC61=""),"",IF(AND(E61&gt;AB61,AB61&gt;AC61),"パーフェクト▲",IF(E61&gt;AC61,"上昇トレンド▲",IF(AND(E61&lt;AB61,AB61&lt;AC61),"下降トレンド▼","もみ合い→"))))</f>
        <v>パーフェクト▲</v>
      </c>
      <c r="AE61" s="406" t="str">
        <f>IF(OR(C61="",AB61="",AC61=""),"",IF(AND(ABS(E61-AC61)/AC61&lt;=0.02,E61&gt;AC61),"25日押し目★",IF(AND(ABS(E61-AB61)/AB61&lt;=0.01,E61&gt;AB61),"5日押し目○","なし")))</f>
        <v>なし</v>
      </c>
      <c r="AF61" s="365">
        <f t="array" ref="AF61">IF(C61="","",IFERROR((INDEX(終値!$E:$E,MATCH(TEXT(C61,"0"),終値!$A:$A,0))-INDEX(終値!$E:$CZ,MATCH(TEXT(C61,"0"),終値!$A:$A,0),$AL$2))/INDEX(終値!$E:$CZ,MATCH(TEXT(C61,"0"),終値!$A:$A,0),$AL$2)*100,""))</f>
        <v>24.023275145469658</v>
      </c>
      <c r="AG61" s="365">
        <f t="array" ref="AG61">IFERROR((終値!$E$5-INDEX(終値!$E$5:$IT$5,1,$AL$2))/INDEX(終値!$E$5:$IT$5,1,$AL$2)*100,"")</f>
        <v>1.0179378228534113</v>
      </c>
      <c r="AH61" s="366">
        <f>IF(OR(AF61="",AG61=""),"",AF61-AG61)</f>
        <v>23.005337322616246</v>
      </c>
      <c r="AI61" s="364">
        <f>IF(AH61="","",IF(AH61&gt;5,3,IF(AH61&gt;0,1,IF(AH61&gt;-3,-1,-2))))</f>
        <v>3</v>
      </c>
      <c r="BA61">
        <f>IFERROR((SUM(OFFSET(高値!$E$6,IFERROR(MATCH($C61,銘柄管理!$B$6:$B$305,0),MATCH(TEXT($C61,"0"),銘柄管理!$B$6:$B$305,0))-1,0,1,14))-SUM(OFFSET(安値!$E$6,IFERROR(MATCH($C61,銘柄管理!$B$6:$B$305,0),MATCH(TEXT($C61,"0"),銘柄管理!$B$6:$B$305,0))-1,0,1,14)))/SUM(OFFSET(終値!$E$6,IFERROR(MATCH($C61,銘柄管理!$B$6:$B$305,0),MATCH(TEXT($C61,"0"),銘柄管理!$B$6:$B$305,0))-1,0,1,14))*100,"")</f>
      </c>
      <c r="BB61">
        <f>IFERROR((MAX(OFFSET(高値!$E$6,IFERROR(MATCH($C61,銘柄管理!$B$6:$B$305,0),MATCH(TEXT($C61,"0"),銘柄管理!$B$6:$B$305,0))-1,0,1,25))-MIN(OFFSET(安値!$E$6,IFERROR(MATCH($C61,銘柄管理!$B$6:$B$305,0),MATCH(TEXT($C61,"0"),銘柄管理!$B$6:$B$305,0))-1,0,1,25)))/$E61*100,"")</f>
      </c>
      <c r="BC61">
        <f>IFERROR(($F61-$G61)/$G61*100,"")</f>
      </c>
      <c r="BD61">
        <f>IFERROR(($E61-MAX(OFFSET(高値!$E$6,IFERROR(MATCH($C61,銘柄管理!$B$6:$B$305,0),MATCH(TEXT($C61,"0"),銘柄管理!$B$6:$B$305,0))-1,0,1,25)))/MAX(OFFSET(高値!$E$6,IFERROR(MATCH($C61,銘柄管理!$B$6:$B$305,0),MATCH(TEXT($C61,"0"),銘柄管理!$B$6:$B$305,0))-1,0,1,25))*100,"")</f>
      </c>
      <c r="BE61">
        <f>IFERROR(($H61-$I61)/$F61*100,"")</f>
      </c>
      <c r="BF61">
        <f>IFERROR(-(($BA61-AVERAGE($BA$3:$BA$206))/STDEV($BA$3:$BA$206))-(($BE61-AVERAGE($BE$3:$BE$206))/STDEV($BE$3:$BE$206))-(($BB61-AVERAGE($BB$3:$BB$206))/STDEV($BB$3:$BB$206))-(($Z61-AVERAGE($Z$3:$Z$206))/STDEV($Z$3:$Z$206))-(($BC61-AVERAGE($BC$3:$BC$206))/STDEV($BC$3:$BC$206)),"")</f>
      </c>
      <c r="BG61">
        <f>IF(OR($C61="",$C61="TOPX",$BA61="",$BF61=""),0,IF(AND($BK$10=1,$BA61&lt;=$BK$2,$BB61&lt;=$BK$3,$BC61&lt;=$BK$4,$Z61&lt;=$BK$5,$Z61&gt;=$BK$6,$BD61&gt;=$BK$7,$BE61&lt;=$BK$8),1,0))</f>
      </c>
      <c r="BH61">
        <f>IF($C61="","",IF($BG61=1,"○ゲート通過",IF($BK$10&lt;&gt;1,"― この方向は停止中",IF($BA61&gt;$BK$2,"×値動きが荒い",IF($BB61&gt;$BK$3,"×レンジが広い",IF($BC61&gt;$BK$4,"×窓を開けて上昇",IF($Z61&gt;$BK$5,"×前日に急騰",IF($Z61&lt;$BK$6,"×前日に急落",IF($BD61&lt;$BK$7,"×高値から離れすぎ",IF($BE61&gt;$BK$8,"×当日の値幅が大きい","×")))))))))</f>
      </c>
    </row>
    <row r="62" spans="1:60"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IF(AND(E62&lt;&gt;"",K62&lt;&gt;"",K62&lt;&gt;0),(E62-K62)/K62*100,"")</f>
        <v>-21.997471554993677</v>
      </c>
      <c r="M62" s="166">
        <f>IF(C62&lt;&gt;"",IFERROR(AVERAGE(出来高!E14:I14),""),"")</f>
        <v>8010600</v>
      </c>
      <c r="N62" s="166">
        <f>IF(C62&lt;&gt;"",IFERROR(AVERAGE(出来高!E14:AC14),""),"")</f>
        <v>5130076</v>
      </c>
      <c r="O62" s="168">
        <f>IF(AND(J62&lt;&gt;"",M62&lt;&gt;"",M62&lt;&gt;0),J62/M62,"")</f>
        <v>0.70353032232292212</v>
      </c>
      <c r="P62" s="163" t="str">
        <f>IF(O62="","",IF(O62&gt;=2,"急増↑↑",IF(O62&gt;=1.5,"増加↑",IF(O62&gt;=1,"普通→","減少↓"))))</f>
        <v>減少↓</v>
      </c>
      <c r="Q62" s="163" t="str">
        <f>IF(E62="","",IF(AND(E62&gt;G62,O62&gt;=1.5),"買い▲",IF(E62&lt;G62,"様子見▼","中立→")))</f>
        <v>中立→</v>
      </c>
      <c r="R62" s="166">
        <f>IF(E62&lt;&gt;"",ROUND(E62*1.08,0),"")</f>
        <v>5331</v>
      </c>
      <c r="S62" s="166">
        <f>IF(E62&lt;&gt;"",ROUND(E62*0.96,0),"")</f>
        <v>4739</v>
      </c>
      <c r="T62" s="163">
        <f>IF(C62="","",IFERROR(IF(O62&gt;=2,3,IF(O62&gt;=1.5,2,IF(O62&gt;=1,1,0)))+IF(E62&gt;G62,1,0)+IF(L62&gt;=-5,1,0)+IF(Q62="買い▲",2,0)+IF(W62&lt;=30,3,IF(W62&lt;=40,2,IF(AND(W62&gt;=40,W62&lt;=60),1,0)))+IF(X62&gt;0,1,0)+IF(V62="年初来高値更新●",3,IF(V62="高値圏",2,0))+IF(AD62="パーフェクト▲",3,IF(AD62="上昇トレンド▲",2,0))+IF(AE62="25日線押し目●",2,IF(AE62="5日線押し目○",1,0))+IF(P62="急増↑↑",2,IF(P62="増加↑",1,0))+N(AI62),0))</f>
        <v>7</v>
      </c>
      <c r="U62" s="163" t="str">
        <f>IF(T62="","",IF(AND(T62&gt;=3,O62&gt;=1.5),"有効",IF(T62&gt;=3,"要確認","除外")))</f>
        <v>要確認</v>
      </c>
      <c r="V62" s="163" t="str">
        <f>IF(AND(H62&lt;&gt;"",K62&lt;&gt;""),IF(H62&gt;=K62,"年初来高値更新●",IF(H62&gt;=K62*0.95,"高値圏","通常")),"")</f>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IF(AND(E62&lt;&gt;"",G62&lt;&gt;"",G62&lt;&gt;0),(E62-G62)/G62*100,"")</f>
        <v>1.5220074043603455</v>
      </c>
      <c r="AA62" s="163" t="str">
        <f>IF(OR(C62="",E62="",E62=0),"",IF(E62&gt;G62,"上昇▲",IF(E62&lt;G62,"下落▼","横ばい→")))</f>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IF(OR(C62="",AB62="",AC62=""),"",IF(AND(E62&gt;AB62,AB62&gt;AC62),"パーフェクト▲",IF(E62&gt;AC62,"上昇トレンド▲",IF(AND(E62&lt;AB62,AB62&lt;AC62),"下降トレンド▼","もみ合い→"))))</f>
        <v>上昇トレンド▲</v>
      </c>
      <c r="AE62" s="404" t="str">
        <f>IF(OR(C62="",AB62="",AC62=""),"",IF(AND(ABS(E62-AC62)/AC62&lt;=0.02,E62&gt;AC62),"25日押し目★",IF(AND(ABS(E62-AB62)/AB62&lt;=0.01,E62&gt;AB62),"5日押し目○","なし")))</f>
        <v>なし</v>
      </c>
      <c r="AF62" s="365">
        <f t="array" ref="AF62">IF(C62="","",IFERROR((INDEX(終値!$E:$E,MATCH(TEXT(C62,"0"),終値!$A:$A,0))-INDEX(終値!$E:$CZ,MATCH(TEXT(C62,"0"),終値!$A:$A,0),$AL$2))/INDEX(終値!$E:$CZ,MATCH(TEXT(C62,"0"),終値!$A:$A,0),$AL$2)*100,""))</f>
        <v>5.7412167952013711</v>
      </c>
      <c r="AG62" s="365">
        <f t="array" ref="AG62">IFERROR((終値!$E$5-INDEX(終値!$E$5:$IT$5,1,$AL$2))/INDEX(終値!$E$5:$IT$5,1,$AL$2)*100,"")</f>
        <v>1.0179378228534113</v>
      </c>
      <c r="AH62" s="366">
        <f>IF(OR(AF62="",AG62=""),"",AF62-AG62)</f>
        <v>4.72327897234796</v>
      </c>
      <c r="AI62" s="364">
        <f>IF(AH62="","",IF(AH62&gt;5,3,IF(AH62&gt;0,1,IF(AH62&gt;-3,-1,-2))))</f>
        <v>1</v>
      </c>
      <c r="BA62">
        <f>IFERROR((SUM(OFFSET(高値!$E$6,IFERROR(MATCH($C62,銘柄管理!$B$6:$B$305,0),MATCH(TEXT($C62,"0"),銘柄管理!$B$6:$B$305,0))-1,0,1,14))-SUM(OFFSET(安値!$E$6,IFERROR(MATCH($C62,銘柄管理!$B$6:$B$305,0),MATCH(TEXT($C62,"0"),銘柄管理!$B$6:$B$305,0))-1,0,1,14)))/SUM(OFFSET(終値!$E$6,IFERROR(MATCH($C62,銘柄管理!$B$6:$B$305,0),MATCH(TEXT($C62,"0"),銘柄管理!$B$6:$B$305,0))-1,0,1,14))*100,"")</f>
      </c>
      <c r="BB62">
        <f>IFERROR((MAX(OFFSET(高値!$E$6,IFERROR(MATCH($C62,銘柄管理!$B$6:$B$305,0),MATCH(TEXT($C62,"0"),銘柄管理!$B$6:$B$305,0))-1,0,1,25))-MIN(OFFSET(安値!$E$6,IFERROR(MATCH($C62,銘柄管理!$B$6:$B$305,0),MATCH(TEXT($C62,"0"),銘柄管理!$B$6:$B$305,0))-1,0,1,25)))/$E62*100,"")</f>
      </c>
      <c r="BC62">
        <f>IFERROR(($F62-$G62)/$G62*100,"")</f>
      </c>
      <c r="BD62">
        <f>IFERROR(($E62-MAX(OFFSET(高値!$E$6,IFERROR(MATCH($C62,銘柄管理!$B$6:$B$305,0),MATCH(TEXT($C62,"0"),銘柄管理!$B$6:$B$305,0))-1,0,1,25)))/MAX(OFFSET(高値!$E$6,IFERROR(MATCH($C62,銘柄管理!$B$6:$B$305,0),MATCH(TEXT($C62,"0"),銘柄管理!$B$6:$B$305,0))-1,0,1,25))*100,"")</f>
      </c>
      <c r="BE62">
        <f>IFERROR(($H62-$I62)/$F62*100,"")</f>
      </c>
      <c r="BF62">
        <f>IFERROR(-(($BA62-AVERAGE($BA$3:$BA$206))/STDEV($BA$3:$BA$206))-(($BE62-AVERAGE($BE$3:$BE$206))/STDEV($BE$3:$BE$206))-(($BB62-AVERAGE($BB$3:$BB$206))/STDEV($BB$3:$BB$206))-(($Z62-AVERAGE($Z$3:$Z$206))/STDEV($Z$3:$Z$206))-(($BC62-AVERAGE($BC$3:$BC$206))/STDEV($BC$3:$BC$206)),"")</f>
      </c>
      <c r="BG62">
        <f>IF(OR($C62="",$C62="TOPX",$BA62="",$BF62=""),0,IF(AND($BK$10=1,$BA62&lt;=$BK$2,$BB62&lt;=$BK$3,$BC62&lt;=$BK$4,$Z62&lt;=$BK$5,$Z62&gt;=$BK$6,$BD62&gt;=$BK$7,$BE62&lt;=$BK$8),1,0))</f>
      </c>
      <c r="BH62">
        <f>IF($C62="","",IF($BG62=1,"○ゲート通過",IF($BK$10&lt;&gt;1,"― この方向は停止中",IF($BA62&gt;$BK$2,"×値動きが荒い",IF($BB62&gt;$BK$3,"×レンジが広い",IF($BC62&gt;$BK$4,"×窓を開けて上昇",IF($Z62&gt;$BK$5,"×前日に急騰",IF($Z62&lt;$BK$6,"×前日に急落",IF($BD62&lt;$BK$7,"×高値から離れすぎ",IF($BE62&gt;$BK$8,"×当日の値幅が大きい","×")))))))))</f>
      </c>
    </row>
    <row r="63" spans="1:60"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IF(AND(E63&lt;&gt;"",K63&lt;&gt;"",K63&lt;&gt;0),(E63-K63)/K63*100,"")</f>
        <v>-8.2582582582582589</v>
      </c>
      <c r="M63" s="166">
        <f>IF(C63&lt;&gt;"",IFERROR(AVERAGE(出来高!E171:I171),""),"")</f>
        <v>241140</v>
      </c>
      <c r="N63" s="166">
        <f>IF(C63&lt;&gt;"",IFERROR(AVERAGE(出来高!E171:AC171),""),"")</f>
        <v>144192</v>
      </c>
      <c r="O63" s="168">
        <f>IF(AND(J63&lt;&gt;"",M63&lt;&gt;"",M63&lt;&gt;0),J63/M63,"")</f>
        <v>0.4209173094467944</v>
      </c>
      <c r="P63" s="163" t="str">
        <f>IF(O63="","",IF(O63&gt;=2,"急増↑↑",IF(O63&gt;=1.5,"増加↑",IF(O63&gt;=1,"普通→","減少↓"))))</f>
        <v>減少↓</v>
      </c>
      <c r="Q63" s="163" t="str">
        <f>IF(E63="","",IF(AND(E63&gt;G63,O63&gt;=1.5),"買い▲",IF(E63&lt;G63,"様子見▼","中立→")))</f>
        <v>中立→</v>
      </c>
      <c r="R63" s="166">
        <f>IF(E63&lt;&gt;"",ROUND(E63*1.08,0),"")</f>
        <v>3299</v>
      </c>
      <c r="S63" s="166">
        <f>IF(E63&lt;&gt;"",ROUND(E63*0.96,0),"")</f>
        <v>2933</v>
      </c>
      <c r="T63" s="163">
        <f>IF(C63="","",IFERROR(IF(O63&gt;=2,3,IF(O63&gt;=1.5,2,IF(O63&gt;=1,1,0)))+IF(E63&gt;G63,1,0)+IF(L63&gt;=-5,1,0)+IF(Q63="買い▲",2,0)+IF(W63&lt;=30,3,IF(W63&lt;=40,2,IF(AND(W63&gt;=40,W63&lt;=60),1,0)))+IF(X63&gt;0,1,0)+IF(V63="年初来高値更新●",3,IF(V63="高値圏",2,0))+IF(AD63="パーフェクト▲",3,IF(AD63="上昇トレンド▲",2,0))+IF(AE63="25日線押し目●",2,IF(AE63="5日線押し目○",1,0))+IF(P63="急増↑↑",2,IF(P63="増加↑",1,0))+N(AI63),0))</f>
        <v>1</v>
      </c>
      <c r="U63" s="163" t="str">
        <f>IF(T63="","",IF(AND(T63&gt;=3,O63&gt;=1.5),"有効",IF(T63&gt;=3,"要確認","除外")))</f>
        <v>除外</v>
      </c>
      <c r="V63" s="163" t="str">
        <f>IF(AND(H63&lt;&gt;"",K63&lt;&gt;""),IF(H63&gt;=K63,"年初来高値更新●",IF(H63&gt;=K63*0.95,"高値圏","通常")),"")</f>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IF(AND(E63&lt;&gt;"",G63&lt;&gt;"",G63&lt;&gt;0),(E63-G63)/G63*100,"")</f>
        <v>1.6638935108153077</v>
      </c>
      <c r="AA63" s="163" t="str">
        <f>IF(OR(C63="",E63="",E63=0),"",IF(E63&gt;G63,"上昇▲",IF(E63&lt;G63,"下落▼","横ばい→")))</f>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IF(OR(C63="",AB63="",AC63=""),"",IF(AND(E63&gt;AB63,AB63&gt;AC63),"パーフェクト▲",IF(E63&gt;AC63,"上昇トレンド▲",IF(AND(E63&lt;AB63,AB63&lt;AC63),"下降トレンド▼","もみ合い→"))))</f>
        <v>下降トレンド▼</v>
      </c>
      <c r="AE63" s="406" t="str">
        <f>IF(OR(C63="",AB63="",AC63=""),"",IF(AND(ABS(E63-AC63)/AC63&lt;=0.02,E63&gt;AC63),"25日押し目★",IF(AND(ABS(E63-AB63)/AB63&lt;=0.01,E63&gt;AB63),"5日押し目○","なし")))</f>
        <v>なし</v>
      </c>
      <c r="AF63" s="365">
        <f t="array" ref="AF63">IF(C63="","",IFERROR((INDEX(終値!$E:$E,MATCH(TEXT(C63,"0"),終値!$A:$A,0))-INDEX(終値!$E:$CZ,MATCH(TEXT(C63,"0"),終値!$A:$A,0),$AL$2))/INDEX(終値!$E:$CZ,MATCH(TEXT(C63,"0"),終値!$A:$A,0),$AL$2)*100,""))</f>
        <v>0.16393442622950818</v>
      </c>
      <c r="AG63" s="365">
        <f t="array" ref="AG63">IFERROR((終値!$E$5-INDEX(終値!$E$5:$IT$5,1,$AL$2))/INDEX(終値!$E$5:$IT$5,1,$AL$2)*100,"")</f>
        <v>1.0179378228534113</v>
      </c>
      <c r="AH63" s="366">
        <f>IF(OR(AF63="",AG63=""),"",AF63-AG63)</f>
        <v>-0.85400339662390312</v>
      </c>
      <c r="AI63" s="364">
        <f>IF(AH63="","",IF(AH63&gt;5,3,IF(AH63&gt;0,1,IF(AH63&gt;-3,-1,-2))))</f>
        <v>-1</v>
      </c>
      <c r="BA63">
        <f>IFERROR((SUM(OFFSET(高値!$E$6,IFERROR(MATCH($C63,銘柄管理!$B$6:$B$305,0),MATCH(TEXT($C63,"0"),銘柄管理!$B$6:$B$305,0))-1,0,1,14))-SUM(OFFSET(安値!$E$6,IFERROR(MATCH($C63,銘柄管理!$B$6:$B$305,0),MATCH(TEXT($C63,"0"),銘柄管理!$B$6:$B$305,0))-1,0,1,14)))/SUM(OFFSET(終値!$E$6,IFERROR(MATCH($C63,銘柄管理!$B$6:$B$305,0),MATCH(TEXT($C63,"0"),銘柄管理!$B$6:$B$305,0))-1,0,1,14))*100,"")</f>
      </c>
      <c r="BB63">
        <f>IFERROR((MAX(OFFSET(高値!$E$6,IFERROR(MATCH($C63,銘柄管理!$B$6:$B$305,0),MATCH(TEXT($C63,"0"),銘柄管理!$B$6:$B$305,0))-1,0,1,25))-MIN(OFFSET(安値!$E$6,IFERROR(MATCH($C63,銘柄管理!$B$6:$B$305,0),MATCH(TEXT($C63,"0"),銘柄管理!$B$6:$B$305,0))-1,0,1,25)))/$E63*100,"")</f>
      </c>
      <c r="BC63">
        <f>IFERROR(($F63-$G63)/$G63*100,"")</f>
      </c>
      <c r="BD63">
        <f>IFERROR(($E63-MAX(OFFSET(高値!$E$6,IFERROR(MATCH($C63,銘柄管理!$B$6:$B$305,0),MATCH(TEXT($C63,"0"),銘柄管理!$B$6:$B$305,0))-1,0,1,25)))/MAX(OFFSET(高値!$E$6,IFERROR(MATCH($C63,銘柄管理!$B$6:$B$305,0),MATCH(TEXT($C63,"0"),銘柄管理!$B$6:$B$305,0))-1,0,1,25))*100,"")</f>
      </c>
      <c r="BE63">
        <f>IFERROR(($H63-$I63)/$F63*100,"")</f>
      </c>
      <c r="BF63">
        <f>IFERROR(-(($BA63-AVERAGE($BA$3:$BA$206))/STDEV($BA$3:$BA$206))-(($BE63-AVERAGE($BE$3:$BE$206))/STDEV($BE$3:$BE$206))-(($BB63-AVERAGE($BB$3:$BB$206))/STDEV($BB$3:$BB$206))-(($Z63-AVERAGE($Z$3:$Z$206))/STDEV($Z$3:$Z$206))-(($BC63-AVERAGE($BC$3:$BC$206))/STDEV($BC$3:$BC$206)),"")</f>
      </c>
      <c r="BG63">
        <f>IF(OR($C63="",$C63="TOPX",$BA63="",$BF63=""),0,IF(AND($BK$10=1,$BA63&lt;=$BK$2,$BB63&lt;=$BK$3,$BC63&lt;=$BK$4,$Z63&lt;=$BK$5,$Z63&gt;=$BK$6,$BD63&gt;=$BK$7,$BE63&lt;=$BK$8),1,0))</f>
      </c>
      <c r="BH63">
        <f>IF($C63="","",IF($BG63=1,"○ゲート通過",IF($BK$10&lt;&gt;1,"― この方向は停止中",IF($BA63&gt;$BK$2,"×値動きが荒い",IF($BB63&gt;$BK$3,"×レンジが広い",IF($BC63&gt;$BK$4,"×窓を開けて上昇",IF($Z63&gt;$BK$5,"×前日に急騰",IF($Z63&lt;$BK$6,"×前日に急落",IF($BD63&lt;$BK$7,"×高値から離れすぎ",IF($BE63&gt;$BK$8,"×当日の値幅が大きい","×")))))))))</f>
      </c>
    </row>
    <row r="64" spans="1:60"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IF(AND(E64&lt;&gt;"",K64&lt;&gt;"",K64&lt;&gt;0),(E64-K64)/K64*100,"")</f>
        <v>-2.6308724832214763</v>
      </c>
      <c r="M64" s="166">
        <f>IF(C64&lt;&gt;"",IFERROR(AVERAGE(出来高!E75:I75),""),"")</f>
        <v>221900</v>
      </c>
      <c r="N64" s="166">
        <f>IF(C64&lt;&gt;"",IFERROR(AVERAGE(出来高!E75:AC75),""),"")</f>
        <v>202564</v>
      </c>
      <c r="O64" s="168">
        <f>IF(AND(J64&lt;&gt;"",M64&lt;&gt;"",M64&lt;&gt;0),J64/M64,"")</f>
        <v>1.1216764308246958</v>
      </c>
      <c r="P64" s="163" t="str">
        <f>IF(O64="","",IF(O64&gt;=2,"急増↑↑",IF(O64&gt;=1.5,"増加↑",IF(O64&gt;=1,"普通→","減少↓"))))</f>
        <v>普通→</v>
      </c>
      <c r="Q64" s="163" t="str">
        <f>IF(E64="","",IF(AND(E64&gt;G64,O64&gt;=1.5),"買い▲",IF(E64&lt;G64,"様子見▼","中立→")))</f>
        <v>中立→</v>
      </c>
      <c r="R64" s="166">
        <f>IF(E64&lt;&gt;"",ROUND(E64*1.08,0),"")</f>
        <v>1959</v>
      </c>
      <c r="S64" s="166">
        <f>IF(E64&lt;&gt;"",ROUND(E64*0.96,0),"")</f>
        <v>1741</v>
      </c>
      <c r="T64" s="163">
        <f>IF(C64="","",IFERROR(IF(O64&gt;=2,3,IF(O64&gt;=1.5,2,IF(O64&gt;=1,1,0)))+IF(E64&gt;G64,1,0)+IF(L64&gt;=-5,1,0)+IF(Q64="買い▲",2,0)+IF(W64&lt;=30,3,IF(W64&lt;=40,2,IF(AND(W64&gt;=40,W64&lt;=60),1,0)))+IF(X64&gt;0,1,0)+IF(V64="年初来高値更新●",3,IF(V64="高値圏",2,0))+IF(AD64="パーフェクト▲",3,IF(AD64="上昇トレンド▲",2,0))+IF(AE64="25日線押し目●",2,IF(AE64="5日線押し目○",1,0))+IF(P64="急増↑↑",2,IF(P64="増加↑",1,0))+N(AI64),0))</f>
        <v>10</v>
      </c>
      <c r="U64" s="163" t="str">
        <f>IF(T64="","",IF(AND(T64&gt;=3,O64&gt;=1.5),"有効",IF(T64&gt;=3,"要確認","除外")))</f>
        <v>要確認</v>
      </c>
      <c r="V64" s="163" t="str">
        <f>IF(AND(H64&lt;&gt;"",K64&lt;&gt;""),IF(H64&gt;=K64,"年初来高値更新●",IF(H64&gt;=K64*0.95,"高値圏","通常")),"")</f>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IF(AND(E64&lt;&gt;"",G64&lt;&gt;"",G64&lt;&gt;0),(E64-G64)/G64*100,"")</f>
        <v>2.1402421852999156</v>
      </c>
      <c r="AA64" s="163" t="str">
        <f>IF(OR(C64="",E64="",E64=0),"",IF(E64&gt;G64,"上昇▲",IF(E64&lt;G64,"下落▼","横ばい→")))</f>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IF(OR(C64="",AB64="",AC64=""),"",IF(AND(E64&gt;AB64,AB64&gt;AC64),"パーフェクト▲",IF(E64&gt;AC64,"上昇トレンド▲",IF(AND(E64&lt;AB64,AB64&lt;AC64),"下降トレンド▼","もみ合い→"))))</f>
        <v>下降トレンド▼</v>
      </c>
      <c r="AE64" s="404" t="str">
        <f>IF(OR(C64="",AB64="",AC64=""),"",IF(AND(ABS(E64-AC64)/AC64&lt;=0.02,E64&gt;AC64),"25日押し目★",IF(AND(ABS(E64-AB64)/AB64&lt;=0.01,E64&gt;AB64),"5日押し目○","なし")))</f>
        <v>なし</v>
      </c>
      <c r="AF64" s="365">
        <f t="array" ref="AF64">IF(C64="","",IFERROR((INDEX(終値!$E:$E,MATCH(TEXT(C64,"0"),終値!$A:$A,0))-INDEX(終値!$E:$CZ,MATCH(TEXT(C64,"0"),終値!$A:$A,0),$AL$2))/INDEX(終値!$E:$CZ,MATCH(TEXT(C64,"0"),終値!$A:$A,0),$AL$2)*100,""))</f>
        <v>7.0859167404783001</v>
      </c>
      <c r="AG64" s="365">
        <f t="array" ref="AG64">IFERROR((終値!$E$5-INDEX(終値!$E$5:$IT$5,1,$AL$2))/INDEX(終値!$E$5:$IT$5,1,$AL$2)*100,"")</f>
        <v>1.0179378228534113</v>
      </c>
      <c r="AH64" s="366">
        <f>IF(OR(AF64="",AG64=""),"",AF64-AG64)</f>
        <v>6.0679789176248891</v>
      </c>
      <c r="AI64" s="364">
        <f>IF(AH64="","",IF(AH64&gt;5,3,IF(AH64&gt;0,1,IF(AH64&gt;-3,-1,-2))))</f>
        <v>3</v>
      </c>
      <c r="BA64">
        <f>IFERROR((SUM(OFFSET(高値!$E$6,IFERROR(MATCH($C64,銘柄管理!$B$6:$B$305,0),MATCH(TEXT($C64,"0"),銘柄管理!$B$6:$B$305,0))-1,0,1,14))-SUM(OFFSET(安値!$E$6,IFERROR(MATCH($C64,銘柄管理!$B$6:$B$305,0),MATCH(TEXT($C64,"0"),銘柄管理!$B$6:$B$305,0))-1,0,1,14)))/SUM(OFFSET(終値!$E$6,IFERROR(MATCH($C64,銘柄管理!$B$6:$B$305,0),MATCH(TEXT($C64,"0"),銘柄管理!$B$6:$B$305,0))-1,0,1,14))*100,"")</f>
      </c>
      <c r="BB64">
        <f>IFERROR((MAX(OFFSET(高値!$E$6,IFERROR(MATCH($C64,銘柄管理!$B$6:$B$305,0),MATCH(TEXT($C64,"0"),銘柄管理!$B$6:$B$305,0))-1,0,1,25))-MIN(OFFSET(安値!$E$6,IFERROR(MATCH($C64,銘柄管理!$B$6:$B$305,0),MATCH(TEXT($C64,"0"),銘柄管理!$B$6:$B$305,0))-1,0,1,25)))/$E64*100,"")</f>
      </c>
      <c r="BC64">
        <f>IFERROR(($F64-$G64)/$G64*100,"")</f>
      </c>
      <c r="BD64">
        <f>IFERROR(($E64-MAX(OFFSET(高値!$E$6,IFERROR(MATCH($C64,銘柄管理!$B$6:$B$305,0),MATCH(TEXT($C64,"0"),銘柄管理!$B$6:$B$305,0))-1,0,1,25)))/MAX(OFFSET(高値!$E$6,IFERROR(MATCH($C64,銘柄管理!$B$6:$B$305,0),MATCH(TEXT($C64,"0"),銘柄管理!$B$6:$B$305,0))-1,0,1,25))*100,"")</f>
      </c>
      <c r="BE64">
        <f>IFERROR(($H64-$I64)/$F64*100,"")</f>
      </c>
      <c r="BF64">
        <f>IFERROR(-(($BA64-AVERAGE($BA$3:$BA$206))/STDEV($BA$3:$BA$206))-(($BE64-AVERAGE($BE$3:$BE$206))/STDEV($BE$3:$BE$206))-(($BB64-AVERAGE($BB$3:$BB$206))/STDEV($BB$3:$BB$206))-(($Z64-AVERAGE($Z$3:$Z$206))/STDEV($Z$3:$Z$206))-(($BC64-AVERAGE($BC$3:$BC$206))/STDEV($BC$3:$BC$206)),"")</f>
      </c>
      <c r="BG64">
        <f>IF(OR($C64="",$C64="TOPX",$BA64="",$BF64=""),0,IF(AND($BK$10=1,$BA64&lt;=$BK$2,$BB64&lt;=$BK$3,$BC64&lt;=$BK$4,$Z64&lt;=$BK$5,$Z64&gt;=$BK$6,$BD64&gt;=$BK$7,$BE64&lt;=$BK$8),1,0))</f>
      </c>
      <c r="BH64">
        <f>IF($C64="","",IF($BG64=1,"○ゲート通過",IF($BK$10&lt;&gt;1,"― この方向は停止中",IF($BA64&gt;$BK$2,"×値動きが荒い",IF($BB64&gt;$BK$3,"×レンジが広い",IF($BC64&gt;$BK$4,"×窓を開けて上昇",IF($Z64&gt;$BK$5,"×前日に急騰",IF($Z64&lt;$BK$6,"×前日に急落",IF($BD64&lt;$BK$7,"×高値から離れすぎ",IF($BE64&gt;$BK$8,"×当日の値幅が大きい","×")))))))))</f>
      </c>
    </row>
    <row r="65" spans="1:60"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IF(AND(E65&lt;&gt;"",K65&lt;&gt;"",K65&lt;&gt;0),(E65-K65)/K65*100,"")</f>
        <v>-7.9952267303102618</v>
      </c>
      <c r="M65" s="166">
        <f>IF(C65&lt;&gt;"",IFERROR(AVERAGE(出来高!E73:I73),""),"")</f>
        <v>222980</v>
      </c>
      <c r="N65" s="166">
        <f>IF(C65&lt;&gt;"",IFERROR(AVERAGE(出来高!E73:AC73),""),"")</f>
        <v>135392</v>
      </c>
      <c r="O65" s="168">
        <f>IF(AND(J65&lt;&gt;"",M65&lt;&gt;"",M65&lt;&gt;0),J65/M65,"")</f>
        <v>1.2265674051484439</v>
      </c>
      <c r="P65" s="163" t="str">
        <f>IF(O65="","",IF(O65&gt;=2,"急増↑↑",IF(O65&gt;=1.5,"増加↑",IF(O65&gt;=1,"普通→","減少↓"))))</f>
        <v>普通→</v>
      </c>
      <c r="Q65" s="163" t="str">
        <f>IF(E65="","",IF(AND(E65&gt;G65,O65&gt;=1.5),"買い▲",IF(E65&lt;G65,"様子見▼","中立→")))</f>
        <v>中立→</v>
      </c>
      <c r="R65" s="166">
        <f>IF(E65&lt;&gt;"",ROUND(E65*1.08,0),"")</f>
        <v>8327</v>
      </c>
      <c r="S65" s="166">
        <f>IF(E65&lt;&gt;"",ROUND(E65*0.96,0),"")</f>
        <v>7402</v>
      </c>
      <c r="T65" s="163">
        <f>IF(C65="","",IFERROR(IF(O65&gt;=2,3,IF(O65&gt;=1.5,2,IF(O65&gt;=1,1,0)))+IF(E65&gt;G65,1,0)+IF(L65&gt;=-5,1,0)+IF(Q65="買い▲",2,0)+IF(W65&lt;=30,3,IF(W65&lt;=40,2,IF(AND(W65&gt;=40,W65&lt;=60),1,0)))+IF(X65&gt;0,1,0)+IF(V65="年初来高値更新●",3,IF(V65="高値圏",2,0))+IF(AD65="パーフェクト▲",3,IF(AD65="上昇トレンド▲",2,0))+IF(AE65="25日線押し目●",2,IF(AE65="5日線押し目○",1,0))+IF(P65="急増↑↑",2,IF(P65="増加↑",1,0))+N(AI65),0))</f>
        <v>8</v>
      </c>
      <c r="U65" s="163" t="str">
        <f>IF(T65="","",IF(AND(T65&gt;=3,O65&gt;=1.5),"有効",IF(T65&gt;=3,"要確認","除外")))</f>
        <v>要確認</v>
      </c>
      <c r="V65" s="163" t="str">
        <f>IF(AND(H65&lt;&gt;"",K65&lt;&gt;""),IF(H65&gt;=K65,"年初来高値更新●",IF(H65&gt;=K65*0.95,"高値圏","通常")),"")</f>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IF(AND(E65&lt;&gt;"",G65&lt;&gt;"",G65&lt;&gt;0),(E65-G65)/G65*100,"")</f>
        <v>2.6631158455392807</v>
      </c>
      <c r="AA65" s="163" t="str">
        <f>IF(OR(C65="",E65="",E65=0),"",IF(E65&gt;G65,"上昇▲",IF(E65&lt;G65,"下落▼","横ばい→")))</f>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IF(OR(C65="",AB65="",AC65=""),"",IF(AND(E65&gt;AB65,AB65&gt;AC65),"パーフェクト▲",IF(E65&gt;AC65,"上昇トレンド▲",IF(AND(E65&lt;AB65,AB65&lt;AC65),"下降トレンド▼","もみ合い→"))))</f>
        <v>上昇トレンド▲</v>
      </c>
      <c r="AE65" s="406" t="str">
        <f>IF(OR(C65="",AB65="",AC65=""),"",IF(AND(ABS(E65-AC65)/AC65&lt;=0.02,E65&gt;AC65),"25日押し目★",IF(AND(ABS(E65-AB65)/AB65&lt;=0.01,E65&gt;AB65),"5日押し目○","なし")))</f>
        <v>なし</v>
      </c>
      <c r="AF65" s="365">
        <f t="array" ref="AF65">IF(C65="","",IFERROR((INDEX(終値!$E:$E,MATCH(TEXT(C65,"0"),終値!$A:$A,0))-INDEX(終値!$E:$CZ,MATCH(TEXT(C65,"0"),終値!$A:$A,0),$AL$2))/INDEX(終値!$E:$CZ,MATCH(TEXT(C65,"0"),終値!$A:$A,0),$AL$2)*100,""))</f>
        <v>2.5265957446808507</v>
      </c>
      <c r="AG65" s="365">
        <f t="array" ref="AG65">IFERROR((終値!$E$5-INDEX(終値!$E$5:$IT$5,1,$AL$2))/INDEX(終値!$E$5:$IT$5,1,$AL$2)*100,"")</f>
        <v>1.0179378228534113</v>
      </c>
      <c r="AH65" s="366">
        <f>IF(OR(AF65="",AG65=""),"",AF65-AG65)</f>
        <v>1.5086579218274394</v>
      </c>
      <c r="AI65" s="364">
        <f>IF(AH65="","",IF(AH65&gt;5,3,IF(AH65&gt;0,1,IF(AH65&gt;-3,-1,-2))))</f>
        <v>1</v>
      </c>
      <c r="BA65">
        <f>IFERROR((SUM(OFFSET(高値!$E$6,IFERROR(MATCH($C65,銘柄管理!$B$6:$B$305,0),MATCH(TEXT($C65,"0"),銘柄管理!$B$6:$B$305,0))-1,0,1,14))-SUM(OFFSET(安値!$E$6,IFERROR(MATCH($C65,銘柄管理!$B$6:$B$305,0),MATCH(TEXT($C65,"0"),銘柄管理!$B$6:$B$305,0))-1,0,1,14)))/SUM(OFFSET(終値!$E$6,IFERROR(MATCH($C65,銘柄管理!$B$6:$B$305,0),MATCH(TEXT($C65,"0"),銘柄管理!$B$6:$B$305,0))-1,0,1,14))*100,"")</f>
      </c>
      <c r="BB65">
        <f>IFERROR((MAX(OFFSET(高値!$E$6,IFERROR(MATCH($C65,銘柄管理!$B$6:$B$305,0),MATCH(TEXT($C65,"0"),銘柄管理!$B$6:$B$305,0))-1,0,1,25))-MIN(OFFSET(安値!$E$6,IFERROR(MATCH($C65,銘柄管理!$B$6:$B$305,0),MATCH(TEXT($C65,"0"),銘柄管理!$B$6:$B$305,0))-1,0,1,25)))/$E65*100,"")</f>
      </c>
      <c r="BC65">
        <f>IFERROR(($F65-$G65)/$G65*100,"")</f>
      </c>
      <c r="BD65">
        <f>IFERROR(($E65-MAX(OFFSET(高値!$E$6,IFERROR(MATCH($C65,銘柄管理!$B$6:$B$305,0),MATCH(TEXT($C65,"0"),銘柄管理!$B$6:$B$305,0))-1,0,1,25)))/MAX(OFFSET(高値!$E$6,IFERROR(MATCH($C65,銘柄管理!$B$6:$B$305,0),MATCH(TEXT($C65,"0"),銘柄管理!$B$6:$B$305,0))-1,0,1,25))*100,"")</f>
      </c>
      <c r="BE65">
        <f>IFERROR(($H65-$I65)/$F65*100,"")</f>
      </c>
      <c r="BF65">
        <f>IFERROR(-(($BA65-AVERAGE($BA$3:$BA$206))/STDEV($BA$3:$BA$206))-(($BE65-AVERAGE($BE$3:$BE$206))/STDEV($BE$3:$BE$206))-(($BB65-AVERAGE($BB$3:$BB$206))/STDEV($BB$3:$BB$206))-(($Z65-AVERAGE($Z$3:$Z$206))/STDEV($Z$3:$Z$206))-(($BC65-AVERAGE($BC$3:$BC$206))/STDEV($BC$3:$BC$206)),"")</f>
      </c>
      <c r="BG65">
        <f>IF(OR($C65="",$C65="TOPX",$BA65="",$BF65=""),0,IF(AND($BK$10=1,$BA65&lt;=$BK$2,$BB65&lt;=$BK$3,$BC65&lt;=$BK$4,$Z65&lt;=$BK$5,$Z65&gt;=$BK$6,$BD65&gt;=$BK$7,$BE65&lt;=$BK$8),1,0))</f>
      </c>
      <c r="BH65">
        <f>IF($C65="","",IF($BG65=1,"○ゲート通過",IF($BK$10&lt;&gt;1,"― この方向は停止中",IF($BA65&gt;$BK$2,"×値動きが荒い",IF($BB65&gt;$BK$3,"×レンジが広い",IF($BC65&gt;$BK$4,"×窓を開けて上昇",IF($Z65&gt;$BK$5,"×前日に急騰",IF($Z65&lt;$BK$6,"×前日に急落",IF($BD65&lt;$BK$7,"×高値から離れすぎ",IF($BE65&gt;$BK$8,"×当日の値幅が大きい","×")))))))))</f>
      </c>
    </row>
    <row r="66" spans="1:60"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IF(AND(E66&lt;&gt;"",K66&lt;&gt;"",K66&lt;&gt;0),(E66-K66)/K66*100,"")</f>
        <v>-71.806451612903217</v>
      </c>
      <c r="M66" s="166">
        <f>IF(C66&lt;&gt;"",IFERROR(AVERAGE(出来高!E136:I136),""),"")</f>
        <v>343580</v>
      </c>
      <c r="N66" s="166">
        <f>IF(C66&lt;&gt;"",IFERROR(AVERAGE(出来高!E136:AC136),""),"")</f>
        <v>341495.83333333331</v>
      </c>
      <c r="O66" s="168">
        <f>IF(AND(J66&lt;&gt;"",M66&lt;&gt;"",M66&lt;&gt;0),J66/M66,"")</f>
        <v>0.61004715059083769</v>
      </c>
      <c r="P66" s="163" t="str">
        <f>IF(O66="","",IF(O66&gt;=2,"急増↑↑",IF(O66&gt;=1.5,"増加↑",IF(O66&gt;=1,"普通→","減少↓"))))</f>
        <v>減少↓</v>
      </c>
      <c r="Q66" s="163" t="str">
        <f>IF(E66="","",IF(AND(E66&gt;G66,O66&gt;=1.5),"買い▲",IF(E66&lt;G66,"様子見▼","中立→")))</f>
        <v>様子見▼</v>
      </c>
      <c r="R66" s="166">
        <f>IF(E66&lt;&gt;"",ROUND(E66*1.08,0),"")</f>
        <v>944</v>
      </c>
      <c r="S66" s="166">
        <f>IF(E66&lt;&gt;"",ROUND(E66*0.96,0),"")</f>
        <v>839</v>
      </c>
      <c r="T66" s="163">
        <f>IF(C66="","",IFERROR(IF(O66&gt;=2,3,IF(O66&gt;=1.5,2,IF(O66&gt;=1,1,0)))+IF(E66&gt;G66,1,0)+IF(L66&gt;=-5,1,0)+IF(Q66="買い▲",2,0)+IF(W66&lt;=30,3,IF(W66&lt;=40,2,IF(AND(W66&gt;=40,W66&lt;=60),1,0)))+IF(X66&gt;0,1,0)+IF(V66="年初来高値更新●",3,IF(V66="高値圏",2,0))+IF(AD66="パーフェクト▲",3,IF(AD66="上昇トレンド▲",2,0))+IF(AE66="25日線押し目●",2,IF(AE66="5日線押し目○",1,0))+IF(P66="急増↑↑",2,IF(P66="増加↑",1,0))+N(AI66),0))</f>
        <v>-1</v>
      </c>
      <c r="U66" s="163" t="str">
        <f>IF(T66="","",IF(AND(T66&gt;=3,O66&gt;=1.5),"有効",IF(T66&gt;=3,"要確認","除外")))</f>
        <v>除外</v>
      </c>
      <c r="V66" s="163" t="str">
        <f>IF(AND(H66&lt;&gt;"",K66&lt;&gt;""),IF(H66&gt;=K66,"年初来高値更新●",IF(H66&gt;=K66*0.95,"高値圏","通常")),"")</f>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IF(AND(E66&lt;&gt;"",G66&lt;&gt;"",G66&lt;&gt;0),(E66-G66)/G66*100,"")</f>
        <v>-2.5641025641025639</v>
      </c>
      <c r="AA66" s="163" t="str">
        <f>IF(OR(C66="",E66="",E66=0),"",IF(E66&gt;G66,"上昇▲",IF(E66&lt;G66,"下落▼","横ばい→")))</f>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IF(OR(C66="",AB66="",AC66=""),"",IF(AND(E66&gt;AB66,AB66&gt;AC66),"パーフェクト▲",IF(E66&gt;AC66,"上昇トレンド▲",IF(AND(E66&lt;AB66,AB66&lt;AC66),"下降トレンド▼","もみ合い→"))))</f>
        <v>もみ合い→</v>
      </c>
      <c r="AE66" s="404" t="str">
        <f>IF(OR(C66="",AB66="",AC66=""),"",IF(AND(ABS(E66-AC66)/AC66&lt;=0.02,E66&gt;AC66),"25日押し目★",IF(AND(ABS(E66-AB66)/AB66&lt;=0.01,E66&gt;AB66),"5日押し目○","なし")))</f>
        <v>なし</v>
      </c>
      <c r="AF66" s="365">
        <f t="array" ref="AF66">IF(C66="","",IFERROR((INDEX(終値!$E:$E,MATCH(TEXT(C66,"0"),終値!$A:$A,0))-INDEX(終値!$E:$CZ,MATCH(TEXT(C66,"0"),終値!$A:$A,0),$AL$2))/INDEX(終値!$E:$CZ,MATCH(TEXT(C66,"0"),終値!$A:$A,0),$AL$2)*100,""))</f>
        <v>-28.18405916187346</v>
      </c>
      <c r="AG66" s="365">
        <f t="array" ref="AG66">IFERROR((終値!$E$5-INDEX(終値!$E$5:$IT$5,1,$AL$2))/INDEX(終値!$E$5:$IT$5,1,$AL$2)*100,"")</f>
        <v>1.0179378228534113</v>
      </c>
      <c r="AH66" s="366">
        <f>IF(OR(AF66="",AG66=""),"",AF66-AG66)</f>
        <v>-29.201996984726872</v>
      </c>
      <c r="AI66" s="364">
        <f>IF(AH66="","",IF(AH66&gt;5,3,IF(AH66&gt;0,1,IF(AH66&gt;-3,-1,-2))))</f>
        <v>-2</v>
      </c>
      <c r="BA66">
        <f>IFERROR((SUM(OFFSET(高値!$E$6,IFERROR(MATCH($C66,銘柄管理!$B$6:$B$305,0),MATCH(TEXT($C66,"0"),銘柄管理!$B$6:$B$305,0))-1,0,1,14))-SUM(OFFSET(安値!$E$6,IFERROR(MATCH($C66,銘柄管理!$B$6:$B$305,0),MATCH(TEXT($C66,"0"),銘柄管理!$B$6:$B$305,0))-1,0,1,14)))/SUM(OFFSET(終値!$E$6,IFERROR(MATCH($C66,銘柄管理!$B$6:$B$305,0),MATCH(TEXT($C66,"0"),銘柄管理!$B$6:$B$305,0))-1,0,1,14))*100,"")</f>
      </c>
      <c r="BB66">
        <f>IFERROR((MAX(OFFSET(高値!$E$6,IFERROR(MATCH($C66,銘柄管理!$B$6:$B$305,0),MATCH(TEXT($C66,"0"),銘柄管理!$B$6:$B$305,0))-1,0,1,25))-MIN(OFFSET(安値!$E$6,IFERROR(MATCH($C66,銘柄管理!$B$6:$B$305,0),MATCH(TEXT($C66,"0"),銘柄管理!$B$6:$B$305,0))-1,0,1,25)))/$E66*100,"")</f>
      </c>
      <c r="BC66">
        <f>IFERROR(($F66-$G66)/$G66*100,"")</f>
      </c>
      <c r="BD66">
        <f>IFERROR(($E66-MAX(OFFSET(高値!$E$6,IFERROR(MATCH($C66,銘柄管理!$B$6:$B$305,0),MATCH(TEXT($C66,"0"),銘柄管理!$B$6:$B$305,0))-1,0,1,25)))/MAX(OFFSET(高値!$E$6,IFERROR(MATCH($C66,銘柄管理!$B$6:$B$305,0),MATCH(TEXT($C66,"0"),銘柄管理!$B$6:$B$305,0))-1,0,1,25))*100,"")</f>
      </c>
      <c r="BE66">
        <f>IFERROR(($H66-$I66)/$F66*100,"")</f>
      </c>
      <c r="BF66">
        <f>IFERROR(-(($BA66-AVERAGE($BA$3:$BA$206))/STDEV($BA$3:$BA$206))-(($BE66-AVERAGE($BE$3:$BE$206))/STDEV($BE$3:$BE$206))-(($BB66-AVERAGE($BB$3:$BB$206))/STDEV($BB$3:$BB$206))-(($Z66-AVERAGE($Z$3:$Z$206))/STDEV($Z$3:$Z$206))-(($BC66-AVERAGE($BC$3:$BC$206))/STDEV($BC$3:$BC$206)),"")</f>
      </c>
      <c r="BG66">
        <f>IF(OR($C66="",$C66="TOPX",$BA66="",$BF66=""),0,IF(AND($BK$10=1,$BA66&lt;=$BK$2,$BB66&lt;=$BK$3,$BC66&lt;=$BK$4,$Z66&lt;=$BK$5,$Z66&gt;=$BK$6,$BD66&gt;=$BK$7,$BE66&lt;=$BK$8),1,0))</f>
      </c>
      <c r="BH66">
        <f>IF($C66="","",IF($BG66=1,"○ゲート通過",IF($BK$10&lt;&gt;1,"― この方向は停止中",IF($BA66&gt;$BK$2,"×値動きが荒い",IF($BB66&gt;$BK$3,"×レンジが広い",IF($BC66&gt;$BK$4,"×窓を開けて上昇",IF($Z66&gt;$BK$5,"×前日に急騰",IF($Z66&lt;$BK$6,"×前日に急落",IF($BD66&lt;$BK$7,"×高値から離れすぎ",IF($BE66&gt;$BK$8,"×当日の値幅が大きい","×")))))))))</f>
      </c>
    </row>
    <row r="67" spans="1:60"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IF(AND(E67&lt;&gt;"",K67&lt;&gt;"",K67&lt;&gt;0),(E67-K67)/K67*100,"")</f>
        <v>-55.555555555555557</v>
      </c>
      <c r="M67" s="166">
        <f>IF(C67&lt;&gt;"",IFERROR(AVERAGE(出来高!E93:I93),""),"")</f>
        <v>269200</v>
      </c>
      <c r="N67" s="166">
        <f>IF(C67&lt;&gt;"",IFERROR(AVERAGE(出来高!E93:AC93),""),"")</f>
        <v>497712</v>
      </c>
      <c r="O67" s="168">
        <f>IF(AND(J67&lt;&gt;"",M67&lt;&gt;"",M67&lt;&gt;0),J67/M67,"")</f>
        <v>0.83098068350668652</v>
      </c>
      <c r="P67" s="163" t="str">
        <f>IF(O67="","",IF(O67&gt;=2,"急増↑↑",IF(O67&gt;=1.5,"増加↑",IF(O67&gt;=1,"普通→","減少↓"))))</f>
        <v>減少↓</v>
      </c>
      <c r="Q67" s="163" t="str">
        <f>IF(E67="","",IF(AND(E67&gt;G67,O67&gt;=1.5),"買い▲",IF(E67&lt;G67,"様子見▼","中立→")))</f>
        <v>様子見▼</v>
      </c>
      <c r="R67" s="166">
        <f>IF(E67&lt;&gt;"",ROUND(E67*1.08,0),"")</f>
        <v>786</v>
      </c>
      <c r="S67" s="166">
        <f>IF(E67&lt;&gt;"",ROUND(E67*0.96,0),"")</f>
        <v>699</v>
      </c>
      <c r="T67" s="163">
        <f>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3" t="str">
        <f>IF(T67="","",IF(AND(T67&gt;=3,O67&gt;=1.5),"有効",IF(T67&gt;=3,"要確認","除外")))</f>
        <v>除外</v>
      </c>
      <c r="V67" s="163" t="str">
        <f>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IF(AND(E67&lt;&gt;"",G67&lt;&gt;"",G67&lt;&gt;0),(E67-G67)/G67*100,"")</f>
        <v>-1.8867924528301887</v>
      </c>
      <c r="AA67" s="163" t="str">
        <f>IF(OR(C67="",E67="",E67=0),"",IF(E67&gt;G67,"上昇▲",IF(E67&lt;G67,"下落▼","横ばい→")))</f>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IF(OR(C67="",AB67="",AC67=""),"",IF(AND(E67&gt;AB67,AB67&gt;AC67),"パーフェクト▲",IF(E67&gt;AC67,"上昇トレンド▲",IF(AND(E67&lt;AB67,AB67&lt;AC67),"下降トレンド▼","もみ合い→"))))</f>
        <v>下降トレンド▼</v>
      </c>
      <c r="AE67" s="406" t="str">
        <f>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IFERROR((終値!$E$5-INDEX(終値!$E$5:$IT$5,1,$AL$2))/INDEX(終値!$E$5:$IT$5,1,$AL$2)*100,"")</f>
        <v>1.0179378228534113</v>
      </c>
      <c r="AH67" s="366">
        <f>IF(OR(AF67="",AG67=""),"",AF67-AG67)</f>
        <v>-17.912914991803184</v>
      </c>
      <c r="AI67" s="364">
        <f>IF(AH67="","",IF(AH67&gt;5,3,IF(AH67&gt;0,1,IF(AH67&gt;-3,-1,-2))))</f>
        <v>-2</v>
      </c>
      <c r="BA67">
        <f>IFERROR((SUM(OFFSET(高値!$E$6,IFERROR(MATCH($C67,銘柄管理!$B$6:$B$305,0),MATCH(TEXT($C67,"0"),銘柄管理!$B$6:$B$305,0))-1,0,1,14))-SUM(OFFSET(安値!$E$6,IFERROR(MATCH($C67,銘柄管理!$B$6:$B$305,0),MATCH(TEXT($C67,"0"),銘柄管理!$B$6:$B$305,0))-1,0,1,14)))/SUM(OFFSET(終値!$E$6,IFERROR(MATCH($C67,銘柄管理!$B$6:$B$305,0),MATCH(TEXT($C67,"0"),銘柄管理!$B$6:$B$305,0))-1,0,1,14))*100,"")</f>
      </c>
      <c r="BB67">
        <f>IFERROR((MAX(OFFSET(高値!$E$6,IFERROR(MATCH($C67,銘柄管理!$B$6:$B$305,0),MATCH(TEXT($C67,"0"),銘柄管理!$B$6:$B$305,0))-1,0,1,25))-MIN(OFFSET(安値!$E$6,IFERROR(MATCH($C67,銘柄管理!$B$6:$B$305,0),MATCH(TEXT($C67,"0"),銘柄管理!$B$6:$B$305,0))-1,0,1,25)))/$E67*100,"")</f>
      </c>
      <c r="BC67">
        <f>IFERROR(($F67-$G67)/$G67*100,"")</f>
      </c>
      <c r="BD67">
        <f>IFERROR(($E67-MAX(OFFSET(高値!$E$6,IFERROR(MATCH($C67,銘柄管理!$B$6:$B$305,0),MATCH(TEXT($C67,"0"),銘柄管理!$B$6:$B$305,0))-1,0,1,25)))/MAX(OFFSET(高値!$E$6,IFERROR(MATCH($C67,銘柄管理!$B$6:$B$305,0),MATCH(TEXT($C67,"0"),銘柄管理!$B$6:$B$305,0))-1,0,1,25))*100,"")</f>
      </c>
      <c r="BE67">
        <f>IFERROR(($H67-$I67)/$F67*100,"")</f>
      </c>
      <c r="BF67">
        <f>IFERROR(-(($BA67-AVERAGE($BA$3:$BA$206))/STDEV($BA$3:$BA$206))-(($BE67-AVERAGE($BE$3:$BE$206))/STDEV($BE$3:$BE$206))-(($BB67-AVERAGE($BB$3:$BB$206))/STDEV($BB$3:$BB$206))-(($Z67-AVERAGE($Z$3:$Z$206))/STDEV($Z$3:$Z$206))-(($BC67-AVERAGE($BC$3:$BC$206))/STDEV($BC$3:$BC$206)),"")</f>
      </c>
      <c r="BG67">
        <f>IF(OR($C67="",$C67="TOPX",$BA67="",$BF67=""),0,IF(AND($BK$10=1,$BA67&lt;=$BK$2,$BB67&lt;=$BK$3,$BC67&lt;=$BK$4,$Z67&lt;=$BK$5,$Z67&gt;=$BK$6,$BD67&gt;=$BK$7,$BE67&lt;=$BK$8),1,0))</f>
      </c>
      <c r="BH67">
        <f>IF($C67="","",IF($BG67=1,"○ゲート通過",IF($BK$10&lt;&gt;1,"― この方向は停止中",IF($BA67&gt;$BK$2,"×値動きが荒い",IF($BB67&gt;$BK$3,"×レンジが広い",IF($BC67&gt;$BK$4,"×窓を開けて上昇",IF($Z67&gt;$BK$5,"×前日に急騰",IF($Z67&lt;$BK$6,"×前日に急落",IF($BD67&lt;$BK$7,"×高値から離れすぎ",IF($BE67&gt;$BK$8,"×当日の値幅が大きい","×")))))))))</f>
      </c>
    </row>
    <row r="68" spans="1:60"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IF(AND(E68&lt;&gt;"",K68&lt;&gt;"",K68&lt;&gt;0),(E68-K68)/K68*100,"")</f>
        <v>-15.579540122008448</v>
      </c>
      <c r="M68" s="166">
        <f>IF(C68&lt;&gt;"",IFERROR(AVERAGE(出来高!E107:I107),""),"")</f>
        <v>683020</v>
      </c>
      <c r="N68" s="166">
        <f>IF(C68&lt;&gt;"",IFERROR(AVERAGE(出来高!E107:AC107),""),"")</f>
        <v>575776</v>
      </c>
      <c r="O68" s="168">
        <f>IF(AND(J68&lt;&gt;"",M68&lt;&gt;"",M68&lt;&gt;0),J68/M68,"")</f>
        <v>0.84990190623993445</v>
      </c>
      <c r="P68" s="163" t="str">
        <f>IF(O68="","",IF(O68&gt;=2,"急増↑↑",IF(O68&gt;=1.5,"増加↑",IF(O68&gt;=1,"普通→","減少↓"))))</f>
        <v>減少↓</v>
      </c>
      <c r="Q68" s="163" t="str">
        <f>IF(E68="","",IF(AND(E68&gt;G68,O68&gt;=1.5),"買い▲",IF(E68&lt;G68,"様子見▼","中立→")))</f>
        <v>様子見▼</v>
      </c>
      <c r="R68" s="166">
        <f>IF(E68&lt;&gt;"",ROUND(E68*1.08,0),"")</f>
        <v>19429</v>
      </c>
      <c r="S68" s="166">
        <f>IF(E68&lt;&gt;"",ROUND(E68*0.96,0),"")</f>
        <v>17270</v>
      </c>
      <c r="T68" s="163">
        <f>IF(C68="","",IFERROR(IF(O68&gt;=2,3,IF(O68&gt;=1.5,2,IF(O68&gt;=1,1,0)))+IF(E68&gt;G68,1,0)+IF(L68&gt;=-5,1,0)+IF(Q68="買い▲",2,0)+IF(W68&lt;=30,3,IF(W68&lt;=40,2,IF(AND(W68&gt;=40,W68&lt;=60),1,0)))+IF(X68&gt;0,1,0)+IF(V68="年初来高値更新●",3,IF(V68="高値圏",2,0))+IF(AD68="パーフェクト▲",3,IF(AD68="上昇トレンド▲",2,0))+IF(AE68="25日線押し目●",2,IF(AE68="5日線押し目○",1,0))+IF(P68="急増↑↑",2,IF(P68="増加↑",1,0))+N(AI68),0))</f>
        <v>2</v>
      </c>
      <c r="U68" s="163" t="str">
        <f>IF(T68="","",IF(AND(T68&gt;=3,O68&gt;=1.5),"有効",IF(T68&gt;=3,"要確認","除外")))</f>
        <v>除外</v>
      </c>
      <c r="V68" s="163" t="str">
        <f>IF(AND(H68&lt;&gt;"",K68&lt;&gt;""),IF(H68&gt;=K68,"年初来高値更新●",IF(H68&gt;=K68*0.95,"高値圏","通常")),"")</f>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IF(AND(E68&lt;&gt;"",G68&lt;&gt;"",G68&lt;&gt;0),(E68-G68)/G68*100,"")</f>
        <v>-4.0789122900559853</v>
      </c>
      <c r="AA68" s="163" t="str">
        <f>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IF(OR(C68="",AB68="",AC68=""),"",IF(AND(E68&gt;AB68,AB68&gt;AC68),"パーフェクト▲",IF(E68&gt;AC68,"上昇トレンド▲",IF(AND(E68&lt;AB68,AB68&lt;AC68),"下降トレンド▼","もみ合い→"))))</f>
        <v>パーフェクト▲</v>
      </c>
      <c r="AE68" s="404" t="str">
        <f>IF(OR(C68="",AB68="",AC68=""),"",IF(AND(ABS(E68-AC68)/AC68&lt;=0.02,E68&gt;AC68),"25日押し目★",IF(AND(ABS(E68-AB68)/AB68&lt;=0.01,E68&gt;AB68),"5日押し目○","なし")))</f>
        <v>なし</v>
      </c>
      <c r="AF68" s="365">
        <f t="array" ref="AF68">IF(C68="","",IFERROR((INDEX(終値!$E:$E,MATCH(TEXT(C68,"0"),終値!$A:$A,0))-INDEX(終値!$E:$CZ,MATCH(TEXT(C68,"0"),終値!$A:$A,0),$AL$2))/INDEX(終値!$E:$CZ,MATCH(TEXT(C68,"0"),終値!$A:$A,0),$AL$2)*100,""))</f>
        <v>-14.005736137667304</v>
      </c>
      <c r="AG68" s="365">
        <f t="array" ref="AG68">IFERROR((終値!$E$5-INDEX(終値!$E$5:$IT$5,1,$AL$2))/INDEX(終値!$E$5:$IT$5,1,$AL$2)*100,"")</f>
        <v>1.0179378228534113</v>
      </c>
      <c r="AH68" s="366">
        <f>IF(OR(AF68="",AG68=""),"",AF68-AG68)</f>
        <v>-15.023673960520716</v>
      </c>
      <c r="AI68" s="364">
        <f>IF(AH68="","",IF(AH68&gt;5,3,IF(AH68&gt;0,1,IF(AH68&gt;-3,-1,-2))))</f>
        <v>-2</v>
      </c>
      <c r="BA68">
        <f>IFERROR((SUM(OFFSET(高値!$E$6,IFERROR(MATCH($C68,銘柄管理!$B$6:$B$305,0),MATCH(TEXT($C68,"0"),銘柄管理!$B$6:$B$305,0))-1,0,1,14))-SUM(OFFSET(安値!$E$6,IFERROR(MATCH($C68,銘柄管理!$B$6:$B$305,0),MATCH(TEXT($C68,"0"),銘柄管理!$B$6:$B$305,0))-1,0,1,14)))/SUM(OFFSET(終値!$E$6,IFERROR(MATCH($C68,銘柄管理!$B$6:$B$305,0),MATCH(TEXT($C68,"0"),銘柄管理!$B$6:$B$305,0))-1,0,1,14))*100,"")</f>
      </c>
      <c r="BB68">
        <f>IFERROR((MAX(OFFSET(高値!$E$6,IFERROR(MATCH($C68,銘柄管理!$B$6:$B$305,0),MATCH(TEXT($C68,"0"),銘柄管理!$B$6:$B$305,0))-1,0,1,25))-MIN(OFFSET(安値!$E$6,IFERROR(MATCH($C68,銘柄管理!$B$6:$B$305,0),MATCH(TEXT($C68,"0"),銘柄管理!$B$6:$B$305,0))-1,0,1,25)))/$E68*100,"")</f>
      </c>
      <c r="BC68">
        <f>IFERROR(($F68-$G68)/$G68*100,"")</f>
      </c>
      <c r="BD68">
        <f>IFERROR(($E68-MAX(OFFSET(高値!$E$6,IFERROR(MATCH($C68,銘柄管理!$B$6:$B$305,0),MATCH(TEXT($C68,"0"),銘柄管理!$B$6:$B$305,0))-1,0,1,25)))/MAX(OFFSET(高値!$E$6,IFERROR(MATCH($C68,銘柄管理!$B$6:$B$305,0),MATCH(TEXT($C68,"0"),銘柄管理!$B$6:$B$305,0))-1,0,1,25))*100,"")</f>
      </c>
      <c r="BE68">
        <f>IFERROR(($H68-$I68)/$F68*100,"")</f>
      </c>
      <c r="BF68">
        <f>IFERROR(-(($BA68-AVERAGE($BA$3:$BA$206))/STDEV($BA$3:$BA$206))-(($BE68-AVERAGE($BE$3:$BE$206))/STDEV($BE$3:$BE$206))-(($BB68-AVERAGE($BB$3:$BB$206))/STDEV($BB$3:$BB$206))-(($Z68-AVERAGE($Z$3:$Z$206))/STDEV($Z$3:$Z$206))-(($BC68-AVERAGE($BC$3:$BC$206))/STDEV($BC$3:$BC$206)),"")</f>
      </c>
      <c r="BG68">
        <f>IF(OR($C68="",$C68="TOPX",$BA68="",$BF68=""),0,IF(AND($BK$10=1,$BA68&lt;=$BK$2,$BB68&lt;=$BK$3,$BC68&lt;=$BK$4,$Z68&lt;=$BK$5,$Z68&gt;=$BK$6,$BD68&gt;=$BK$7,$BE68&lt;=$BK$8),1,0))</f>
      </c>
      <c r="BH68">
        <f>IF($C68="","",IF($BG68=1,"○ゲート通過",IF($BK$10&lt;&gt;1,"― この方向は停止中",IF($BA68&gt;$BK$2,"×値動きが荒い",IF($BB68&gt;$BK$3,"×レンジが広い",IF($BC68&gt;$BK$4,"×窓を開けて上昇",IF($Z68&gt;$BK$5,"×前日に急騰",IF($Z68&lt;$BK$6,"×前日に急落",IF($BD68&lt;$BK$7,"×高値から離れすぎ",IF($BE68&gt;$BK$8,"×当日の値幅が大きい","×")))))))))</f>
      </c>
    </row>
    <row r="69" spans="1:60"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IF(AND(E69&lt;&gt;"",K69&lt;&gt;"",K69&lt;&gt;0),(E69-K69)/K69*100,"")</f>
        <v>-25.391095066185322</v>
      </c>
      <c r="M69" s="166">
        <f>IF(C69&lt;&gt;"",IFERROR(AVERAGE(出来高!E121:I121),""),"")</f>
        <v>296600</v>
      </c>
      <c r="N69" s="166">
        <f>IF(C69&lt;&gt;"",IFERROR(AVERAGE(出来高!E121:AC121),""),"")</f>
        <v>340300</v>
      </c>
      <c r="O69" s="168">
        <f>IF(AND(J69&lt;&gt;"",M69&lt;&gt;"",M69&lt;&gt;0),J69/M69,"")</f>
        <v>1.1641942009440325</v>
      </c>
      <c r="P69" s="163" t="str">
        <f>IF(O69="","",IF(O69&gt;=2,"急増↑↑",IF(O69&gt;=1.5,"増加↑",IF(O69&gt;=1,"普通→","減少↓"))))</f>
        <v>普通→</v>
      </c>
      <c r="Q69" s="163" t="str">
        <f>IF(E69="","",IF(AND(E69&gt;G69,O69&gt;=1.5),"買い▲",IF(E69&lt;G69,"様子見▼","中立→")))</f>
        <v>様子見▼</v>
      </c>
      <c r="R69" s="166">
        <f>IF(E69&lt;&gt;"",ROUND(E69*1.08,0),"")</f>
        <v>3348</v>
      </c>
      <c r="S69" s="166">
        <f>IF(E69&lt;&gt;"",ROUND(E69*0.96,0),"")</f>
        <v>2976</v>
      </c>
      <c r="T69" s="163">
        <f>IF(C69="","",IFERROR(IF(O69&gt;=2,3,IF(O69&gt;=1.5,2,IF(O69&gt;=1,1,0)))+IF(E69&gt;G69,1,0)+IF(L69&gt;=-5,1,0)+IF(Q69="買い▲",2,0)+IF(W69&lt;=30,3,IF(W69&lt;=40,2,IF(AND(W69&gt;=40,W69&lt;=60),1,0)))+IF(X69&gt;0,1,0)+IF(V69="年初来高値更新●",3,IF(V69="高値圏",2,0))+IF(AD69="パーフェクト▲",3,IF(AD69="上昇トレンド▲",2,0))+IF(AE69="25日線押し目●",2,IF(AE69="5日線押し目○",1,0))+IF(P69="急増↑↑",2,IF(P69="増加↑",1,0))+N(AI69),0))</f>
        <v>2</v>
      </c>
      <c r="U69" s="163" t="str">
        <f>IF(T69="","",IF(AND(T69&gt;=3,O69&gt;=1.5),"有効",IF(T69&gt;=3,"要確認","除外")))</f>
        <v>除外</v>
      </c>
      <c r="V69" s="163" t="str">
        <f>IF(AND(H69&lt;&gt;"",K69&lt;&gt;""),IF(H69&gt;=K69,"年初来高値更新●",IF(H69&gt;=K69*0.95,"高値圏","通常")),"")</f>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IF(AND(E69&lt;&gt;"",G69&lt;&gt;"",G69&lt;&gt;0),(E69-G69)/G69*100,"")</f>
        <v>-0.95846645367412142</v>
      </c>
      <c r="AA69" s="163" t="str">
        <f>IF(OR(C69="",E69="",E69=0),"",IF(E69&gt;G69,"上昇▲",IF(E69&lt;G69,"下落▼","横ばい→")))</f>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IF(OR(C69="",AB69="",AC69=""),"",IF(AND(E69&gt;AB69,AB69&gt;AC69),"パーフェクト▲",IF(E69&gt;AC69,"上昇トレンド▲",IF(AND(E69&lt;AB69,AB69&lt;AC69),"下降トレンド▼","もみ合い→"))))</f>
        <v>上昇トレンド▲</v>
      </c>
      <c r="AE69" s="406" t="str">
        <f>IF(OR(C69="",AB69="",AC69=""),"",IF(AND(ABS(E69-AC69)/AC69&lt;=0.02,E69&gt;AC69),"25日押し目★",IF(AND(ABS(E69-AB69)/AB69&lt;=0.01,E69&gt;AB69),"5日押し目○","なし")))</f>
        <v>なし</v>
      </c>
      <c r="AF69" s="365">
        <f t="array" ref="AF69">IF(C69="","",IFERROR((INDEX(終値!$E:$E,MATCH(TEXT(C69,"0"),終値!$A:$A,0))-INDEX(終値!$E:$CZ,MATCH(TEXT(C69,"0"),終値!$A:$A,0),$AL$2))/INDEX(終値!$E:$CZ,MATCH(TEXT(C69,"0"),終値!$A:$A,0),$AL$2)*100,""))</f>
        <v>-5.6316590563165905</v>
      </c>
      <c r="AG69" s="365">
        <f t="array" ref="AG69">IFERROR((終値!$E$5-INDEX(終値!$E$5:$IT$5,1,$AL$2))/INDEX(終値!$E$5:$IT$5,1,$AL$2)*100,"")</f>
        <v>1.0179378228534113</v>
      </c>
      <c r="AH69" s="366">
        <f>IF(OR(AF69="",AG69=""),"",AF69-AG69)</f>
        <v>-6.6495968791700015</v>
      </c>
      <c r="AI69" s="364">
        <f>IF(AH69="","",IF(AH69&gt;5,3,IF(AH69&gt;0,1,IF(AH69&gt;-3,-1,-2))))</f>
        <v>-2</v>
      </c>
      <c r="BA69">
        <f>IFERROR((SUM(OFFSET(高値!$E$6,IFERROR(MATCH($C69,銘柄管理!$B$6:$B$305,0),MATCH(TEXT($C69,"0"),銘柄管理!$B$6:$B$305,0))-1,0,1,14))-SUM(OFFSET(安値!$E$6,IFERROR(MATCH($C69,銘柄管理!$B$6:$B$305,0),MATCH(TEXT($C69,"0"),銘柄管理!$B$6:$B$305,0))-1,0,1,14)))/SUM(OFFSET(終値!$E$6,IFERROR(MATCH($C69,銘柄管理!$B$6:$B$305,0),MATCH(TEXT($C69,"0"),銘柄管理!$B$6:$B$305,0))-1,0,1,14))*100,"")</f>
      </c>
      <c r="BB69">
        <f>IFERROR((MAX(OFFSET(高値!$E$6,IFERROR(MATCH($C69,銘柄管理!$B$6:$B$305,0),MATCH(TEXT($C69,"0"),銘柄管理!$B$6:$B$305,0))-1,0,1,25))-MIN(OFFSET(安値!$E$6,IFERROR(MATCH($C69,銘柄管理!$B$6:$B$305,0),MATCH(TEXT($C69,"0"),銘柄管理!$B$6:$B$305,0))-1,0,1,25)))/$E69*100,"")</f>
      </c>
      <c r="BC69">
        <f>IFERROR(($F69-$G69)/$G69*100,"")</f>
      </c>
      <c r="BD69">
        <f>IFERROR(($E69-MAX(OFFSET(高値!$E$6,IFERROR(MATCH($C69,銘柄管理!$B$6:$B$305,0),MATCH(TEXT($C69,"0"),銘柄管理!$B$6:$B$305,0))-1,0,1,25)))/MAX(OFFSET(高値!$E$6,IFERROR(MATCH($C69,銘柄管理!$B$6:$B$305,0),MATCH(TEXT($C69,"0"),銘柄管理!$B$6:$B$305,0))-1,0,1,25))*100,"")</f>
      </c>
      <c r="BE69">
        <f>IFERROR(($H69-$I69)/$F69*100,"")</f>
      </c>
      <c r="BF69">
        <f>IFERROR(-(($BA69-AVERAGE($BA$3:$BA$206))/STDEV($BA$3:$BA$206))-(($BE69-AVERAGE($BE$3:$BE$206))/STDEV($BE$3:$BE$206))-(($BB69-AVERAGE($BB$3:$BB$206))/STDEV($BB$3:$BB$206))-(($Z69-AVERAGE($Z$3:$Z$206))/STDEV($Z$3:$Z$206))-(($BC69-AVERAGE($BC$3:$BC$206))/STDEV($BC$3:$BC$206)),"")</f>
      </c>
      <c r="BG69">
        <f>IF(OR($C69="",$C69="TOPX",$BA69="",$BF69=""),0,IF(AND($BK$10=1,$BA69&lt;=$BK$2,$BB69&lt;=$BK$3,$BC69&lt;=$BK$4,$Z69&lt;=$BK$5,$Z69&gt;=$BK$6,$BD69&gt;=$BK$7,$BE69&lt;=$BK$8),1,0))</f>
      </c>
      <c r="BH69">
        <f>IF($C69="","",IF($BG69=1,"○ゲート通過",IF($BK$10&lt;&gt;1,"― この方向は停止中",IF($BA69&gt;$BK$2,"×値動きが荒い",IF($BB69&gt;$BK$3,"×レンジが広い",IF($BC69&gt;$BK$4,"×窓を開けて上昇",IF($Z69&gt;$BK$5,"×前日に急騰",IF($Z69&lt;$BK$6,"×前日に急落",IF($BD69&lt;$BK$7,"×高値から離れすぎ",IF($BE69&gt;$BK$8,"×当日の値幅が大きい","×")))))))))</f>
      </c>
    </row>
    <row r="70" spans="1:60"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IF(AND(E70&lt;&gt;"",K70&lt;&gt;"",K70&lt;&gt;0),(E70-K70)/K70*100,"")</f>
        <v>2.1867115222876365</v>
      </c>
      <c r="M70" s="166">
        <f>IF(C70&lt;&gt;"",IFERROR(AVERAGE(出来高!E152:I152),""),"")</f>
        <v>639940</v>
      </c>
      <c r="N70" s="166">
        <f>IF(C70&lt;&gt;"",IFERROR(AVERAGE(出来高!E152:AC152),""),"")</f>
        <v>543020</v>
      </c>
      <c r="O70" s="168">
        <f>IF(AND(J70&lt;&gt;"",M70&lt;&gt;"",M70&lt;&gt;0),J70/M70,"")</f>
        <v>0.8997718536112761</v>
      </c>
      <c r="P70" s="163" t="str">
        <f>IF(O70="","",IF(O70&gt;=2,"急増↑↑",IF(O70&gt;=1.5,"増加↑",IF(O70&gt;=1,"普通→","減少↓"))))</f>
        <v>減少↓</v>
      </c>
      <c r="Q70" s="163" t="str">
        <f>IF(E70="","",IF(AND(E70&gt;G70,O70&gt;=1.5),"買い▲",IF(E70&lt;G70,"様子見▼","中立→")))</f>
        <v>中立→</v>
      </c>
      <c r="R70" s="166">
        <f>IF(E70&lt;&gt;"",ROUND(E70*1.08,0),"")</f>
        <v>1312</v>
      </c>
      <c r="S70" s="166">
        <f>IF(E70&lt;&gt;"",ROUND(E70*0.96,0),"")</f>
        <v>1166</v>
      </c>
      <c r="T70" s="163">
        <f>IF(C70="","",IFERROR(IF(O70&gt;=2,3,IF(O70&gt;=1.5,2,IF(O70&gt;=1,1,0)))+IF(E70&gt;G70,1,0)+IF(L70&gt;=-5,1,0)+IF(Q70="買い▲",2,0)+IF(W70&lt;=30,3,IF(W70&lt;=40,2,IF(AND(W70&gt;=40,W70&lt;=60),1,0)))+IF(X70&gt;0,1,0)+IF(V70="年初来高値更新●",3,IF(V70="高値圏",2,0))+IF(AD70="パーフェクト▲",3,IF(AD70="上昇トレンド▲",2,0))+IF(AE70="25日線押し目●",2,IF(AE70="5日線押し目○",1,0))+IF(P70="急増↑↑",2,IF(P70="増加↑",1,0))+N(AI70),0))</f>
        <v>10</v>
      </c>
      <c r="U70" s="163" t="str">
        <f>IF(T70="","",IF(AND(T70&gt;=3,O70&gt;=1.5),"有効",IF(T70&gt;=3,"要確認","除外")))</f>
        <v>要確認</v>
      </c>
      <c r="V70" s="163" t="str">
        <f>IF(AND(H70&lt;&gt;"",K70&lt;&gt;""),IF(H70&gt;=K70,"年初来高値更新●",IF(H70&gt;=K70*0.95,"高値圏","通常")),"")</f>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IF(AND(E70&lt;&gt;"",G70&lt;&gt;"",G70&lt;&gt;0),(E70-G70)/G70*100,"")</f>
        <v>4.2024013722126927</v>
      </c>
      <c r="AA70" s="163" t="str">
        <f>IF(OR(C70="",E70="",E70=0),"",IF(E70&gt;G70,"上昇▲",IF(E70&lt;G70,"下落▼","横ばい→")))</f>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IF(OR(C70="",AB70="",AC70=""),"",IF(AND(E70&gt;AB70,AB70&gt;AC70),"パーフェクト▲",IF(E70&gt;AC70,"上昇トレンド▲",IF(AND(E70&lt;AB70,AB70&lt;AC70),"下降トレンド▼","もみ合い→"))))</f>
        <v>もみ合い→</v>
      </c>
      <c r="AE70" s="404" t="str">
        <f>IF(OR(C70="",AB70="",AC70=""),"",IF(AND(ABS(E70-AC70)/AC70&lt;=0.02,E70&gt;AC70),"25日押し目★",IF(AND(ABS(E70-AB70)/AB70&lt;=0.01,E70&gt;AB70),"5日押し目○","なし")))</f>
        <v>なし</v>
      </c>
      <c r="AF70" s="365">
        <f t="array" ref="AF70">IF(C70="","",IFERROR((INDEX(終値!$E:$E,MATCH(TEXT(C70,"0"),終値!$A:$A,0))-INDEX(終値!$E:$CZ,MATCH(TEXT(C70,"0"),終値!$A:$A,0),$AL$2))/INDEX(終値!$E:$CZ,MATCH(TEXT(C70,"0"),終値!$A:$A,0),$AL$2)*100,""))</f>
        <v>18.421052631578945</v>
      </c>
      <c r="AG70" s="365">
        <f t="array" ref="AG70">IFERROR((終値!$E$5-INDEX(終値!$E$5:$IT$5,1,$AL$2))/INDEX(終値!$E$5:$IT$5,1,$AL$2)*100,"")</f>
        <v>1.0179378228534113</v>
      </c>
      <c r="AH70" s="366">
        <f>IF(OR(AF70="",AG70=""),"",AF70-AG70)</f>
        <v>17.403114808725533</v>
      </c>
      <c r="AI70" s="364">
        <f>IF(AH70="","",IF(AH70&gt;5,3,IF(AH70&gt;0,1,IF(AH70&gt;-3,-1,-2))))</f>
        <v>3</v>
      </c>
      <c r="BA70">
        <f>IFERROR((SUM(OFFSET(高値!$E$6,IFERROR(MATCH($C70,銘柄管理!$B$6:$B$305,0),MATCH(TEXT($C70,"0"),銘柄管理!$B$6:$B$305,0))-1,0,1,14))-SUM(OFFSET(安値!$E$6,IFERROR(MATCH($C70,銘柄管理!$B$6:$B$305,0),MATCH(TEXT($C70,"0"),銘柄管理!$B$6:$B$305,0))-1,0,1,14)))/SUM(OFFSET(終値!$E$6,IFERROR(MATCH($C70,銘柄管理!$B$6:$B$305,0),MATCH(TEXT($C70,"0"),銘柄管理!$B$6:$B$305,0))-1,0,1,14))*100,"")</f>
      </c>
      <c r="BB70">
        <f>IFERROR((MAX(OFFSET(高値!$E$6,IFERROR(MATCH($C70,銘柄管理!$B$6:$B$305,0),MATCH(TEXT($C70,"0"),銘柄管理!$B$6:$B$305,0))-1,0,1,25))-MIN(OFFSET(安値!$E$6,IFERROR(MATCH($C70,銘柄管理!$B$6:$B$305,0),MATCH(TEXT($C70,"0"),銘柄管理!$B$6:$B$305,0))-1,0,1,25)))/$E70*100,"")</f>
      </c>
      <c r="BC70">
        <f>IFERROR(($F70-$G70)/$G70*100,"")</f>
      </c>
      <c r="BD70">
        <f>IFERROR(($E70-MAX(OFFSET(高値!$E$6,IFERROR(MATCH($C70,銘柄管理!$B$6:$B$305,0),MATCH(TEXT($C70,"0"),銘柄管理!$B$6:$B$305,0))-1,0,1,25)))/MAX(OFFSET(高値!$E$6,IFERROR(MATCH($C70,銘柄管理!$B$6:$B$305,0),MATCH(TEXT($C70,"0"),銘柄管理!$B$6:$B$305,0))-1,0,1,25))*100,"")</f>
      </c>
      <c r="BE70">
        <f>IFERROR(($H70-$I70)/$F70*100,"")</f>
      </c>
      <c r="BF70">
        <f>IFERROR(-(($BA70-AVERAGE($BA$3:$BA$206))/STDEV($BA$3:$BA$206))-(($BE70-AVERAGE($BE$3:$BE$206))/STDEV($BE$3:$BE$206))-(($BB70-AVERAGE($BB$3:$BB$206))/STDEV($BB$3:$BB$206))-(($Z70-AVERAGE($Z$3:$Z$206))/STDEV($Z$3:$Z$206))-(($BC70-AVERAGE($BC$3:$BC$206))/STDEV($BC$3:$BC$206)),"")</f>
      </c>
      <c r="BG70">
        <f>IF(OR($C70="",$C70="TOPX",$BA70="",$BF70=""),0,IF(AND($BK$10=1,$BA70&lt;=$BK$2,$BB70&lt;=$BK$3,$BC70&lt;=$BK$4,$Z70&lt;=$BK$5,$Z70&gt;=$BK$6,$BD70&gt;=$BK$7,$BE70&lt;=$BK$8),1,0))</f>
      </c>
      <c r="BH70">
        <f>IF($C70="","",IF($BG70=1,"○ゲート通過",IF($BK$10&lt;&gt;1,"― この方向は停止中",IF($BA70&gt;$BK$2,"×値動きが荒い",IF($BB70&gt;$BK$3,"×レンジが広い",IF($BC70&gt;$BK$4,"×窓を開けて上昇",IF($Z70&gt;$BK$5,"×前日に急騰",IF($Z70&lt;$BK$6,"×前日に急落",IF($BD70&lt;$BK$7,"×高値から離れすぎ",IF($BE70&gt;$BK$8,"×当日の値幅が大きい","×")))))))))</f>
      </c>
    </row>
    <row r="71" spans="1:60"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IF(AND(E71&lt;&gt;"",K71&lt;&gt;"",K71&lt;&gt;0),(E71-K71)/K71*100,"")</f>
        <v>-57.781954887218049</v>
      </c>
      <c r="M71" s="166">
        <f>IF(C71&lt;&gt;"",IFERROR(AVERAGE(出来高!E149:I149),""),"")</f>
        <v>11600</v>
      </c>
      <c r="N71" s="166">
        <f>IF(C71&lt;&gt;"",IFERROR(AVERAGE(出来高!E149:AC149),""),"")</f>
        <v>11600</v>
      </c>
      <c r="O71" s="168">
        <f>IF(AND(J71&lt;&gt;"",M71&lt;&gt;"",M71&lt;&gt;0),J71/M71,"")</f>
        <v>0.80172413793103448</v>
      </c>
      <c r="P71" s="163" t="str">
        <f>IF(O71="","",IF(O71&gt;=2,"急増↑↑",IF(O71&gt;=1.5,"増加↑",IF(O71&gt;=1,"普通→","減少↓"))))</f>
        <v>減少↓</v>
      </c>
      <c r="Q71" s="163" t="str">
        <f>IF(E71="","",IF(AND(E71&gt;G71,O71&gt;=1.5),"買い▲",IF(E71&lt;G71,"様子見▼","中立→")))</f>
        <v>様子見▼</v>
      </c>
      <c r="R71" s="166">
        <f>IF(E71&lt;&gt;"",ROUND(E71*1.08,0),"")</f>
        <v>1213</v>
      </c>
      <c r="S71" s="166">
        <f>IF(E71&lt;&gt;"",ROUND(E71*0.96,0),"")</f>
        <v>1078</v>
      </c>
      <c r="T71" s="163">
        <f>IF(C71="","",IFERROR(IF(O71&gt;=2,3,IF(O71&gt;=1.5,2,IF(O71&gt;=1,1,0)))+IF(E71&gt;G71,1,0)+IF(L71&gt;=-5,1,0)+IF(Q71="買い▲",2,0)+IF(W71&lt;=30,3,IF(W71&lt;=40,2,IF(AND(W71&gt;=40,W71&lt;=60),1,0)))+IF(X71&gt;0,1,0)+IF(V71="年初来高値更新●",3,IF(V71="高値圏",2,0))+IF(AD71="パーフェクト▲",3,IF(AD71="上昇トレンド▲",2,0))+IF(AE71="25日線押し目●",2,IF(AE71="5日線押し目○",1,0))+IF(P71="急増↑↑",2,IF(P71="増加↑",1,0))+N(AI71),0))</f>
        <v>2</v>
      </c>
      <c r="U71" s="163" t="str">
        <f>IF(T71="","",IF(AND(T71&gt;=3,O71&gt;=1.5),"有効",IF(T71&gt;=3,"要確認","除外")))</f>
        <v>除外</v>
      </c>
      <c r="V71" s="163" t="str">
        <f>IF(AND(H71&lt;&gt;"",K71&lt;&gt;""),IF(H71&gt;=K71,"年初来高値更新●",IF(H71&gt;=K71*0.95,"高値圏","通常")),"")</f>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IF(AND(E71&lt;&gt;"",G71&lt;&gt;"",G71&lt;&gt;0),(E71-G71)/G71*100,"")</f>
        <v>-3.8527397260273974</v>
      </c>
      <c r="AA71" s="163" t="str">
        <f>IF(OR(C71="",E71="",E71=0),"",IF(E71&gt;G71,"上昇▲",IF(E71&lt;G71,"下落▼","横ばい→")))</f>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IF(OR(C71="",AB71="",AC71=""),"",IF(AND(E71&gt;AB71,AB71&gt;AC71),"パーフェクト▲",IF(E71&gt;AC71,"上昇トレンド▲",IF(AND(E71&lt;AB71,AB71&lt;AC71),"下降トレンド▼","もみ合い→"))))</f>
        <v>下降トレンド▼</v>
      </c>
      <c r="AE71" s="406" t="str">
        <f>IF(OR(C71="",AB71="",AC71=""),"",IF(AND(ABS(E71-AC71)/AC71&lt;=0.02,E71&gt;AC71),"25日押し目★",IF(AND(ABS(E71-AB71)/AB71&lt;=0.01,E71&gt;AB71),"5日押し目○","なし")))</f>
        <v>なし</v>
      </c>
      <c r="AF71" s="365" t="str">
        <f t="array" ref="AF71">IF(C71="","",IFERROR((INDEX(終値!$E:$E,MATCH(TEXT(C71,"0"),終値!$A:$A,0))-INDEX(終値!$E:$CZ,MATCH(TEXT(C71,"0"),終値!$A:$A,0),$AL$2))/INDEX(終値!$E:$CZ,MATCH(TEXT(C71,"0"),終値!$A:$A,0),$AL$2)*100,""))</f>
        <v/>
      </c>
      <c r="AG71" s="365">
        <f t="array" ref="AG71">IFERROR((終値!$E$5-INDEX(終値!$E$5:$IT$5,1,$AL$2))/INDEX(終値!$E$5:$IT$5,1,$AL$2)*100,"")</f>
        <v>1.0179378228534113</v>
      </c>
      <c r="AH71" s="366" t="str">
        <f>IF(OR(AF71="",AG71=""),"",AF71-AG71)</f>
        <v/>
      </c>
      <c r="AI71" s="364" t="str">
        <f>IF(AH71="","",IF(AH71&gt;5,3,IF(AH71&gt;0,1,IF(AH71&gt;-3,-1,-2))))</f>
        <v/>
      </c>
      <c r="BA71">
        <f>IFERROR((SUM(OFFSET(高値!$E$6,IFERROR(MATCH($C71,銘柄管理!$B$6:$B$305,0),MATCH(TEXT($C71,"0"),銘柄管理!$B$6:$B$305,0))-1,0,1,14))-SUM(OFFSET(安値!$E$6,IFERROR(MATCH($C71,銘柄管理!$B$6:$B$305,0),MATCH(TEXT($C71,"0"),銘柄管理!$B$6:$B$305,0))-1,0,1,14)))/SUM(OFFSET(終値!$E$6,IFERROR(MATCH($C71,銘柄管理!$B$6:$B$305,0),MATCH(TEXT($C71,"0"),銘柄管理!$B$6:$B$305,0))-1,0,1,14))*100,"")</f>
      </c>
      <c r="BB71">
        <f>IFERROR((MAX(OFFSET(高値!$E$6,IFERROR(MATCH($C71,銘柄管理!$B$6:$B$305,0),MATCH(TEXT($C71,"0"),銘柄管理!$B$6:$B$305,0))-1,0,1,25))-MIN(OFFSET(安値!$E$6,IFERROR(MATCH($C71,銘柄管理!$B$6:$B$305,0),MATCH(TEXT($C71,"0"),銘柄管理!$B$6:$B$305,0))-1,0,1,25)))/$E71*100,"")</f>
      </c>
      <c r="BC71">
        <f>IFERROR(($F71-$G71)/$G71*100,"")</f>
      </c>
      <c r="BD71">
        <f>IFERROR(($E71-MAX(OFFSET(高値!$E$6,IFERROR(MATCH($C71,銘柄管理!$B$6:$B$305,0),MATCH(TEXT($C71,"0"),銘柄管理!$B$6:$B$305,0))-1,0,1,25)))/MAX(OFFSET(高値!$E$6,IFERROR(MATCH($C71,銘柄管理!$B$6:$B$305,0),MATCH(TEXT($C71,"0"),銘柄管理!$B$6:$B$305,0))-1,0,1,25))*100,"")</f>
      </c>
      <c r="BE71">
        <f>IFERROR(($H71-$I71)/$F71*100,"")</f>
      </c>
      <c r="BF71">
        <f>IFERROR(-(($BA71-AVERAGE($BA$3:$BA$206))/STDEV($BA$3:$BA$206))-(($BE71-AVERAGE($BE$3:$BE$206))/STDEV($BE$3:$BE$206))-(($BB71-AVERAGE($BB$3:$BB$206))/STDEV($BB$3:$BB$206))-(($Z71-AVERAGE($Z$3:$Z$206))/STDEV($Z$3:$Z$206))-(($BC71-AVERAGE($BC$3:$BC$206))/STDEV($BC$3:$BC$206)),"")</f>
      </c>
      <c r="BG71">
        <f>IF(OR($C71="",$C71="TOPX",$BA71="",$BF71=""),0,IF(AND($BK$10=1,$BA71&lt;=$BK$2,$BB71&lt;=$BK$3,$BC71&lt;=$BK$4,$Z71&lt;=$BK$5,$Z71&gt;=$BK$6,$BD71&gt;=$BK$7,$BE71&lt;=$BK$8),1,0))</f>
      </c>
      <c r="BH71">
        <f>IF($C71="","",IF($BG71=1,"○ゲート通過",IF($BK$10&lt;&gt;1,"― この方向は停止中",IF($BA71&gt;$BK$2,"×値動きが荒い",IF($BB71&gt;$BK$3,"×レンジが広い",IF($BC71&gt;$BK$4,"×窓を開けて上昇",IF($Z71&gt;$BK$5,"×前日に急騰",IF($Z71&lt;$BK$6,"×前日に急落",IF($BD71&lt;$BK$7,"×高値から離れすぎ",IF($BE71&gt;$BK$8,"×当日の値幅が大きい","×")))))))))</f>
      </c>
    </row>
    <row r="72" spans="1:60"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IF(AND(E72&lt;&gt;"",K72&lt;&gt;"",K72&lt;&gt;0),(E72-K72)/K72*100,"")</f>
        <v>-3.6967418546365911</v>
      </c>
      <c r="M72" s="166">
        <f>IF(C72&lt;&gt;"",IFERROR(AVERAGE(出来高!E177:I177),""),"")</f>
        <v>553600</v>
      </c>
      <c r="N72" s="166">
        <f>IF(C72&lt;&gt;"",IFERROR(AVERAGE(出来高!E177:AC177),""),"")</f>
        <v>553600</v>
      </c>
      <c r="O72" s="168">
        <f>IF(AND(J72&lt;&gt;"",M72&lt;&gt;"",M72&lt;&gt;0),J72/M72,"")</f>
        <v>0.82351878612716767</v>
      </c>
      <c r="P72" s="163" t="str">
        <f>IF(O72="","",IF(O72&gt;=2,"急増↑↑",IF(O72&gt;=1.5,"増加↑",IF(O72&gt;=1,"普通→","減少↓"))))</f>
        <v>減少↓</v>
      </c>
      <c r="Q72" s="163" t="str">
        <f>IF(E72="","",IF(AND(E72&gt;G72,O72&gt;=1.5),"買い▲",IF(E72&lt;G72,"様子見▼","中立→")))</f>
        <v>中立→</v>
      </c>
      <c r="R72" s="166">
        <f>IF(E72&lt;&gt;"",ROUND(E72*1.08,0),"")</f>
        <v>1660</v>
      </c>
      <c r="S72" s="166">
        <f>IF(E72&lt;&gt;"",ROUND(E72*0.96,0),"")</f>
        <v>1476</v>
      </c>
      <c r="T72" s="163">
        <f>IF(C72="","",IFERROR(IF(O72&gt;=2,3,IF(O72&gt;=1.5,2,IF(O72&gt;=1,1,0)))+IF(E72&gt;G72,1,0)+IF(L72&gt;=-5,1,0)+IF(Q72="買い▲",2,0)+IF(W72&lt;=30,3,IF(W72&lt;=40,2,IF(AND(W72&gt;=40,W72&lt;=60),1,0)))+IF(X72&gt;0,1,0)+IF(V72="年初来高値更新●",3,IF(V72="高値圏",2,0))+IF(AD72="パーフェクト▲",3,IF(AD72="上昇トレンド▲",2,0))+IF(AE72="25日線押し目●",2,IF(AE72="5日線押し目○",1,0))+IF(P72="急増↑↑",2,IF(P72="増加↑",1,0))+N(AI72),0))</f>
        <v>6</v>
      </c>
      <c r="U72" s="163" t="str">
        <f>IF(T72="","",IF(AND(T72&gt;=3,O72&gt;=1.5),"有効",IF(T72&gt;=3,"要確認","除外")))</f>
        <v>要確認</v>
      </c>
      <c r="V72" s="163" t="str">
        <f>IF(AND(H72&lt;&gt;"",K72&lt;&gt;""),IF(H72&gt;=K72,"年初来高値更新●",IF(H72&gt;=K72*0.95,"高値圏","通常")),"")</f>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IF(AND(E72&lt;&gt;"",G72&lt;&gt;"",G72&lt;&gt;0),(E72-G72)/G72*100,"")</f>
        <v>0.52321778940483976</v>
      </c>
      <c r="AA72" s="163" t="str">
        <f>IF(OR(C72="",E72="",E72=0),"",IF(E72&gt;G72,"上昇▲",IF(E72&lt;G72,"下落▼","横ばい→")))</f>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IF(OR(C72="",AB72="",AC72=""),"",IF(AND(E72&gt;AB72,AB72&gt;AC72),"パーフェクト▲",IF(E72&gt;AC72,"上昇トレンド▲",IF(AND(E72&lt;AB72,AB72&lt;AC72),"下降トレンド▼","もみ合い→"))))</f>
        <v>もみ合い→</v>
      </c>
      <c r="AE72" s="404" t="str">
        <f>IF(OR(C72="",AB72="",AC72=""),"",IF(AND(ABS(E72-AC72)/AC72&lt;=0.02,E72&gt;AC72),"25日押し目★",IF(AND(ABS(E72-AB72)/AB72&lt;=0.01,E72&gt;AB72),"5日押し目○","なし")))</f>
        <v>なし</v>
      </c>
      <c r="AF72" s="365" t="str">
        <f t="array" ref="AF72">IF(C72="","",IFERROR((INDEX(終値!$E:$E,MATCH(TEXT(C72,"0"),終値!$A:$A,0))-INDEX(終値!$E:$CZ,MATCH(TEXT(C72,"0"),終値!$A:$A,0),$AL$2))/INDEX(終値!$E:$CZ,MATCH(TEXT(C72,"0"),終値!$A:$A,0),$AL$2)*100,""))</f>
        <v/>
      </c>
      <c r="AG72" s="365">
        <f t="array" ref="AG72">IFERROR((終値!$E$5-INDEX(終値!$E$5:$IT$5,1,$AL$2))/INDEX(終値!$E$5:$IT$5,1,$AL$2)*100,"")</f>
        <v>1.0179378228534113</v>
      </c>
      <c r="AH72" s="366" t="str">
        <f>IF(OR(AF72="",AG72=""),"",AF72-AG72)</f>
        <v/>
      </c>
      <c r="AI72" s="364" t="str">
        <f>IF(AH72="","",IF(AH72&gt;5,3,IF(AH72&gt;0,1,IF(AH72&gt;-3,-1,-2))))</f>
        <v/>
      </c>
      <c r="BA72">
        <f>IFERROR((SUM(OFFSET(高値!$E$6,IFERROR(MATCH($C72,銘柄管理!$B$6:$B$305,0),MATCH(TEXT($C72,"0"),銘柄管理!$B$6:$B$305,0))-1,0,1,14))-SUM(OFFSET(安値!$E$6,IFERROR(MATCH($C72,銘柄管理!$B$6:$B$305,0),MATCH(TEXT($C72,"0"),銘柄管理!$B$6:$B$305,0))-1,0,1,14)))/SUM(OFFSET(終値!$E$6,IFERROR(MATCH($C72,銘柄管理!$B$6:$B$305,0),MATCH(TEXT($C72,"0"),銘柄管理!$B$6:$B$305,0))-1,0,1,14))*100,"")</f>
      </c>
      <c r="BB72">
        <f>IFERROR((MAX(OFFSET(高値!$E$6,IFERROR(MATCH($C72,銘柄管理!$B$6:$B$305,0),MATCH(TEXT($C72,"0"),銘柄管理!$B$6:$B$305,0))-1,0,1,25))-MIN(OFFSET(安値!$E$6,IFERROR(MATCH($C72,銘柄管理!$B$6:$B$305,0),MATCH(TEXT($C72,"0"),銘柄管理!$B$6:$B$305,0))-1,0,1,25)))/$E72*100,"")</f>
      </c>
      <c r="BC72">
        <f>IFERROR(($F72-$G72)/$G72*100,"")</f>
      </c>
      <c r="BD72">
        <f>IFERROR(($E72-MAX(OFFSET(高値!$E$6,IFERROR(MATCH($C72,銘柄管理!$B$6:$B$305,0),MATCH(TEXT($C72,"0"),銘柄管理!$B$6:$B$305,0))-1,0,1,25)))/MAX(OFFSET(高値!$E$6,IFERROR(MATCH($C72,銘柄管理!$B$6:$B$305,0),MATCH(TEXT($C72,"0"),銘柄管理!$B$6:$B$305,0))-1,0,1,25))*100,"")</f>
      </c>
      <c r="BE72">
        <f>IFERROR(($H72-$I72)/$F72*100,"")</f>
      </c>
      <c r="BF72">
        <f>IFERROR(-(($BA72-AVERAGE($BA$3:$BA$206))/STDEV($BA$3:$BA$206))-(($BE72-AVERAGE($BE$3:$BE$206))/STDEV($BE$3:$BE$206))-(($BB72-AVERAGE($BB$3:$BB$206))/STDEV($BB$3:$BB$206))-(($Z72-AVERAGE($Z$3:$Z$206))/STDEV($Z$3:$Z$206))-(($BC72-AVERAGE($BC$3:$BC$206))/STDEV($BC$3:$BC$206)),"")</f>
      </c>
      <c r="BG72">
        <f>IF(OR($C72="",$C72="TOPX",$BA72="",$BF72=""),0,IF(AND($BK$10=1,$BA72&lt;=$BK$2,$BB72&lt;=$BK$3,$BC72&lt;=$BK$4,$Z72&lt;=$BK$5,$Z72&gt;=$BK$6,$BD72&gt;=$BK$7,$BE72&lt;=$BK$8),1,0))</f>
      </c>
      <c r="BH72">
        <f>IF($C72="","",IF($BG72=1,"○ゲート通過",IF($BK$10&lt;&gt;1,"― この方向は停止中",IF($BA72&gt;$BK$2,"×値動きが荒い",IF($BB72&gt;$BK$3,"×レンジが広い",IF($BC72&gt;$BK$4,"×窓を開けて上昇",IF($Z72&gt;$BK$5,"×前日に急騰",IF($Z72&lt;$BK$6,"×前日に急落",IF($BD72&lt;$BK$7,"×高値から離れすぎ",IF($BE72&gt;$BK$8,"×当日の値幅が大きい","×")))))))))</f>
      </c>
    </row>
    <row r="73" spans="1:60"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IF(AND(E73&lt;&gt;"",K73&lt;&gt;"",K73&lt;&gt;0),(E73-K73)/K73*100,"")</f>
        <v>-25.412499999999998</v>
      </c>
      <c r="M73" s="166">
        <f>IF(C73&lt;&gt;"",IFERROR(AVERAGE(出来高!E77:I77),""),"")</f>
        <v>46197340</v>
      </c>
      <c r="N73" s="166">
        <f>IF(C73&lt;&gt;"",IFERROR(AVERAGE(出来高!E77:AC77),""),"")</f>
        <v>34860832</v>
      </c>
      <c r="O73" s="168">
        <f>IF(AND(J73&lt;&gt;"",M73&lt;&gt;"",M73&lt;&gt;0),J73/M73,"")</f>
        <v>0.69202902158435964</v>
      </c>
      <c r="P73" s="163" t="str">
        <f>IF(O73="","",IF(O73&gt;=2,"急増↑↑",IF(O73&gt;=1.5,"増加↑",IF(O73&gt;=1,"普通→","減少↓"))))</f>
        <v>減少↓</v>
      </c>
      <c r="Q73" s="163" t="str">
        <f>IF(E73="","",IF(AND(E73&gt;G73,O73&gt;=1.5),"買い▲",IF(E73&lt;G73,"様子見▼","中立→")))</f>
        <v>中立→</v>
      </c>
      <c r="R73" s="166">
        <f>IF(E73&lt;&gt;"",ROUND(E73*1.08,0),"")</f>
        <v>3222</v>
      </c>
      <c r="S73" s="166">
        <f>IF(E73&lt;&gt;"",ROUND(E73*0.96,0),"")</f>
        <v>2864</v>
      </c>
      <c r="T73" s="163">
        <f>IF(C73="","",IFERROR(IF(O73&gt;=2,3,IF(O73&gt;=1.5,2,IF(O73&gt;=1,1,0)))+IF(E73&gt;G73,1,0)+IF(L73&gt;=-5,1,0)+IF(Q73="買い▲",2,0)+IF(W73&lt;=30,3,IF(W73&lt;=40,2,IF(AND(W73&gt;=40,W73&lt;=60),1,0)))+IF(X73&gt;0,1,0)+IF(V73="年初来高値更新●",3,IF(V73="高値圏",2,0))+IF(AD73="パーフェクト▲",3,IF(AD73="上昇トレンド▲",2,0))+IF(AE73="25日線押し目●",2,IF(AE73="5日線押し目○",1,0))+IF(P73="急増↑↑",2,IF(P73="増加↑",1,0))+N(AI73),0))</f>
        <v>9</v>
      </c>
      <c r="U73" s="163" t="str">
        <f>IF(T73="","",IF(AND(T73&gt;=3,O73&gt;=1.5),"有効",IF(T73&gt;=3,"要確認","除外")))</f>
        <v>要確認</v>
      </c>
      <c r="V73" s="163" t="str">
        <f>IF(AND(H73&lt;&gt;"",K73&lt;&gt;""),IF(H73&gt;=K73,"年初来高値更新●",IF(H73&gt;=K73*0.95,"高値圏","通常")),"")</f>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IF(AND(E73&lt;&gt;"",G73&lt;&gt;"",G73&lt;&gt;0),(E73-G73)/G73*100,"")</f>
        <v>2.3674729799279466</v>
      </c>
      <c r="AA73" s="163" t="str">
        <f>IF(OR(C73="",E73="",E73=0),"",IF(E73&gt;G73,"上昇▲",IF(E73&lt;G73,"下落▼","横ばい→")))</f>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IF(OR(C73="",AB73="",AC73=""),"",IF(AND(E73&gt;AB73,AB73&gt;AC73),"パーフェクト▲",IF(E73&gt;AC73,"上昇トレンド▲",IF(AND(E73&lt;AB73,AB73&lt;AC73),"下降トレンド▼","もみ合い→"))))</f>
        <v>パーフェクト▲</v>
      </c>
      <c r="AE73" s="406" t="str">
        <f>IF(OR(C73="",AB73="",AC73=""),"",IF(AND(ABS(E73-AC73)/AC73&lt;=0.02,E73&gt;AC73),"25日押し目★",IF(AND(ABS(E73-AB73)/AB73&lt;=0.01,E73&gt;AB73),"5日押し目○","なし")))</f>
        <v>なし</v>
      </c>
      <c r="AF73" s="365">
        <f t="array" ref="AF73">IF(C73="","",IFERROR((INDEX(終値!$E:$E,MATCH(TEXT(C73,"0"),終値!$A:$A,0))-INDEX(終値!$E:$CZ,MATCH(TEXT(C73,"0"),終値!$A:$A,0),$AL$2))/INDEX(終値!$E:$CZ,MATCH(TEXT(C73,"0"),終値!$A:$A,0),$AL$2)*100,""))</f>
        <v>9.5063314369609095</v>
      </c>
      <c r="AG73" s="365">
        <f t="array" ref="AG73">IFERROR((終値!$E$5-INDEX(終値!$E$5:$IT$5,1,$AL$2))/INDEX(終値!$E$5:$IT$5,1,$AL$2)*100,"")</f>
        <v>1.0179378228534113</v>
      </c>
      <c r="AH73" s="366">
        <f>IF(OR(AF73="",AG73=""),"",AF73-AG73)</f>
        <v>8.4883936141074976</v>
      </c>
      <c r="AI73" s="364">
        <f>IF(AH73="","",IF(AH73&gt;5,3,IF(AH73&gt;0,1,IF(AH73&gt;-3,-1,-2))))</f>
        <v>3</v>
      </c>
      <c r="BA73">
        <f>IFERROR((SUM(OFFSET(高値!$E$6,IFERROR(MATCH($C73,銘柄管理!$B$6:$B$305,0),MATCH(TEXT($C73,"0"),銘柄管理!$B$6:$B$305,0))-1,0,1,14))-SUM(OFFSET(安値!$E$6,IFERROR(MATCH($C73,銘柄管理!$B$6:$B$305,0),MATCH(TEXT($C73,"0"),銘柄管理!$B$6:$B$305,0))-1,0,1,14)))/SUM(OFFSET(終値!$E$6,IFERROR(MATCH($C73,銘柄管理!$B$6:$B$305,0),MATCH(TEXT($C73,"0"),銘柄管理!$B$6:$B$305,0))-1,0,1,14))*100,"")</f>
      </c>
      <c r="BB73">
        <f>IFERROR((MAX(OFFSET(高値!$E$6,IFERROR(MATCH($C73,銘柄管理!$B$6:$B$305,0),MATCH(TEXT($C73,"0"),銘柄管理!$B$6:$B$305,0))-1,0,1,25))-MIN(OFFSET(安値!$E$6,IFERROR(MATCH($C73,銘柄管理!$B$6:$B$305,0),MATCH(TEXT($C73,"0"),銘柄管理!$B$6:$B$305,0))-1,0,1,25)))/$E73*100,"")</f>
      </c>
      <c r="BC73">
        <f>IFERROR(($F73-$G73)/$G73*100,"")</f>
      </c>
      <c r="BD73">
        <f>IFERROR(($E73-MAX(OFFSET(高値!$E$6,IFERROR(MATCH($C73,銘柄管理!$B$6:$B$305,0),MATCH(TEXT($C73,"0"),銘柄管理!$B$6:$B$305,0))-1,0,1,25)))/MAX(OFFSET(高値!$E$6,IFERROR(MATCH($C73,銘柄管理!$B$6:$B$305,0),MATCH(TEXT($C73,"0"),銘柄管理!$B$6:$B$305,0))-1,0,1,25))*100,"")</f>
      </c>
      <c r="BE73">
        <f>IFERROR(($H73-$I73)/$F73*100,"")</f>
      </c>
      <c r="BF73">
        <f>IFERROR(-(($BA73-AVERAGE($BA$3:$BA$206))/STDEV($BA$3:$BA$206))-(($BE73-AVERAGE($BE$3:$BE$206))/STDEV($BE$3:$BE$206))-(($BB73-AVERAGE($BB$3:$BB$206))/STDEV($BB$3:$BB$206))-(($Z73-AVERAGE($Z$3:$Z$206))/STDEV($Z$3:$Z$206))-(($BC73-AVERAGE($BC$3:$BC$206))/STDEV($BC$3:$BC$206)),"")</f>
      </c>
      <c r="BG73">
        <f>IF(OR($C73="",$C73="TOPX",$BA73="",$BF73=""),0,IF(AND($BK$10=1,$BA73&lt;=$BK$2,$BB73&lt;=$BK$3,$BC73&lt;=$BK$4,$Z73&lt;=$BK$5,$Z73&gt;=$BK$6,$BD73&gt;=$BK$7,$BE73&lt;=$BK$8),1,0))</f>
      </c>
      <c r="BH73">
        <f>IF($C73="","",IF($BG73=1,"○ゲート通過",IF($BK$10&lt;&gt;1,"― この方向は停止中",IF($BA73&gt;$BK$2,"×値動きが荒い",IF($BB73&gt;$BK$3,"×レンジが広い",IF($BC73&gt;$BK$4,"×窓を開けて上昇",IF($Z73&gt;$BK$5,"×前日に急騰",IF($Z73&lt;$BK$6,"×前日に急落",IF($BD73&lt;$BK$7,"×高値から離れすぎ",IF($BE73&gt;$BK$8,"×当日の値幅が大きい","×")))))))))</f>
      </c>
    </row>
    <row r="74" spans="1:60"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IF(AND(E74&lt;&gt;"",K74&lt;&gt;"",K74&lt;&gt;0),(E74-K74)/K74*100,"")</f>
        <v>-6.7243867243867248</v>
      </c>
      <c r="M74" s="166">
        <f>IF(C74&lt;&gt;"",IFERROR(AVERAGE(出来高!E85:I85),""),"")</f>
        <v>7322700</v>
      </c>
      <c r="N74" s="166">
        <f>IF(C74&lt;&gt;"",IFERROR(AVERAGE(出来高!E85:AC85),""),"")</f>
        <v>6567544</v>
      </c>
      <c r="O74" s="168">
        <f>IF(AND(J74&lt;&gt;"",M74&lt;&gt;"",M74&lt;&gt;0),J74/M74,"")</f>
        <v>0.71427205812063854</v>
      </c>
      <c r="P74" s="163" t="str">
        <f>IF(O74="","",IF(O74&gt;=2,"急増↑↑",IF(O74&gt;=1.5,"増加↑",IF(O74&gt;=1,"普通→","減少↓"))))</f>
        <v>減少↓</v>
      </c>
      <c r="Q74" s="163" t="str">
        <f>IF(E74="","",IF(AND(E74&gt;G74,O74&gt;=1.5),"買い▲",IF(E74&lt;G74,"様子見▼","中立→")))</f>
        <v>中立→</v>
      </c>
      <c r="R74" s="166">
        <f>IF(E74&lt;&gt;"",ROUND(E74*1.08,0),"")</f>
        <v>3491</v>
      </c>
      <c r="S74" s="166">
        <f>IF(E74&lt;&gt;"",ROUND(E74*0.96,0),"")</f>
        <v>3103</v>
      </c>
      <c r="T74" s="163">
        <f>IF(C74="","",IFERROR(IF(O74&gt;=2,3,IF(O74&gt;=1.5,2,IF(O74&gt;=1,1,0)))+IF(E74&gt;G74,1,0)+IF(L74&gt;=-5,1,0)+IF(Q74="買い▲",2,0)+IF(W74&lt;=30,3,IF(W74&lt;=40,2,IF(AND(W74&gt;=40,W74&lt;=60),1,0)))+IF(X74&gt;0,1,0)+IF(V74="年初来高値更新●",3,IF(V74="高値圏",2,0))+IF(AD74="パーフェクト▲",3,IF(AD74="上昇トレンド▲",2,0))+IF(AE74="25日線押し目●",2,IF(AE74="5日線押し目○",1,0))+IF(P74="急増↑↑",2,IF(P74="増加↑",1,0))+N(AI74),0))</f>
        <v>3</v>
      </c>
      <c r="U74" s="163" t="str">
        <f>IF(T74="","",IF(AND(T74&gt;=3,O74&gt;=1.5),"有効",IF(T74&gt;=3,"要確認","除外")))</f>
        <v>要確認</v>
      </c>
      <c r="V74" s="163" t="str">
        <f>IF(AND(H74&lt;&gt;"",K74&lt;&gt;""),IF(H74&gt;=K74,"年初来高値更新●",IF(H74&gt;=K74*0.95,"高値圏","通常")),"")</f>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IF(AND(E74&lt;&gt;"",G74&lt;&gt;"",G74&lt;&gt;0),(E74-G74)/G74*100,"")</f>
        <v>1</v>
      </c>
      <c r="AA74" s="163" t="str">
        <f>IF(OR(C74="",E74="",E74=0),"",IF(E74&gt;G74,"上昇▲",IF(E74&lt;G74,"下落▼","横ばい→")))</f>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IF(OR(C74="",AB74="",AC74=""),"",IF(AND(E74&gt;AB74,AB74&gt;AC74),"パーフェクト▲",IF(E74&gt;AC74,"上昇トレンド▲",IF(AND(E74&lt;AB74,AB74&lt;AC74),"下降トレンド▼","もみ合い→"))))</f>
        <v>下降トレンド▼</v>
      </c>
      <c r="AE74" s="404" t="str">
        <f>IF(OR(C74="",AB74="",AC74=""),"",IF(AND(ABS(E74-AC74)/AC74&lt;=0.02,E74&gt;AC74),"25日押し目★",IF(AND(ABS(E74-AB74)/AB74&lt;=0.01,E74&gt;AB74),"5日押し目○","なし")))</f>
        <v>なし</v>
      </c>
      <c r="AF74" s="365">
        <f t="array" ref="AF74">IF(C74="","",IFERROR((INDEX(終値!$E:$E,MATCH(TEXT(C74,"0"),終値!$A:$A,0))-INDEX(終値!$E:$CZ,MATCH(TEXT(C74,"0"),終値!$A:$A,0),$AL$2))/INDEX(終値!$E:$CZ,MATCH(TEXT(C74,"0"),終値!$A:$A,0),$AL$2)*100,""))</f>
        <v>4.697116942014901</v>
      </c>
      <c r="AG74" s="365">
        <f t="array" ref="AG74">IFERROR((終値!$E$5-INDEX(終値!$E$5:$IT$5,1,$AL$2))/INDEX(終値!$E$5:$IT$5,1,$AL$2)*100,"")</f>
        <v>1.0179378228534113</v>
      </c>
      <c r="AH74" s="366">
        <f>IF(OR(AF74="",AG74=""),"",AF74-AG74)</f>
        <v>3.67917911916149</v>
      </c>
      <c r="AI74" s="364">
        <f>IF(AH74="","",IF(AH74&gt;5,3,IF(AH74&gt;0,1,IF(AH74&gt;-3,-1,-2))))</f>
        <v>1</v>
      </c>
      <c r="BA74">
        <f>IFERROR((SUM(OFFSET(高値!$E$6,IFERROR(MATCH($C74,銘柄管理!$B$6:$B$305,0),MATCH(TEXT($C74,"0"),銘柄管理!$B$6:$B$305,0))-1,0,1,14))-SUM(OFFSET(安値!$E$6,IFERROR(MATCH($C74,銘柄管理!$B$6:$B$305,0),MATCH(TEXT($C74,"0"),銘柄管理!$B$6:$B$305,0))-1,0,1,14)))/SUM(OFFSET(終値!$E$6,IFERROR(MATCH($C74,銘柄管理!$B$6:$B$305,0),MATCH(TEXT($C74,"0"),銘柄管理!$B$6:$B$305,0))-1,0,1,14))*100,"")</f>
      </c>
      <c r="BB74">
        <f>IFERROR((MAX(OFFSET(高値!$E$6,IFERROR(MATCH($C74,銘柄管理!$B$6:$B$305,0),MATCH(TEXT($C74,"0"),銘柄管理!$B$6:$B$305,0))-1,0,1,25))-MIN(OFFSET(安値!$E$6,IFERROR(MATCH($C74,銘柄管理!$B$6:$B$305,0),MATCH(TEXT($C74,"0"),銘柄管理!$B$6:$B$305,0))-1,0,1,25)))/$E74*100,"")</f>
      </c>
      <c r="BC74">
        <f>IFERROR(($F74-$G74)/$G74*100,"")</f>
      </c>
      <c r="BD74">
        <f>IFERROR(($E74-MAX(OFFSET(高値!$E$6,IFERROR(MATCH($C74,銘柄管理!$B$6:$B$305,0),MATCH(TEXT($C74,"0"),銘柄管理!$B$6:$B$305,0))-1,0,1,25)))/MAX(OFFSET(高値!$E$6,IFERROR(MATCH($C74,銘柄管理!$B$6:$B$305,0),MATCH(TEXT($C74,"0"),銘柄管理!$B$6:$B$305,0))-1,0,1,25))*100,"")</f>
      </c>
      <c r="BE74">
        <f>IFERROR(($H74-$I74)/$F74*100,"")</f>
      </c>
      <c r="BF74">
        <f>IFERROR(-(($BA74-AVERAGE($BA$3:$BA$206))/STDEV($BA$3:$BA$206))-(($BE74-AVERAGE($BE$3:$BE$206))/STDEV($BE$3:$BE$206))-(($BB74-AVERAGE($BB$3:$BB$206))/STDEV($BB$3:$BB$206))-(($Z74-AVERAGE($Z$3:$Z$206))/STDEV($Z$3:$Z$206))-(($BC74-AVERAGE($BC$3:$BC$206))/STDEV($BC$3:$BC$206)),"")</f>
      </c>
      <c r="BG74">
        <f>IF(OR($C74="",$C74="TOPX",$BA74="",$BF74=""),0,IF(AND($BK$10=1,$BA74&lt;=$BK$2,$BB74&lt;=$BK$3,$BC74&lt;=$BK$4,$Z74&lt;=$BK$5,$Z74&gt;=$BK$6,$BD74&gt;=$BK$7,$BE74&lt;=$BK$8),1,0))</f>
      </c>
      <c r="BH74">
        <f>IF($C74="","",IF($BG74=1,"○ゲート通過",IF($BK$10&lt;&gt;1,"― この方向は停止中",IF($BA74&gt;$BK$2,"×値動きが荒い",IF($BB74&gt;$BK$3,"×レンジが広い",IF($BC74&gt;$BK$4,"×窓を開けて上昇",IF($Z74&gt;$BK$5,"×前日に急騰",IF($Z74&lt;$BK$6,"×前日に急落",IF($BD74&lt;$BK$7,"×高値から離れすぎ",IF($BE74&gt;$BK$8,"×当日の値幅が大きい","×")))))))))</f>
      </c>
    </row>
    <row r="75" spans="1:60"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IF(AND(E75&lt;&gt;"",K75&lt;&gt;"",K75&lt;&gt;0),(E75-K75)/K75*100,"")</f>
        <v>2.6805424156417534</v>
      </c>
      <c r="M75" s="166">
        <f>IF(C75&lt;&gt;"",IFERROR(AVERAGE(出来高!E82:I82),""),"")</f>
        <v>3550420</v>
      </c>
      <c r="N75" s="166">
        <f>IF(C75&lt;&gt;"",IFERROR(AVERAGE(出来高!E82:AC82),""),"")</f>
        <v>3110808</v>
      </c>
      <c r="O75" s="168">
        <f>IF(AND(J75&lt;&gt;"",M75&lt;&gt;"",M75&lt;&gt;0),J75/M75,"")</f>
        <v>1.3438973417229512</v>
      </c>
      <c r="P75" s="163" t="str">
        <f>IF(O75="","",IF(O75&gt;=2,"急増↑↑",IF(O75&gt;=1.5,"増加↑",IF(O75&gt;=1,"普通→","減少↓"))))</f>
        <v>普通→</v>
      </c>
      <c r="Q75" s="163" t="str">
        <f>IF(E75="","",IF(AND(E75&gt;G75,O75&gt;=1.5),"買い▲",IF(E75&lt;G75,"様子見▼","中立→")))</f>
        <v>中立→</v>
      </c>
      <c r="R75" s="166">
        <f>IF(E75&lt;&gt;"",ROUND(E75*1.08,0),"")</f>
        <v>1758</v>
      </c>
      <c r="S75" s="166">
        <f>IF(E75&lt;&gt;"",ROUND(E75*0.96,0),"")</f>
        <v>1563</v>
      </c>
      <c r="T75" s="163">
        <f>IF(C75="","",IFERROR(IF(O75&gt;=2,3,IF(O75&gt;=1.5,2,IF(O75&gt;=1,1,0)))+IF(E75&gt;G75,1,0)+IF(L75&gt;=-5,1,0)+IF(Q75="買い▲",2,0)+IF(W75&lt;=30,3,IF(W75&lt;=40,2,IF(AND(W75&gt;=40,W75&lt;=60),1,0)))+IF(X75&gt;0,1,0)+IF(V75="年初来高値更新●",3,IF(V75="高値圏",2,0))+IF(AD75="パーフェクト▲",3,IF(AD75="上昇トレンド▲",2,0))+IF(AE75="25日線押し目●",2,IF(AE75="5日線押し目○",1,0))+IF(P75="急増↑↑",2,IF(P75="増加↑",1,0))+N(AI75),0))</f>
        <v>11</v>
      </c>
      <c r="U75" s="163" t="str">
        <f>IF(T75="","",IF(AND(T75&gt;=3,O75&gt;=1.5),"有効",IF(T75&gt;=3,"要確認","除外")))</f>
        <v>要確認</v>
      </c>
      <c r="V75" s="163" t="str">
        <f>IF(AND(H75&lt;&gt;"",K75&lt;&gt;""),IF(H75&gt;=K75,"年初来高値更新●",IF(H75&gt;=K75*0.95,"高値圏","通常")),"")</f>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IF(AND(E75&lt;&gt;"",G75&lt;&gt;"",G75&lt;&gt;0),(E75-G75)/G75*100,"")</f>
        <v>6.9645203679369247</v>
      </c>
      <c r="AA75" s="163" t="str">
        <f>IF(OR(C75="",E75="",E75=0),"",IF(E75&gt;G75,"上昇▲",IF(E75&lt;G75,"下落▼","横ばい→")))</f>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IF(OR(C75="",AB75="",AC75=""),"",IF(AND(E75&gt;AB75,AB75&gt;AC75),"パーフェクト▲",IF(E75&gt;AC75,"上昇トレンド▲",IF(AND(E75&lt;AB75,AB75&lt;AC75),"下降トレンド▼","もみ合い→"))))</f>
        <v>もみ合い→</v>
      </c>
      <c r="AE75" s="406" t="str">
        <f>IF(OR(C75="",AB75="",AC75=""),"",IF(AND(ABS(E75-AC75)/AC75&lt;=0.02,E75&gt;AC75),"25日押し目★",IF(AND(ABS(E75-AB75)/AB75&lt;=0.01,E75&gt;AB75),"5日押し目○","なし")))</f>
        <v>なし</v>
      </c>
      <c r="AF75" s="365">
        <f t="array" ref="AF75">IF(C75="","",IFERROR((INDEX(終値!$E:$E,MATCH(TEXT(C75,"0"),終値!$A:$A,0))-INDEX(終値!$E:$CZ,MATCH(TEXT(C75,"0"),終値!$A:$A,0),$AL$2))/INDEX(終値!$E:$CZ,MATCH(TEXT(C75,"0"),終値!$A:$A,0),$AL$2)*100,""))</f>
        <v>13.726859937128886</v>
      </c>
      <c r="AG75" s="365">
        <f t="array" ref="AG75">IFERROR((終値!$E$5-INDEX(終値!$E$5:$IT$5,1,$AL$2))/INDEX(終値!$E$5:$IT$5,1,$AL$2)*100,"")</f>
        <v>1.0179378228534113</v>
      </c>
      <c r="AH75" s="366">
        <f>IF(OR(AF75="",AG75=""),"",AF75-AG75)</f>
        <v>12.708922114275474</v>
      </c>
      <c r="AI75" s="364">
        <f>IF(AH75="","",IF(AH75&gt;5,3,IF(AH75&gt;0,1,IF(AH75&gt;-3,-1,-2))))</f>
        <v>3</v>
      </c>
      <c r="BA75">
        <f>IFERROR((SUM(OFFSET(高値!$E$6,IFERROR(MATCH($C75,銘柄管理!$B$6:$B$305,0),MATCH(TEXT($C75,"0"),銘柄管理!$B$6:$B$305,0))-1,0,1,14))-SUM(OFFSET(安値!$E$6,IFERROR(MATCH($C75,銘柄管理!$B$6:$B$305,0),MATCH(TEXT($C75,"0"),銘柄管理!$B$6:$B$305,0))-1,0,1,14)))/SUM(OFFSET(終値!$E$6,IFERROR(MATCH($C75,銘柄管理!$B$6:$B$305,0),MATCH(TEXT($C75,"0"),銘柄管理!$B$6:$B$305,0))-1,0,1,14))*100,"")</f>
      </c>
      <c r="BB75">
        <f>IFERROR((MAX(OFFSET(高値!$E$6,IFERROR(MATCH($C75,銘柄管理!$B$6:$B$305,0),MATCH(TEXT($C75,"0"),銘柄管理!$B$6:$B$305,0))-1,0,1,25))-MIN(OFFSET(安値!$E$6,IFERROR(MATCH($C75,銘柄管理!$B$6:$B$305,0),MATCH(TEXT($C75,"0"),銘柄管理!$B$6:$B$305,0))-1,0,1,25)))/$E75*100,"")</f>
      </c>
      <c r="BC75">
        <f>IFERROR(($F75-$G75)/$G75*100,"")</f>
      </c>
      <c r="BD75">
        <f>IFERROR(($E75-MAX(OFFSET(高値!$E$6,IFERROR(MATCH($C75,銘柄管理!$B$6:$B$305,0),MATCH(TEXT($C75,"0"),銘柄管理!$B$6:$B$305,0))-1,0,1,25)))/MAX(OFFSET(高値!$E$6,IFERROR(MATCH($C75,銘柄管理!$B$6:$B$305,0),MATCH(TEXT($C75,"0"),銘柄管理!$B$6:$B$305,0))-1,0,1,25))*100,"")</f>
      </c>
      <c r="BE75">
        <f>IFERROR(($H75-$I75)/$F75*100,"")</f>
      </c>
      <c r="BF75">
        <f>IFERROR(-(($BA75-AVERAGE($BA$3:$BA$206))/STDEV($BA$3:$BA$206))-(($BE75-AVERAGE($BE$3:$BE$206))/STDEV($BE$3:$BE$206))-(($BB75-AVERAGE($BB$3:$BB$206))/STDEV($BB$3:$BB$206))-(($Z75-AVERAGE($Z$3:$Z$206))/STDEV($Z$3:$Z$206))-(($BC75-AVERAGE($BC$3:$BC$206))/STDEV($BC$3:$BC$206)),"")</f>
      </c>
      <c r="BG75">
        <f>IF(OR($C75="",$C75="TOPX",$BA75="",$BF75=""),0,IF(AND($BK$10=1,$BA75&lt;=$BK$2,$BB75&lt;=$BK$3,$BC75&lt;=$BK$4,$Z75&lt;=$BK$5,$Z75&gt;=$BK$6,$BD75&gt;=$BK$7,$BE75&lt;=$BK$8),1,0))</f>
      </c>
      <c r="BH75">
        <f>IF($C75="","",IF($BG75=1,"○ゲート通過",IF($BK$10&lt;&gt;1,"― この方向は停止中",IF($BA75&gt;$BK$2,"×値動きが荒い",IF($BB75&gt;$BK$3,"×レンジが広い",IF($BC75&gt;$BK$4,"×窓を開けて上昇",IF($Z75&gt;$BK$5,"×前日に急騰",IF($Z75&lt;$BK$6,"×前日に急落",IF($BD75&lt;$BK$7,"×高値から離れすぎ",IF($BE75&gt;$BK$8,"×当日の値幅が大きい","×")))))))))</f>
      </c>
    </row>
    <row r="76" spans="1:60"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IF(AND(E76&lt;&gt;"",K76&lt;&gt;"",K76&lt;&gt;0),(E76-K76)/K76*100,"")</f>
        <v>-17.723513194170934</v>
      </c>
      <c r="M76" s="166">
        <f>IF(C76&lt;&gt;"",IFERROR(AVERAGE(出来高!E106:I106),""),"")</f>
        <v>1480</v>
      </c>
      <c r="N76" s="166">
        <f>IF(C76&lt;&gt;"",IFERROR(AVERAGE(出来高!E106:AC106),""),"")</f>
        <v>1556</v>
      </c>
      <c r="O76" s="168">
        <f>IF(AND(J76&lt;&gt;"",M76&lt;&gt;"",M76&lt;&gt;0),J76/M76,"")</f>
        <v>0.94594594594594594</v>
      </c>
      <c r="P76" s="163" t="str">
        <f>IF(O76="","",IF(O76&gt;=2,"急増↑↑",IF(O76&gt;=1.5,"増加↑",IF(O76&gt;=1,"普通→","減少↓"))))</f>
        <v>減少↓</v>
      </c>
      <c r="Q76" s="163" t="str">
        <f>IF(E76="","",IF(AND(E76&gt;G76,O76&gt;=1.5),"買い▲",IF(E76&lt;G76,"様子見▼","中立→")))</f>
        <v>中立→</v>
      </c>
      <c r="R76" s="166">
        <f>IF(E76&lt;&gt;"",ROUND(E76*1.08,0),"")</f>
        <v>2256</v>
      </c>
      <c r="S76" s="166">
        <f>IF(E76&lt;&gt;"",ROUND(E76*0.96,0),"")</f>
        <v>2005</v>
      </c>
      <c r="T76" s="163">
        <f>IF(C76="","",IFERROR(IF(O76&gt;=2,3,IF(O76&gt;=1.5,2,IF(O76&gt;=1,1,0)))+IF(E76&gt;G76,1,0)+IF(L76&gt;=-5,1,0)+IF(Q76="買い▲",2,0)+IF(W76&lt;=30,3,IF(W76&lt;=40,2,IF(AND(W76&gt;=40,W76&lt;=60),1,0)))+IF(X76&gt;0,1,0)+IF(V76="年初来高値更新●",3,IF(V76="高値圏",2,0))+IF(AD76="パーフェクト▲",3,IF(AD76="上昇トレンド▲",2,0))+IF(AE76="25日線押し目●",2,IF(AE76="5日線押し目○",1,0))+IF(P76="急増↑↑",2,IF(P76="増加↑",1,0))+N(AI76),0))</f>
        <v>5</v>
      </c>
      <c r="U76" s="163" t="str">
        <f>IF(T76="","",IF(AND(T76&gt;=3,O76&gt;=1.5),"有効",IF(T76&gt;=3,"要確認","除外")))</f>
        <v>要確認</v>
      </c>
      <c r="V76" s="163" t="str">
        <f>IF(AND(H76&lt;&gt;"",K76&lt;&gt;""),IF(H76&gt;=K76,"年初来高値更新●",IF(H76&gt;=K76*0.95,"高値圏","通常")),"")</f>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IF(AND(E76&lt;&gt;"",G76&lt;&gt;"",G76&lt;&gt;0),(E76-G76)/G76*100,"")</f>
        <v>1.9024390243902438</v>
      </c>
      <c r="AA76" s="163" t="str">
        <f>IF(OR(C76="",E76="",E76=0),"",IF(E76&gt;G76,"上昇▲",IF(E76&lt;G76,"下落▼","横ばい→")))</f>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IF(OR(C76="",AB76="",AC76=""),"",IF(AND(E76&gt;AB76,AB76&gt;AC76),"パーフェクト▲",IF(E76&gt;AC76,"上昇トレンド▲",IF(AND(E76&lt;AB76,AB76&lt;AC76),"下降トレンド▼","もみ合い→"))))</f>
        <v>下降トレンド▼</v>
      </c>
      <c r="AE76" s="404" t="str">
        <f>IF(OR(C76="",AB76="",AC76=""),"",IF(AND(ABS(E76-AC76)/AC76&lt;=0.02,E76&gt;AC76),"25日押し目★",IF(AND(ABS(E76-AB76)/AB76&lt;=0.01,E76&gt;AB76),"5日押し目○","なし")))</f>
        <v>なし</v>
      </c>
      <c r="AF76" s="365">
        <f t="array" ref="AF76">IF(C76="","",IFERROR((INDEX(終値!$E:$E,MATCH(TEXT(C76,"0"),終値!$A:$A,0))-INDEX(終値!$E:$CZ,MATCH(TEXT(C76,"0"),終値!$A:$A,0),$AL$2))/INDEX(終値!$E:$CZ,MATCH(TEXT(C76,"0"),終値!$A:$A,0),$AL$2)*100,""))</f>
        <v>16.120066703724291</v>
      </c>
      <c r="AG76" s="365">
        <f t="array" ref="AG76">IFERROR((終値!$E$5-INDEX(終値!$E$5:$IT$5,1,$AL$2))/INDEX(終値!$E$5:$IT$5,1,$AL$2)*100,"")</f>
        <v>1.0179378228534113</v>
      </c>
      <c r="AH76" s="366">
        <f>IF(OR(AF76="",AG76=""),"",AF76-AG76)</f>
        <v>15.102128880870879</v>
      </c>
      <c r="AI76" s="364">
        <f>IF(AH76="","",IF(AH76&gt;5,3,IF(AH76&gt;0,1,IF(AH76&gt;-3,-1,-2))))</f>
        <v>3</v>
      </c>
      <c r="BA76">
        <f>IFERROR((SUM(OFFSET(高値!$E$6,IFERROR(MATCH($C76,銘柄管理!$B$6:$B$305,0),MATCH(TEXT($C76,"0"),銘柄管理!$B$6:$B$305,0))-1,0,1,14))-SUM(OFFSET(安値!$E$6,IFERROR(MATCH($C76,銘柄管理!$B$6:$B$305,0),MATCH(TEXT($C76,"0"),銘柄管理!$B$6:$B$305,0))-1,0,1,14)))/SUM(OFFSET(終値!$E$6,IFERROR(MATCH($C76,銘柄管理!$B$6:$B$305,0),MATCH(TEXT($C76,"0"),銘柄管理!$B$6:$B$305,0))-1,0,1,14))*100,"")</f>
      </c>
      <c r="BB76">
        <f>IFERROR((MAX(OFFSET(高値!$E$6,IFERROR(MATCH($C76,銘柄管理!$B$6:$B$305,0),MATCH(TEXT($C76,"0"),銘柄管理!$B$6:$B$305,0))-1,0,1,25))-MIN(OFFSET(安値!$E$6,IFERROR(MATCH($C76,銘柄管理!$B$6:$B$305,0),MATCH(TEXT($C76,"0"),銘柄管理!$B$6:$B$305,0))-1,0,1,25)))/$E76*100,"")</f>
      </c>
      <c r="BC76">
        <f>IFERROR(($F76-$G76)/$G76*100,"")</f>
      </c>
      <c r="BD76">
        <f>IFERROR(($E76-MAX(OFFSET(高値!$E$6,IFERROR(MATCH($C76,銘柄管理!$B$6:$B$305,0),MATCH(TEXT($C76,"0"),銘柄管理!$B$6:$B$305,0))-1,0,1,25)))/MAX(OFFSET(高値!$E$6,IFERROR(MATCH($C76,銘柄管理!$B$6:$B$305,0),MATCH(TEXT($C76,"0"),銘柄管理!$B$6:$B$305,0))-1,0,1,25))*100,"")</f>
      </c>
      <c r="BE76">
        <f>IFERROR(($H76-$I76)/$F76*100,"")</f>
      </c>
      <c r="BF76">
        <f>IFERROR(-(($BA76-AVERAGE($BA$3:$BA$206))/STDEV($BA$3:$BA$206))-(($BE76-AVERAGE($BE$3:$BE$206))/STDEV($BE$3:$BE$206))-(($BB76-AVERAGE($BB$3:$BB$206))/STDEV($BB$3:$BB$206))-(($Z76-AVERAGE($Z$3:$Z$206))/STDEV($Z$3:$Z$206))-(($BC76-AVERAGE($BC$3:$BC$206))/STDEV($BC$3:$BC$206)),"")</f>
      </c>
      <c r="BG76">
        <f>IF(OR($C76="",$C76="TOPX",$BA76="",$BF76=""),0,IF(AND($BK$10=1,$BA76&lt;=$BK$2,$BB76&lt;=$BK$3,$BC76&lt;=$BK$4,$Z76&lt;=$BK$5,$Z76&gt;=$BK$6,$BD76&gt;=$BK$7,$BE76&lt;=$BK$8),1,0))</f>
      </c>
      <c r="BH76">
        <f>IF($C76="","",IF($BG76=1,"○ゲート通過",IF($BK$10&lt;&gt;1,"― この方向は停止中",IF($BA76&gt;$BK$2,"×値動きが荒い",IF($BB76&gt;$BK$3,"×レンジが広い",IF($BC76&gt;$BK$4,"×窓を開けて上昇",IF($Z76&gt;$BK$5,"×前日に急騰",IF($Z76&lt;$BK$6,"×前日に急落",IF($BD76&lt;$BK$7,"×高値から離れすぎ",IF($BE76&gt;$BK$8,"×当日の値幅が大きい","×")))))))))</f>
      </c>
    </row>
    <row r="77" spans="1:60"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IF(AND(E77&lt;&gt;"",K77&lt;&gt;"",K77&lt;&gt;0),(E77-K77)/K77*100,"")</f>
        <v>-23.233486943164365</v>
      </c>
      <c r="M77" s="166">
        <f>IF(C77&lt;&gt;"",IFERROR(AVERAGE(出来高!E207:I207),""),"")</f>
        <v>29811200</v>
      </c>
      <c r="N77" s="166">
        <f>IF(C77&lt;&gt;"",IFERROR(AVERAGE(出来高!E207:AC207),""),"")</f>
        <v>20416600</v>
      </c>
      <c r="O77" s="168">
        <f>IF(AND(J77&lt;&gt;"",M77&lt;&gt;"",M77&lt;&gt;0),J77/M77,"")</f>
        <v>0.66469313546586517</v>
      </c>
      <c r="P77" s="163" t="str">
        <f>IF(O77="","",IF(O77&gt;=2,"急増↑↑",IF(O77&gt;=1.5,"増加↑",IF(O77&gt;=1,"普通→","減少↓"))))</f>
        <v>減少↓</v>
      </c>
      <c r="Q77" s="163" t="str">
        <f>IF(E77="","",IF(AND(E77&gt;G77,O77&gt;=1.5),"買い▲",IF(E77&lt;G77,"様子見▼","中立→")))</f>
        <v>様子見▼</v>
      </c>
      <c r="R77" s="166">
        <f>IF(E77&lt;&gt;"",ROUND(E77*1.08,0),"")</f>
        <v>4318</v>
      </c>
      <c r="S77" s="166">
        <f>IF(E77&lt;&gt;"",ROUND(E77*0.96,0),"")</f>
        <v>3838</v>
      </c>
      <c r="T77" s="163">
        <f>IF(C77="","",IFERROR(IF(O77&gt;=2,3,IF(O77&gt;=1.5,2,IF(O77&gt;=1,1,0)))+IF(E77&gt;G77,1,0)+IF(L77&gt;=-5,1,0)+IF(Q77="買い▲",2,0)+IF(W77&lt;=30,3,IF(W77&lt;=40,2,IF(AND(W77&gt;=40,W77&lt;=60),1,0)))+IF(X77&gt;0,1,0)+IF(V77="年初来高値更新●",3,IF(V77="高値圏",2,0))+IF(AD77="パーフェクト▲",3,IF(AD77="上昇トレンド▲",2,0))+IF(AE77="25日線押し目●",2,IF(AE77="5日線押し目○",1,0))+IF(P77="急増↑↑",2,IF(P77="増加↑",1,0))+N(AI77),0))</f>
        <v>7</v>
      </c>
      <c r="U77" s="163" t="str">
        <f>IF(T77="","",IF(AND(T77&gt;=3,O77&gt;=1.5),"有効",IF(T77&gt;=3,"要確認","除外")))</f>
        <v>要確認</v>
      </c>
      <c r="V77" s="163" t="str">
        <f>IF(AND(H77&lt;&gt;"",K77&lt;&gt;""),IF(H77&gt;=K77,"年初来高値更新●",IF(H77&gt;=K77*0.95,"高値圏","通常")),"")</f>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IF(AND(E77&lt;&gt;"",G77&lt;&gt;"",G77&lt;&gt;0),(E77-G77)/G77*100,"")</f>
        <v>-0.05</v>
      </c>
      <c r="AA77" s="163" t="str">
        <f>IF(OR(C77="",E77="",E77=0),"",IF(E77&gt;G77,"上昇▲",IF(E77&lt;G77,"下落▼","横ばい→")))</f>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IF(OR(C77="",AB77="",AC77=""),"",IF(AND(E77&gt;AB77,AB77&gt;AC77),"パーフェクト▲",IF(E77&gt;AC77,"上昇トレンド▲",IF(AND(E77&lt;AB77,AB77&lt;AC77),"下降トレンド▼","もみ合い→"))))</f>
        <v>上昇トレンド▲</v>
      </c>
      <c r="AE77" s="406" t="str">
        <f>IF(OR(C77="",AB77="",AC77=""),"",IF(AND(ABS(E77-AC77)/AC77&lt;=0.02,E77&gt;AC77),"25日押し目★",IF(AND(ABS(E77-AB77)/AB77&lt;=0.01,E77&gt;AB77),"5日押し目○","なし")))</f>
        <v>25日押し目★</v>
      </c>
      <c r="AF77" s="365">
        <f t="array" ref="AF77">IF(C77="","",IFERROR((INDEX(終値!$E:$E,MATCH(TEXT(C77,"0"),終値!$A:$A,0))-INDEX(終値!$E:$CZ,MATCH(TEXT(C77,"0"),終値!$A:$A,0),$AL$2))/INDEX(終値!$E:$CZ,MATCH(TEXT(C77,"0"),終値!$A:$A,0),$AL$2)*100,""))</f>
        <v>7.0128479657387581</v>
      </c>
      <c r="AG77" s="365">
        <f t="array" ref="AG77">IFERROR((終値!$E$5-INDEX(終値!$E$5:$IT$5,1,$AL$2))/INDEX(終値!$E$5:$IT$5,1,$AL$2)*100,"")</f>
        <v>1.0179378228534113</v>
      </c>
      <c r="AH77" s="366">
        <f>IF(OR(AF77="",AG77=""),"",AF77-AG77)</f>
        <v>5.9949101428853471</v>
      </c>
      <c r="AI77" s="364">
        <f>IF(AH77="","",IF(AH77&gt;5,3,IF(AH77&gt;0,1,IF(AH77&gt;-3,-1,-2))))</f>
        <v>3</v>
      </c>
      <c r="BA77">
        <f>IFERROR((SUM(OFFSET(高値!$E$6,IFERROR(MATCH($C77,銘柄管理!$B$6:$B$305,0),MATCH(TEXT($C77,"0"),銘柄管理!$B$6:$B$305,0))-1,0,1,14))-SUM(OFFSET(安値!$E$6,IFERROR(MATCH($C77,銘柄管理!$B$6:$B$305,0),MATCH(TEXT($C77,"0"),銘柄管理!$B$6:$B$305,0))-1,0,1,14)))/SUM(OFFSET(終値!$E$6,IFERROR(MATCH($C77,銘柄管理!$B$6:$B$305,0),MATCH(TEXT($C77,"0"),銘柄管理!$B$6:$B$305,0))-1,0,1,14))*100,"")</f>
      </c>
      <c r="BB77">
        <f>IFERROR((MAX(OFFSET(高値!$E$6,IFERROR(MATCH($C77,銘柄管理!$B$6:$B$305,0),MATCH(TEXT($C77,"0"),銘柄管理!$B$6:$B$305,0))-1,0,1,25))-MIN(OFFSET(安値!$E$6,IFERROR(MATCH($C77,銘柄管理!$B$6:$B$305,0),MATCH(TEXT($C77,"0"),銘柄管理!$B$6:$B$305,0))-1,0,1,25)))/$E77*100,"")</f>
      </c>
      <c r="BC77">
        <f>IFERROR(($F77-$G77)/$G77*100,"")</f>
      </c>
      <c r="BD77">
        <f>IFERROR(($E77-MAX(OFFSET(高値!$E$6,IFERROR(MATCH($C77,銘柄管理!$B$6:$B$305,0),MATCH(TEXT($C77,"0"),銘柄管理!$B$6:$B$305,0))-1,0,1,25)))/MAX(OFFSET(高値!$E$6,IFERROR(MATCH($C77,銘柄管理!$B$6:$B$305,0),MATCH(TEXT($C77,"0"),銘柄管理!$B$6:$B$305,0))-1,0,1,25))*100,"")</f>
      </c>
      <c r="BE77">
        <f>IFERROR(($H77-$I77)/$F77*100,"")</f>
      </c>
      <c r="BF77">
        <f>IFERROR(-(($BA77-AVERAGE($BA$3:$BA$206))/STDEV($BA$3:$BA$206))-(($BE77-AVERAGE($BE$3:$BE$206))/STDEV($BE$3:$BE$206))-(($BB77-AVERAGE($BB$3:$BB$206))/STDEV($BB$3:$BB$206))-(($Z77-AVERAGE($Z$3:$Z$206))/STDEV($Z$3:$Z$206))-(($BC77-AVERAGE($BC$3:$BC$206))/STDEV($BC$3:$BC$206)),"")</f>
      </c>
      <c r="BG77">
        <f>IF(OR($C77="",$C77="TOPX",$BA77="",$BF77=""),0,IF(AND($BK$10=1,$BA77&lt;=$BK$2,$BB77&lt;=$BK$3,$BC77&lt;=$BK$4,$Z77&lt;=$BK$5,$Z77&gt;=$BK$6,$BD77&gt;=$BK$7,$BE77&lt;=$BK$8),1,0))</f>
      </c>
      <c r="BH77">
        <f>IF($C77="","",IF($BG77=1,"○ゲート通過",IF($BK$10&lt;&gt;1,"― この方向は停止中",IF($BA77&gt;$BK$2,"×値動きが荒い",IF($BB77&gt;$BK$3,"×レンジが広い",IF($BC77&gt;$BK$4,"×窓を開けて上昇",IF($Z77&gt;$BK$5,"×前日に急騰",IF($Z77&lt;$BK$6,"×前日に急落",IF($BD77&lt;$BK$7,"×高値から離れすぎ",IF($BE77&gt;$BK$8,"×当日の値幅が大きい","×")))))))))</f>
      </c>
    </row>
    <row r="78" spans="1:60"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IF(AND(E78&lt;&gt;"",K78&lt;&gt;"",K78&lt;&gt;0),(E78-K78)/K78*100,"")</f>
        <v>-42.450562233423803</v>
      </c>
      <c r="M78" s="166">
        <f>IF(C78&lt;&gt;"",IFERROR(AVERAGE(出来高!E154:I154),""),"")</f>
        <v>29371300</v>
      </c>
      <c r="N78" s="166">
        <f>IF(C78&lt;&gt;"",IFERROR(AVERAGE(出来高!E154:AC154),""),"")</f>
        <v>31748592</v>
      </c>
      <c r="O78" s="168">
        <f>IF(AND(J78&lt;&gt;"",M78&lt;&gt;"",M78&lt;&gt;0),J78/M78,"")</f>
        <v>1.2343273876198875</v>
      </c>
      <c r="P78" s="163" t="str">
        <f>IF(O78="","",IF(O78&gt;=2,"急増↑↑",IF(O78&gt;=1.5,"増加↑",IF(O78&gt;=1,"普通→","減少↓"))))</f>
        <v>普通→</v>
      </c>
      <c r="Q78" s="163" t="str">
        <f>IF(E78="","",IF(AND(E78&gt;G78,O78&gt;=1.5),"買い▲",IF(E78&lt;G78,"様子見▼","中立→")))</f>
        <v>様子見▼</v>
      </c>
      <c r="R78" s="166">
        <f>IF(E78&lt;&gt;"",ROUND(E78*1.08,0),"")</f>
        <v>8015</v>
      </c>
      <c r="S78" s="166">
        <f>IF(E78&lt;&gt;"",ROUND(E78*0.96,0),"")</f>
        <v>7124</v>
      </c>
      <c r="T78" s="163">
        <f>IF(C78="","",IFERROR(IF(O78&gt;=2,3,IF(O78&gt;=1.5,2,IF(O78&gt;=1,1,0)))+IF(E78&gt;G78,1,0)+IF(L78&gt;=-5,1,0)+IF(Q78="買い▲",2,0)+IF(W78&lt;=30,3,IF(W78&lt;=40,2,IF(AND(W78&gt;=40,W78&lt;=60),1,0)))+IF(X78&gt;0,1,0)+IF(V78="年初来高値更新●",3,IF(V78="高値圏",2,0))+IF(AD78="パーフェクト▲",3,IF(AD78="上昇トレンド▲",2,0))+IF(AE78="25日線押し目●",2,IF(AE78="5日線押し目○",1,0))+IF(P78="急増↑↑",2,IF(P78="増加↑",1,0))+N(AI78),0))</f>
        <v>3</v>
      </c>
      <c r="U78" s="163" t="str">
        <f>IF(T78="","",IF(AND(T78&gt;=3,O78&gt;=1.5),"有効",IF(T78&gt;=3,"要確認","除外")))</f>
        <v>要確認</v>
      </c>
      <c r="V78" s="163" t="str">
        <f>IF(AND(H78&lt;&gt;"",K78&lt;&gt;""),IF(H78&gt;=K78,"年初来高値更新●",IF(H78&gt;=K78*0.95,"高値圏","通常")),"")</f>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IF(AND(E78&lt;&gt;"",G78&lt;&gt;"",G78&lt;&gt;0),(E78-G78)/G78*100,"")</f>
        <v>-5.2113935368501725</v>
      </c>
      <c r="AA78" s="163" t="str">
        <f>IF(OR(C78="",E78="",E78=0),"",IF(E78&gt;G78,"上昇▲",IF(E78&lt;G78,"下落▼","横ばい→")))</f>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IF(OR(C78="",AB78="",AC78=""),"",IF(AND(E78&gt;AB78,AB78&gt;AC78),"パーフェクト▲",IF(E78&gt;AC78,"上昇トレンド▲",IF(AND(E78&lt;AB78,AB78&lt;AC78),"下降トレンド▼","もみ合い→"))))</f>
        <v>パーフェクト▲</v>
      </c>
      <c r="AE78" s="404" t="str">
        <f>IF(OR(C78="",AB78="",AC78=""),"",IF(AND(ABS(E78-AC78)/AC78&lt;=0.02,E78&gt;AC78),"25日押し目★",IF(AND(ABS(E78-AB78)/AB78&lt;=0.01,E78&gt;AB78),"5日押し目○","なし")))</f>
        <v>なし</v>
      </c>
      <c r="AF78" s="365">
        <f t="array" ref="AF78">IF(C78="","",IFERROR((INDEX(終値!$E:$E,MATCH(TEXT(C78,"0"),終値!$A:$A,0))-INDEX(終値!$E:$CZ,MATCH(TEXT(C78,"0"),終値!$A:$A,0),$AL$2))/INDEX(終値!$E:$CZ,MATCH(TEXT(C78,"0"),終値!$A:$A,0),$AL$2)*100,""))</f>
        <v>-37.586206896551722</v>
      </c>
      <c r="AG78" s="365">
        <f t="array" ref="AG78">IFERROR((終値!$E$5-INDEX(終値!$E$5:$IT$5,1,$AL$2))/INDEX(終値!$E$5:$IT$5,1,$AL$2)*100,"")</f>
        <v>1.0179378228534113</v>
      </c>
      <c r="AH78" s="366">
        <f>IF(OR(AF78="",AG78=""),"",AF78-AG78)</f>
        <v>-38.604144719405134</v>
      </c>
      <c r="AI78" s="364">
        <f>IF(AH78="","",IF(AH78&gt;5,3,IF(AH78&gt;0,1,IF(AH78&gt;-3,-1,-2))))</f>
        <v>-2</v>
      </c>
      <c r="BA78">
        <f>IFERROR((SUM(OFFSET(高値!$E$6,IFERROR(MATCH($C78,銘柄管理!$B$6:$B$305,0),MATCH(TEXT($C78,"0"),銘柄管理!$B$6:$B$305,0))-1,0,1,14))-SUM(OFFSET(安値!$E$6,IFERROR(MATCH($C78,銘柄管理!$B$6:$B$305,0),MATCH(TEXT($C78,"0"),銘柄管理!$B$6:$B$305,0))-1,0,1,14)))/SUM(OFFSET(終値!$E$6,IFERROR(MATCH($C78,銘柄管理!$B$6:$B$305,0),MATCH(TEXT($C78,"0"),銘柄管理!$B$6:$B$305,0))-1,0,1,14))*100,"")</f>
      </c>
      <c r="BB78">
        <f>IFERROR((MAX(OFFSET(高値!$E$6,IFERROR(MATCH($C78,銘柄管理!$B$6:$B$305,0),MATCH(TEXT($C78,"0"),銘柄管理!$B$6:$B$305,0))-1,0,1,25))-MIN(OFFSET(安値!$E$6,IFERROR(MATCH($C78,銘柄管理!$B$6:$B$305,0),MATCH(TEXT($C78,"0"),銘柄管理!$B$6:$B$305,0))-1,0,1,25)))/$E78*100,"")</f>
      </c>
      <c r="BC78">
        <f>IFERROR(($F78-$G78)/$G78*100,"")</f>
      </c>
      <c r="BD78">
        <f>IFERROR(($E78-MAX(OFFSET(高値!$E$6,IFERROR(MATCH($C78,銘柄管理!$B$6:$B$305,0),MATCH(TEXT($C78,"0"),銘柄管理!$B$6:$B$305,0))-1,0,1,25)))/MAX(OFFSET(高値!$E$6,IFERROR(MATCH($C78,銘柄管理!$B$6:$B$305,0),MATCH(TEXT($C78,"0"),銘柄管理!$B$6:$B$305,0))-1,0,1,25))*100,"")</f>
      </c>
      <c r="BE78">
        <f>IFERROR(($H78-$I78)/$F78*100,"")</f>
      </c>
      <c r="BF78">
        <f>IFERROR(-(($BA78-AVERAGE($BA$3:$BA$206))/STDEV($BA$3:$BA$206))-(($BE78-AVERAGE($BE$3:$BE$206))/STDEV($BE$3:$BE$206))-(($BB78-AVERAGE($BB$3:$BB$206))/STDEV($BB$3:$BB$206))-(($Z78-AVERAGE($Z$3:$Z$206))/STDEV($Z$3:$Z$206))-(($BC78-AVERAGE($BC$3:$BC$206))/STDEV($BC$3:$BC$206)),"")</f>
      </c>
      <c r="BG78">
        <f>IF(OR($C78="",$C78="TOPX",$BA78="",$BF78=""),0,IF(AND($BK$10=1,$BA78&lt;=$BK$2,$BB78&lt;=$BK$3,$BC78&lt;=$BK$4,$Z78&lt;=$BK$5,$Z78&gt;=$BK$6,$BD78&gt;=$BK$7,$BE78&lt;=$BK$8),1,0))</f>
      </c>
      <c r="BH78">
        <f>IF($C78="","",IF($BG78=1,"○ゲート通過",IF($BK$10&lt;&gt;1,"― この方向は停止中",IF($BA78&gt;$BK$2,"×値動きが荒い",IF($BB78&gt;$BK$3,"×レンジが広い",IF($BC78&gt;$BK$4,"×窓を開けて上昇",IF($Z78&gt;$BK$5,"×前日に急騰",IF($Z78&lt;$BK$6,"×前日に急落",IF($BD78&lt;$BK$7,"×高値から離れすぎ",IF($BE78&gt;$BK$8,"×当日の値幅が大きい","×")))))))))</f>
      </c>
    </row>
    <row r="79" spans="1:60"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IF(AND(E79&lt;&gt;"",K79&lt;&gt;"",K79&lt;&gt;0),(E79-K79)/K79*100,"")</f>
        <v>-27.59009009009009</v>
      </c>
      <c r="M79" s="166">
        <f>IF(C79&lt;&gt;"",IFERROR(AVERAGE(出来高!E78:I78),""),"")</f>
        <v>11581080</v>
      </c>
      <c r="N79" s="166">
        <f>IF(C79&lt;&gt;"",IFERROR(AVERAGE(出来高!E78:AC78),""),"")</f>
        <v>6926760</v>
      </c>
      <c r="O79" s="168">
        <f>IF(AND(J79&lt;&gt;"",M79&lt;&gt;"",M79&lt;&gt;0),J79/M79,"")</f>
        <v>0.59456458292318159</v>
      </c>
      <c r="P79" s="163" t="str">
        <f>IF(O79="","",IF(O79&gt;=2,"急増↑↑",IF(O79&gt;=1.5,"増加↑",IF(O79&gt;=1,"普通→","減少↓"))))</f>
        <v>減少↓</v>
      </c>
      <c r="Q79" s="163" t="str">
        <f>IF(E79="","",IF(AND(E79&gt;G79,O79&gt;=1.5),"買い▲",IF(E79&lt;G79,"様子見▼","中立→")))</f>
        <v>様子見▼</v>
      </c>
      <c r="R79" s="166">
        <f>IF(E79&lt;&gt;"",ROUND(E79*1.08,0),"")</f>
        <v>6944</v>
      </c>
      <c r="S79" s="166">
        <f>IF(E79&lt;&gt;"",ROUND(E79*0.96,0),"")</f>
        <v>6173</v>
      </c>
      <c r="T79" s="163">
        <f>IF(C79="","",IFERROR(IF(O79&gt;=2,3,IF(O79&gt;=1.5,2,IF(O79&gt;=1,1,0)))+IF(E79&gt;G79,1,0)+IF(L79&gt;=-5,1,0)+IF(Q79="買い▲",2,0)+IF(W79&lt;=30,3,IF(W79&lt;=40,2,IF(AND(W79&gt;=40,W79&lt;=60),1,0)))+IF(X79&gt;0,1,0)+IF(V79="年初来高値更新●",3,IF(V79="高値圏",2,0))+IF(AD79="パーフェクト▲",3,IF(AD79="上昇トレンド▲",2,0))+IF(AE79="25日線押し目●",2,IF(AE79="5日線押し目○",1,0))+IF(P79="急増↑↑",2,IF(P79="増加↑",1,0))+N(AI79),0))</f>
        <v>1</v>
      </c>
      <c r="U79" s="163" t="str">
        <f>IF(T79="","",IF(AND(T79&gt;=3,O79&gt;=1.5),"有効",IF(T79&gt;=3,"要確認","除外")))</f>
        <v>除外</v>
      </c>
      <c r="V79" s="163" t="str">
        <f>IF(AND(H79&lt;&gt;"",K79&lt;&gt;""),IF(H79&gt;=K79,"年初来高値更新●",IF(H79&gt;=K79*0.95,"高値圏","通常")),"")</f>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IF(AND(E79&lt;&gt;"",G79&lt;&gt;"",G79&lt;&gt;0),(E79-G79)/G79*100,"")</f>
        <v>-0.46439628482972134</v>
      </c>
      <c r="AA79" s="163" t="str">
        <f>IF(OR(C79="",E79="",E79=0),"",IF(E79&gt;G79,"上昇▲",IF(E79&lt;G79,"下落▼","横ばい→")))</f>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IF(OR(C79="",AB79="",AC79=""),"",IF(AND(E79&gt;AB79,AB79&gt;AC79),"パーフェクト▲",IF(E79&gt;AC79,"上昇トレンド▲",IF(AND(E79&lt;AB79,AB79&lt;AC79),"下降トレンド▼","もみ合い→"))))</f>
        <v>上昇トレンド▲</v>
      </c>
      <c r="AE79" s="406" t="str">
        <f>IF(OR(C79="",AB79="",AC79=""),"",IF(AND(ABS(E79-AC79)/AC79&lt;=0.02,E79&gt;AC79),"25日押し目★",IF(AND(ABS(E79-AB79)/AB79&lt;=0.01,E79&gt;AB79),"5日押し目○","なし")))</f>
        <v>なし</v>
      </c>
      <c r="AF79" s="365">
        <f t="array" ref="AF79">IF(C79="","",IFERROR((INDEX(終値!$E:$E,MATCH(TEXT(C79,"0"),終値!$A:$A,0))-INDEX(終値!$E:$CZ,MATCH(TEXT(C79,"0"),終値!$A:$A,0),$AL$2))/INDEX(終値!$E:$CZ,MATCH(TEXT(C79,"0"),終値!$A:$A,0),$AL$2)*100,""))</f>
        <v>-13.283884018880649</v>
      </c>
      <c r="AG79" s="365">
        <f t="array" ref="AG79">IFERROR((終値!$E$5-INDEX(終値!$E$5:$IT$5,1,$AL$2))/INDEX(終値!$E$5:$IT$5,1,$AL$2)*100,"")</f>
        <v>1.0179378228534113</v>
      </c>
      <c r="AH79" s="366">
        <f>IF(OR(AF79="",AG79=""),"",AF79-AG79)</f>
        <v>-14.301821841734061</v>
      </c>
      <c r="AI79" s="364">
        <f>IF(AH79="","",IF(AH79&gt;5,3,IF(AH79&gt;0,1,IF(AH79&gt;-3,-1,-2))))</f>
        <v>-2</v>
      </c>
      <c r="BA79">
        <f>IFERROR((SUM(OFFSET(高値!$E$6,IFERROR(MATCH($C79,銘柄管理!$B$6:$B$305,0),MATCH(TEXT($C79,"0"),銘柄管理!$B$6:$B$305,0))-1,0,1,14))-SUM(OFFSET(安値!$E$6,IFERROR(MATCH($C79,銘柄管理!$B$6:$B$305,0),MATCH(TEXT($C79,"0"),銘柄管理!$B$6:$B$305,0))-1,0,1,14)))/SUM(OFFSET(終値!$E$6,IFERROR(MATCH($C79,銘柄管理!$B$6:$B$305,0),MATCH(TEXT($C79,"0"),銘柄管理!$B$6:$B$305,0))-1,0,1,14))*100,"")</f>
      </c>
      <c r="BB79">
        <f>IFERROR((MAX(OFFSET(高値!$E$6,IFERROR(MATCH($C79,銘柄管理!$B$6:$B$305,0),MATCH(TEXT($C79,"0"),銘柄管理!$B$6:$B$305,0))-1,0,1,25))-MIN(OFFSET(安値!$E$6,IFERROR(MATCH($C79,銘柄管理!$B$6:$B$305,0),MATCH(TEXT($C79,"0"),銘柄管理!$B$6:$B$305,0))-1,0,1,25)))/$E79*100,"")</f>
      </c>
      <c r="BC79">
        <f>IFERROR(($F79-$G79)/$G79*100,"")</f>
      </c>
      <c r="BD79">
        <f>IFERROR(($E79-MAX(OFFSET(高値!$E$6,IFERROR(MATCH($C79,銘柄管理!$B$6:$B$305,0),MATCH(TEXT($C79,"0"),銘柄管理!$B$6:$B$305,0))-1,0,1,25)))/MAX(OFFSET(高値!$E$6,IFERROR(MATCH($C79,銘柄管理!$B$6:$B$305,0),MATCH(TEXT($C79,"0"),銘柄管理!$B$6:$B$305,0))-1,0,1,25))*100,"")</f>
      </c>
      <c r="BE79">
        <f>IFERROR(($H79-$I79)/$F79*100,"")</f>
      </c>
      <c r="BF79">
        <f>IFERROR(-(($BA79-AVERAGE($BA$3:$BA$206))/STDEV($BA$3:$BA$206))-(($BE79-AVERAGE($BE$3:$BE$206))/STDEV($BE$3:$BE$206))-(($BB79-AVERAGE($BB$3:$BB$206))/STDEV($BB$3:$BB$206))-(($Z79-AVERAGE($Z$3:$Z$206))/STDEV($Z$3:$Z$206))-(($BC79-AVERAGE($BC$3:$BC$206))/STDEV($BC$3:$BC$206)),"")</f>
      </c>
      <c r="BG79">
        <f>IF(OR($C79="",$C79="TOPX",$BA79="",$BF79=""),0,IF(AND($BK$10=1,$BA79&lt;=$BK$2,$BB79&lt;=$BK$3,$BC79&lt;=$BK$4,$Z79&lt;=$BK$5,$Z79&gt;=$BK$6,$BD79&gt;=$BK$7,$BE79&lt;=$BK$8),1,0))</f>
      </c>
      <c r="BH79">
        <f>IF($C79="","",IF($BG79=1,"○ゲート通過",IF($BK$10&lt;&gt;1,"― この方向は停止中",IF($BA79&gt;$BK$2,"×値動きが荒い",IF($BB79&gt;$BK$3,"×レンジが広い",IF($BC79&gt;$BK$4,"×窓を開けて上昇",IF($Z79&gt;$BK$5,"×前日に急騰",IF($Z79&lt;$BK$6,"×前日に急落",IF($BD79&lt;$BK$7,"×高値から離れすぎ",IF($BE79&gt;$BK$8,"×当日の値幅が大きい","×")))))))))</f>
      </c>
    </row>
    <row r="80" spans="1:60"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IF(AND(E80&lt;&gt;"",K80&lt;&gt;"",K80&lt;&gt;0),(E80-K80)/K80*100,"")</f>
        <v>-20.739736638264912</v>
      </c>
      <c r="M80" s="166">
        <f>IF(C80&lt;&gt;"",IFERROR(AVERAGE(出来高!E105:I105),""),"")</f>
        <v>703800</v>
      </c>
      <c r="N80" s="166">
        <f>IF(C80&lt;&gt;"",IFERROR(AVERAGE(出来高!E105:AC105),""),"")</f>
        <v>522040</v>
      </c>
      <c r="O80" s="168">
        <f>IF(AND(J80&lt;&gt;"",M80&lt;&gt;"",M80&lt;&gt;0),J80/M80,"")</f>
        <v>0.91503267973856206</v>
      </c>
      <c r="P80" s="163" t="str">
        <f>IF(O80="","",IF(O80&gt;=2,"急増↑↑",IF(O80&gt;=1.5,"増加↑",IF(O80&gt;=1,"普通→","減少↓"))))</f>
        <v>減少↓</v>
      </c>
      <c r="Q80" s="163" t="str">
        <f>IF(E80="","",IF(AND(E80&gt;G80,O80&gt;=1.5),"買い▲",IF(E80&lt;G80,"様子見▼","中立→")))</f>
        <v>様子見▼</v>
      </c>
      <c r="R80" s="166">
        <f>IF(E80&lt;&gt;"",ROUND(E80*1.08,0),"")</f>
        <v>4420</v>
      </c>
      <c r="S80" s="166">
        <f>IF(E80&lt;&gt;"",ROUND(E80*0.96,0),"")</f>
        <v>3929</v>
      </c>
      <c r="T80" s="163">
        <f>IF(C80="","",IFERROR(IF(O80&gt;=2,3,IF(O80&gt;=1.5,2,IF(O80&gt;=1,1,0)))+IF(E80&gt;G80,1,0)+IF(L80&gt;=-5,1,0)+IF(Q80="買い▲",2,0)+IF(W80&lt;=30,3,IF(W80&lt;=40,2,IF(AND(W80&gt;=40,W80&lt;=60),1,0)))+IF(X80&gt;0,1,0)+IF(V80="年初来高値更新●",3,IF(V80="高値圏",2,0))+IF(AD80="パーフェクト▲",3,IF(AD80="上昇トレンド▲",2,0))+IF(AE80="25日線押し目●",2,IF(AE80="5日線押し目○",1,0))+IF(P80="急増↑↑",2,IF(P80="増加↑",1,0))+N(AI80),0))</f>
        <v>2</v>
      </c>
      <c r="U80" s="163" t="str">
        <f>IF(T80="","",IF(AND(T80&gt;=3,O80&gt;=1.5),"有効",IF(T80&gt;=3,"要確認","除外")))</f>
        <v>除外</v>
      </c>
      <c r="V80" s="163" t="str">
        <f>IF(AND(H80&lt;&gt;"",K80&lt;&gt;""),IF(H80&gt;=K80,"年初来高値更新●",IF(H80&gt;=K80*0.95,"高値圏","通常")),"")</f>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IF(AND(E80&lt;&gt;"",G80&lt;&gt;"",G80&lt;&gt;0),(E80-G80)/G80*100,"")</f>
        <v>-6.123853211009175</v>
      </c>
      <c r="AA80" s="163" t="str">
        <f>IF(OR(C80="",E80="",E80=0),"",IF(E80&gt;G80,"上昇▲",IF(E80&lt;G80,"下落▼","横ばい→")))</f>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IF(OR(C80="",AB80="",AC80=""),"",IF(AND(E80&gt;AB80,AB80&gt;AC80),"パーフェクト▲",IF(E80&gt;AC80,"上昇トレンド▲",IF(AND(E80&lt;AB80,AB80&lt;AC80),"下降トレンド▼","もみ合い→"))))</f>
        <v>パーフェクト▲</v>
      </c>
      <c r="AE80" s="404" t="str">
        <f>IF(OR(C80="",AB80="",AC80=""),"",IF(AND(ABS(E80-AC80)/AC80&lt;=0.02,E80&gt;AC80),"25日押し目★",IF(AND(ABS(E80-AB80)/AB80&lt;=0.01,E80&gt;AB80),"5日押し目○","なし")))</f>
        <v>なし</v>
      </c>
      <c r="AF80" s="365">
        <f t="array" ref="AF80">IF(C80="","",IFERROR((INDEX(終値!$E:$E,MATCH(TEXT(C80,"0"),終値!$A:$A,0))-INDEX(終値!$E:$CZ,MATCH(TEXT(C80,"0"),終値!$A:$A,0),$AL$2))/INDEX(終値!$E:$CZ,MATCH(TEXT(C80,"0"),終値!$A:$A,0),$AL$2)*100,""))</f>
        <v>-15.223695111847558</v>
      </c>
      <c r="AG80" s="365">
        <f t="array" ref="AG80">IFERROR((終値!$E$5-INDEX(終値!$E$5:$IT$5,1,$AL$2))/INDEX(終値!$E$5:$IT$5,1,$AL$2)*100,"")</f>
        <v>1.0179378228534113</v>
      </c>
      <c r="AH80" s="366">
        <f>IF(OR(AF80="",AG80=""),"",AF80-AG80)</f>
        <v>-16.24163293470097</v>
      </c>
      <c r="AI80" s="364">
        <f>IF(AH80="","",IF(AH80&gt;5,3,IF(AH80&gt;0,1,IF(AH80&gt;-3,-1,-2))))</f>
        <v>-2</v>
      </c>
      <c r="BA80">
        <f>IFERROR((SUM(OFFSET(高値!$E$6,IFERROR(MATCH($C80,銘柄管理!$B$6:$B$305,0),MATCH(TEXT($C80,"0"),銘柄管理!$B$6:$B$305,0))-1,0,1,14))-SUM(OFFSET(安値!$E$6,IFERROR(MATCH($C80,銘柄管理!$B$6:$B$305,0),MATCH(TEXT($C80,"0"),銘柄管理!$B$6:$B$305,0))-1,0,1,14)))/SUM(OFFSET(終値!$E$6,IFERROR(MATCH($C80,銘柄管理!$B$6:$B$305,0),MATCH(TEXT($C80,"0"),銘柄管理!$B$6:$B$305,0))-1,0,1,14))*100,"")</f>
      </c>
      <c r="BB80">
        <f>IFERROR((MAX(OFFSET(高値!$E$6,IFERROR(MATCH($C80,銘柄管理!$B$6:$B$305,0),MATCH(TEXT($C80,"0"),銘柄管理!$B$6:$B$305,0))-1,0,1,25))-MIN(OFFSET(安値!$E$6,IFERROR(MATCH($C80,銘柄管理!$B$6:$B$305,0),MATCH(TEXT($C80,"0"),銘柄管理!$B$6:$B$305,0))-1,0,1,25)))/$E80*100,"")</f>
      </c>
      <c r="BC80">
        <f>IFERROR(($F80-$G80)/$G80*100,"")</f>
      </c>
      <c r="BD80">
        <f>IFERROR(($E80-MAX(OFFSET(高値!$E$6,IFERROR(MATCH($C80,銘柄管理!$B$6:$B$305,0),MATCH(TEXT($C80,"0"),銘柄管理!$B$6:$B$305,0))-1,0,1,25)))/MAX(OFFSET(高値!$E$6,IFERROR(MATCH($C80,銘柄管理!$B$6:$B$305,0),MATCH(TEXT($C80,"0"),銘柄管理!$B$6:$B$305,0))-1,0,1,25))*100,"")</f>
      </c>
      <c r="BE80">
        <f>IFERROR(($H80-$I80)/$F80*100,"")</f>
      </c>
      <c r="BF80">
        <f>IFERROR(-(($BA80-AVERAGE($BA$3:$BA$206))/STDEV($BA$3:$BA$206))-(($BE80-AVERAGE($BE$3:$BE$206))/STDEV($BE$3:$BE$206))-(($BB80-AVERAGE($BB$3:$BB$206))/STDEV($BB$3:$BB$206))-(($Z80-AVERAGE($Z$3:$Z$206))/STDEV($Z$3:$Z$206))-(($BC80-AVERAGE($BC$3:$BC$206))/STDEV($BC$3:$BC$206)),"")</f>
      </c>
      <c r="BG80">
        <f>IF(OR($C80="",$C80="TOPX",$BA80="",$BF80=""),0,IF(AND($BK$10=1,$BA80&lt;=$BK$2,$BB80&lt;=$BK$3,$BC80&lt;=$BK$4,$Z80&lt;=$BK$5,$Z80&gt;=$BK$6,$BD80&gt;=$BK$7,$BE80&lt;=$BK$8),1,0))</f>
      </c>
      <c r="BH80">
        <f>IF($C80="","",IF($BG80=1,"○ゲート通過",IF($BK$10&lt;&gt;1,"― この方向は停止中",IF($BA80&gt;$BK$2,"×値動きが荒い",IF($BB80&gt;$BK$3,"×レンジが広い",IF($BC80&gt;$BK$4,"×窓を開けて上昇",IF($Z80&gt;$BK$5,"×前日に急騰",IF($Z80&lt;$BK$6,"×前日に急落",IF($BD80&lt;$BK$7,"×高値から離れすぎ",IF($BE80&gt;$BK$8,"×当日の値幅が大きい","×")))))))))</f>
      </c>
    </row>
    <row r="81" spans="1:60"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IF(AND(E81&lt;&gt;"",K81&lt;&gt;"",K81&lt;&gt;0),(E81-K81)/K81*100,"")</f>
        <v>-26.032775691362243</v>
      </c>
      <c r="M81" s="166">
        <f>IF(C81&lt;&gt;"",IFERROR(AVERAGE(出来高!E199:I199),""),"")</f>
        <v>4306560</v>
      </c>
      <c r="N81" s="166">
        <f>IF(C81&lt;&gt;"",IFERROR(AVERAGE(出来高!E199:AC199),""),"")</f>
        <v>3538468</v>
      </c>
      <c r="O81" s="168">
        <f>IF(AND(J81&lt;&gt;"",M81&lt;&gt;"",M81&lt;&gt;0),J81/M81,"")</f>
        <v>0.64220630851538119</v>
      </c>
      <c r="P81" s="163" t="str">
        <f>IF(O81="","",IF(O81&gt;=2,"急増↑↑",IF(O81&gt;=1.5,"増加↑",IF(O81&gt;=1,"普通→","減少↓"))))</f>
        <v>減少↓</v>
      </c>
      <c r="Q81" s="163" t="str">
        <f>IF(E81="","",IF(AND(E81&gt;G81,O81&gt;=1.5),"買い▲",IF(E81&lt;G81,"様子見▼","中立→")))</f>
        <v>様子見▼</v>
      </c>
      <c r="R81" s="166">
        <f>IF(E81&lt;&gt;"",ROUND(E81*1.08,0),"")</f>
        <v>46796</v>
      </c>
      <c r="S81" s="166">
        <f>IF(E81&lt;&gt;"",ROUND(E81*0.96,0),"")</f>
        <v>41597</v>
      </c>
      <c r="T81" s="163">
        <f>IF(C81="","",IFERROR(IF(O81&gt;=2,3,IF(O81&gt;=1.5,2,IF(O81&gt;=1,1,0)))+IF(E81&gt;G81,1,0)+IF(L81&gt;=-5,1,0)+IF(Q81="買い▲",2,0)+IF(W81&lt;=30,3,IF(W81&lt;=40,2,IF(AND(W81&gt;=40,W81&lt;=60),1,0)))+IF(X81&gt;0,1,0)+IF(V81="年初来高値更新●",3,IF(V81="高値圏",2,0))+IF(AD81="パーフェクト▲",3,IF(AD81="上昇トレンド▲",2,0))+IF(AE81="25日線押し目●",2,IF(AE81="5日線押し目○",1,0))+IF(P81="急増↑↑",2,IF(P81="増加↑",1,0))+N(AI81),0))</f>
        <v>1</v>
      </c>
      <c r="U81" s="163" t="str">
        <f>IF(T81="","",IF(AND(T81&gt;=3,O81&gt;=1.5),"有効",IF(T81&gt;=3,"要確認","除外")))</f>
        <v>除外</v>
      </c>
      <c r="V81" s="163" t="str">
        <f>IF(AND(H81&lt;&gt;"",K81&lt;&gt;""),IF(H81&gt;=K81,"年初来高値更新●",IF(H81&gt;=K81*0.95,"高値圏","通常")),"")</f>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IF(AND(E81&lt;&gt;"",G81&lt;&gt;"",G81&lt;&gt;0),(E81-G81)/G81*100,"")</f>
        <v>-7.1765209940017147</v>
      </c>
      <c r="AA81" s="163" t="str">
        <f>IF(OR(C81="",E81="",E81=0),"",IF(E81&gt;G81,"上昇▲",IF(E81&lt;G81,"下落▼","横ばい→")))</f>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IF(OR(C81="",AB81="",AC81=""),"",IF(AND(E81&gt;AB81,AB81&gt;AC81),"パーフェクト▲",IF(E81&gt;AC81,"上昇トレンド▲",IF(AND(E81&lt;AB81,AB81&lt;AC81),"下降トレンド▼","もみ合い→"))))</f>
        <v>上昇トレンド▲</v>
      </c>
      <c r="AE81" s="406" t="str">
        <f>IF(OR(C81="",AB81="",AC81=""),"",IF(AND(ABS(E81-AC81)/AC81&lt;=0.02,E81&gt;AC81),"25日押し目★",IF(AND(ABS(E81-AB81)/AB81&lt;=0.01,E81&gt;AB81),"5日押し目○","なし")))</f>
        <v>なし</v>
      </c>
      <c r="AF81" s="365">
        <f t="array" ref="AF81">IF(C81="","",IFERROR((INDEX(終値!$E:$E,MATCH(TEXT(C81,"0"),終値!$A:$A,0))-INDEX(終値!$E:$CZ,MATCH(TEXT(C81,"0"),終値!$A:$A,0),$AL$2))/INDEX(終値!$E:$CZ,MATCH(TEXT(C81,"0"),終値!$A:$A,0),$AL$2)*100,""))</f>
        <v>-14.687930695018705</v>
      </c>
      <c r="AG81" s="365">
        <f t="array" ref="AG81">IFERROR((終値!$E$5-INDEX(終値!$E$5:$IT$5,1,$AL$2))/INDEX(終値!$E$5:$IT$5,1,$AL$2)*100,"")</f>
        <v>1.0179378228534113</v>
      </c>
      <c r="AH81" s="366">
        <f>IF(OR(AF81="",AG81=""),"",AF81-AG81)</f>
        <v>-15.705868517872117</v>
      </c>
      <c r="AI81" s="364">
        <f>IF(AH81="","",IF(AH81&gt;5,3,IF(AH81&gt;0,1,IF(AH81&gt;-3,-1,-2))))</f>
        <v>-2</v>
      </c>
      <c r="BA81">
        <f>IFERROR((SUM(OFFSET(高値!$E$6,IFERROR(MATCH($C81,銘柄管理!$B$6:$B$305,0),MATCH(TEXT($C81,"0"),銘柄管理!$B$6:$B$305,0))-1,0,1,14))-SUM(OFFSET(安値!$E$6,IFERROR(MATCH($C81,銘柄管理!$B$6:$B$305,0),MATCH(TEXT($C81,"0"),銘柄管理!$B$6:$B$305,0))-1,0,1,14)))/SUM(OFFSET(終値!$E$6,IFERROR(MATCH($C81,銘柄管理!$B$6:$B$305,0),MATCH(TEXT($C81,"0"),銘柄管理!$B$6:$B$305,0))-1,0,1,14))*100,"")</f>
      </c>
      <c r="BB81">
        <f>IFERROR((MAX(OFFSET(高値!$E$6,IFERROR(MATCH($C81,銘柄管理!$B$6:$B$305,0),MATCH(TEXT($C81,"0"),銘柄管理!$B$6:$B$305,0))-1,0,1,25))-MIN(OFFSET(安値!$E$6,IFERROR(MATCH($C81,銘柄管理!$B$6:$B$305,0),MATCH(TEXT($C81,"0"),銘柄管理!$B$6:$B$305,0))-1,0,1,25)))/$E81*100,"")</f>
      </c>
      <c r="BC81">
        <f>IFERROR(($F81-$G81)/$G81*100,"")</f>
      </c>
      <c r="BD81">
        <f>IFERROR(($E81-MAX(OFFSET(高値!$E$6,IFERROR(MATCH($C81,銘柄管理!$B$6:$B$305,0),MATCH(TEXT($C81,"0"),銘柄管理!$B$6:$B$305,0))-1,0,1,25)))/MAX(OFFSET(高値!$E$6,IFERROR(MATCH($C81,銘柄管理!$B$6:$B$305,0),MATCH(TEXT($C81,"0"),銘柄管理!$B$6:$B$305,0))-1,0,1,25))*100,"")</f>
      </c>
      <c r="BE81">
        <f>IFERROR(($H81-$I81)/$F81*100,"")</f>
      </c>
      <c r="BF81">
        <f>IFERROR(-(($BA81-AVERAGE($BA$3:$BA$206))/STDEV($BA$3:$BA$206))-(($BE81-AVERAGE($BE$3:$BE$206))/STDEV($BE$3:$BE$206))-(($BB81-AVERAGE($BB$3:$BB$206))/STDEV($BB$3:$BB$206))-(($Z81-AVERAGE($Z$3:$Z$206))/STDEV($Z$3:$Z$206))-(($BC81-AVERAGE($BC$3:$BC$206))/STDEV($BC$3:$BC$206)),"")</f>
      </c>
      <c r="BG81">
        <f>IF(OR($C81="",$C81="TOPX",$BA81="",$BF81=""),0,IF(AND($BK$10=1,$BA81&lt;=$BK$2,$BB81&lt;=$BK$3,$BC81&lt;=$BK$4,$Z81&lt;=$BK$5,$Z81&gt;=$BK$6,$BD81&gt;=$BK$7,$BE81&lt;=$BK$8),1,0))</f>
      </c>
      <c r="BH81">
        <f>IF($C81="","",IF($BG81=1,"○ゲート通過",IF($BK$10&lt;&gt;1,"― この方向は停止中",IF($BA81&gt;$BK$2,"×値動きが荒い",IF($BB81&gt;$BK$3,"×レンジが広い",IF($BC81&gt;$BK$4,"×窓を開けて上昇",IF($Z81&gt;$BK$5,"×前日に急騰",IF($Z81&lt;$BK$6,"×前日に急落",IF($BD81&lt;$BK$7,"×高値から離れすぎ",IF($BE81&gt;$BK$8,"×当日の値幅が大きい","×")))))))))</f>
      </c>
    </row>
    <row r="82" spans="1:60"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IF(AND(E82&lt;&gt;"",K82&lt;&gt;"",K82&lt;&gt;0),(E82-K82)/K82*100,"")</f>
        <v>-24.102564102564102</v>
      </c>
      <c r="M82" s="166">
        <f>IF(C82&lt;&gt;"",IFERROR(AVERAGE(出来高!E195:I195),""),"")</f>
        <v>1656380</v>
      </c>
      <c r="N82" s="166">
        <f>IF(C82&lt;&gt;"",IFERROR(AVERAGE(出来高!E195:AC195),""),"")</f>
        <v>1634152</v>
      </c>
      <c r="O82" s="168">
        <f>IF(AND(J82&lt;&gt;"",M82&lt;&gt;"",M82&lt;&gt;0),J82/M82,"")</f>
        <v>0.81967905915309291</v>
      </c>
      <c r="P82" s="163" t="str">
        <f>IF(O82="","",IF(O82&gt;=2,"急増↑↑",IF(O82&gt;=1.5,"増加↑",IF(O82&gt;=1,"普通→","減少↓"))))</f>
        <v>減少↓</v>
      </c>
      <c r="Q82" s="163" t="str">
        <f>IF(E82="","",IF(AND(E82&gt;G82,O82&gt;=1.5),"買い▲",IF(E82&lt;G82,"様子見▼","中立→")))</f>
        <v>様子見▼</v>
      </c>
      <c r="R82" s="166">
        <f>IF(E82&lt;&gt;"",ROUND(E82*1.08,0),"")</f>
        <v>9590</v>
      </c>
      <c r="S82" s="166">
        <f>IF(E82&lt;&gt;"",ROUND(E82*0.96,0),"")</f>
        <v>8525</v>
      </c>
      <c r="T82" s="163">
        <f>IF(C82="","",IFERROR(IF(O82&gt;=2,3,IF(O82&gt;=1.5,2,IF(O82&gt;=1,1,0)))+IF(E82&gt;G82,1,0)+IF(L82&gt;=-5,1,0)+IF(Q82="買い▲",2,0)+IF(W82&lt;=30,3,IF(W82&lt;=40,2,IF(AND(W82&gt;=40,W82&lt;=60),1,0)))+IF(X82&gt;0,1,0)+IF(V82="年初来高値更新●",3,IF(V82="高値圏",2,0))+IF(AD82="パーフェクト▲",3,IF(AD82="上昇トレンド▲",2,0))+IF(AE82="25日線押し目●",2,IF(AE82="5日線押し目○",1,0))+IF(P82="急増↑↑",2,IF(P82="増加↑",1,0))+N(AI82),0))</f>
        <v>3</v>
      </c>
      <c r="U82" s="163" t="str">
        <f>IF(T82="","",IF(AND(T82&gt;=3,O82&gt;=1.5),"有効",IF(T82&gt;=3,"要確認","除外")))</f>
        <v>要確認</v>
      </c>
      <c r="V82" s="163" t="str">
        <f>IF(AND(H82&lt;&gt;"",K82&lt;&gt;""),IF(H82&gt;=K82,"年初来高値更新●",IF(H82&gt;=K82*0.95,"高値圏","通常")),"")</f>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IF(AND(E82&lt;&gt;"",G82&lt;&gt;"",G82&lt;&gt;0),(E82-G82)/G82*100,"")</f>
        <v>-5.2294557097118464</v>
      </c>
      <c r="AA82" s="163" t="str">
        <f>IF(OR(C82="",E82="",E82=0),"",IF(E82&gt;G82,"上昇▲",IF(E82&lt;G82,"下落▼","横ばい→")))</f>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IF(OR(C82="",AB82="",AC82=""),"",IF(AND(E82&gt;AB82,AB82&gt;AC82),"パーフェクト▲",IF(E82&gt;AC82,"上昇トレンド▲",IF(AND(E82&lt;AB82,AB82&lt;AC82),"下降トレンド▼","もみ合い→"))))</f>
        <v>パーフェクト▲</v>
      </c>
      <c r="AE82" s="404" t="str">
        <f>IF(OR(C82="",AB82="",AC82=""),"",IF(AND(ABS(E82-AC82)/AC82&lt;=0.02,E82&gt;AC82),"25日押し目★",IF(AND(ABS(E82-AB82)/AB82&lt;=0.01,E82&gt;AB82),"5日押し目○","なし")))</f>
        <v>なし</v>
      </c>
      <c r="AF82" s="365">
        <f t="array" ref="AF82">IF(C82="","",IFERROR((INDEX(終値!$E:$E,MATCH(TEXT(C82,"0"),終値!$A:$A,0))-INDEX(終値!$E:$CZ,MATCH(TEXT(C82,"0"),終値!$A:$A,0),$AL$2))/INDEX(終値!$E:$CZ,MATCH(TEXT(C82,"0"),終値!$A:$A,0),$AL$2)*100,""))</f>
        <v>-8.6419753086419746</v>
      </c>
      <c r="AG82" s="365">
        <f t="array" ref="AG82">IFERROR((終値!$E$5-INDEX(終値!$E$5:$IT$5,1,$AL$2))/INDEX(終値!$E$5:$IT$5,1,$AL$2)*100,"")</f>
        <v>1.0179378228534113</v>
      </c>
      <c r="AH82" s="366">
        <f>IF(OR(AF82="",AG82=""),"",AF82-AG82)</f>
        <v>-9.6599131314953866</v>
      </c>
      <c r="AI82" s="364">
        <f>IF(AH82="","",IF(AH82&gt;5,3,IF(AH82&gt;0,1,IF(AH82&gt;-3,-1,-2))))</f>
        <v>-2</v>
      </c>
      <c r="BA82">
        <f>IFERROR((SUM(OFFSET(高値!$E$6,IFERROR(MATCH($C82,銘柄管理!$B$6:$B$305,0),MATCH(TEXT($C82,"0"),銘柄管理!$B$6:$B$305,0))-1,0,1,14))-SUM(OFFSET(安値!$E$6,IFERROR(MATCH($C82,銘柄管理!$B$6:$B$305,0),MATCH(TEXT($C82,"0"),銘柄管理!$B$6:$B$305,0))-1,0,1,14)))/SUM(OFFSET(終値!$E$6,IFERROR(MATCH($C82,銘柄管理!$B$6:$B$305,0),MATCH(TEXT($C82,"0"),銘柄管理!$B$6:$B$305,0))-1,0,1,14))*100,"")</f>
      </c>
      <c r="BB82">
        <f>IFERROR((MAX(OFFSET(高値!$E$6,IFERROR(MATCH($C82,銘柄管理!$B$6:$B$305,0),MATCH(TEXT($C82,"0"),銘柄管理!$B$6:$B$305,0))-1,0,1,25))-MIN(OFFSET(安値!$E$6,IFERROR(MATCH($C82,銘柄管理!$B$6:$B$305,0),MATCH(TEXT($C82,"0"),銘柄管理!$B$6:$B$305,0))-1,0,1,25)))/$E82*100,"")</f>
      </c>
      <c r="BC82">
        <f>IFERROR(($F82-$G82)/$G82*100,"")</f>
      </c>
      <c r="BD82">
        <f>IFERROR(($E82-MAX(OFFSET(高値!$E$6,IFERROR(MATCH($C82,銘柄管理!$B$6:$B$305,0),MATCH(TEXT($C82,"0"),銘柄管理!$B$6:$B$305,0))-1,0,1,25)))/MAX(OFFSET(高値!$E$6,IFERROR(MATCH($C82,銘柄管理!$B$6:$B$305,0),MATCH(TEXT($C82,"0"),銘柄管理!$B$6:$B$305,0))-1,0,1,25))*100,"")</f>
      </c>
      <c r="BE82">
        <f>IFERROR(($H82-$I82)/$F82*100,"")</f>
      </c>
      <c r="BF82">
        <f>IFERROR(-(($BA82-AVERAGE($BA$3:$BA$206))/STDEV($BA$3:$BA$206))-(($BE82-AVERAGE($BE$3:$BE$206))/STDEV($BE$3:$BE$206))-(($BB82-AVERAGE($BB$3:$BB$206))/STDEV($BB$3:$BB$206))-(($Z82-AVERAGE($Z$3:$Z$206))/STDEV($Z$3:$Z$206))-(($BC82-AVERAGE($BC$3:$BC$206))/STDEV($BC$3:$BC$206)),"")</f>
      </c>
      <c r="BG82">
        <f>IF(OR($C82="",$C82="TOPX",$BA82="",$BF82=""),0,IF(AND($BK$10=1,$BA82&lt;=$BK$2,$BB82&lt;=$BK$3,$BC82&lt;=$BK$4,$Z82&lt;=$BK$5,$Z82&gt;=$BK$6,$BD82&gt;=$BK$7,$BE82&lt;=$BK$8),1,0))</f>
      </c>
      <c r="BH82">
        <f>IF($C82="","",IF($BG82=1,"○ゲート通過",IF($BK$10&lt;&gt;1,"― この方向は停止中",IF($BA82&gt;$BK$2,"×値動きが荒い",IF($BB82&gt;$BK$3,"×レンジが広い",IF($BC82&gt;$BK$4,"×窓を開けて上昇",IF($Z82&gt;$BK$5,"×前日に急騰",IF($Z82&lt;$BK$6,"×前日に急落",IF($BD82&lt;$BK$7,"×高値から離れすぎ",IF($BE82&gt;$BK$8,"×当日の値幅が大きい","×")))))))))</f>
      </c>
    </row>
    <row r="83" spans="1:60"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IF(AND(E83&lt;&gt;"",K83&lt;&gt;"",K83&lt;&gt;0),(E83-K83)/K83*100,"")</f>
        <v>-8.3750695603784084</v>
      </c>
      <c r="M83" s="166">
        <f>IF(C83&lt;&gt;"",IFERROR(AVERAGE(出来高!E158:I158),""),"")</f>
        <v>11042100</v>
      </c>
      <c r="N83" s="166">
        <f>IF(C83&lt;&gt;"",IFERROR(AVERAGE(出来高!E158:AC158),""),"")</f>
        <v>9656364</v>
      </c>
      <c r="O83" s="168">
        <f>IF(AND(J83&lt;&gt;"",M83&lt;&gt;"",M83&lt;&gt;0),J83/M83,"")</f>
        <v>0.70802655292018724</v>
      </c>
      <c r="P83" s="163" t="str">
        <f>IF(O83="","",IF(O83&gt;=2,"急増↑↑",IF(O83&gt;=1.5,"増加↑",IF(O83&gt;=1,"普通→","減少↓"))))</f>
        <v>減少↓</v>
      </c>
      <c r="Q83" s="163" t="str">
        <f>IF(E83="","",IF(AND(E83&gt;G83,O83&gt;=1.5),"買い▲",IF(E83&lt;G83,"様子見▼","中立→")))</f>
        <v>様子見▼</v>
      </c>
      <c r="R83" s="166">
        <f>IF(E83&lt;&gt;"",ROUND(E83*1.08,0),"")</f>
        <v>35564</v>
      </c>
      <c r="S83" s="166">
        <f>IF(E83&lt;&gt;"",ROUND(E83*0.96,0),"")</f>
        <v>31613</v>
      </c>
      <c r="T83" s="163">
        <f>IF(C83="","",IFERROR(IF(O83&gt;=2,3,IF(O83&gt;=1.5,2,IF(O83&gt;=1,1,0)))+IF(E83&gt;G83,1,0)+IF(L83&gt;=-5,1,0)+IF(Q83="買い▲",2,0)+IF(W83&lt;=30,3,IF(W83&lt;=40,2,IF(AND(W83&gt;=40,W83&lt;=60),1,0)))+IF(X83&gt;0,1,0)+IF(V83="年初来高値更新●",3,IF(V83="高値圏",2,0))+IF(AD83="パーフェクト▲",3,IF(AD83="上昇トレンド▲",2,0))+IF(AE83="25日線押し目●",2,IF(AE83="5日線押し目○",1,0))+IF(P83="急増↑↑",2,IF(P83="増加↑",1,0))+N(AI83),0))</f>
        <v>5</v>
      </c>
      <c r="U83" s="163" t="str">
        <f>IF(T83="","",IF(AND(T83&gt;=3,O83&gt;=1.5),"有効",IF(T83&gt;=3,"要確認","除外")))</f>
        <v>要確認</v>
      </c>
      <c r="V83" s="163" t="str">
        <f>IF(AND(H83&lt;&gt;"",K83&lt;&gt;""),IF(H83&gt;=K83,"年初来高値更新●",IF(H83&gt;=K83*0.95,"高値圏","通常")),"")</f>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IF(AND(E83&lt;&gt;"",G83&lt;&gt;"",G83&lt;&gt;0),(E83-G83)/G83*100,"")</f>
        <v>-2.34282325029656</v>
      </c>
      <c r="AA83" s="163" t="str">
        <f>IF(OR(C83="",E83="",E83=0),"",IF(E83&gt;G83,"上昇▲",IF(E83&lt;G83,"下落▼","横ばい→")))</f>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IF(OR(C83="",AB83="",AC83=""),"",IF(AND(E83&gt;AB83,AB83&gt;AC83),"パーフェクト▲",IF(E83&gt;AC83,"上昇トレンド▲",IF(AND(E83&lt;AB83,AB83&lt;AC83),"下降トレンド▼","もみ合い→"))))</f>
        <v>上昇トレンド▲</v>
      </c>
      <c r="AE83" s="406" t="str">
        <f>IF(OR(C83="",AB83="",AC83=""),"",IF(AND(ABS(E83-AC83)/AC83&lt;=0.02,E83&gt;AC83),"25日押し目★",IF(AND(ABS(E83-AB83)/AB83&lt;=0.01,E83&gt;AB83),"5日押し目○","なし")))</f>
        <v>なし</v>
      </c>
      <c r="AF83" s="365">
        <f t="array" ref="AF83">IF(C83="","",IFERROR((INDEX(終値!$E:$E,MATCH(TEXT(C83,"0"),終値!$A:$A,0))-INDEX(終値!$E:$CZ,MATCH(TEXT(C83,"0"),終値!$A:$A,0),$AL$2))/INDEX(終値!$E:$CZ,MATCH(TEXT(C83,"0"),終値!$A:$A,0),$AL$2)*100,""))</f>
        <v>2.90625</v>
      </c>
      <c r="AG83" s="365">
        <f t="array" ref="AG83">IFERROR((終値!$E$5-INDEX(終値!$E$5:$IT$5,1,$AL$2))/INDEX(終値!$E$5:$IT$5,1,$AL$2)*100,"")</f>
        <v>1.0179378228534113</v>
      </c>
      <c r="AH83" s="366">
        <f>IF(OR(AF83="",AG83=""),"",AF83-AG83)</f>
        <v>1.8883121771465887</v>
      </c>
      <c r="AI83" s="364">
        <f>IF(AH83="","",IF(AH83&gt;5,3,IF(AH83&gt;0,1,IF(AH83&gt;-3,-1,-2))))</f>
        <v>1</v>
      </c>
      <c r="BA83">
        <f>IFERROR((SUM(OFFSET(高値!$E$6,IFERROR(MATCH($C83,銘柄管理!$B$6:$B$305,0),MATCH(TEXT($C83,"0"),銘柄管理!$B$6:$B$305,0))-1,0,1,14))-SUM(OFFSET(安値!$E$6,IFERROR(MATCH($C83,銘柄管理!$B$6:$B$305,0),MATCH(TEXT($C83,"0"),銘柄管理!$B$6:$B$305,0))-1,0,1,14)))/SUM(OFFSET(終値!$E$6,IFERROR(MATCH($C83,銘柄管理!$B$6:$B$305,0),MATCH(TEXT($C83,"0"),銘柄管理!$B$6:$B$305,0))-1,0,1,14))*100,"")</f>
      </c>
      <c r="BB83">
        <f>IFERROR((MAX(OFFSET(高値!$E$6,IFERROR(MATCH($C83,銘柄管理!$B$6:$B$305,0),MATCH(TEXT($C83,"0"),銘柄管理!$B$6:$B$305,0))-1,0,1,25))-MIN(OFFSET(安値!$E$6,IFERROR(MATCH($C83,銘柄管理!$B$6:$B$305,0),MATCH(TEXT($C83,"0"),銘柄管理!$B$6:$B$305,0))-1,0,1,25)))/$E83*100,"")</f>
      </c>
      <c r="BC83">
        <f>IFERROR(($F83-$G83)/$G83*100,"")</f>
      </c>
      <c r="BD83">
        <f>IFERROR(($E83-MAX(OFFSET(高値!$E$6,IFERROR(MATCH($C83,銘柄管理!$B$6:$B$305,0),MATCH(TEXT($C83,"0"),銘柄管理!$B$6:$B$305,0))-1,0,1,25)))/MAX(OFFSET(高値!$E$6,IFERROR(MATCH($C83,銘柄管理!$B$6:$B$305,0),MATCH(TEXT($C83,"0"),銘柄管理!$B$6:$B$305,0))-1,0,1,25))*100,"")</f>
      </c>
      <c r="BE83">
        <f>IFERROR(($H83-$I83)/$F83*100,"")</f>
      </c>
      <c r="BF83">
        <f>IFERROR(-(($BA83-AVERAGE($BA$3:$BA$206))/STDEV($BA$3:$BA$206))-(($BE83-AVERAGE($BE$3:$BE$206))/STDEV($BE$3:$BE$206))-(($BB83-AVERAGE($BB$3:$BB$206))/STDEV($BB$3:$BB$206))-(($Z83-AVERAGE($Z$3:$Z$206))/STDEV($Z$3:$Z$206))-(($BC83-AVERAGE($BC$3:$BC$206))/STDEV($BC$3:$BC$206)),"")</f>
      </c>
      <c r="BG83">
        <f>IF(OR($C83="",$C83="TOPX",$BA83="",$BF83=""),0,IF(AND($BK$10=1,$BA83&lt;=$BK$2,$BB83&lt;=$BK$3,$BC83&lt;=$BK$4,$Z83&lt;=$BK$5,$Z83&gt;=$BK$6,$BD83&gt;=$BK$7,$BE83&lt;=$BK$8),1,0))</f>
      </c>
      <c r="BH83">
        <f>IF($C83="","",IF($BG83=1,"○ゲート通過",IF($BK$10&lt;&gt;1,"― この方向は停止中",IF($BA83&gt;$BK$2,"×値動きが荒い",IF($BB83&gt;$BK$3,"×レンジが広い",IF($BC83&gt;$BK$4,"×窓を開けて上昇",IF($Z83&gt;$BK$5,"×前日に急騰",IF($Z83&lt;$BK$6,"×前日に急落",IF($BD83&lt;$BK$7,"×高値から離れすぎ",IF($BE83&gt;$BK$8,"×当日の値幅が大きい","×")))))))))</f>
      </c>
    </row>
    <row r="84" spans="1:60"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IF(AND(E84&lt;&gt;"",K84&lt;&gt;"",K84&lt;&gt;0),(E84-K84)/K84*100,"")</f>
        <v>-15.545353807186956</v>
      </c>
      <c r="M84" s="166">
        <f>IF(C84&lt;&gt;"",IFERROR(AVERAGE(出来高!E81:I81),""),"")</f>
        <v>1921380</v>
      </c>
      <c r="N84" s="166">
        <f>IF(C84&lt;&gt;"",IFERROR(AVERAGE(出来高!E81:AC81),""),"")</f>
        <v>1227704</v>
      </c>
      <c r="O84" s="168">
        <f>IF(AND(J84&lt;&gt;"",M84&lt;&gt;"",M84&lt;&gt;0),J84/M84,"")</f>
        <v>1.4677991860017279</v>
      </c>
      <c r="P84" s="163" t="str">
        <f>IF(O84="","",IF(O84&gt;=2,"急増↑↑",IF(O84&gt;=1.5,"増加↑",IF(O84&gt;=1,"普通→","減少↓"))))</f>
        <v>普通→</v>
      </c>
      <c r="Q84" s="163" t="str">
        <f>IF(E84="","",IF(AND(E84&gt;G84,O84&gt;=1.5),"買い▲",IF(E84&lt;G84,"様子見▼","中立→")))</f>
        <v>中立→</v>
      </c>
      <c r="R84" s="166">
        <f>IF(E84&lt;&gt;"",ROUND(E84*1.08,0),"")</f>
        <v>5762</v>
      </c>
      <c r="S84" s="166">
        <f>IF(E84&lt;&gt;"",ROUND(E84*0.96,0),"")</f>
        <v>5122</v>
      </c>
      <c r="T84" s="163">
        <f>IF(C84="","",IFERROR(IF(O84&gt;=2,3,IF(O84&gt;=1.5,2,IF(O84&gt;=1,1,0)))+IF(E84&gt;G84,1,0)+IF(L84&gt;=-5,1,0)+IF(Q84="買い▲",2,0)+IF(W84&lt;=30,3,IF(W84&lt;=40,2,IF(AND(W84&gt;=40,W84&lt;=60),1,0)))+IF(X84&gt;0,1,0)+IF(V84="年初来高値更新●",3,IF(V84="高値圏",2,0))+IF(AD84="パーフェクト▲",3,IF(AD84="上昇トレンド▲",2,0))+IF(AE84="25日線押し目●",2,IF(AE84="5日線押し目○",1,0))+IF(P84="急増↑↑",2,IF(P84="増加↑",1,0))+N(AI84),0))</f>
        <v>5</v>
      </c>
      <c r="U84" s="163" t="str">
        <f>IF(T84="","",IF(AND(T84&gt;=3,O84&gt;=1.5),"有効",IF(T84&gt;=3,"要確認","除外")))</f>
        <v>要確認</v>
      </c>
      <c r="V84" s="163" t="str">
        <f>IF(AND(H84&lt;&gt;"",K84&lt;&gt;""),IF(H84&gt;=K84,"年初来高値更新●",IF(H84&gt;=K84*0.95,"高値圏","通常")),"")</f>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IF(AND(E84&lt;&gt;"",G84&lt;&gt;"",G84&lt;&gt;0),(E84-G84)/G84*100,"")</f>
        <v>0.62240663900414939</v>
      </c>
      <c r="AA84" s="163" t="str">
        <f>IF(OR(C84="",E84="",E84=0),"",IF(E84&gt;G84,"上昇▲",IF(E84&lt;G84,"下落▼","横ばい→")))</f>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IF(OR(C84="",AB84="",AC84=""),"",IF(AND(E84&gt;AB84,AB84&gt;AC84),"パーフェクト▲",IF(E84&gt;AC84,"上昇トレンド▲",IF(AND(E84&lt;AB84,AB84&lt;AC84),"下降トレンド▼","もみ合い→"))))</f>
        <v>パーフェクト▲</v>
      </c>
      <c r="AE84" s="404" t="str">
        <f>IF(OR(C84="",AB84="",AC84=""),"",IF(AND(ABS(E84-AC84)/AC84&lt;=0.02,E84&gt;AC84),"25日押し目★",IF(AND(ABS(E84-AB84)/AB84&lt;=0.01,E84&gt;AB84),"5日押し目○","なし")))</f>
        <v>なし</v>
      </c>
      <c r="AF84" s="365">
        <f t="array" ref="AF84">IF(C84="","",IFERROR((INDEX(終値!$E:$E,MATCH(TEXT(C84,"0"),終値!$A:$A,0))-INDEX(終値!$E:$CZ,MATCH(TEXT(C84,"0"),終値!$A:$A,0),$AL$2))/INDEX(終値!$E:$CZ,MATCH(TEXT(C84,"0"),終値!$A:$A,0),$AL$2)*100,""))</f>
        <v>-6.6328316415820794</v>
      </c>
      <c r="AG84" s="365">
        <f t="array" ref="AG84">IFERROR((終値!$E$5-INDEX(終値!$E$5:$IT$5,1,$AL$2))/INDEX(終値!$E$5:$IT$5,1,$AL$2)*100,"")</f>
        <v>1.0179378228534113</v>
      </c>
      <c r="AH84" s="366">
        <f>IF(OR(AF84="",AG84=""),"",AF84-AG84)</f>
        <v>-7.6507694644354904</v>
      </c>
      <c r="AI84" s="364">
        <f>IF(AH84="","",IF(AH84&gt;5,3,IF(AH84&gt;0,1,IF(AH84&gt;-3,-1,-2))))</f>
        <v>-2</v>
      </c>
      <c r="BA84">
        <f>IFERROR((SUM(OFFSET(高値!$E$6,IFERROR(MATCH($C84,銘柄管理!$B$6:$B$305,0),MATCH(TEXT($C84,"0"),銘柄管理!$B$6:$B$305,0))-1,0,1,14))-SUM(OFFSET(安値!$E$6,IFERROR(MATCH($C84,銘柄管理!$B$6:$B$305,0),MATCH(TEXT($C84,"0"),銘柄管理!$B$6:$B$305,0))-1,0,1,14)))/SUM(OFFSET(終値!$E$6,IFERROR(MATCH($C84,銘柄管理!$B$6:$B$305,0),MATCH(TEXT($C84,"0"),銘柄管理!$B$6:$B$305,0))-1,0,1,14))*100,"")</f>
      </c>
      <c r="BB84">
        <f>IFERROR((MAX(OFFSET(高値!$E$6,IFERROR(MATCH($C84,銘柄管理!$B$6:$B$305,0),MATCH(TEXT($C84,"0"),銘柄管理!$B$6:$B$305,0))-1,0,1,25))-MIN(OFFSET(安値!$E$6,IFERROR(MATCH($C84,銘柄管理!$B$6:$B$305,0),MATCH(TEXT($C84,"0"),銘柄管理!$B$6:$B$305,0))-1,0,1,25)))/$E84*100,"")</f>
      </c>
      <c r="BC84">
        <f>IFERROR(($F84-$G84)/$G84*100,"")</f>
      </c>
      <c r="BD84">
        <f>IFERROR(($E84-MAX(OFFSET(高値!$E$6,IFERROR(MATCH($C84,銘柄管理!$B$6:$B$305,0),MATCH(TEXT($C84,"0"),銘柄管理!$B$6:$B$305,0))-1,0,1,25)))/MAX(OFFSET(高値!$E$6,IFERROR(MATCH($C84,銘柄管理!$B$6:$B$305,0),MATCH(TEXT($C84,"0"),銘柄管理!$B$6:$B$305,0))-1,0,1,25))*100,"")</f>
      </c>
      <c r="BE84">
        <f>IFERROR(($H84-$I84)/$F84*100,"")</f>
      </c>
      <c r="BF84">
        <f>IFERROR(-(($BA84-AVERAGE($BA$3:$BA$206))/STDEV($BA$3:$BA$206))-(($BE84-AVERAGE($BE$3:$BE$206))/STDEV($BE$3:$BE$206))-(($BB84-AVERAGE($BB$3:$BB$206))/STDEV($BB$3:$BB$206))-(($Z84-AVERAGE($Z$3:$Z$206))/STDEV($Z$3:$Z$206))-(($BC84-AVERAGE($BC$3:$BC$206))/STDEV($BC$3:$BC$206)),"")</f>
      </c>
      <c r="BG84">
        <f>IF(OR($C84="",$C84="TOPX",$BA84="",$BF84=""),0,IF(AND($BK$10=1,$BA84&lt;=$BK$2,$BB84&lt;=$BK$3,$BC84&lt;=$BK$4,$Z84&lt;=$BK$5,$Z84&gt;=$BK$6,$BD84&gt;=$BK$7,$BE84&lt;=$BK$8),1,0))</f>
      </c>
      <c r="BH84">
        <f>IF($C84="","",IF($BG84=1,"○ゲート通過",IF($BK$10&lt;&gt;1,"― この方向は停止中",IF($BA84&gt;$BK$2,"×値動きが荒い",IF($BB84&gt;$BK$3,"×レンジが広い",IF($BC84&gt;$BK$4,"×窓を開けて上昇",IF($Z84&gt;$BK$5,"×前日に急騰",IF($Z84&lt;$BK$6,"×前日に急落",IF($BD84&lt;$BK$7,"×高値から離れすぎ",IF($BE84&gt;$BK$8,"×当日の値幅が大きい","×")))))))))</f>
      </c>
    </row>
    <row r="85" spans="1:60"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IF(AND(E85&lt;&gt;"",K85&lt;&gt;"",K85&lt;&gt;0),(E85-K85)/K85*100,"")</f>
        <v>-40.705128205128204</v>
      </c>
      <c r="M85" s="166">
        <f>IF(C85&lt;&gt;"",IFERROR(AVERAGE(出来高!E148:I148),""),"")</f>
        <v>247040</v>
      </c>
      <c r="N85" s="166">
        <f>IF(C85&lt;&gt;"",IFERROR(AVERAGE(出来高!E148:AC148),""),"")</f>
        <v>276636</v>
      </c>
      <c r="O85" s="168">
        <f>IF(AND(J85&lt;&gt;"",M85&lt;&gt;"",M85&lt;&gt;0),J85/M85,"")</f>
        <v>0.65859779792746109</v>
      </c>
      <c r="P85" s="163" t="str">
        <f>IF(O85="","",IF(O85&gt;=2,"急増↑↑",IF(O85&gt;=1.5,"増加↑",IF(O85&gt;=1,"普通→","減少↓"))))</f>
        <v>減少↓</v>
      </c>
      <c r="Q85" s="163" t="str">
        <f>IF(E85="","",IF(AND(E85&gt;G85,O85&gt;=1.5),"買い▲",IF(E85&lt;G85,"様子見▼","中立→")))</f>
        <v>様子見▼</v>
      </c>
      <c r="R85" s="166">
        <f>IF(E85&lt;&gt;"",ROUND(E85*1.08,0),"")</f>
        <v>1598</v>
      </c>
      <c r="S85" s="166">
        <f>IF(E85&lt;&gt;"",ROUND(E85*0.96,0),"")</f>
        <v>1421</v>
      </c>
      <c r="T85" s="163">
        <f>IF(C85="","",IFERROR(IF(O85&gt;=2,3,IF(O85&gt;=1.5,2,IF(O85&gt;=1,1,0)))+IF(E85&gt;G85,1,0)+IF(L85&gt;=-5,1,0)+IF(Q85="買い▲",2,0)+IF(W85&lt;=30,3,IF(W85&lt;=40,2,IF(AND(W85&gt;=40,W85&lt;=60),1,0)))+IF(X85&gt;0,1,0)+IF(V85="年初来高値更新●",3,IF(V85="高値圏",2,0))+IF(AD85="パーフェクト▲",3,IF(AD85="上昇トレンド▲",2,0))+IF(AE85="25日線押し目●",2,IF(AE85="5日線押し目○",1,0))+IF(P85="急増↑↑",2,IF(P85="増加↑",1,0))+N(AI85),0))</f>
        <v>-1</v>
      </c>
      <c r="U85" s="163" t="str">
        <f>IF(T85="","",IF(AND(T85&gt;=3,O85&gt;=1.5),"有効",IF(T85&gt;=3,"要確認","除外")))</f>
        <v>除外</v>
      </c>
      <c r="V85" s="163" t="str">
        <f>IF(AND(H85&lt;&gt;"",K85&lt;&gt;""),IF(H85&gt;=K85,"年初来高値更新●",IF(H85&gt;=K85*0.95,"高値圏","通常")),"")</f>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IF(AND(E85&lt;&gt;"",G85&lt;&gt;"",G85&lt;&gt;0),(E85-G85)/G85*100,"")</f>
        <v>-2.3746701846965697</v>
      </c>
      <c r="AA85" s="163" t="str">
        <f>IF(OR(C85="",E85="",E85=0),"",IF(E85&gt;G85,"上昇▲",IF(E85&lt;G85,"下落▼","横ばい→")))</f>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IF(OR(C85="",AB85="",AC85=""),"",IF(AND(E85&gt;AB85,AB85&gt;AC85),"パーフェクト▲",IF(E85&gt;AC85,"上昇トレンド▲",IF(AND(E85&lt;AB85,AB85&lt;AC85),"下降トレンド▼","もみ合い→"))))</f>
        <v>もみ合い→</v>
      </c>
      <c r="AE85" s="406" t="str">
        <f>IF(OR(C85="",AB85="",AC85=""),"",IF(AND(ABS(E85-AC85)/AC85&lt;=0.02,E85&gt;AC85),"25日押し目★",IF(AND(ABS(E85-AB85)/AB85&lt;=0.01,E85&gt;AB85),"5日押し目○","なし")))</f>
        <v>なし</v>
      </c>
      <c r="AF85" s="365">
        <f t="array" ref="AF85">IF(C85="","",IFERROR((INDEX(終値!$E:$E,MATCH(TEXT(C85,"0"),終値!$A:$A,0))-INDEX(終値!$E:$CZ,MATCH(TEXT(C85,"0"),終値!$A:$A,0),$AL$2))/INDEX(終値!$E:$CZ,MATCH(TEXT(C85,"0"),終値!$A:$A,0),$AL$2)*100,""))</f>
        <v>-14.844649021864212</v>
      </c>
      <c r="AG85" s="365">
        <f t="array" ref="AG85">IFERROR((終値!$E$5-INDEX(終値!$E$5:$IT$5,1,$AL$2))/INDEX(終値!$E$5:$IT$5,1,$AL$2)*100,"")</f>
        <v>1.0179378228534113</v>
      </c>
      <c r="AH85" s="366">
        <f>IF(OR(AF85="",AG85=""),"",AF85-AG85)</f>
        <v>-15.862586844717624</v>
      </c>
      <c r="AI85" s="364">
        <f>IF(AH85="","",IF(AH85&gt;5,3,IF(AH85&gt;0,1,IF(AH85&gt;-3,-1,-2))))</f>
        <v>-2</v>
      </c>
      <c r="BA85">
        <f>IFERROR((SUM(OFFSET(高値!$E$6,IFERROR(MATCH($C85,銘柄管理!$B$6:$B$305,0),MATCH(TEXT($C85,"0"),銘柄管理!$B$6:$B$305,0))-1,0,1,14))-SUM(OFFSET(安値!$E$6,IFERROR(MATCH($C85,銘柄管理!$B$6:$B$305,0),MATCH(TEXT($C85,"0"),銘柄管理!$B$6:$B$305,0))-1,0,1,14)))/SUM(OFFSET(終値!$E$6,IFERROR(MATCH($C85,銘柄管理!$B$6:$B$305,0),MATCH(TEXT($C85,"0"),銘柄管理!$B$6:$B$305,0))-1,0,1,14))*100,"")</f>
      </c>
      <c r="BB85">
        <f>IFERROR((MAX(OFFSET(高値!$E$6,IFERROR(MATCH($C85,銘柄管理!$B$6:$B$305,0),MATCH(TEXT($C85,"0"),銘柄管理!$B$6:$B$305,0))-1,0,1,25))-MIN(OFFSET(安値!$E$6,IFERROR(MATCH($C85,銘柄管理!$B$6:$B$305,0),MATCH(TEXT($C85,"0"),銘柄管理!$B$6:$B$305,0))-1,0,1,25)))/$E85*100,"")</f>
      </c>
      <c r="BC85">
        <f>IFERROR(($F85-$G85)/$G85*100,"")</f>
      </c>
      <c r="BD85">
        <f>IFERROR(($E85-MAX(OFFSET(高値!$E$6,IFERROR(MATCH($C85,銘柄管理!$B$6:$B$305,0),MATCH(TEXT($C85,"0"),銘柄管理!$B$6:$B$305,0))-1,0,1,25)))/MAX(OFFSET(高値!$E$6,IFERROR(MATCH($C85,銘柄管理!$B$6:$B$305,0),MATCH(TEXT($C85,"0"),銘柄管理!$B$6:$B$305,0))-1,0,1,25))*100,"")</f>
      </c>
      <c r="BE85">
        <f>IFERROR(($H85-$I85)/$F85*100,"")</f>
      </c>
      <c r="BF85">
        <f>IFERROR(-(($BA85-AVERAGE($BA$3:$BA$206))/STDEV($BA$3:$BA$206))-(($BE85-AVERAGE($BE$3:$BE$206))/STDEV($BE$3:$BE$206))-(($BB85-AVERAGE($BB$3:$BB$206))/STDEV($BB$3:$BB$206))-(($Z85-AVERAGE($Z$3:$Z$206))/STDEV($Z$3:$Z$206))-(($BC85-AVERAGE($BC$3:$BC$206))/STDEV($BC$3:$BC$206)),"")</f>
      </c>
      <c r="BG85">
        <f>IF(OR($C85="",$C85="TOPX",$BA85="",$BF85=""),0,IF(AND($BK$10=1,$BA85&lt;=$BK$2,$BB85&lt;=$BK$3,$BC85&lt;=$BK$4,$Z85&lt;=$BK$5,$Z85&gt;=$BK$6,$BD85&gt;=$BK$7,$BE85&lt;=$BK$8),1,0))</f>
      </c>
      <c r="BH85">
        <f>IF($C85="","",IF($BG85=1,"○ゲート通過",IF($BK$10&lt;&gt;1,"― この方向は停止中",IF($BA85&gt;$BK$2,"×値動きが荒い",IF($BB85&gt;$BK$3,"×レンジが広い",IF($BC85&gt;$BK$4,"×窓を開けて上昇",IF($Z85&gt;$BK$5,"×前日に急騰",IF($Z85&lt;$BK$6,"×前日に急落",IF($BD85&lt;$BK$7,"×高値から離れすぎ",IF($BE85&gt;$BK$8,"×当日の値幅が大きい","×")))))))))</f>
      </c>
    </row>
    <row r="86" spans="1:60"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IF(AND(E86&lt;&gt;"",K86&lt;&gt;"",K86&lt;&gt;0),(E86-K86)/K86*100,"")</f>
        <v>-47.483443708609272</v>
      </c>
      <c r="M86" s="166">
        <f>IF(C86&lt;&gt;"",IFERROR(AVERAGE(出来高!E145:I145),""),"")</f>
        <v>530680</v>
      </c>
      <c r="N86" s="166">
        <f>IF(C86&lt;&gt;"",IFERROR(AVERAGE(出来高!E145:AC145),""),"")</f>
        <v>460096</v>
      </c>
      <c r="O86" s="168">
        <f>IF(AND(J86&lt;&gt;"",M86&lt;&gt;"",M86&lt;&gt;0),J86/M86,"")</f>
        <v>1.1157382980327128</v>
      </c>
      <c r="P86" s="163" t="str">
        <f>IF(O86="","",IF(O86&gt;=2,"急増↑↑",IF(O86&gt;=1.5,"増加↑",IF(O86&gt;=1,"普通→","減少↓"))))</f>
        <v>普通→</v>
      </c>
      <c r="Q86" s="163" t="str">
        <f>IF(E86="","",IF(AND(E86&gt;G86,O86&gt;=1.5),"買い▲",IF(E86&lt;G86,"様子見▼","中立→")))</f>
        <v>様子見▼</v>
      </c>
      <c r="R86" s="166">
        <f>IF(E86&lt;&gt;"",ROUND(E86*1.08,0),"")</f>
        <v>25693</v>
      </c>
      <c r="S86" s="166">
        <f>IF(E86&lt;&gt;"",ROUND(E86*0.96,0),"")</f>
        <v>22838</v>
      </c>
      <c r="T86" s="163">
        <f>IF(C86="","",IFERROR(IF(O86&gt;=2,3,IF(O86&gt;=1.5,2,IF(O86&gt;=1,1,0)))+IF(E86&gt;G86,1,0)+IF(L86&gt;=-5,1,0)+IF(Q86="買い▲",2,0)+IF(W86&lt;=30,3,IF(W86&lt;=40,2,IF(AND(W86&gt;=40,W86&lt;=60),1,0)))+IF(X86&gt;0,1,0)+IF(V86="年初来高値更新●",3,IF(V86="高値圏",2,0))+IF(AD86="パーフェクト▲",3,IF(AD86="上昇トレンド▲",2,0))+IF(AE86="25日線押し目●",2,IF(AE86="5日線押し目○",1,0))+IF(P86="急増↑↑",2,IF(P86="増加↑",1,0))+N(AI86),0))</f>
        <v>2</v>
      </c>
      <c r="U86" s="163" t="str">
        <f>IF(T86="","",IF(AND(T86&gt;=3,O86&gt;=1.5),"有効",IF(T86&gt;=3,"要確認","除外")))</f>
        <v>除外</v>
      </c>
      <c r="V86" s="163" t="str">
        <f>IF(AND(H86&lt;&gt;"",K86&lt;&gt;""),IF(H86&gt;=K86,"年初来高値更新●",IF(H86&gt;=K86*0.95,"高値圏","通常")),"")</f>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IF(AND(E86&lt;&gt;"",G86&lt;&gt;"",G86&lt;&gt;0),(E86-G86)/G86*100,"")</f>
        <v>-4.07258064516129</v>
      </c>
      <c r="AA86" s="163" t="str">
        <f>IF(OR(C86="",E86="",E86=0),"",IF(E86&gt;G86,"上昇▲",IF(E86&lt;G86,"下落▼","横ばい→")))</f>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IF(OR(C86="",AB86="",AC86=""),"",IF(AND(E86&gt;AB86,AB86&gt;AC86),"パーフェクト▲",IF(E86&gt;AC86,"上昇トレンド▲",IF(AND(E86&lt;AB86,AB86&lt;AC86),"下降トレンド▼","もみ合い→"))))</f>
        <v>上昇トレンド▲</v>
      </c>
      <c r="AE86" s="404" t="str">
        <f>IF(OR(C86="",AB86="",AC86=""),"",IF(AND(ABS(E86-AC86)/AC86&lt;=0.02,E86&gt;AC86),"25日押し目★",IF(AND(ABS(E86-AB86)/AB86&lt;=0.01,E86&gt;AB86),"5日押し目○","なし")))</f>
        <v>なし</v>
      </c>
      <c r="AF86" s="365">
        <f t="array" ref="AF86">IF(C86="","",IFERROR((INDEX(終値!$E:$E,MATCH(TEXT(C86,"0"),終値!$A:$A,0))-INDEX(終値!$E:$CZ,MATCH(TEXT(C86,"0"),終値!$A:$A,0),$AL$2))/INDEX(終値!$E:$CZ,MATCH(TEXT(C86,"0"),終値!$A:$A,0),$AL$2)*100,""))</f>
        <v>-19.410569105691057</v>
      </c>
      <c r="AG86" s="365">
        <f t="array" ref="AG86">IFERROR((終値!$E$5-INDEX(終値!$E$5:$IT$5,1,$AL$2))/INDEX(終値!$E$5:$IT$5,1,$AL$2)*100,"")</f>
        <v>1.0179378228534113</v>
      </c>
      <c r="AH86" s="366">
        <f>IF(OR(AF86="",AG86=""),"",AF86-AG86)</f>
        <v>-20.428506928544468</v>
      </c>
      <c r="AI86" s="364">
        <f>IF(AH86="","",IF(AH86&gt;5,3,IF(AH86&gt;0,1,IF(AH86&gt;-3,-1,-2))))</f>
        <v>-2</v>
      </c>
      <c r="BA86">
        <f>IFERROR((SUM(OFFSET(高値!$E$6,IFERROR(MATCH($C86,銘柄管理!$B$6:$B$305,0),MATCH(TEXT($C86,"0"),銘柄管理!$B$6:$B$305,0))-1,0,1,14))-SUM(OFFSET(安値!$E$6,IFERROR(MATCH($C86,銘柄管理!$B$6:$B$305,0),MATCH(TEXT($C86,"0"),銘柄管理!$B$6:$B$305,0))-1,0,1,14)))/SUM(OFFSET(終値!$E$6,IFERROR(MATCH($C86,銘柄管理!$B$6:$B$305,0),MATCH(TEXT($C86,"0"),銘柄管理!$B$6:$B$305,0))-1,0,1,14))*100,"")</f>
      </c>
      <c r="BB86">
        <f>IFERROR((MAX(OFFSET(高値!$E$6,IFERROR(MATCH($C86,銘柄管理!$B$6:$B$305,0),MATCH(TEXT($C86,"0"),銘柄管理!$B$6:$B$305,0))-1,0,1,25))-MIN(OFFSET(安値!$E$6,IFERROR(MATCH($C86,銘柄管理!$B$6:$B$305,0),MATCH(TEXT($C86,"0"),銘柄管理!$B$6:$B$305,0))-1,0,1,25)))/$E86*100,"")</f>
      </c>
      <c r="BC86">
        <f>IFERROR(($F86-$G86)/$G86*100,"")</f>
      </c>
      <c r="BD86">
        <f>IFERROR(($E86-MAX(OFFSET(高値!$E$6,IFERROR(MATCH($C86,銘柄管理!$B$6:$B$305,0),MATCH(TEXT($C86,"0"),銘柄管理!$B$6:$B$305,0))-1,0,1,25)))/MAX(OFFSET(高値!$E$6,IFERROR(MATCH($C86,銘柄管理!$B$6:$B$305,0),MATCH(TEXT($C86,"0"),銘柄管理!$B$6:$B$305,0))-1,0,1,25))*100,"")</f>
      </c>
      <c r="BE86">
        <f>IFERROR(($H86-$I86)/$F86*100,"")</f>
      </c>
      <c r="BF86">
        <f>IFERROR(-(($BA86-AVERAGE($BA$3:$BA$206))/STDEV($BA$3:$BA$206))-(($BE86-AVERAGE($BE$3:$BE$206))/STDEV($BE$3:$BE$206))-(($BB86-AVERAGE($BB$3:$BB$206))/STDEV($BB$3:$BB$206))-(($Z86-AVERAGE($Z$3:$Z$206))/STDEV($Z$3:$Z$206))-(($BC86-AVERAGE($BC$3:$BC$206))/STDEV($BC$3:$BC$206)),"")</f>
      </c>
      <c r="BG86">
        <f>IF(OR($C86="",$C86="TOPX",$BA86="",$BF86=""),0,IF(AND($BK$10=1,$BA86&lt;=$BK$2,$BB86&lt;=$BK$3,$BC86&lt;=$BK$4,$Z86&lt;=$BK$5,$Z86&gt;=$BK$6,$BD86&gt;=$BK$7,$BE86&lt;=$BK$8),1,0))</f>
      </c>
      <c r="BH86">
        <f>IF($C86="","",IF($BG86=1,"○ゲート通過",IF($BK$10&lt;&gt;1,"― この方向は停止中",IF($BA86&gt;$BK$2,"×値動きが荒い",IF($BB86&gt;$BK$3,"×レンジが広い",IF($BC86&gt;$BK$4,"×窓を開けて上昇",IF($Z86&gt;$BK$5,"×前日に急騰",IF($Z86&lt;$BK$6,"×前日に急落",IF($BD86&lt;$BK$7,"×高値から離れすぎ",IF($BE86&gt;$BK$8,"×当日の値幅が大きい","×")))))))))</f>
      </c>
    </row>
    <row r="87" spans="1:60"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IF(AND(E87&lt;&gt;"",K87&lt;&gt;"",K87&lt;&gt;0),(E87-K87)/K87*100,"")</f>
        <v>-43.659942363112393</v>
      </c>
      <c r="M87" s="166">
        <f>IF(C87&lt;&gt;"",IFERROR(AVERAGE(出来高!E144:I144),""),"")</f>
        <v>183040</v>
      </c>
      <c r="N87" s="166">
        <f>IF(C87&lt;&gt;"",IFERROR(AVERAGE(出来高!E144:AC144),""),"")</f>
        <v>148287.5</v>
      </c>
      <c r="O87" s="168">
        <f>IF(AND(J87&lt;&gt;"",M87&lt;&gt;"",M87&lt;&gt;0),J87/M87,"")</f>
        <v>1.1046765734265733</v>
      </c>
      <c r="P87" s="163" t="str">
        <f>IF(O87="","",IF(O87&gt;=2,"急増↑↑",IF(O87&gt;=1.5,"増加↑",IF(O87&gt;=1,"普通→","減少↓"))))</f>
        <v>普通→</v>
      </c>
      <c r="Q87" s="163" t="str">
        <f>IF(E87="","",IF(AND(E87&gt;G87,O87&gt;=1.5),"買い▲",IF(E87&lt;G87,"様子見▼","中立→")))</f>
        <v>様子見▼</v>
      </c>
      <c r="R87" s="166">
        <f>IF(E87&lt;&gt;"",ROUND(E87*1.08,0),"")</f>
        <v>21114</v>
      </c>
      <c r="S87" s="166">
        <f>IF(E87&lt;&gt;"",ROUND(E87*0.96,0),"")</f>
        <v>18768</v>
      </c>
      <c r="T87" s="163">
        <f>IF(C87="","",IFERROR(IF(O87&gt;=2,3,IF(O87&gt;=1.5,2,IF(O87&gt;=1,1,0)))+IF(E87&gt;G87,1,0)+IF(L87&gt;=-5,1,0)+IF(Q87="買い▲",2,0)+IF(W87&lt;=30,3,IF(W87&lt;=40,2,IF(AND(W87&gt;=40,W87&lt;=60),1,0)))+IF(X87&gt;0,1,0)+IF(V87="年初来高値更新●",3,IF(V87="高値圏",2,0))+IF(AD87="パーフェクト▲",3,IF(AD87="上昇トレンド▲",2,0))+IF(AE87="25日線押し目●",2,IF(AE87="5日線押し目○",1,0))+IF(P87="急増↑↑",2,IF(P87="増加↑",1,0))+N(AI87),0))</f>
        <v>3</v>
      </c>
      <c r="U87" s="163" t="str">
        <f>IF(T87="","",IF(AND(T87&gt;=3,O87&gt;=1.5),"有効",IF(T87&gt;=3,"要確認","除外")))</f>
        <v>要確認</v>
      </c>
      <c r="V87" s="163" t="str">
        <f>IF(AND(H87&lt;&gt;"",K87&lt;&gt;""),IF(H87&gt;=K87,"年初来高値更新●",IF(H87&gt;=K87*0.95,"高値圏","通常")),"")</f>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IF(AND(E87&lt;&gt;"",G87&lt;&gt;"",G87&lt;&gt;0),(E87-G87)/G87*100,"")</f>
        <v>-8.8578088578088572</v>
      </c>
      <c r="AA87" s="163" t="str">
        <f>IF(OR(C87="",E87="",E87=0),"",IF(E87&gt;G87,"上昇▲",IF(E87&lt;G87,"下落▼","横ばい→")))</f>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IF(OR(C87="",AB87="",AC87=""),"",IF(AND(E87&gt;AB87,AB87&gt;AC87),"パーフェクト▲",IF(E87&gt;AC87,"上昇トレンド▲",IF(AND(E87&lt;AB87,AB87&lt;AC87),"下降トレンド▼","もみ合い→"))))</f>
        <v>パーフェクト▲</v>
      </c>
      <c r="AE87" s="406" t="str">
        <f>IF(OR(C87="",AB87="",AC87=""),"",IF(AND(ABS(E87-AC87)/AC87&lt;=0.02,E87&gt;AC87),"25日押し目★",IF(AND(ABS(E87-AB87)/AB87&lt;=0.01,E87&gt;AB87),"5日押し目○","なし")))</f>
        <v>なし</v>
      </c>
      <c r="AF87" s="365">
        <f t="array" ref="AF87">IF(C87="","",IFERROR((INDEX(終値!$E:$E,MATCH(TEXT(C87,"0"),終値!$A:$A,0))-INDEX(終値!$E:$CZ,MATCH(TEXT(C87,"0"),終値!$A:$A,0),$AL$2))/INDEX(終値!$E:$CZ,MATCH(TEXT(C87,"0"),終値!$A:$A,0),$AL$2)*100,""))</f>
        <v>-24.224806201550386</v>
      </c>
      <c r="AG87" s="365">
        <f t="array" ref="AG87">IFERROR((終値!$E$5-INDEX(終値!$E$5:$IT$5,1,$AL$2))/INDEX(終値!$E$5:$IT$5,1,$AL$2)*100,"")</f>
        <v>1.0179378228534113</v>
      </c>
      <c r="AH87" s="366">
        <f>IF(OR(AF87="",AG87=""),"",AF87-AG87)</f>
        <v>-25.242744024403798</v>
      </c>
      <c r="AI87" s="364">
        <f>IF(AH87="","",IF(AH87&gt;5,3,IF(AH87&gt;0,1,IF(AH87&gt;-3,-1,-2))))</f>
        <v>-2</v>
      </c>
      <c r="BA87">
        <f>IFERROR((SUM(OFFSET(高値!$E$6,IFERROR(MATCH($C87,銘柄管理!$B$6:$B$305,0),MATCH(TEXT($C87,"0"),銘柄管理!$B$6:$B$305,0))-1,0,1,14))-SUM(OFFSET(安値!$E$6,IFERROR(MATCH($C87,銘柄管理!$B$6:$B$305,0),MATCH(TEXT($C87,"0"),銘柄管理!$B$6:$B$305,0))-1,0,1,14)))/SUM(OFFSET(終値!$E$6,IFERROR(MATCH($C87,銘柄管理!$B$6:$B$305,0),MATCH(TEXT($C87,"0"),銘柄管理!$B$6:$B$305,0))-1,0,1,14))*100,"")</f>
      </c>
      <c r="BB87">
        <f>IFERROR((MAX(OFFSET(高値!$E$6,IFERROR(MATCH($C87,銘柄管理!$B$6:$B$305,0),MATCH(TEXT($C87,"0"),銘柄管理!$B$6:$B$305,0))-1,0,1,25))-MIN(OFFSET(安値!$E$6,IFERROR(MATCH($C87,銘柄管理!$B$6:$B$305,0),MATCH(TEXT($C87,"0"),銘柄管理!$B$6:$B$305,0))-1,0,1,25)))/$E87*100,"")</f>
      </c>
      <c r="BC87">
        <f>IFERROR(($F87-$G87)/$G87*100,"")</f>
      </c>
      <c r="BD87">
        <f>IFERROR(($E87-MAX(OFFSET(高値!$E$6,IFERROR(MATCH($C87,銘柄管理!$B$6:$B$305,0),MATCH(TEXT($C87,"0"),銘柄管理!$B$6:$B$305,0))-1,0,1,25)))/MAX(OFFSET(高値!$E$6,IFERROR(MATCH($C87,銘柄管理!$B$6:$B$305,0),MATCH(TEXT($C87,"0"),銘柄管理!$B$6:$B$305,0))-1,0,1,25))*100,"")</f>
      </c>
      <c r="BE87">
        <f>IFERROR(($H87-$I87)/$F87*100,"")</f>
      </c>
      <c r="BF87">
        <f>IFERROR(-(($BA87-AVERAGE($BA$3:$BA$206))/STDEV($BA$3:$BA$206))-(($BE87-AVERAGE($BE$3:$BE$206))/STDEV($BE$3:$BE$206))-(($BB87-AVERAGE($BB$3:$BB$206))/STDEV($BB$3:$BB$206))-(($Z87-AVERAGE($Z$3:$Z$206))/STDEV($Z$3:$Z$206))-(($BC87-AVERAGE($BC$3:$BC$206))/STDEV($BC$3:$BC$206)),"")</f>
      </c>
      <c r="BG87">
        <f>IF(OR($C87="",$C87="TOPX",$BA87="",$BF87=""),0,IF(AND($BK$10=1,$BA87&lt;=$BK$2,$BB87&lt;=$BK$3,$BC87&lt;=$BK$4,$Z87&lt;=$BK$5,$Z87&gt;=$BK$6,$BD87&gt;=$BK$7,$BE87&lt;=$BK$8),1,0))</f>
      </c>
      <c r="BH87">
        <f>IF($C87="","",IF($BG87=1,"○ゲート通過",IF($BK$10&lt;&gt;1,"― この方向は停止中",IF($BA87&gt;$BK$2,"×値動きが荒い",IF($BB87&gt;$BK$3,"×レンジが広い",IF($BC87&gt;$BK$4,"×窓を開けて上昇",IF($Z87&gt;$BK$5,"×前日に急騰",IF($Z87&lt;$BK$6,"×前日に急落",IF($BD87&lt;$BK$7,"×高値から離れすぎ",IF($BE87&gt;$BK$8,"×当日の値幅が大きい","×")))))))))</f>
      </c>
    </row>
    <row r="88" spans="1:60"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IF(AND(E88&lt;&gt;"",K88&lt;&gt;"",K88&lt;&gt;0),(E88-K88)/K88*100,"")</f>
        <v>-12.075654704170708</v>
      </c>
      <c r="M88" s="166">
        <f>IF(C88&lt;&gt;"",IFERROR(AVERAGE(出来高!E205:I205),""),"")</f>
        <v>17147100</v>
      </c>
      <c r="N88" s="166">
        <f>IF(C88&lt;&gt;"",IFERROR(AVERAGE(出来高!E205:AC205),""),"")</f>
        <v>17147100</v>
      </c>
      <c r="O88" s="168">
        <f>IF(AND(J88&lt;&gt;"",M88&lt;&gt;"",M88&lt;&gt;0),J88/M88,"")</f>
        <v>1.0222428282333456</v>
      </c>
      <c r="P88" s="163" t="str">
        <f>IF(O88="","",IF(O88&gt;=2,"急増↑↑",IF(O88&gt;=1.5,"増加↑",IF(O88&gt;=1,"普通→","減少↓"))))</f>
        <v>普通→</v>
      </c>
      <c r="Q88" s="163" t="str">
        <f>IF(E88="","",IF(AND(E88&gt;G88,O88&gt;=1.5),"買い▲",IF(E88&lt;G88,"様子見▼","中立→")))</f>
        <v>中立→</v>
      </c>
      <c r="R88" s="166">
        <f>IF(E88&lt;&gt;"",ROUND(E88*1.08,0),"")</f>
        <v>3916</v>
      </c>
      <c r="S88" s="166">
        <f>IF(E88&lt;&gt;"",ROUND(E88*0.96,0),"")</f>
        <v>3481</v>
      </c>
      <c r="T88" s="163">
        <f>IF(C88="","",IFERROR(IF(O88&gt;=2,3,IF(O88&gt;=1.5,2,IF(O88&gt;=1,1,0)))+IF(E88&gt;G88,1,0)+IF(L88&gt;=-5,1,0)+IF(Q88="買い▲",2,0)+IF(W88&lt;=30,3,IF(W88&lt;=40,2,IF(AND(W88&gt;=40,W88&lt;=60),1,0)))+IF(X88&gt;0,1,0)+IF(V88="年初来高値更新●",3,IF(V88="高値圏",2,0))+IF(AD88="パーフェクト▲",3,IF(AD88="上昇トレンド▲",2,0))+IF(AE88="25日線押し目●",2,IF(AE88="5日線押し目○",1,0))+IF(P88="急増↑↑",2,IF(P88="増加↑",1,0))+N(AI88),0))</f>
        <v>4</v>
      </c>
      <c r="U88" s="163" t="str">
        <f>IF(T88="","",IF(AND(T88&gt;=3,O88&gt;=1.5),"有効",IF(T88&gt;=3,"要確認","除外")))</f>
        <v>要確認</v>
      </c>
      <c r="V88" s="163" t="str">
        <f>IF(AND(H88&lt;&gt;"",K88&lt;&gt;""),IF(H88&gt;=K88,"年初来高値更新●",IF(H88&gt;=K88*0.95,"高値圏","通常")),"")</f>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IF(AND(E88&lt;&gt;"",G88&lt;&gt;"",G88&lt;&gt;0),(E88-G88)/G88*100,"")</f>
        <v>1.7110799438990183</v>
      </c>
      <c r="AA88" s="163" t="str">
        <f>IF(OR(C88="",E88="",E88=0),"",IF(E88&gt;G88,"上昇▲",IF(E88&lt;G88,"下落▼","横ばい→")))</f>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IF(OR(C88="",AB88="",AC88=""),"",IF(AND(E88&gt;AB88,AB88&gt;AC88),"パーフェクト▲",IF(E88&gt;AC88,"上昇トレンド▲",IF(AND(E88&lt;AB88,AB88&lt;AC88),"下降トレンド▼","もみ合い→"))))</f>
        <v>下降トレンド▼</v>
      </c>
      <c r="AE88" s="404" t="str">
        <f>IF(OR(C88="",AB88="",AC88=""),"",IF(AND(ABS(E88-AC88)/AC88&lt;=0.02,E88&gt;AC88),"25日押し目★",IF(AND(ABS(E88-AB88)/AB88&lt;=0.01,E88&gt;AB88),"5日押し目○","なし")))</f>
        <v>なし</v>
      </c>
      <c r="AF88" s="365" t="str">
        <f t="array" ref="AF88">IF(C88="","",IFERROR((INDEX(終値!$E:$E,MATCH(TEXT(C88,"0"),終値!$A:$A,0))-INDEX(終値!$E:$CZ,MATCH(TEXT(C88,"0"),終値!$A:$A,0),$AL$2))/INDEX(終値!$E:$CZ,MATCH(TEXT(C88,"0"),終値!$A:$A,0),$AL$2)*100,""))</f>
        <v/>
      </c>
      <c r="AG88" s="365">
        <f t="array" ref="AG88">IFERROR((終値!$E$5-INDEX(終値!$E$5:$IT$5,1,$AL$2))/INDEX(終値!$E$5:$IT$5,1,$AL$2)*100,"")</f>
        <v>1.0179378228534113</v>
      </c>
      <c r="AH88" s="366" t="str">
        <f>IF(OR(AF88="",AG88=""),"",AF88-AG88)</f>
        <v/>
      </c>
      <c r="AI88" s="364" t="str">
        <f>IF(AH88="","",IF(AH88&gt;5,3,IF(AH88&gt;0,1,IF(AH88&gt;-3,-1,-2))))</f>
        <v/>
      </c>
      <c r="BA88">
        <f>IFERROR((SUM(OFFSET(高値!$E$6,IFERROR(MATCH($C88,銘柄管理!$B$6:$B$305,0),MATCH(TEXT($C88,"0"),銘柄管理!$B$6:$B$305,0))-1,0,1,14))-SUM(OFFSET(安値!$E$6,IFERROR(MATCH($C88,銘柄管理!$B$6:$B$305,0),MATCH(TEXT($C88,"0"),銘柄管理!$B$6:$B$305,0))-1,0,1,14)))/SUM(OFFSET(終値!$E$6,IFERROR(MATCH($C88,銘柄管理!$B$6:$B$305,0),MATCH(TEXT($C88,"0"),銘柄管理!$B$6:$B$305,0))-1,0,1,14))*100,"")</f>
      </c>
      <c r="BB88">
        <f>IFERROR((MAX(OFFSET(高値!$E$6,IFERROR(MATCH($C88,銘柄管理!$B$6:$B$305,0),MATCH(TEXT($C88,"0"),銘柄管理!$B$6:$B$305,0))-1,0,1,25))-MIN(OFFSET(安値!$E$6,IFERROR(MATCH($C88,銘柄管理!$B$6:$B$305,0),MATCH(TEXT($C88,"0"),銘柄管理!$B$6:$B$305,0))-1,0,1,25)))/$E88*100,"")</f>
      </c>
      <c r="BC88">
        <f>IFERROR(($F88-$G88)/$G88*100,"")</f>
      </c>
      <c r="BD88">
        <f>IFERROR(($E88-MAX(OFFSET(高値!$E$6,IFERROR(MATCH($C88,銘柄管理!$B$6:$B$305,0),MATCH(TEXT($C88,"0"),銘柄管理!$B$6:$B$305,0))-1,0,1,25)))/MAX(OFFSET(高値!$E$6,IFERROR(MATCH($C88,銘柄管理!$B$6:$B$305,0),MATCH(TEXT($C88,"0"),銘柄管理!$B$6:$B$305,0))-1,0,1,25))*100,"")</f>
      </c>
      <c r="BE88">
        <f>IFERROR(($H88-$I88)/$F88*100,"")</f>
      </c>
      <c r="BF88">
        <f>IFERROR(-(($BA88-AVERAGE($BA$3:$BA$206))/STDEV($BA$3:$BA$206))-(($BE88-AVERAGE($BE$3:$BE$206))/STDEV($BE$3:$BE$206))-(($BB88-AVERAGE($BB$3:$BB$206))/STDEV($BB$3:$BB$206))-(($Z88-AVERAGE($Z$3:$Z$206))/STDEV($Z$3:$Z$206))-(($BC88-AVERAGE($BC$3:$BC$206))/STDEV($BC$3:$BC$206)),"")</f>
      </c>
      <c r="BG88">
        <f>IF(OR($C88="",$C88="TOPX",$BA88="",$BF88=""),0,IF(AND($BK$10=1,$BA88&lt;=$BK$2,$BB88&lt;=$BK$3,$BC88&lt;=$BK$4,$Z88&lt;=$BK$5,$Z88&gt;=$BK$6,$BD88&gt;=$BK$7,$BE88&lt;=$BK$8),1,0))</f>
      </c>
      <c r="BH88">
        <f>IF($C88="","",IF($BG88=1,"○ゲート通過",IF($BK$10&lt;&gt;1,"― この方向は停止中",IF($BA88&gt;$BK$2,"×値動きが荒い",IF($BB88&gt;$BK$3,"×レンジが広い",IF($BC88&gt;$BK$4,"×窓を開けて上昇",IF($Z88&gt;$BK$5,"×前日に急騰",IF($Z88&lt;$BK$6,"×前日に急落",IF($BD88&lt;$BK$7,"×高値から離れすぎ",IF($BE88&gt;$BK$8,"×当日の値幅が大きい","×")))))))))</f>
      </c>
    </row>
    <row r="89" spans="1:60"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IF(AND(E89&lt;&gt;"",K89&lt;&gt;"",K89&lt;&gt;0),(E89-K89)/K89*100,"")</f>
        <v>-27.394438722966015</v>
      </c>
      <c r="M89" s="166">
        <f>IF(C89&lt;&gt;"",IFERROR(AVERAGE(出来高!E155:I155),""),"")</f>
        <v>2720060</v>
      </c>
      <c r="N89" s="166">
        <f>IF(C89&lt;&gt;"",IFERROR(AVERAGE(出来高!E155:AC155),""),"")</f>
        <v>1742029.1666666667</v>
      </c>
      <c r="O89" s="168">
        <f>IF(AND(J89&lt;&gt;"",M89&lt;&gt;"",M89&lt;&gt;0),J89/M89,"")</f>
        <v>0.76869627875855684</v>
      </c>
      <c r="P89" s="163" t="str">
        <f>IF(O89="","",IF(O89&gt;=2,"急増↑↑",IF(O89&gt;=1.5,"増加↑",IF(O89&gt;=1,"普通→","減少↓"))))</f>
        <v>減少↓</v>
      </c>
      <c r="Q89" s="163" t="str">
        <f>IF(E89="","",IF(AND(E89&gt;G89,O89&gt;=1.5),"買い▲",IF(E89&lt;G89,"様子見▼","中立→")))</f>
        <v>様子見▼</v>
      </c>
      <c r="R89" s="166">
        <f>IF(E89&lt;&gt;"",ROUND(E89*1.08,0),"")</f>
        <v>3807</v>
      </c>
      <c r="S89" s="166">
        <f>IF(E89&lt;&gt;"",ROUND(E89*0.96,0),"")</f>
        <v>3384</v>
      </c>
      <c r="T89" s="163">
        <f>IF(C89="","",IFERROR(IF(O89&gt;=2,3,IF(O89&gt;=1.5,2,IF(O89&gt;=1,1,0)))+IF(E89&gt;G89,1,0)+IF(L89&gt;=-5,1,0)+IF(Q89="買い▲",2,0)+IF(W89&lt;=30,3,IF(W89&lt;=40,2,IF(AND(W89&gt;=40,W89&lt;=60),1,0)))+IF(X89&gt;0,1,0)+IF(V89="年初来高値更新●",3,IF(V89="高値圏",2,0))+IF(AD89="パーフェクト▲",3,IF(AD89="上昇トレンド▲",2,0))+IF(AE89="25日線押し目●",2,IF(AE89="5日線押し目○",1,0))+IF(P89="急増↑↑",2,IF(P89="増加↑",1,0))+N(AI89),0))</f>
        <v>-1</v>
      </c>
      <c r="U89" s="163" t="str">
        <f>IF(T89="","",IF(AND(T89&gt;=3,O89&gt;=1.5),"有効",IF(T89&gt;=3,"要確認","除外")))</f>
        <v>除外</v>
      </c>
      <c r="V89" s="163" t="str">
        <f>IF(AND(H89&lt;&gt;"",K89&lt;&gt;""),IF(H89&gt;=K89,"年初来高値更新●",IF(H89&gt;=K89*0.95,"高値圏","通常")),"")</f>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IF(AND(E89&lt;&gt;"",G89&lt;&gt;"",G89&lt;&gt;0),(E89-G89)/G89*100,"")</f>
        <v>-8.0354813462040173</v>
      </c>
      <c r="AA89" s="163" t="str">
        <f>IF(OR(C89="",E89="",E89=0),"",IF(E89&gt;G89,"上昇▲",IF(E89&lt;G89,"下落▼","横ばい→")))</f>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IF(OR(C89="",AB89="",AC89=""),"",IF(AND(E89&gt;AB89,AB89&gt;AC89),"パーフェクト▲",IF(E89&gt;AC89,"上昇トレンド▲",IF(AND(E89&lt;AB89,AB89&lt;AC89),"下降トレンド▼","もみ合い→"))))</f>
        <v>もみ合い→</v>
      </c>
      <c r="AE89" s="406" t="str">
        <f>IF(OR(C89="",AB89="",AC89=""),"",IF(AND(ABS(E89-AC89)/AC89&lt;=0.02,E89&gt;AC89),"25日押し目★",IF(AND(ABS(E89-AB89)/AB89&lt;=0.01,E89&gt;AB89),"5日押し目○","なし")))</f>
        <v>なし</v>
      </c>
      <c r="AF89" s="365">
        <f t="array" ref="AF89">IF(C89="","",IFERROR((INDEX(終値!$E:$E,MATCH(TEXT(C89,"0"),終値!$A:$A,0))-INDEX(終値!$E:$CZ,MATCH(TEXT(C89,"0"),終値!$A:$A,0),$AL$2))/INDEX(終値!$E:$CZ,MATCH(TEXT(C89,"0"),終値!$A:$A,0),$AL$2)*100,""))</f>
        <v>-24.808020477815703</v>
      </c>
      <c r="AG89" s="365">
        <f t="array" ref="AG89">IFERROR((終値!$E$5-INDEX(終値!$E$5:$IT$5,1,$AL$2))/INDEX(終値!$E$5:$IT$5,1,$AL$2)*100,"")</f>
        <v>1.0179378228534113</v>
      </c>
      <c r="AH89" s="366">
        <f>IF(OR(AF89="",AG89=""),"",AF89-AG89)</f>
        <v>-25.825958300669114</v>
      </c>
      <c r="AI89" s="364">
        <f>IF(AH89="","",IF(AH89&gt;5,3,IF(AH89&gt;0,1,IF(AH89&gt;-3,-1,-2))))</f>
        <v>-2</v>
      </c>
      <c r="BA89">
        <f>IFERROR((SUM(OFFSET(高値!$E$6,IFERROR(MATCH($C89,銘柄管理!$B$6:$B$305,0),MATCH(TEXT($C89,"0"),銘柄管理!$B$6:$B$305,0))-1,0,1,14))-SUM(OFFSET(安値!$E$6,IFERROR(MATCH($C89,銘柄管理!$B$6:$B$305,0),MATCH(TEXT($C89,"0"),銘柄管理!$B$6:$B$305,0))-1,0,1,14)))/SUM(OFFSET(終値!$E$6,IFERROR(MATCH($C89,銘柄管理!$B$6:$B$305,0),MATCH(TEXT($C89,"0"),銘柄管理!$B$6:$B$305,0))-1,0,1,14))*100,"")</f>
      </c>
      <c r="BB89">
        <f>IFERROR((MAX(OFFSET(高値!$E$6,IFERROR(MATCH($C89,銘柄管理!$B$6:$B$305,0),MATCH(TEXT($C89,"0"),銘柄管理!$B$6:$B$305,0))-1,0,1,25))-MIN(OFFSET(安値!$E$6,IFERROR(MATCH($C89,銘柄管理!$B$6:$B$305,0),MATCH(TEXT($C89,"0"),銘柄管理!$B$6:$B$305,0))-1,0,1,25)))/$E89*100,"")</f>
      </c>
      <c r="BC89">
        <f>IFERROR(($F89-$G89)/$G89*100,"")</f>
      </c>
      <c r="BD89">
        <f>IFERROR(($E89-MAX(OFFSET(高値!$E$6,IFERROR(MATCH($C89,銘柄管理!$B$6:$B$305,0),MATCH(TEXT($C89,"0"),銘柄管理!$B$6:$B$305,0))-1,0,1,25)))/MAX(OFFSET(高値!$E$6,IFERROR(MATCH($C89,銘柄管理!$B$6:$B$305,0),MATCH(TEXT($C89,"0"),銘柄管理!$B$6:$B$305,0))-1,0,1,25))*100,"")</f>
      </c>
      <c r="BE89">
        <f>IFERROR(($H89-$I89)/$F89*100,"")</f>
      </c>
      <c r="BF89">
        <f>IFERROR(-(($BA89-AVERAGE($BA$3:$BA$206))/STDEV($BA$3:$BA$206))-(($BE89-AVERAGE($BE$3:$BE$206))/STDEV($BE$3:$BE$206))-(($BB89-AVERAGE($BB$3:$BB$206))/STDEV($BB$3:$BB$206))-(($Z89-AVERAGE($Z$3:$Z$206))/STDEV($Z$3:$Z$206))-(($BC89-AVERAGE($BC$3:$BC$206))/STDEV($BC$3:$BC$206)),"")</f>
      </c>
      <c r="BG89">
        <f>IF(OR($C89="",$C89="TOPX",$BA89="",$BF89=""),0,IF(AND($BK$10=1,$BA89&lt;=$BK$2,$BB89&lt;=$BK$3,$BC89&lt;=$BK$4,$Z89&lt;=$BK$5,$Z89&gt;=$BK$6,$BD89&gt;=$BK$7,$BE89&lt;=$BK$8),1,0))</f>
      </c>
      <c r="BH89">
        <f>IF($C89="","",IF($BG89=1,"○ゲート通過",IF($BK$10&lt;&gt;1,"― この方向は停止中",IF($BA89&gt;$BK$2,"×値動きが荒い",IF($BB89&gt;$BK$3,"×レンジが広い",IF($BC89&gt;$BK$4,"×窓を開けて上昇",IF($Z89&gt;$BK$5,"×前日に急騰",IF($Z89&lt;$BK$6,"×前日に急落",IF($BD89&lt;$BK$7,"×高値から離れすぎ",IF($BE89&gt;$BK$8,"×当日の値幅が大きい","×")))))))))</f>
      </c>
    </row>
    <row r="90" spans="1:60"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IF(AND(E90&lt;&gt;"",K90&lt;&gt;"",K90&lt;&gt;0),(E90-K90)/K90*100,"")</f>
        <v>-23.552077062010842</v>
      </c>
      <c r="M90" s="166">
        <f>IF(C90&lt;&gt;"",IFERROR(AVERAGE(出来高!E188:I188),""),"")</f>
        <v>3302160</v>
      </c>
      <c r="N90" s="166">
        <f>IF(C90&lt;&gt;"",IFERROR(AVERAGE(出来高!E188:AC188),""),"")</f>
        <v>3311376</v>
      </c>
      <c r="O90" s="168">
        <f>IF(AND(J90&lt;&gt;"",M90&lt;&gt;"",M90&lt;&gt;0),J90/M90,"")</f>
        <v>0.95831213508733681</v>
      </c>
      <c r="P90" s="163" t="str">
        <f>IF(O90="","",IF(O90&gt;=2,"急増↑↑",IF(O90&gt;=1.5,"増加↑",IF(O90&gt;=1,"普通→","減少↓"))))</f>
        <v>減少↓</v>
      </c>
      <c r="Q90" s="163" t="str">
        <f>IF(E90="","",IF(AND(E90&gt;G90,O90&gt;=1.5),"買い▲",IF(E90&lt;G90,"様子見▼","中立→")))</f>
        <v>中立→</v>
      </c>
      <c r="R90" s="166">
        <f>IF(E90&lt;&gt;"",ROUND(E90*1.08,0),"")</f>
        <v>686</v>
      </c>
      <c r="S90" s="166">
        <f>IF(E90&lt;&gt;"",ROUND(E90*0.96,0),"")</f>
        <v>610</v>
      </c>
      <c r="T90" s="163">
        <f>IF(C90="","",IFERROR(IF(O90&gt;=2,3,IF(O90&gt;=1.5,2,IF(O90&gt;=1,1,0)))+IF(E90&gt;G90,1,0)+IF(L90&gt;=-5,1,0)+IF(Q90="買い▲",2,0)+IF(W90&lt;=30,3,IF(W90&lt;=40,2,IF(AND(W90&gt;=40,W90&lt;=60),1,0)))+IF(X90&gt;0,1,0)+IF(V90="年初来高値更新●",3,IF(V90="高値圏",2,0))+IF(AD90="パーフェクト▲",3,IF(AD90="上昇トレンド▲",2,0))+IF(AE90="25日線押し目●",2,IF(AE90="5日線押し目○",1,0))+IF(P90="急増↑↑",2,IF(P90="増加↑",1,0))+N(AI90),0))</f>
        <v>1</v>
      </c>
      <c r="U90" s="163" t="str">
        <f>IF(T90="","",IF(AND(T90&gt;=3,O90&gt;=1.5),"有効",IF(T90&gt;=3,"要確認","除外")))</f>
        <v>除外</v>
      </c>
      <c r="V90" s="163" t="str">
        <f>IF(AND(H90&lt;&gt;"",K90&lt;&gt;""),IF(H90&gt;=K90,"年初来高値更新●",IF(H90&gt;=K90*0.95,"高値圏","通常")),"")</f>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IF(AND(E90&lt;&gt;"",G90&lt;&gt;"",G90&lt;&gt;0),(E90-G90)/G90*100,"")</f>
        <v>2.1396396396396322</v>
      </c>
      <c r="AA90" s="163" t="str">
        <f>IF(OR(C90="",E90="",E90=0),"",IF(E90&gt;G90,"上昇▲",IF(E90&lt;G90,"下落▼","横ばい→")))</f>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IF(OR(C90="",AB90="",AC90=""),"",IF(AND(E90&gt;AB90,AB90&gt;AC90),"パーフェクト▲",IF(E90&gt;AC90,"上昇トレンド▲",IF(AND(E90&lt;AB90,AB90&lt;AC90),"下降トレンド▼","もみ合い→"))))</f>
        <v>もみ合い→</v>
      </c>
      <c r="AE90" s="404" t="str">
        <f>IF(OR(C90="",AB90="",AC90=""),"",IF(AND(ABS(E90-AC90)/AC90&lt;=0.02,E90&gt;AC90),"25日押し目★",IF(AND(ABS(E90-AB90)/AB90&lt;=0.01,E90&gt;AB90),"5日押し目○","なし")))</f>
        <v>なし</v>
      </c>
      <c r="AF90" s="365">
        <f t="array" ref="AF90">IF(C90="","",IFERROR((INDEX(終値!$E:$E,MATCH(TEXT(C90,"0"),終値!$A:$A,0))-INDEX(終値!$E:$CZ,MATCH(TEXT(C90,"0"),終値!$A:$A,0),$AL$2))/INDEX(終値!$E:$CZ,MATCH(TEXT(C90,"0"),終値!$A:$A,0),$AL$2)*100,""))</f>
        <v>-0.20433825840931596</v>
      </c>
      <c r="AG90" s="365">
        <f t="array" ref="AG90">IFERROR((終値!$E$5-INDEX(終値!$E$5:$IT$5,1,$AL$2))/INDEX(終値!$E$5:$IT$5,1,$AL$2)*100,"")</f>
        <v>1.0179378228534113</v>
      </c>
      <c r="AH90" s="366">
        <f>IF(OR(AF90="",AG90=""),"",AF90-AG90)</f>
        <v>-1.2222760812627271</v>
      </c>
      <c r="AI90" s="364">
        <f>IF(AH90="","",IF(AH90&gt;5,3,IF(AH90&gt;0,1,IF(AH90&gt;-3,-1,-2))))</f>
        <v>-1</v>
      </c>
      <c r="BA90">
        <f>IFERROR((SUM(OFFSET(高値!$E$6,IFERROR(MATCH($C90,銘柄管理!$B$6:$B$305,0),MATCH(TEXT($C90,"0"),銘柄管理!$B$6:$B$305,0))-1,0,1,14))-SUM(OFFSET(安値!$E$6,IFERROR(MATCH($C90,銘柄管理!$B$6:$B$305,0),MATCH(TEXT($C90,"0"),銘柄管理!$B$6:$B$305,0))-1,0,1,14)))/SUM(OFFSET(終値!$E$6,IFERROR(MATCH($C90,銘柄管理!$B$6:$B$305,0),MATCH(TEXT($C90,"0"),銘柄管理!$B$6:$B$305,0))-1,0,1,14))*100,"")</f>
      </c>
      <c r="BB90">
        <f>IFERROR((MAX(OFFSET(高値!$E$6,IFERROR(MATCH($C90,銘柄管理!$B$6:$B$305,0),MATCH(TEXT($C90,"0"),銘柄管理!$B$6:$B$305,0))-1,0,1,25))-MIN(OFFSET(安値!$E$6,IFERROR(MATCH($C90,銘柄管理!$B$6:$B$305,0),MATCH(TEXT($C90,"0"),銘柄管理!$B$6:$B$305,0))-1,0,1,25)))/$E90*100,"")</f>
      </c>
      <c r="BC90">
        <f>IFERROR(($F90-$G90)/$G90*100,"")</f>
      </c>
      <c r="BD90">
        <f>IFERROR(($E90-MAX(OFFSET(高値!$E$6,IFERROR(MATCH($C90,銘柄管理!$B$6:$B$305,0),MATCH(TEXT($C90,"0"),銘柄管理!$B$6:$B$305,0))-1,0,1,25)))/MAX(OFFSET(高値!$E$6,IFERROR(MATCH($C90,銘柄管理!$B$6:$B$305,0),MATCH(TEXT($C90,"0"),銘柄管理!$B$6:$B$305,0))-1,0,1,25))*100,"")</f>
      </c>
      <c r="BE90">
        <f>IFERROR(($H90-$I90)/$F90*100,"")</f>
      </c>
      <c r="BF90">
        <f>IFERROR(-(($BA90-AVERAGE($BA$3:$BA$206))/STDEV($BA$3:$BA$206))-(($BE90-AVERAGE($BE$3:$BE$206))/STDEV($BE$3:$BE$206))-(($BB90-AVERAGE($BB$3:$BB$206))/STDEV($BB$3:$BB$206))-(($Z90-AVERAGE($Z$3:$Z$206))/STDEV($Z$3:$Z$206))-(($BC90-AVERAGE($BC$3:$BC$206))/STDEV($BC$3:$BC$206)),"")</f>
      </c>
      <c r="BG90">
        <f>IF(OR($C90="",$C90="TOPX",$BA90="",$BF90=""),0,IF(AND($BK$10=1,$BA90&lt;=$BK$2,$BB90&lt;=$BK$3,$BC90&lt;=$BK$4,$Z90&lt;=$BK$5,$Z90&gt;=$BK$6,$BD90&gt;=$BK$7,$BE90&lt;=$BK$8),1,0))</f>
      </c>
      <c r="BH90">
        <f>IF($C90="","",IF($BG90=1,"○ゲート通過",IF($BK$10&lt;&gt;1,"― この方向は停止中",IF($BA90&gt;$BK$2,"×値動きが荒い",IF($BB90&gt;$BK$3,"×レンジが広い",IF($BC90&gt;$BK$4,"×窓を開けて上昇",IF($Z90&gt;$BK$5,"×前日に急騰",IF($Z90&lt;$BK$6,"×前日に急落",IF($BD90&lt;$BK$7,"×高値から離れすぎ",IF($BE90&gt;$BK$8,"×当日の値幅が大きい","×")))))))))</f>
      </c>
    </row>
    <row r="91" spans="1:60"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IF(AND(E91&lt;&gt;"",K91&lt;&gt;"",K91&lt;&gt;0),(E91-K91)/K91*100,"")</f>
        <v>-8.3665338645418323</v>
      </c>
      <c r="M91" s="166">
        <f>IF(C91&lt;&gt;"",IFERROR(AVERAGE(出来高!E120:I120),""),"")</f>
        <v>100160</v>
      </c>
      <c r="N91" s="166">
        <f>IF(C91&lt;&gt;"",IFERROR(AVERAGE(出来高!E120:AC120),""),"")</f>
        <v>81566.666666666672</v>
      </c>
      <c r="O91" s="168">
        <f>IF(AND(J91&lt;&gt;"",M91&lt;&gt;"",M91&lt;&gt;0),J91/M91,"")</f>
        <v>1.1591453674121406</v>
      </c>
      <c r="P91" s="163" t="str">
        <f>IF(O91="","",IF(O91&gt;=2,"急増↑↑",IF(O91&gt;=1.5,"増加↑",IF(O91&gt;=1,"普通→","減少↓"))))</f>
        <v>普通→</v>
      </c>
      <c r="Q91" s="163" t="str">
        <f>IF(E91="","",IF(AND(E91&gt;G91,O91&gt;=1.5),"買い▲",IF(E91&lt;G91,"様子見▼","中立→")))</f>
        <v>様子見▼</v>
      </c>
      <c r="R91" s="166">
        <f>IF(E91&lt;&gt;"",ROUND(E91*1.08,0),"")</f>
        <v>4968</v>
      </c>
      <c r="S91" s="166">
        <f>IF(E91&lt;&gt;"",ROUND(E91*0.96,0),"")</f>
        <v>4416</v>
      </c>
      <c r="T91" s="163">
        <f>IF(C91="","",IFERROR(IF(O91&gt;=2,3,IF(O91&gt;=1.5,2,IF(O91&gt;=1,1,0)))+IF(E91&gt;G91,1,0)+IF(L91&gt;=-5,1,0)+IF(Q91="買い▲",2,0)+IF(W91&lt;=30,3,IF(W91&lt;=40,2,IF(AND(W91&gt;=40,W91&lt;=60),1,0)))+IF(X91&gt;0,1,0)+IF(V91="年初来高値更新●",3,IF(V91="高値圏",2,0))+IF(AD91="パーフェクト▲",3,IF(AD91="上昇トレンド▲",2,0))+IF(AE91="25日線押し目●",2,IF(AE91="5日線押し目○",1,0))+IF(P91="急増↑↑",2,IF(P91="増加↑",1,0))+N(AI91),0))</f>
        <v>8</v>
      </c>
      <c r="U91" s="163" t="str">
        <f>IF(T91="","",IF(AND(T91&gt;=3,O91&gt;=1.5),"有効",IF(T91&gt;=3,"要確認","除外")))</f>
        <v>要確認</v>
      </c>
      <c r="V91" s="163" t="str">
        <f>IF(AND(H91&lt;&gt;"",K91&lt;&gt;""),IF(H91&gt;=K91,"年初来高値更新●",IF(H91&gt;=K91*0.95,"高値圏","通常")),"")</f>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IF(AND(E91&lt;&gt;"",G91&lt;&gt;"",G91&lt;&gt;0),(E91-G91)/G91*100,"")</f>
        <v>-0.4329004329004329</v>
      </c>
      <c r="AA91" s="163" t="str">
        <f>IF(OR(C91="",E91="",E91=0),"",IF(E91&gt;G91,"上昇▲",IF(E91&lt;G91,"下落▼","横ばい→")))</f>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IF(OR(C91="",AB91="",AC91=""),"",IF(AND(E91&gt;AB91,AB91&gt;AC91),"パーフェクト▲",IF(E91&gt;AC91,"上昇トレンド▲",IF(AND(E91&lt;AB91,AB91&lt;AC91),"下降トレンド▼","もみ合い→"))))</f>
        <v>上昇トレンド▲</v>
      </c>
      <c r="AE91" s="406" t="str">
        <f>IF(OR(C91="",AB91="",AC91=""),"",IF(AND(ABS(E91-AC91)/AC91&lt;=0.02,E91&gt;AC91),"25日押し目★",IF(AND(ABS(E91-AB91)/AB91&lt;=0.01,E91&gt;AB91),"5日押し目○","なし")))</f>
        <v>なし</v>
      </c>
      <c r="AF91" s="365">
        <f t="array" ref="AF91">IF(C91="","",IFERROR((INDEX(終値!$E:$E,MATCH(TEXT(C91,"0"),終値!$A:$A,0))-INDEX(終値!$E:$CZ,MATCH(TEXT(C91,"0"),終値!$A:$A,0),$AL$2))/INDEX(終値!$E:$CZ,MATCH(TEXT(C91,"0"),終値!$A:$A,0),$AL$2)*100,""))</f>
        <v>11.650485436893204</v>
      </c>
      <c r="AG91" s="365">
        <f t="array" ref="AG91">IFERROR((終値!$E$5-INDEX(終値!$E$5:$IT$5,1,$AL$2))/INDEX(終値!$E$5:$IT$5,1,$AL$2)*100,"")</f>
        <v>1.0179378228534113</v>
      </c>
      <c r="AH91" s="366">
        <f>IF(OR(AF91="",AG91=""),"",AF91-AG91)</f>
        <v>10.632547614039792</v>
      </c>
      <c r="AI91" s="364">
        <f>IF(AH91="","",IF(AH91&gt;5,3,IF(AH91&gt;0,1,IF(AH91&gt;-3,-1,-2))))</f>
        <v>3</v>
      </c>
      <c r="BA91">
        <f>IFERROR((SUM(OFFSET(高値!$E$6,IFERROR(MATCH($C91,銘柄管理!$B$6:$B$305,0),MATCH(TEXT($C91,"0"),銘柄管理!$B$6:$B$305,0))-1,0,1,14))-SUM(OFFSET(安値!$E$6,IFERROR(MATCH($C91,銘柄管理!$B$6:$B$305,0),MATCH(TEXT($C91,"0"),銘柄管理!$B$6:$B$305,0))-1,0,1,14)))/SUM(OFFSET(終値!$E$6,IFERROR(MATCH($C91,銘柄管理!$B$6:$B$305,0),MATCH(TEXT($C91,"0"),銘柄管理!$B$6:$B$305,0))-1,0,1,14))*100,"")</f>
      </c>
      <c r="BB91">
        <f>IFERROR((MAX(OFFSET(高値!$E$6,IFERROR(MATCH($C91,銘柄管理!$B$6:$B$305,0),MATCH(TEXT($C91,"0"),銘柄管理!$B$6:$B$305,0))-1,0,1,25))-MIN(OFFSET(安値!$E$6,IFERROR(MATCH($C91,銘柄管理!$B$6:$B$305,0),MATCH(TEXT($C91,"0"),銘柄管理!$B$6:$B$305,0))-1,0,1,25)))/$E91*100,"")</f>
      </c>
      <c r="BC91">
        <f>IFERROR(($F91-$G91)/$G91*100,"")</f>
      </c>
      <c r="BD91">
        <f>IFERROR(($E91-MAX(OFFSET(高値!$E$6,IFERROR(MATCH($C91,銘柄管理!$B$6:$B$305,0),MATCH(TEXT($C91,"0"),銘柄管理!$B$6:$B$305,0))-1,0,1,25)))/MAX(OFFSET(高値!$E$6,IFERROR(MATCH($C91,銘柄管理!$B$6:$B$305,0),MATCH(TEXT($C91,"0"),銘柄管理!$B$6:$B$305,0))-1,0,1,25))*100,"")</f>
      </c>
      <c r="BE91">
        <f>IFERROR(($H91-$I91)/$F91*100,"")</f>
      </c>
      <c r="BF91">
        <f>IFERROR(-(($BA91-AVERAGE($BA$3:$BA$206))/STDEV($BA$3:$BA$206))-(($BE91-AVERAGE($BE$3:$BE$206))/STDEV($BE$3:$BE$206))-(($BB91-AVERAGE($BB$3:$BB$206))/STDEV($BB$3:$BB$206))-(($Z91-AVERAGE($Z$3:$Z$206))/STDEV($Z$3:$Z$206))-(($BC91-AVERAGE($BC$3:$BC$206))/STDEV($BC$3:$BC$206)),"")</f>
      </c>
      <c r="BG91">
        <f>IF(OR($C91="",$C91="TOPX",$BA91="",$BF91=""),0,IF(AND($BK$10=1,$BA91&lt;=$BK$2,$BB91&lt;=$BK$3,$BC91&lt;=$BK$4,$Z91&lt;=$BK$5,$Z91&gt;=$BK$6,$BD91&gt;=$BK$7,$BE91&lt;=$BK$8),1,0))</f>
      </c>
      <c r="BH91">
        <f>IF($C91="","",IF($BG91=1,"○ゲート通過",IF($BK$10&lt;&gt;1,"― この方向は停止中",IF($BA91&gt;$BK$2,"×値動きが荒い",IF($BB91&gt;$BK$3,"×レンジが広い",IF($BC91&gt;$BK$4,"×窓を開けて上昇",IF($Z91&gt;$BK$5,"×前日に急騰",IF($Z91&lt;$BK$6,"×前日に急落",IF($BD91&lt;$BK$7,"×高値から離れすぎ",IF($BE91&gt;$BK$8,"×当日の値幅が大きい","×")))))))))</f>
      </c>
    </row>
    <row r="92" spans="1:60"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IF(AND(E92&lt;&gt;"",K92&lt;&gt;"",K92&lt;&gt;0),(E92-K92)/K92*100,"")</f>
        <v>-70.731707317073173</v>
      </c>
      <c r="M92" s="166">
        <f>IF(C92&lt;&gt;"",IFERROR(AVERAGE(出来高!E140:I140),""),"")</f>
        <v>11598340</v>
      </c>
      <c r="N92" s="166">
        <f>IF(C92&lt;&gt;"",IFERROR(AVERAGE(出来高!E140:AC140),""),"")</f>
        <v>23217912.5</v>
      </c>
      <c r="O92" s="168">
        <f>IF(AND(J92&lt;&gt;"",M92&lt;&gt;"",M92&lt;&gt;0),J92/M92,"")</f>
        <v>1.1462329954114123</v>
      </c>
      <c r="P92" s="163" t="str">
        <f>IF(O92="","",IF(O92&gt;=2,"急増↑↑",IF(O92&gt;=1.5,"増加↑",IF(O92&gt;=1,"普通→","減少↓"))))</f>
        <v>普通→</v>
      </c>
      <c r="Q92" s="163" t="str">
        <f>IF(E92="","",IF(AND(E92&gt;G92,O92&gt;=1.5),"買い▲",IF(E92&lt;G92,"様子見▼","中立→")))</f>
        <v>様子見▼</v>
      </c>
      <c r="R92" s="166">
        <f>IF(E92&lt;&gt;"",ROUND(E92*1.08,0),"")</f>
        <v>52</v>
      </c>
      <c r="S92" s="166">
        <f>IF(E92&lt;&gt;"",ROUND(E92*0.96,0),"")</f>
        <v>46</v>
      </c>
      <c r="T92" s="163">
        <f>IF(C92="","",IFERROR(IF(O92&gt;=2,3,IF(O92&gt;=1.5,2,IF(O92&gt;=1,1,0)))+IF(E92&gt;G92,1,0)+IF(L92&gt;=-5,1,0)+IF(Q92="買い▲",2,0)+IF(W92&lt;=30,3,IF(W92&lt;=40,2,IF(AND(W92&gt;=40,W92&lt;=60),1,0)))+IF(X92&gt;0,1,0)+IF(V92="年初来高値更新●",3,IF(V92="高値圏",2,0))+IF(AD92="パーフェクト▲",3,IF(AD92="上昇トレンド▲",2,0))+IF(AE92="25日線押し目●",2,IF(AE92="5日線押し目○",1,0))+IF(P92="急増↑↑",2,IF(P92="増加↑",1,0))+N(AI92),0))</f>
        <v>0</v>
      </c>
      <c r="U92" s="163" t="str">
        <f>IF(T92="","",IF(AND(T92&gt;=3,O92&gt;=1.5),"有効",IF(T92&gt;=3,"要確認","除外")))</f>
        <v>除外</v>
      </c>
      <c r="V92" s="163" t="str">
        <f>IF(AND(H92&lt;&gt;"",K92&lt;&gt;""),IF(H92&gt;=K92,"年初来高値更新●",IF(H92&gt;=K92*0.95,"高値圏","通常")),"")</f>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IF(AND(E92&lt;&gt;"",G92&lt;&gt;"",G92&lt;&gt;0),(E92-G92)/G92*100,"")</f>
        <v>-2.0408163265306123</v>
      </c>
      <c r="AA92" s="163" t="str">
        <f>IF(OR(C92="",E92="",E92=0),"",IF(E92&gt;G92,"上昇▲",IF(E92&lt;G92,"下落▼","横ばい→")))</f>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IF(OR(C92="",AB92="",AC92=""),"",IF(AND(E92&gt;AB92,AB92&gt;AC92),"パーフェクト▲",IF(E92&gt;AC92,"上昇トレンド▲",IF(AND(E92&lt;AB92,AB92&lt;AC92),"下降トレンド▼","もみ合い→"))))</f>
        <v>下降トレンド▼</v>
      </c>
      <c r="AE92" s="404" t="str">
        <f>IF(OR(C92="",AB92="",AC92=""),"",IF(AND(ABS(E92-AC92)/AC92&lt;=0.02,E92&gt;AC92),"25日押し目★",IF(AND(ABS(E92-AB92)/AB92&lt;=0.01,E92&gt;AB92),"5日押し目○","なし")))</f>
        <v>なし</v>
      </c>
      <c r="AF92" s="365">
        <f t="array" ref="AF92">IF(C92="","",IFERROR((INDEX(終値!$E:$E,MATCH(TEXT(C92,"0"),終値!$A:$A,0))-INDEX(終値!$E:$CZ,MATCH(TEXT(C92,"0"),終値!$A:$A,0),$AL$2))/INDEX(終値!$E:$CZ,MATCH(TEXT(C92,"0"),終値!$A:$A,0),$AL$2)*100,""))</f>
        <v>-11.111111111111111</v>
      </c>
      <c r="AG92" s="365">
        <f t="array" ref="AG92">IFERROR((終値!$E$5-INDEX(終値!$E$5:$IT$5,1,$AL$2))/INDEX(終値!$E$5:$IT$5,1,$AL$2)*100,"")</f>
        <v>1.0179378228534113</v>
      </c>
      <c r="AH92" s="366">
        <f>IF(OR(AF92="",AG92=""),"",AF92-AG92)</f>
        <v>-12.129048933964523</v>
      </c>
      <c r="AI92" s="364">
        <f>IF(AH92="","",IF(AH92&gt;5,3,IF(AH92&gt;0,1,IF(AH92&gt;-3,-1,-2))))</f>
        <v>-2</v>
      </c>
      <c r="BA92">
        <f>IFERROR((SUM(OFFSET(高値!$E$6,IFERROR(MATCH($C92,銘柄管理!$B$6:$B$305,0),MATCH(TEXT($C92,"0"),銘柄管理!$B$6:$B$305,0))-1,0,1,14))-SUM(OFFSET(安値!$E$6,IFERROR(MATCH($C92,銘柄管理!$B$6:$B$305,0),MATCH(TEXT($C92,"0"),銘柄管理!$B$6:$B$305,0))-1,0,1,14)))/SUM(OFFSET(終値!$E$6,IFERROR(MATCH($C92,銘柄管理!$B$6:$B$305,0),MATCH(TEXT($C92,"0"),銘柄管理!$B$6:$B$305,0))-1,0,1,14))*100,"")</f>
      </c>
      <c r="BB92">
        <f>IFERROR((MAX(OFFSET(高値!$E$6,IFERROR(MATCH($C92,銘柄管理!$B$6:$B$305,0),MATCH(TEXT($C92,"0"),銘柄管理!$B$6:$B$305,0))-1,0,1,25))-MIN(OFFSET(安値!$E$6,IFERROR(MATCH($C92,銘柄管理!$B$6:$B$305,0),MATCH(TEXT($C92,"0"),銘柄管理!$B$6:$B$305,0))-1,0,1,25)))/$E92*100,"")</f>
      </c>
      <c r="BC92">
        <f>IFERROR(($F92-$G92)/$G92*100,"")</f>
      </c>
      <c r="BD92">
        <f>IFERROR(($E92-MAX(OFFSET(高値!$E$6,IFERROR(MATCH($C92,銘柄管理!$B$6:$B$305,0),MATCH(TEXT($C92,"0"),銘柄管理!$B$6:$B$305,0))-1,0,1,25)))/MAX(OFFSET(高値!$E$6,IFERROR(MATCH($C92,銘柄管理!$B$6:$B$305,0),MATCH(TEXT($C92,"0"),銘柄管理!$B$6:$B$305,0))-1,0,1,25))*100,"")</f>
      </c>
      <c r="BE92">
        <f>IFERROR(($H92-$I92)/$F92*100,"")</f>
      </c>
      <c r="BF92">
        <f>IFERROR(-(($BA92-AVERAGE($BA$3:$BA$206))/STDEV($BA$3:$BA$206))-(($BE92-AVERAGE($BE$3:$BE$206))/STDEV($BE$3:$BE$206))-(($BB92-AVERAGE($BB$3:$BB$206))/STDEV($BB$3:$BB$206))-(($Z92-AVERAGE($Z$3:$Z$206))/STDEV($Z$3:$Z$206))-(($BC92-AVERAGE($BC$3:$BC$206))/STDEV($BC$3:$BC$206)),"")</f>
      </c>
      <c r="BG92">
        <f>IF(OR($C92="",$C92="TOPX",$BA92="",$BF92=""),0,IF(AND($BK$10=1,$BA92&lt;=$BK$2,$BB92&lt;=$BK$3,$BC92&lt;=$BK$4,$Z92&lt;=$BK$5,$Z92&gt;=$BK$6,$BD92&gt;=$BK$7,$BE92&lt;=$BK$8),1,0))</f>
      </c>
      <c r="BH92">
        <f>IF($C92="","",IF($BG92=1,"○ゲート通過",IF($BK$10&lt;&gt;1,"― この方向は停止中",IF($BA92&gt;$BK$2,"×値動きが荒い",IF($BB92&gt;$BK$3,"×レンジが広い",IF($BC92&gt;$BK$4,"×窓を開けて上昇",IF($Z92&gt;$BK$5,"×前日に急騰",IF($Z92&lt;$BK$6,"×前日に急落",IF($BD92&lt;$BK$7,"×高値から離れすぎ",IF($BE92&gt;$BK$8,"×当日の値幅が大きい","×")))))))))</f>
      </c>
    </row>
    <row r="93" spans="1:60"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IF(AND(E93&lt;&gt;"",K93&lt;&gt;"",K93&lt;&gt;0),(E93-K93)/K93*100,"")</f>
        <v>-22.299536116633529</v>
      </c>
      <c r="M93" s="166">
        <f>IF(C93&lt;&gt;"",IFERROR(AVERAGE(出来高!E11:I11),""),"")</f>
        <v>7196020</v>
      </c>
      <c r="N93" s="166">
        <f>IF(C93&lt;&gt;"",IFERROR(AVERAGE(出来高!E11:AC11),""),"")</f>
        <v>7094672</v>
      </c>
      <c r="O93" s="168">
        <f>IF(AND(J93&lt;&gt;"",M93&lt;&gt;"",M93&lt;&gt;0),J93/M93,"")</f>
        <v>0.75985058407286254</v>
      </c>
      <c r="P93" s="163" t="str">
        <f>IF(O93="","",IF(O93&gt;=2,"急増↑↑",IF(O93&gt;=1.5,"増加↑",IF(O93&gt;=1,"普通→","減少↓"))))</f>
        <v>減少↓</v>
      </c>
      <c r="Q93" s="163" t="str">
        <f>IF(E93="","",IF(AND(E93&gt;G93,O93&gt;=1.5),"買い▲",IF(E93&lt;G93,"様子見▼","中立→")))</f>
        <v>中立→</v>
      </c>
      <c r="R93" s="166">
        <f>IF(E93&lt;&gt;"",ROUND(E93*1.08,0),"")</f>
        <v>5065</v>
      </c>
      <c r="S93" s="166">
        <f>IF(E93&lt;&gt;"",ROUND(E93*0.96,0),"")</f>
        <v>4502</v>
      </c>
      <c r="T93" s="163">
        <f>IF(C93="","",IFERROR(IF(O93&gt;=2,3,IF(O93&gt;=1.5,2,IF(O93&gt;=1,1,0)))+IF(E93&gt;G93,1,0)+IF(L93&gt;=-5,1,0)+IF(Q93="買い▲",2,0)+IF(W93&lt;=30,3,IF(W93&lt;=40,2,IF(AND(W93&gt;=40,W93&lt;=60),1,0)))+IF(X93&gt;0,1,0)+IF(V93="年初来高値更新●",3,IF(V93="高値圏",2,0))+IF(AD93="パーフェクト▲",3,IF(AD93="上昇トレンド▲",2,0))+IF(AE93="25日線押し目●",2,IF(AE93="5日線押し目○",1,0))+IF(P93="急増↑↑",2,IF(P93="増加↑",1,0))+N(AI93),0))</f>
        <v>8</v>
      </c>
      <c r="U93" s="163" t="str">
        <f>IF(T93="","",IF(AND(T93&gt;=3,O93&gt;=1.5),"有効",IF(T93&gt;=3,"要確認","除外")))</f>
        <v>要確認</v>
      </c>
      <c r="V93" s="163" t="str">
        <f>IF(AND(H93&lt;&gt;"",K93&lt;&gt;""),IF(H93&gt;=K93,"年初来高値更新●",IF(H93&gt;=K93*0.95,"高値圏","通常")),"")</f>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IF(AND(E93&lt;&gt;"",G93&lt;&gt;"",G93&lt;&gt;0),(E93-G93)/G93*100,"")</f>
        <v>1.2740228892247896</v>
      </c>
      <c r="AA93" s="163" t="str">
        <f>IF(OR(C93="",E93="",E93=0),"",IF(E93&gt;G93,"上昇▲",IF(E93&lt;G93,"下落▼","横ばい→")))</f>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IF(OR(C93="",AB93="",AC93=""),"",IF(AND(E93&gt;AB93,AB93&gt;AC93),"パーフェクト▲",IF(E93&gt;AC93,"上昇トレンド▲",IF(AND(E93&lt;AB93,AB93&lt;AC93),"下降トレンド▼","もみ合い→"))))</f>
        <v>パーフェクト▲</v>
      </c>
      <c r="AE93" s="406" t="str">
        <f>IF(OR(C93="",AB93="",AC93=""),"",IF(AND(ABS(E93-AC93)/AC93&lt;=0.02,E93&gt;AC93),"25日押し目★",IF(AND(ABS(E93-AB93)/AB93&lt;=0.01,E93&gt;AB93),"5日押し目○","なし")))</f>
        <v>なし</v>
      </c>
      <c r="AF93" s="365">
        <f t="array" ref="AF93">IF(C93="","",IFERROR((INDEX(終値!$E:$E,MATCH(TEXT(C93,"0"),終値!$A:$A,0))-INDEX(終値!$E:$CZ,MATCH(TEXT(C93,"0"),終値!$A:$A,0),$AL$2))/INDEX(終値!$E:$CZ,MATCH(TEXT(C93,"0"),終値!$A:$A,0),$AL$2)*100,""))</f>
        <v>17.809595579000252</v>
      </c>
      <c r="AG93" s="365">
        <f t="array" ref="AG93">IFERROR((終値!$E$5-INDEX(終値!$E$5:$IT$5,1,$AL$2))/INDEX(終値!$E$5:$IT$5,1,$AL$2)*100,"")</f>
        <v>1.0179378228534113</v>
      </c>
      <c r="AH93" s="366">
        <f>IF(OR(AF93="",AG93=""),"",AF93-AG93)</f>
        <v>16.79165775614684</v>
      </c>
      <c r="AI93" s="364">
        <f>IF(AH93="","",IF(AH93&gt;5,3,IF(AH93&gt;0,1,IF(AH93&gt;-3,-1,-2))))</f>
        <v>3</v>
      </c>
      <c r="BA93">
        <f>IFERROR((SUM(OFFSET(高値!$E$6,IFERROR(MATCH($C93,銘柄管理!$B$6:$B$305,0),MATCH(TEXT($C93,"0"),銘柄管理!$B$6:$B$305,0))-1,0,1,14))-SUM(OFFSET(安値!$E$6,IFERROR(MATCH($C93,銘柄管理!$B$6:$B$305,0),MATCH(TEXT($C93,"0"),銘柄管理!$B$6:$B$305,0))-1,0,1,14)))/SUM(OFFSET(終値!$E$6,IFERROR(MATCH($C93,銘柄管理!$B$6:$B$305,0),MATCH(TEXT($C93,"0"),銘柄管理!$B$6:$B$305,0))-1,0,1,14))*100,"")</f>
      </c>
      <c r="BB93">
        <f>IFERROR((MAX(OFFSET(高値!$E$6,IFERROR(MATCH($C93,銘柄管理!$B$6:$B$305,0),MATCH(TEXT($C93,"0"),銘柄管理!$B$6:$B$305,0))-1,0,1,25))-MIN(OFFSET(安値!$E$6,IFERROR(MATCH($C93,銘柄管理!$B$6:$B$305,0),MATCH(TEXT($C93,"0"),銘柄管理!$B$6:$B$305,0))-1,0,1,25)))/$E93*100,"")</f>
      </c>
      <c r="BC93">
        <f>IFERROR(($F93-$G93)/$G93*100,"")</f>
      </c>
      <c r="BD93">
        <f>IFERROR(($E93-MAX(OFFSET(高値!$E$6,IFERROR(MATCH($C93,銘柄管理!$B$6:$B$305,0),MATCH(TEXT($C93,"0"),銘柄管理!$B$6:$B$305,0))-1,0,1,25)))/MAX(OFFSET(高値!$E$6,IFERROR(MATCH($C93,銘柄管理!$B$6:$B$305,0),MATCH(TEXT($C93,"0"),銘柄管理!$B$6:$B$305,0))-1,0,1,25))*100,"")</f>
      </c>
      <c r="BE93">
        <f>IFERROR(($H93-$I93)/$F93*100,"")</f>
      </c>
      <c r="BF93">
        <f>IFERROR(-(($BA93-AVERAGE($BA$3:$BA$206))/STDEV($BA$3:$BA$206))-(($BE93-AVERAGE($BE$3:$BE$206))/STDEV($BE$3:$BE$206))-(($BB93-AVERAGE($BB$3:$BB$206))/STDEV($BB$3:$BB$206))-(($Z93-AVERAGE($Z$3:$Z$206))/STDEV($Z$3:$Z$206))-(($BC93-AVERAGE($BC$3:$BC$206))/STDEV($BC$3:$BC$206)),"")</f>
      </c>
      <c r="BG93">
        <f>IF(OR($C93="",$C93="TOPX",$BA93="",$BF93=""),0,IF(AND($BK$10=1,$BA93&lt;=$BK$2,$BB93&lt;=$BK$3,$BC93&lt;=$BK$4,$Z93&lt;=$BK$5,$Z93&gt;=$BK$6,$BD93&gt;=$BK$7,$BE93&lt;=$BK$8),1,0))</f>
      </c>
      <c r="BH93">
        <f>IF($C93="","",IF($BG93=1,"○ゲート通過",IF($BK$10&lt;&gt;1,"― この方向は停止中",IF($BA93&gt;$BK$2,"×値動きが荒い",IF($BB93&gt;$BK$3,"×レンジが広い",IF($BC93&gt;$BK$4,"×窓を開けて上昇",IF($Z93&gt;$BK$5,"×前日に急騰",IF($Z93&lt;$BK$6,"×前日に急落",IF($BD93&lt;$BK$7,"×高値から離れすぎ",IF($BE93&gt;$BK$8,"×当日の値幅が大きい","×")))))))))</f>
      </c>
    </row>
    <row r="94" spans="1:60"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IF(AND(E94&lt;&gt;"",K94&lt;&gt;"",K94&lt;&gt;0),(E94-K94)/K94*100,"")</f>
        <v>-51.215469613259671</v>
      </c>
      <c r="M94" s="166">
        <f>IF(C94&lt;&gt;"",IFERROR(AVERAGE(出来高!E141:I141),""),"")</f>
        <v>2873100</v>
      </c>
      <c r="N94" s="166">
        <f>IF(C94&lt;&gt;"",IFERROR(AVERAGE(出来高!E141:AC141),""),"")</f>
        <v>2823640</v>
      </c>
      <c r="O94" s="168">
        <f>IF(AND(J94&lt;&gt;"",M94&lt;&gt;"",M94&lt;&gt;0),J94/M94,"")</f>
        <v>0.55260868051929968</v>
      </c>
      <c r="P94" s="163" t="str">
        <f>IF(O94="","",IF(O94&gt;=2,"急増↑↑",IF(O94&gt;=1.5,"増加↑",IF(O94&gt;=1,"普通→","減少↓"))))</f>
        <v>減少↓</v>
      </c>
      <c r="Q94" s="163" t="str">
        <f>IF(E94="","",IF(AND(E94&gt;G94,O94&gt;=1.5),"買い▲",IF(E94&lt;G94,"様子見▼","中立→")))</f>
        <v>様子見▼</v>
      </c>
      <c r="R94" s="166">
        <f>IF(E94&lt;&gt;"",ROUND(E94*1.08,0),"")</f>
        <v>1907</v>
      </c>
      <c r="S94" s="166">
        <f>IF(E94&lt;&gt;"",ROUND(E94*0.96,0),"")</f>
        <v>1695</v>
      </c>
      <c r="T94" s="163">
        <f>IF(C94="","",IFERROR(IF(O94&gt;=2,3,IF(O94&gt;=1.5,2,IF(O94&gt;=1,1,0)))+IF(E94&gt;G94,1,0)+IF(L94&gt;=-5,1,0)+IF(Q94="買い▲",2,0)+IF(W94&lt;=30,3,IF(W94&lt;=40,2,IF(AND(W94&gt;=40,W94&lt;=60),1,0)))+IF(X94&gt;0,1,0)+IF(V94="年初来高値更新●",3,IF(V94="高値圏",2,0))+IF(AD94="パーフェクト▲",3,IF(AD94="上昇トレンド▲",2,0))+IF(AE94="25日線押し目●",2,IF(AE94="5日線押し目○",1,0))+IF(P94="急増↑↑",2,IF(P94="増加↑",1,0))+N(AI94),0))</f>
        <v>0</v>
      </c>
      <c r="U94" s="163" t="str">
        <f>IF(T94="","",IF(AND(T94&gt;=3,O94&gt;=1.5),"有効",IF(T94&gt;=3,"要確認","除外")))</f>
        <v>除外</v>
      </c>
      <c r="V94" s="163" t="str">
        <f>IF(AND(H94&lt;&gt;"",K94&lt;&gt;""),IF(H94&gt;=K94,"年初来高値更新●",IF(H94&gt;=K94*0.95,"高値圏","通常")),"")</f>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IF(AND(E94&lt;&gt;"",G94&lt;&gt;"",G94&lt;&gt;0),(E94-G94)/G94*100,"")</f>
        <v>-1.0644257703081232</v>
      </c>
      <c r="AA94" s="163" t="str">
        <f>IF(OR(C94="",E94="",E94=0),"",IF(E94&gt;G94,"上昇▲",IF(E94&lt;G94,"下落▼","横ばい→")))</f>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IF(OR(C94="",AB94="",AC94=""),"",IF(AND(E94&gt;AB94,AB94&gt;AC94),"パーフェクト▲",IF(E94&gt;AC94,"上昇トレンド▲",IF(AND(E94&lt;AB94,AB94&lt;AC94),"下降トレンド▼","もみ合い→"))))</f>
        <v>もみ合い→</v>
      </c>
      <c r="AE94" s="404" t="str">
        <f>IF(OR(C94="",AB94="",AC94=""),"",IF(AND(ABS(E94-AC94)/AC94&lt;=0.02,E94&gt;AC94),"25日押し目★",IF(AND(ABS(E94-AB94)/AB94&lt;=0.01,E94&gt;AB94),"5日押し目○","なし")))</f>
        <v>なし</v>
      </c>
      <c r="AF94" s="365">
        <f t="array" ref="AF94">IF(C94="","",IFERROR((INDEX(終値!$E:$E,MATCH(TEXT(C94,"0"),終値!$A:$A,0))-INDEX(終値!$E:$CZ,MATCH(TEXT(C94,"0"),終値!$A:$A,0),$AL$2))/INDEX(終値!$E:$CZ,MATCH(TEXT(C94,"0"),終値!$A:$A,0),$AL$2)*100,""))</f>
        <v>-35.828488372093027</v>
      </c>
      <c r="AG94" s="365">
        <f t="array" ref="AG94">IFERROR((終値!$E$5-INDEX(終値!$E$5:$IT$5,1,$AL$2))/INDEX(終値!$E$5:$IT$5,1,$AL$2)*100,"")</f>
        <v>1.0179378228534113</v>
      </c>
      <c r="AH94" s="366">
        <f>IF(OR(AF94="",AG94=""),"",AF94-AG94)</f>
        <v>-36.846426194946439</v>
      </c>
      <c r="AI94" s="364">
        <f>IF(AH94="","",IF(AH94&gt;5,3,IF(AH94&gt;0,1,IF(AH94&gt;-3,-1,-2))))</f>
        <v>-2</v>
      </c>
      <c r="BA94">
        <f>IFERROR((SUM(OFFSET(高値!$E$6,IFERROR(MATCH($C94,銘柄管理!$B$6:$B$305,0),MATCH(TEXT($C94,"0"),銘柄管理!$B$6:$B$305,0))-1,0,1,14))-SUM(OFFSET(安値!$E$6,IFERROR(MATCH($C94,銘柄管理!$B$6:$B$305,0),MATCH(TEXT($C94,"0"),銘柄管理!$B$6:$B$305,0))-1,0,1,14)))/SUM(OFFSET(終値!$E$6,IFERROR(MATCH($C94,銘柄管理!$B$6:$B$305,0),MATCH(TEXT($C94,"0"),銘柄管理!$B$6:$B$305,0))-1,0,1,14))*100,"")</f>
      </c>
      <c r="BB94">
        <f>IFERROR((MAX(OFFSET(高値!$E$6,IFERROR(MATCH($C94,銘柄管理!$B$6:$B$305,0),MATCH(TEXT($C94,"0"),銘柄管理!$B$6:$B$305,0))-1,0,1,25))-MIN(OFFSET(安値!$E$6,IFERROR(MATCH($C94,銘柄管理!$B$6:$B$305,0),MATCH(TEXT($C94,"0"),銘柄管理!$B$6:$B$305,0))-1,0,1,25)))/$E94*100,"")</f>
      </c>
      <c r="BC94">
        <f>IFERROR(($F94-$G94)/$G94*100,"")</f>
      </c>
      <c r="BD94">
        <f>IFERROR(($E94-MAX(OFFSET(高値!$E$6,IFERROR(MATCH($C94,銘柄管理!$B$6:$B$305,0),MATCH(TEXT($C94,"0"),銘柄管理!$B$6:$B$305,0))-1,0,1,25)))/MAX(OFFSET(高値!$E$6,IFERROR(MATCH($C94,銘柄管理!$B$6:$B$305,0),MATCH(TEXT($C94,"0"),銘柄管理!$B$6:$B$305,0))-1,0,1,25))*100,"")</f>
      </c>
      <c r="BE94">
        <f>IFERROR(($H94-$I94)/$F94*100,"")</f>
      </c>
      <c r="BF94">
        <f>IFERROR(-(($BA94-AVERAGE($BA$3:$BA$206))/STDEV($BA$3:$BA$206))-(($BE94-AVERAGE($BE$3:$BE$206))/STDEV($BE$3:$BE$206))-(($BB94-AVERAGE($BB$3:$BB$206))/STDEV($BB$3:$BB$206))-(($Z94-AVERAGE($Z$3:$Z$206))/STDEV($Z$3:$Z$206))-(($BC94-AVERAGE($BC$3:$BC$206))/STDEV($BC$3:$BC$206)),"")</f>
      </c>
      <c r="BG94">
        <f>IF(OR($C94="",$C94="TOPX",$BA94="",$BF94=""),0,IF(AND($BK$10=1,$BA94&lt;=$BK$2,$BB94&lt;=$BK$3,$BC94&lt;=$BK$4,$Z94&lt;=$BK$5,$Z94&gt;=$BK$6,$BD94&gt;=$BK$7,$BE94&lt;=$BK$8),1,0))</f>
      </c>
      <c r="BH94">
        <f>IF($C94="","",IF($BG94=1,"○ゲート通過",IF($BK$10&lt;&gt;1,"― この方向は停止中",IF($BA94&gt;$BK$2,"×値動きが荒い",IF($BB94&gt;$BK$3,"×レンジが広い",IF($BC94&gt;$BK$4,"×窓を開けて上昇",IF($Z94&gt;$BK$5,"×前日に急騰",IF($Z94&lt;$BK$6,"×前日に急落",IF($BD94&lt;$BK$7,"×高値から離れすぎ",IF($BE94&gt;$BK$8,"×当日の値幅が大きい","×")))))))))</f>
      </c>
    </row>
    <row r="95" spans="1:60"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IF(AND(E95&lt;&gt;"",K95&lt;&gt;"",K95&lt;&gt;0),(E95-K95)/K95*100,"")</f>
        <v>-37.441860465116278</v>
      </c>
      <c r="M95" s="166">
        <f>IF(C95&lt;&gt;"",IFERROR(AVERAGE(出来高!E143:I143),""),"")</f>
        <v>1364720</v>
      </c>
      <c r="N95" s="166">
        <f>IF(C95&lt;&gt;"",IFERROR(AVERAGE(出来高!E143:AC143),""),"")</f>
        <v>2675604</v>
      </c>
      <c r="O95" s="168">
        <f>IF(AND(J95&lt;&gt;"",M95&lt;&gt;"",M95&lt;&gt;0),J95/M95,"")</f>
        <v>0.56575707837505129</v>
      </c>
      <c r="P95" s="163" t="str">
        <f>IF(O95="","",IF(O95&gt;=2,"急増↑↑",IF(O95&gt;=1.5,"増加↑",IF(O95&gt;=1,"普通→","減少↓"))))</f>
        <v>減少↓</v>
      </c>
      <c r="Q95" s="163" t="str">
        <f>IF(E95="","",IF(AND(E95&gt;G95,O95&gt;=1.5),"買い▲",IF(E95&lt;G95,"様子見▼","中立→")))</f>
        <v>様子見▼</v>
      </c>
      <c r="R95" s="166">
        <f>IF(E95&lt;&gt;"",ROUND(E95*1.08,0),"")</f>
        <v>1743</v>
      </c>
      <c r="S95" s="166">
        <f>IF(E95&lt;&gt;"",ROUND(E95*0.96,0),"")</f>
        <v>1549</v>
      </c>
      <c r="T95" s="163">
        <f>IF(C95="","",IFERROR(IF(O95&gt;=2,3,IF(O95&gt;=1.5,2,IF(O95&gt;=1,1,0)))+IF(E95&gt;G95,1,0)+IF(L95&gt;=-5,1,0)+IF(Q95="買い▲",2,0)+IF(W95&lt;=30,3,IF(W95&lt;=40,2,IF(AND(W95&gt;=40,W95&lt;=60),1,0)))+IF(X95&gt;0,1,0)+IF(V95="年初来高値更新●",3,IF(V95="高値圏",2,0))+IF(AD95="パーフェクト▲",3,IF(AD95="上昇トレンド▲",2,0))+IF(AE95="25日線押し目●",2,IF(AE95="5日線押し目○",1,0))+IF(P95="急増↑↑",2,IF(P95="増加↑",1,0))+N(AI95),0))</f>
        <v>2</v>
      </c>
      <c r="U95" s="163" t="str">
        <f>IF(T95="","",IF(AND(T95&gt;=3,O95&gt;=1.5),"有効",IF(T95&gt;=3,"要確認","除外")))</f>
        <v>除外</v>
      </c>
      <c r="V95" s="163" t="str">
        <f>IF(AND(H95&lt;&gt;"",K95&lt;&gt;""),IF(H95&gt;=K95,"年初来高値更新●",IF(H95&gt;=K95*0.95,"高値圏","通常")),"")</f>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IF(AND(E95&lt;&gt;"",G95&lt;&gt;"",G95&lt;&gt;0),(E95-G95)/G95*100,"")</f>
        <v>-2.8880866425992782</v>
      </c>
      <c r="AA95" s="163" t="str">
        <f>IF(OR(C95="",E95="",E95=0),"",IF(E95&gt;G95,"上昇▲",IF(E95&lt;G95,"下落▼","横ばい→")))</f>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IF(OR(C95="",AB95="",AC95=""),"",IF(AND(E95&gt;AB95,AB95&gt;AC95),"パーフェクト▲",IF(E95&gt;AC95,"上昇トレンド▲",IF(AND(E95&lt;AB95,AB95&lt;AC95),"下降トレンド▼","もみ合い→"))))</f>
        <v>もみ合い→</v>
      </c>
      <c r="AE95" s="406" t="str">
        <f>IF(OR(C95="",AB95="",AC95=""),"",IF(AND(ABS(E95-AC95)/AC95&lt;=0.02,E95&gt;AC95),"25日押し目★",IF(AND(ABS(E95-AB95)/AB95&lt;=0.01,E95&gt;AB95),"5日押し目○","なし")))</f>
        <v>なし</v>
      </c>
      <c r="AF95" s="365">
        <f t="array" ref="AF95">IF(C95="","",IFERROR((INDEX(終値!$E:$E,MATCH(TEXT(C95,"0"),終値!$A:$A,0))-INDEX(終値!$E:$CZ,MATCH(TEXT(C95,"0"),終値!$A:$A,0),$AL$2))/INDEX(終値!$E:$CZ,MATCH(TEXT(C95,"0"),終値!$A:$A,0),$AL$2)*100,""))</f>
        <v>3.4615384615384617</v>
      </c>
      <c r="AG95" s="365">
        <f t="array" ref="AG95">IFERROR((終値!$E$5-INDEX(終値!$E$5:$IT$5,1,$AL$2))/INDEX(終値!$E$5:$IT$5,1,$AL$2)*100,"")</f>
        <v>1.0179378228534113</v>
      </c>
      <c r="AH95" s="366">
        <f>IF(OR(AF95="",AG95=""),"",AF95-AG95)</f>
        <v>2.4436006386850506</v>
      </c>
      <c r="AI95" s="364">
        <f>IF(AH95="","",IF(AH95&gt;5,3,IF(AH95&gt;0,1,IF(AH95&gt;-3,-1,-2))))</f>
        <v>1</v>
      </c>
      <c r="BA95">
        <f>IFERROR((SUM(OFFSET(高値!$E$6,IFERROR(MATCH($C95,銘柄管理!$B$6:$B$305,0),MATCH(TEXT($C95,"0"),銘柄管理!$B$6:$B$305,0))-1,0,1,14))-SUM(OFFSET(安値!$E$6,IFERROR(MATCH($C95,銘柄管理!$B$6:$B$305,0),MATCH(TEXT($C95,"0"),銘柄管理!$B$6:$B$305,0))-1,0,1,14)))/SUM(OFFSET(終値!$E$6,IFERROR(MATCH($C95,銘柄管理!$B$6:$B$305,0),MATCH(TEXT($C95,"0"),銘柄管理!$B$6:$B$305,0))-1,0,1,14))*100,"")</f>
      </c>
      <c r="BB95">
        <f>IFERROR((MAX(OFFSET(高値!$E$6,IFERROR(MATCH($C95,銘柄管理!$B$6:$B$305,0),MATCH(TEXT($C95,"0"),銘柄管理!$B$6:$B$305,0))-1,0,1,25))-MIN(OFFSET(安値!$E$6,IFERROR(MATCH($C95,銘柄管理!$B$6:$B$305,0),MATCH(TEXT($C95,"0"),銘柄管理!$B$6:$B$305,0))-1,0,1,25)))/$E95*100,"")</f>
      </c>
      <c r="BC95">
        <f>IFERROR(($F95-$G95)/$G95*100,"")</f>
      </c>
      <c r="BD95">
        <f>IFERROR(($E95-MAX(OFFSET(高値!$E$6,IFERROR(MATCH($C95,銘柄管理!$B$6:$B$305,0),MATCH(TEXT($C95,"0"),銘柄管理!$B$6:$B$305,0))-1,0,1,25)))/MAX(OFFSET(高値!$E$6,IFERROR(MATCH($C95,銘柄管理!$B$6:$B$305,0),MATCH(TEXT($C95,"0"),銘柄管理!$B$6:$B$305,0))-1,0,1,25))*100,"")</f>
      </c>
      <c r="BE95">
        <f>IFERROR(($H95-$I95)/$F95*100,"")</f>
      </c>
      <c r="BF95">
        <f>IFERROR(-(($BA95-AVERAGE($BA$3:$BA$206))/STDEV($BA$3:$BA$206))-(($BE95-AVERAGE($BE$3:$BE$206))/STDEV($BE$3:$BE$206))-(($BB95-AVERAGE($BB$3:$BB$206))/STDEV($BB$3:$BB$206))-(($Z95-AVERAGE($Z$3:$Z$206))/STDEV($Z$3:$Z$206))-(($BC95-AVERAGE($BC$3:$BC$206))/STDEV($BC$3:$BC$206)),"")</f>
      </c>
      <c r="BG95">
        <f>IF(OR($C95="",$C95="TOPX",$BA95="",$BF95=""),0,IF(AND($BK$10=1,$BA95&lt;=$BK$2,$BB95&lt;=$BK$3,$BC95&lt;=$BK$4,$Z95&lt;=$BK$5,$Z95&gt;=$BK$6,$BD95&gt;=$BK$7,$BE95&lt;=$BK$8),1,0))</f>
      </c>
      <c r="BH95">
        <f>IF($C95="","",IF($BG95=1,"○ゲート通過",IF($BK$10&lt;&gt;1,"― この方向は停止中",IF($BA95&gt;$BK$2,"×値動きが荒い",IF($BB95&gt;$BK$3,"×レンジが広い",IF($BC95&gt;$BK$4,"×窓を開けて上昇",IF($Z95&gt;$BK$5,"×前日に急騰",IF($Z95&lt;$BK$6,"×前日に急落",IF($BD95&lt;$BK$7,"×高値から離れすぎ",IF($BE95&gt;$BK$8,"×当日の値幅が大きい","×")))))))))</f>
      </c>
    </row>
    <row r="96" spans="1:60"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IF(AND(E96&lt;&gt;"",K96&lt;&gt;"",K96&lt;&gt;0),(E96-K96)/K96*100,"")</f>
        <v>-24.746192893401016</v>
      </c>
      <c r="M96" s="166">
        <f>IF(C96&lt;&gt;"",IFERROR(AVERAGE(出来高!E151:I151),""),"")</f>
        <v>231080</v>
      </c>
      <c r="N96" s="166">
        <f>IF(C96&lt;&gt;"",IFERROR(AVERAGE(出来高!E151:AC151),""),"")</f>
        <v>189450</v>
      </c>
      <c r="O96" s="168">
        <f>IF(AND(J96&lt;&gt;"",M96&lt;&gt;"",M96&lt;&gt;0),J96/M96,"")</f>
        <v>0.76120823957071149</v>
      </c>
      <c r="P96" s="163" t="str">
        <f>IF(O96="","",IF(O96&gt;=2,"急増↑↑",IF(O96&gt;=1.5,"増加↑",IF(O96&gt;=1,"普通→","減少↓"))))</f>
        <v>減少↓</v>
      </c>
      <c r="Q96" s="163" t="str">
        <f>IF(E96="","",IF(AND(E96&gt;G96,O96&gt;=1.5),"買い▲",IF(E96&lt;G96,"様子見▼","中立→")))</f>
        <v>様子見▼</v>
      </c>
      <c r="R96" s="166">
        <f>IF(E96&lt;&gt;"",ROUND(E96*1.08,0),"")</f>
        <v>6404</v>
      </c>
      <c r="S96" s="166">
        <f>IF(E96&lt;&gt;"",ROUND(E96*0.96,0),"")</f>
        <v>5693</v>
      </c>
      <c r="T96" s="163">
        <f>IF(C96="","",IFERROR(IF(O96&gt;=2,3,IF(O96&gt;=1.5,2,IF(O96&gt;=1,1,0)))+IF(E96&gt;G96,1,0)+IF(L96&gt;=-5,1,0)+IF(Q96="買い▲",2,0)+IF(W96&lt;=30,3,IF(W96&lt;=40,2,IF(AND(W96&gt;=40,W96&lt;=60),1,0)))+IF(X96&gt;0,1,0)+IF(V96="年初来高値更新●",3,IF(V96="高値圏",2,0))+IF(AD96="パーフェクト▲",3,IF(AD96="上昇トレンド▲",2,0))+IF(AE96="25日線押し目●",2,IF(AE96="5日線押し目○",1,0))+IF(P96="急増↑↑",2,IF(P96="増加↑",1,0))+N(AI96),0))</f>
        <v>2</v>
      </c>
      <c r="U96" s="163" t="str">
        <f>IF(T96="","",IF(AND(T96&gt;=3,O96&gt;=1.5),"有効",IF(T96&gt;=3,"要確認","除外")))</f>
        <v>除外</v>
      </c>
      <c r="V96" s="163" t="str">
        <f>IF(AND(H96&lt;&gt;"",K96&lt;&gt;""),IF(H96&gt;=K96,"年初来高値更新●",IF(H96&gt;=K96*0.95,"高値圏","通常")),"")</f>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IF(AND(E96&lt;&gt;"",G96&lt;&gt;"",G96&lt;&gt;0),(E96-G96)/G96*100,"")</f>
        <v>-2.6272577996715927</v>
      </c>
      <c r="AA96" s="163" t="str">
        <f>IF(OR(C96="",E96="",E96=0),"",IF(E96&gt;G96,"上昇▲",IF(E96&lt;G96,"下落▼","横ばい→")))</f>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IF(OR(C96="",AB96="",AC96=""),"",IF(AND(E96&gt;AB96,AB96&gt;AC96),"パーフェクト▲",IF(E96&gt;AC96,"上昇トレンド▲",IF(AND(E96&lt;AB96,AB96&lt;AC96),"下降トレンド▼","もみ合い→"))))</f>
        <v>パーフェクト▲</v>
      </c>
      <c r="AE96" s="404" t="str">
        <f>IF(OR(C96="",AB96="",AC96=""),"",IF(AND(ABS(E96-AC96)/AC96&lt;=0.02,E96&gt;AC96),"25日押し目★",IF(AND(ABS(E96-AB96)/AB96&lt;=0.01,E96&gt;AB96),"5日押し目○","なし")))</f>
        <v>なし</v>
      </c>
      <c r="AF96" s="365">
        <f t="array" ref="AF96">IF(C96="","",IFERROR((INDEX(終値!$E:$E,MATCH(TEXT(C96,"0"),終値!$A:$A,0))-INDEX(終値!$E:$CZ,MATCH(TEXT(C96,"0"),終値!$A:$A,0),$AL$2))/INDEX(終値!$E:$CZ,MATCH(TEXT(C96,"0"),終値!$A:$A,0),$AL$2)*100,""))</f>
        <v>-9.8784194528875382</v>
      </c>
      <c r="AG96" s="365">
        <f t="array" ref="AG96">IFERROR((終値!$E$5-INDEX(終値!$E$5:$IT$5,1,$AL$2))/INDEX(終値!$E$5:$IT$5,1,$AL$2)*100,"")</f>
        <v>1.0179378228534113</v>
      </c>
      <c r="AH96" s="366">
        <f>IF(OR(AF96="",AG96=""),"",AF96-AG96)</f>
        <v>-10.89635727574095</v>
      </c>
      <c r="AI96" s="364">
        <f>IF(AH96="","",IF(AH96&gt;5,3,IF(AH96&gt;0,1,IF(AH96&gt;-3,-1,-2))))</f>
        <v>-2</v>
      </c>
      <c r="BA96">
        <f>IFERROR((SUM(OFFSET(高値!$E$6,IFERROR(MATCH($C96,銘柄管理!$B$6:$B$305,0),MATCH(TEXT($C96,"0"),銘柄管理!$B$6:$B$305,0))-1,0,1,14))-SUM(OFFSET(安値!$E$6,IFERROR(MATCH($C96,銘柄管理!$B$6:$B$305,0),MATCH(TEXT($C96,"0"),銘柄管理!$B$6:$B$305,0))-1,0,1,14)))/SUM(OFFSET(終値!$E$6,IFERROR(MATCH($C96,銘柄管理!$B$6:$B$305,0),MATCH(TEXT($C96,"0"),銘柄管理!$B$6:$B$305,0))-1,0,1,14))*100,"")</f>
      </c>
      <c r="BB96">
        <f>IFERROR((MAX(OFFSET(高値!$E$6,IFERROR(MATCH($C96,銘柄管理!$B$6:$B$305,0),MATCH(TEXT($C96,"0"),銘柄管理!$B$6:$B$305,0))-1,0,1,25))-MIN(OFFSET(安値!$E$6,IFERROR(MATCH($C96,銘柄管理!$B$6:$B$305,0),MATCH(TEXT($C96,"0"),銘柄管理!$B$6:$B$305,0))-1,0,1,25)))/$E96*100,"")</f>
      </c>
      <c r="BC96">
        <f>IFERROR(($F96-$G96)/$G96*100,"")</f>
      </c>
      <c r="BD96">
        <f>IFERROR(($E96-MAX(OFFSET(高値!$E$6,IFERROR(MATCH($C96,銘柄管理!$B$6:$B$305,0),MATCH(TEXT($C96,"0"),銘柄管理!$B$6:$B$305,0))-1,0,1,25)))/MAX(OFFSET(高値!$E$6,IFERROR(MATCH($C96,銘柄管理!$B$6:$B$305,0),MATCH(TEXT($C96,"0"),銘柄管理!$B$6:$B$305,0))-1,0,1,25))*100,"")</f>
      </c>
      <c r="BE96">
        <f>IFERROR(($H96-$I96)/$F96*100,"")</f>
      </c>
      <c r="BF96">
        <f>IFERROR(-(($BA96-AVERAGE($BA$3:$BA$206))/STDEV($BA$3:$BA$206))-(($BE96-AVERAGE($BE$3:$BE$206))/STDEV($BE$3:$BE$206))-(($BB96-AVERAGE($BB$3:$BB$206))/STDEV($BB$3:$BB$206))-(($Z96-AVERAGE($Z$3:$Z$206))/STDEV($Z$3:$Z$206))-(($BC96-AVERAGE($BC$3:$BC$206))/STDEV($BC$3:$BC$206)),"")</f>
      </c>
      <c r="BG96">
        <f>IF(OR($C96="",$C96="TOPX",$BA96="",$BF96=""),0,IF(AND($BK$10=1,$BA96&lt;=$BK$2,$BB96&lt;=$BK$3,$BC96&lt;=$BK$4,$Z96&lt;=$BK$5,$Z96&gt;=$BK$6,$BD96&gt;=$BK$7,$BE96&lt;=$BK$8),1,0))</f>
      </c>
      <c r="BH96">
        <f>IF($C96="","",IF($BG96=1,"○ゲート通過",IF($BK$10&lt;&gt;1,"― この方向は停止中",IF($BA96&gt;$BK$2,"×値動きが荒い",IF($BB96&gt;$BK$3,"×レンジが広い",IF($BC96&gt;$BK$4,"×窓を開けて上昇",IF($Z96&gt;$BK$5,"×前日に急騰",IF($Z96&lt;$BK$6,"×前日に急落",IF($BD96&lt;$BK$7,"×高値から離れすぎ",IF($BE96&gt;$BK$8,"×当日の値幅が大きい","×")))))))))</f>
      </c>
    </row>
    <row r="97" spans="1:60"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IF(AND(E97&lt;&gt;"",K97&lt;&gt;"",K97&lt;&gt;0),(E97-K97)/K97*100,"")</f>
        <v>-17.041420118343193</v>
      </c>
      <c r="M97" s="166">
        <f>IF(C97&lt;&gt;"",IFERROR(AVERAGE(出来高!E183:I183),""),"")</f>
        <v>199660</v>
      </c>
      <c r="N97" s="166">
        <f>IF(C97&lt;&gt;"",IFERROR(AVERAGE(出来高!E183:AC183),""),"")</f>
        <v>158780</v>
      </c>
      <c r="O97" s="168">
        <f>IF(AND(J97&lt;&gt;"",M97&lt;&gt;"",M97&lt;&gt;0),J97/M97,"")</f>
        <v>0.75528398277071018</v>
      </c>
      <c r="P97" s="163" t="str">
        <f>IF(O97="","",IF(O97&gt;=2,"急増↑↑",IF(O97&gt;=1.5,"増加↑",IF(O97&gt;=1,"普通→","減少↓"))))</f>
        <v>減少↓</v>
      </c>
      <c r="Q97" s="163" t="str">
        <f>IF(E97="","",IF(AND(E97&gt;G97,O97&gt;=1.5),"買い▲",IF(E97&lt;G97,"様子見▼","中立→")))</f>
        <v>様子見▼</v>
      </c>
      <c r="R97" s="166">
        <f>IF(E97&lt;&gt;"",ROUND(E97*1.08,0),"")</f>
        <v>15142</v>
      </c>
      <c r="S97" s="166">
        <f>IF(E97&lt;&gt;"",ROUND(E97*0.96,0),"")</f>
        <v>13459</v>
      </c>
      <c r="T97" s="163">
        <f>IF(C97="","",IFERROR(IF(O97&gt;=2,3,IF(O97&gt;=1.5,2,IF(O97&gt;=1,1,0)))+IF(E97&gt;G97,1,0)+IF(L97&gt;=-5,1,0)+IF(Q97="買い▲",2,0)+IF(W97&lt;=30,3,IF(W97&lt;=40,2,IF(AND(W97&gt;=40,W97&lt;=60),1,0)))+IF(X97&gt;0,1,0)+IF(V97="年初来高値更新●",3,IF(V97="高値圏",2,0))+IF(AD97="パーフェクト▲",3,IF(AD97="上昇トレンド▲",2,0))+IF(AE97="25日線押し目●",2,IF(AE97="5日線押し目○",1,0))+IF(P97="急増↑↑",2,IF(P97="増加↑",1,0))+N(AI97),0))</f>
        <v>2</v>
      </c>
      <c r="U97" s="163" t="str">
        <f>IF(T97="","",IF(AND(T97&gt;=3,O97&gt;=1.5),"有効",IF(T97&gt;=3,"要確認","除外")))</f>
        <v>除外</v>
      </c>
      <c r="V97" s="163" t="str">
        <f>IF(AND(H97&lt;&gt;"",K97&lt;&gt;""),IF(H97&gt;=K97,"年初来高値更新●",IF(H97&gt;=K97*0.95,"高値圏","通常")),"")</f>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IF(AND(E97&lt;&gt;"",G97&lt;&gt;"",G97&lt;&gt;0),(E97-G97)/G97*100,"")</f>
        <v>-5.3981106612685563</v>
      </c>
      <c r="AA97" s="163" t="str">
        <f>IF(OR(C97="",E97="",E97=0),"",IF(E97&gt;G97,"上昇▲",IF(E97&lt;G97,"下落▼","横ばい→")))</f>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IF(OR(C97="",AB97="",AC97=""),"",IF(AND(E97&gt;AB97,AB97&gt;AC97),"パーフェクト▲",IF(E97&gt;AC97,"上昇トレンド▲",IF(AND(E97&lt;AB97,AB97&lt;AC97),"下降トレンド▼","もみ合い→"))))</f>
        <v>パーフェクト▲</v>
      </c>
      <c r="AE97" s="406" t="str">
        <f>IF(OR(C97="",AB97="",AC97=""),"",IF(AND(ABS(E97-AC97)/AC97&lt;=0.02,E97&gt;AC97),"25日押し目★",IF(AND(ABS(E97-AB97)/AB97&lt;=0.01,E97&gt;AB97),"5日押し目○","なし")))</f>
        <v>なし</v>
      </c>
      <c r="AF97" s="365">
        <f t="array" ref="AF97">IF(C97="","",IFERROR((INDEX(終値!$E:$E,MATCH(TEXT(C97,"0"),終値!$A:$A,0))-INDEX(終値!$E:$CZ,MATCH(TEXT(C97,"0"),終値!$A:$A,0),$AL$2))/INDEX(終値!$E:$CZ,MATCH(TEXT(C97,"0"),終値!$A:$A,0),$AL$2)*100,""))</f>
        <v>-14.927184466019416</v>
      </c>
      <c r="AG97" s="365">
        <f t="array" ref="AG97">IFERROR((終値!$E$5-INDEX(終値!$E$5:$IT$5,1,$AL$2))/INDEX(終値!$E$5:$IT$5,1,$AL$2)*100,"")</f>
        <v>1.0179378228534113</v>
      </c>
      <c r="AH97" s="366">
        <f>IF(OR(AF97="",AG97=""),"",AF97-AG97)</f>
        <v>-15.945122288872827</v>
      </c>
      <c r="AI97" s="364">
        <f>IF(AH97="","",IF(AH97&gt;5,3,IF(AH97&gt;0,1,IF(AH97&gt;-3,-1,-2))))</f>
        <v>-2</v>
      </c>
      <c r="BA97">
        <f>IFERROR((SUM(OFFSET(高値!$E$6,IFERROR(MATCH($C97,銘柄管理!$B$6:$B$305,0),MATCH(TEXT($C97,"0"),銘柄管理!$B$6:$B$305,0))-1,0,1,14))-SUM(OFFSET(安値!$E$6,IFERROR(MATCH($C97,銘柄管理!$B$6:$B$305,0),MATCH(TEXT($C97,"0"),銘柄管理!$B$6:$B$305,0))-1,0,1,14)))/SUM(OFFSET(終値!$E$6,IFERROR(MATCH($C97,銘柄管理!$B$6:$B$305,0),MATCH(TEXT($C97,"0"),銘柄管理!$B$6:$B$305,0))-1,0,1,14))*100,"")</f>
      </c>
      <c r="BB97">
        <f>IFERROR((MAX(OFFSET(高値!$E$6,IFERROR(MATCH($C97,銘柄管理!$B$6:$B$305,0),MATCH(TEXT($C97,"0"),銘柄管理!$B$6:$B$305,0))-1,0,1,25))-MIN(OFFSET(安値!$E$6,IFERROR(MATCH($C97,銘柄管理!$B$6:$B$305,0),MATCH(TEXT($C97,"0"),銘柄管理!$B$6:$B$305,0))-1,0,1,25)))/$E97*100,"")</f>
      </c>
      <c r="BC97">
        <f>IFERROR(($F97-$G97)/$G97*100,"")</f>
      </c>
      <c r="BD97">
        <f>IFERROR(($E97-MAX(OFFSET(高値!$E$6,IFERROR(MATCH($C97,銘柄管理!$B$6:$B$305,0),MATCH(TEXT($C97,"0"),銘柄管理!$B$6:$B$305,0))-1,0,1,25)))/MAX(OFFSET(高値!$E$6,IFERROR(MATCH($C97,銘柄管理!$B$6:$B$305,0),MATCH(TEXT($C97,"0"),銘柄管理!$B$6:$B$305,0))-1,0,1,25))*100,"")</f>
      </c>
      <c r="BE97">
        <f>IFERROR(($H97-$I97)/$F97*100,"")</f>
      </c>
      <c r="BF97">
        <f>IFERROR(-(($BA97-AVERAGE($BA$3:$BA$206))/STDEV($BA$3:$BA$206))-(($BE97-AVERAGE($BE$3:$BE$206))/STDEV($BE$3:$BE$206))-(($BB97-AVERAGE($BB$3:$BB$206))/STDEV($BB$3:$BB$206))-(($Z97-AVERAGE($Z$3:$Z$206))/STDEV($Z$3:$Z$206))-(($BC97-AVERAGE($BC$3:$BC$206))/STDEV($BC$3:$BC$206)),"")</f>
      </c>
      <c r="BG97">
        <f>IF(OR($C97="",$C97="TOPX",$BA97="",$BF97=""),0,IF(AND($BK$10=1,$BA97&lt;=$BK$2,$BB97&lt;=$BK$3,$BC97&lt;=$BK$4,$Z97&lt;=$BK$5,$Z97&gt;=$BK$6,$BD97&gt;=$BK$7,$BE97&lt;=$BK$8),1,0))</f>
      </c>
      <c r="BH97">
        <f>IF($C97="","",IF($BG97=1,"○ゲート通過",IF($BK$10&lt;&gt;1,"― この方向は停止中",IF($BA97&gt;$BK$2,"×値動きが荒い",IF($BB97&gt;$BK$3,"×レンジが広い",IF($BC97&gt;$BK$4,"×窓を開けて上昇",IF($Z97&gt;$BK$5,"×前日に急騰",IF($Z97&lt;$BK$6,"×前日に急落",IF($BD97&lt;$BK$7,"×高値から離れすぎ",IF($BE97&gt;$BK$8,"×当日の値幅が大きい","×")))))))))</f>
      </c>
    </row>
    <row r="98" spans="1:60"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IF(AND(E98&lt;&gt;"",K98&lt;&gt;"",K98&lt;&gt;0),(E98-K98)/K98*100,"")</f>
        <v>-33.607075173720787</v>
      </c>
      <c r="M98" s="166">
        <f>IF(C98&lt;&gt;"",IFERROR(AVERAGE(出来高!E201:I201),""),"")</f>
        <v>6209960</v>
      </c>
      <c r="N98" s="166">
        <f>IF(C98&lt;&gt;"",IFERROR(AVERAGE(出来高!E201:AC201),""),"")</f>
        <v>7904032</v>
      </c>
      <c r="O98" s="168">
        <f>IF(AND(J98&lt;&gt;"",M98&lt;&gt;"",M98&lt;&gt;0),J98/M98,"")</f>
        <v>0.76050409342411218</v>
      </c>
      <c r="P98" s="163" t="str">
        <f>IF(O98="","",IF(O98&gt;=2,"急増↑↑",IF(O98&gt;=1.5,"増加↑",IF(O98&gt;=1,"普通→","減少↓"))))</f>
        <v>減少↓</v>
      </c>
      <c r="Q98" s="163" t="str">
        <f>IF(E98="","",IF(AND(E98&gt;G98,O98&gt;=1.5),"買い▲",IF(E98&lt;G98,"様子見▼","中立→")))</f>
        <v>様子見▼</v>
      </c>
      <c r="R98" s="166">
        <f>IF(E98&lt;&gt;"",ROUND(E98*1.08,0),"")</f>
        <v>5675</v>
      </c>
      <c r="S98" s="166">
        <f>IF(E98&lt;&gt;"",ROUND(E98*0.96,0),"")</f>
        <v>5045</v>
      </c>
      <c r="T98" s="163">
        <f>IF(C98="","",IFERROR(IF(O98&gt;=2,3,IF(O98&gt;=1.5,2,IF(O98&gt;=1,1,0)))+IF(E98&gt;G98,1,0)+IF(L98&gt;=-5,1,0)+IF(Q98="買い▲",2,0)+IF(W98&lt;=30,3,IF(W98&lt;=40,2,IF(AND(W98&gt;=40,W98&lt;=60),1,0)))+IF(X98&gt;0,1,0)+IF(V98="年初来高値更新●",3,IF(V98="高値圏",2,0))+IF(AD98="パーフェクト▲",3,IF(AD98="上昇トレンド▲",2,0))+IF(AE98="25日線押し目●",2,IF(AE98="5日線押し目○",1,0))+IF(P98="急増↑↑",2,IF(P98="増加↑",1,0))+N(AI98),0))</f>
        <v>2</v>
      </c>
      <c r="U98" s="163" t="str">
        <f>IF(T98="","",IF(AND(T98&gt;=3,O98&gt;=1.5),"有効",IF(T98&gt;=3,"要確認","除外")))</f>
        <v>除外</v>
      </c>
      <c r="V98" s="163" t="str">
        <f>IF(AND(H98&lt;&gt;"",K98&lt;&gt;""),IF(H98&gt;=K98,"年初来高値更新●",IF(H98&gt;=K98*0.95,"高値圏","通常")),"")</f>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IF(AND(E98&lt;&gt;"",G98&lt;&gt;"",G98&lt;&gt;0),(E98-G98)/G98*100,"")</f>
        <v>-2.3597175771088814</v>
      </c>
      <c r="AA98" s="163" t="str">
        <f>IF(OR(C98="",E98="",E98=0),"",IF(E98&gt;G98,"上昇▲",IF(E98&lt;G98,"下落▼","横ばい→")))</f>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IF(OR(C98="",AB98="",AC98=""),"",IF(AND(E98&gt;AB98,AB98&gt;AC98),"パーフェクト▲",IF(E98&gt;AC98,"上昇トレンド▲",IF(AND(E98&lt;AB98,AB98&lt;AC98),"下降トレンド▼","もみ合い→"))))</f>
        <v>パーフェクト▲</v>
      </c>
      <c r="AE98" s="404" t="str">
        <f>IF(OR(C98="",AB98="",AC98=""),"",IF(AND(ABS(E98-AC98)/AC98&lt;=0.02,E98&gt;AC98),"25日押し目★",IF(AND(ABS(E98-AB98)/AB98&lt;=0.01,E98&gt;AB98),"5日押し目○","なし")))</f>
        <v>なし</v>
      </c>
      <c r="AF98" s="365">
        <f t="array" ref="AF98">IF(C98="","",IFERROR((INDEX(終値!$E:$E,MATCH(TEXT(C98,"0"),終値!$A:$A,0))-INDEX(終値!$E:$CZ,MATCH(TEXT(C98,"0"),終値!$A:$A,0),$AL$2))/INDEX(終値!$E:$CZ,MATCH(TEXT(C98,"0"),終値!$A:$A,0),$AL$2)*100,""))</f>
        <v>-28.033415502602026</v>
      </c>
      <c r="AG98" s="365">
        <f t="array" ref="AG98">IFERROR((終値!$E$5-INDEX(終値!$E$5:$IT$5,1,$AL$2))/INDEX(終値!$E$5:$IT$5,1,$AL$2)*100,"")</f>
        <v>1.0179378228534113</v>
      </c>
      <c r="AH98" s="366">
        <f>IF(OR(AF98="",AG98=""),"",AF98-AG98)</f>
        <v>-29.051353325455437</v>
      </c>
      <c r="AI98" s="364">
        <f>IF(AH98="","",IF(AH98&gt;5,3,IF(AH98&gt;0,1,IF(AH98&gt;-3,-1,-2))))</f>
        <v>-2</v>
      </c>
      <c r="BA98">
        <f>IFERROR((SUM(OFFSET(高値!$E$6,IFERROR(MATCH($C98,銘柄管理!$B$6:$B$305,0),MATCH(TEXT($C98,"0"),銘柄管理!$B$6:$B$305,0))-1,0,1,14))-SUM(OFFSET(安値!$E$6,IFERROR(MATCH($C98,銘柄管理!$B$6:$B$305,0),MATCH(TEXT($C98,"0"),銘柄管理!$B$6:$B$305,0))-1,0,1,14)))/SUM(OFFSET(終値!$E$6,IFERROR(MATCH($C98,銘柄管理!$B$6:$B$305,0),MATCH(TEXT($C98,"0"),銘柄管理!$B$6:$B$305,0))-1,0,1,14))*100,"")</f>
      </c>
      <c r="BB98">
        <f>IFERROR((MAX(OFFSET(高値!$E$6,IFERROR(MATCH($C98,銘柄管理!$B$6:$B$305,0),MATCH(TEXT($C98,"0"),銘柄管理!$B$6:$B$305,0))-1,0,1,25))-MIN(OFFSET(安値!$E$6,IFERROR(MATCH($C98,銘柄管理!$B$6:$B$305,0),MATCH(TEXT($C98,"0"),銘柄管理!$B$6:$B$305,0))-1,0,1,25)))/$E98*100,"")</f>
      </c>
      <c r="BC98">
        <f>IFERROR(($F98-$G98)/$G98*100,"")</f>
      </c>
      <c r="BD98">
        <f>IFERROR(($E98-MAX(OFFSET(高値!$E$6,IFERROR(MATCH($C98,銘柄管理!$B$6:$B$305,0),MATCH(TEXT($C98,"0"),銘柄管理!$B$6:$B$305,0))-1,0,1,25)))/MAX(OFFSET(高値!$E$6,IFERROR(MATCH($C98,銘柄管理!$B$6:$B$305,0),MATCH(TEXT($C98,"0"),銘柄管理!$B$6:$B$305,0))-1,0,1,25))*100,"")</f>
      </c>
      <c r="BE98">
        <f>IFERROR(($H98-$I98)/$F98*100,"")</f>
      </c>
      <c r="BF98">
        <f>IFERROR(-(($BA98-AVERAGE($BA$3:$BA$206))/STDEV($BA$3:$BA$206))-(($BE98-AVERAGE($BE$3:$BE$206))/STDEV($BE$3:$BE$206))-(($BB98-AVERAGE($BB$3:$BB$206))/STDEV($BB$3:$BB$206))-(($Z98-AVERAGE($Z$3:$Z$206))/STDEV($Z$3:$Z$206))-(($BC98-AVERAGE($BC$3:$BC$206))/STDEV($BC$3:$BC$206)),"")</f>
      </c>
      <c r="BG98">
        <f>IF(OR($C98="",$C98="TOPX",$BA98="",$BF98=""),0,IF(AND($BK$10=1,$BA98&lt;=$BK$2,$BB98&lt;=$BK$3,$BC98&lt;=$BK$4,$Z98&lt;=$BK$5,$Z98&gt;=$BK$6,$BD98&gt;=$BK$7,$BE98&lt;=$BK$8),1,0))</f>
      </c>
      <c r="BH98">
        <f>IF($C98="","",IF($BG98=1,"○ゲート通過",IF($BK$10&lt;&gt;1,"― この方向は停止中",IF($BA98&gt;$BK$2,"×値動きが荒い",IF($BB98&gt;$BK$3,"×レンジが広い",IF($BC98&gt;$BK$4,"×窓を開けて上昇",IF($Z98&gt;$BK$5,"×前日に急騰",IF($Z98&lt;$BK$6,"×前日に急落",IF($BD98&lt;$BK$7,"×高値から離れすぎ",IF($BE98&gt;$BK$8,"×当日の値幅が大きい","×")))))))))</f>
      </c>
    </row>
    <row r="99" spans="1:60"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IF(AND(E99&lt;&gt;"",K99&lt;&gt;"",K99&lt;&gt;0),(E99-K99)/K99*100,"")</f>
        <v>-12.204606640741849</v>
      </c>
      <c r="M99" s="166">
        <f>IF(C99&lt;&gt;"",IFERROR(AVERAGE(出来高!E68:I68),""),"")</f>
        <v>9011900</v>
      </c>
      <c r="N99" s="166">
        <f>IF(C99&lt;&gt;"",IFERROR(AVERAGE(出来高!E68:AC68),""),"")</f>
        <v>6110416</v>
      </c>
      <c r="O99" s="168">
        <f>IF(AND(J99&lt;&gt;"",M99&lt;&gt;"",M99&lt;&gt;0),J99/M99,"")</f>
        <v>0.81090558039924987</v>
      </c>
      <c r="P99" s="163" t="str">
        <f>IF(O99="","",IF(O99&gt;=2,"急増↑↑",IF(O99&gt;=1.5,"増加↑",IF(O99&gt;=1,"普通→","減少↓"))))</f>
        <v>減少↓</v>
      </c>
      <c r="Q99" s="163" t="str">
        <f>IF(E99="","",IF(AND(E99&gt;G99,O99&gt;=1.5),"買い▲",IF(E99&lt;G99,"様子見▼","中立→")))</f>
        <v>中立→</v>
      </c>
      <c r="R99" s="166">
        <f>IF(E99&lt;&gt;"",ROUND(E99*1.08,0),"")</f>
        <v>6340</v>
      </c>
      <c r="S99" s="166">
        <f>IF(E99&lt;&gt;"",ROUND(E99*0.96,0),"")</f>
        <v>5635</v>
      </c>
      <c r="T99" s="163">
        <f>IF(C99="","",IFERROR(IF(O99&gt;=2,3,IF(O99&gt;=1.5,2,IF(O99&gt;=1,1,0)))+IF(E99&gt;G99,1,0)+IF(L99&gt;=-5,1,0)+IF(Q99="買い▲",2,0)+IF(W99&lt;=30,3,IF(W99&lt;=40,2,IF(AND(W99&gt;=40,W99&lt;=60),1,0)))+IF(X99&gt;0,1,0)+IF(V99="年初来高値更新●",3,IF(V99="高値圏",2,0))+IF(AD99="パーフェクト▲",3,IF(AD99="上昇トレンド▲",2,0))+IF(AE99="25日線押し目●",2,IF(AE99="5日線押し目○",1,0))+IF(P99="急増↑↑",2,IF(P99="増加↑",1,0))+N(AI99),0))</f>
        <v>3</v>
      </c>
      <c r="U99" s="163" t="str">
        <f>IF(T99="","",IF(AND(T99&gt;=3,O99&gt;=1.5),"有効",IF(T99&gt;=3,"要確認","除外")))</f>
        <v>要確認</v>
      </c>
      <c r="V99" s="163" t="str">
        <f>IF(AND(H99&lt;&gt;"",K99&lt;&gt;""),IF(H99&gt;=K99,"年初来高値更新●",IF(H99&gt;=K99*0.95,"高値圏","通常")),"")</f>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IF(AND(E99&lt;&gt;"",G99&lt;&gt;"",G99&lt;&gt;0),(E99-G99)/G99*100,"")</f>
        <v>0.37619699042407662</v>
      </c>
      <c r="AA99" s="163" t="str">
        <f>IF(OR(C99="",E99="",E99=0),"",IF(E99&gt;G99,"上昇▲",IF(E99&lt;G99,"下落▼","横ばい→")))</f>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IF(OR(C99="",AB99="",AC99=""),"",IF(AND(E99&gt;AB99,AB99&gt;AC99),"パーフェクト▲",IF(E99&gt;AC99,"上昇トレンド▲",IF(AND(E99&lt;AB99,AB99&lt;AC99),"下降トレンド▼","もみ合い→"))))</f>
        <v>パーフェクト▲</v>
      </c>
      <c r="AE99" s="406" t="str">
        <f>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IFERROR((終値!$E$5-INDEX(終値!$E$5:$IT$5,1,$AL$2))/INDEX(終値!$E$5:$IT$5,1,$AL$2)*100,"")</f>
        <v>1.0179378228534113</v>
      </c>
      <c r="AH99" s="366">
        <f>IF(OR(AF99="",AG99=""),"",AF99-AG99)</f>
        <v>-3.7358695431053173</v>
      </c>
      <c r="AI99" s="364">
        <f>IF(AH99="","",IF(AH99&gt;5,3,IF(AH99&gt;0,1,IF(AH99&gt;-3,-1,-2))))</f>
        <v>-2</v>
      </c>
      <c r="BA99">
        <f>IFERROR((SUM(OFFSET(高値!$E$6,IFERROR(MATCH($C99,銘柄管理!$B$6:$B$305,0),MATCH(TEXT($C99,"0"),銘柄管理!$B$6:$B$305,0))-1,0,1,14))-SUM(OFFSET(安値!$E$6,IFERROR(MATCH($C99,銘柄管理!$B$6:$B$305,0),MATCH(TEXT($C99,"0"),銘柄管理!$B$6:$B$305,0))-1,0,1,14)))/SUM(OFFSET(終値!$E$6,IFERROR(MATCH($C99,銘柄管理!$B$6:$B$305,0),MATCH(TEXT($C99,"0"),銘柄管理!$B$6:$B$305,0))-1,0,1,14))*100,"")</f>
      </c>
      <c r="BB99">
        <f>IFERROR((MAX(OFFSET(高値!$E$6,IFERROR(MATCH($C99,銘柄管理!$B$6:$B$305,0),MATCH(TEXT($C99,"0"),銘柄管理!$B$6:$B$305,0))-1,0,1,25))-MIN(OFFSET(安値!$E$6,IFERROR(MATCH($C99,銘柄管理!$B$6:$B$305,0),MATCH(TEXT($C99,"0"),銘柄管理!$B$6:$B$305,0))-1,0,1,25)))/$E99*100,"")</f>
      </c>
      <c r="BC99">
        <f>IFERROR(($F99-$G99)/$G99*100,"")</f>
      </c>
      <c r="BD99">
        <f>IFERROR(($E99-MAX(OFFSET(高値!$E$6,IFERROR(MATCH($C99,銘柄管理!$B$6:$B$305,0),MATCH(TEXT($C99,"0"),銘柄管理!$B$6:$B$305,0))-1,0,1,25)))/MAX(OFFSET(高値!$E$6,IFERROR(MATCH($C99,銘柄管理!$B$6:$B$305,0),MATCH(TEXT($C99,"0"),銘柄管理!$B$6:$B$305,0))-1,0,1,25))*100,"")</f>
      </c>
      <c r="BE99">
        <f>IFERROR(($H99-$I99)/$F99*100,"")</f>
      </c>
      <c r="BF99">
        <f>IFERROR(-(($BA99-AVERAGE($BA$3:$BA$206))/STDEV($BA$3:$BA$206))-(($BE99-AVERAGE($BE$3:$BE$206))/STDEV($BE$3:$BE$206))-(($BB99-AVERAGE($BB$3:$BB$206))/STDEV($BB$3:$BB$206))-(($Z99-AVERAGE($Z$3:$Z$206))/STDEV($Z$3:$Z$206))-(($BC99-AVERAGE($BC$3:$BC$206))/STDEV($BC$3:$BC$206)),"")</f>
      </c>
      <c r="BG99">
        <f>IF(OR($C99="",$C99="TOPX",$BA99="",$BF99=""),0,IF(AND($BK$10=1,$BA99&lt;=$BK$2,$BB99&lt;=$BK$3,$BC99&lt;=$BK$4,$Z99&lt;=$BK$5,$Z99&gt;=$BK$6,$BD99&gt;=$BK$7,$BE99&lt;=$BK$8),1,0))</f>
      </c>
      <c r="BH99">
        <f>IF($C99="","",IF($BG99=1,"○ゲート通過",IF($BK$10&lt;&gt;1,"― この方向は停止中",IF($BA99&gt;$BK$2,"×値動きが荒い",IF($BB99&gt;$BK$3,"×レンジが広い",IF($BC99&gt;$BK$4,"×窓を開けて上昇",IF($Z99&gt;$BK$5,"×前日に急騰",IF($Z99&lt;$BK$6,"×前日に急落",IF($BD99&lt;$BK$7,"×高値から離れすぎ",IF($BE99&gt;$BK$8,"×当日の値幅が大きい","×")))))))))</f>
      </c>
    </row>
    <row r="100" spans="1:60"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IF(AND(E100&lt;&gt;"",K100&lt;&gt;"",K100&lt;&gt;0),(E100-K100)/K100*100,"")</f>
        <v>-8.9253187613843341</v>
      </c>
      <c r="M100" s="166">
        <f>IF(C100&lt;&gt;"",IFERROR(AVERAGE(出来高!E91:I91),""),"")</f>
        <v>14973120</v>
      </c>
      <c r="N100" s="166">
        <f>IF(C100&lt;&gt;"",IFERROR(AVERAGE(出来高!E91:AC91),""),"")</f>
        <v>12655132</v>
      </c>
      <c r="O100" s="168">
        <f>IF(AND(J100&lt;&gt;"",M100&lt;&gt;"",M100&lt;&gt;0),J100/M100,"")</f>
        <v>0.77368644611143167</v>
      </c>
      <c r="P100" s="163" t="str">
        <f>IF(O100="","",IF(O100&gt;=2,"急増↑↑",IF(O100&gt;=1.5,"増加↑",IF(O100&gt;=1,"普通→","減少↓"))))</f>
        <v>減少↓</v>
      </c>
      <c r="Q100" s="163" t="str">
        <f>IF(E100="","",IF(AND(E100&gt;G100,O100&gt;=1.5),"買い▲",IF(E100&lt;G100,"様子見▼","中立→")))</f>
        <v>中立→</v>
      </c>
      <c r="R100" s="166">
        <f>IF(E100&lt;&gt;"",ROUND(E100*1.08,0),"")</f>
        <v>5940</v>
      </c>
      <c r="S100" s="166">
        <f>IF(E100&lt;&gt;"",ROUND(E100*0.96,0),"")</f>
        <v>5280</v>
      </c>
      <c r="T100" s="163">
        <f>IF(C100="","",IFERROR(IF(O100&gt;=2,3,IF(O100&gt;=1.5,2,IF(O100&gt;=1,1,0)))+IF(E100&gt;G100,1,0)+IF(L100&gt;=-5,1,0)+IF(Q100="買い▲",2,0)+IF(W100&lt;=30,3,IF(W100&lt;=40,2,IF(AND(W100&gt;=40,W100&lt;=60),1,0)))+IF(X100&gt;0,1,0)+IF(V100="年初来高値更新●",3,IF(V100="高値圏",2,0))+IF(AD100="パーフェクト▲",3,IF(AD100="上昇トレンド▲",2,0))+IF(AE100="25日線押し目●",2,IF(AE100="5日線押し目○",1,0))+IF(P100="急増↑↑",2,IF(P100="増加↑",1,0))+N(AI100),0))</f>
        <v>8</v>
      </c>
      <c r="U100" s="163" t="str">
        <f>IF(T100="","",IF(AND(T100&gt;=3,O100&gt;=1.5),"有効",IF(T100&gt;=3,"要確認","除外")))</f>
        <v>要確認</v>
      </c>
      <c r="V100" s="163" t="str">
        <f>IF(AND(H100&lt;&gt;"",K100&lt;&gt;""),IF(H100&gt;=K100,"年初来高値更新●",IF(H100&gt;=K100*0.95,"高値圏","通常")),"")</f>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IF(AND(E100&lt;&gt;"",G100&lt;&gt;"",G100&lt;&gt;0),(E100-G100)/G100*100,"")</f>
        <v>0.43827611395178961</v>
      </c>
      <c r="AA100" s="163" t="str">
        <f>IF(OR(C100="",E100="",E100=0),"",IF(E100&gt;G100,"上昇▲",IF(E100&lt;G100,"下落▼","横ばい→")))</f>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IF(OR(C100="",AB100="",AC100=""),"",IF(AND(E100&gt;AB100,AB100&gt;AC100),"パーフェクト▲",IF(E100&gt;AC100,"上昇トレンド▲",IF(AND(E100&lt;AB100,AB100&lt;AC100),"下降トレンド▼","もみ合い→"))))</f>
        <v>パーフェクト▲</v>
      </c>
      <c r="AE100" s="404" t="str">
        <f>IF(OR(C100="",AB100="",AC100=""),"",IF(AND(ABS(E100-AC100)/AC100&lt;=0.02,E100&gt;AC100),"25日押し目★",IF(AND(ABS(E100-AB100)/AB100&lt;=0.01,E100&gt;AB100),"5日押し目○","なし")))</f>
        <v>なし</v>
      </c>
      <c r="AF100" s="365">
        <f t="array" ref="AF100">IF(C100="","",IFERROR((INDEX(終値!$E:$E,MATCH(TEXT(C100,"0"),終値!$A:$A,0))-INDEX(終値!$E:$CZ,MATCH(TEXT(C100,"0"),終値!$A:$A,0),$AL$2))/INDEX(終値!$E:$CZ,MATCH(TEXT(C100,"0"),終値!$A:$A,0),$AL$2)*100,""))</f>
        <v>22.330960854092528</v>
      </c>
      <c r="AG100" s="365">
        <f t="array" ref="AG100">IFERROR((終値!$E$5-INDEX(終値!$E$5:$IT$5,1,$AL$2))/INDEX(終値!$E$5:$IT$5,1,$AL$2)*100,"")</f>
        <v>1.0179378228534113</v>
      </c>
      <c r="AH100" s="366">
        <f>IF(OR(AF100="",AG100=""),"",AF100-AG100)</f>
        <v>21.313023031239116</v>
      </c>
      <c r="AI100" s="364">
        <f>IF(AH100="","",IF(AH100&gt;5,3,IF(AH100&gt;0,1,IF(AH100&gt;-3,-1,-2))))</f>
        <v>3</v>
      </c>
      <c r="BA100">
        <f>IFERROR((SUM(OFFSET(高値!$E$6,IFERROR(MATCH($C100,銘柄管理!$B$6:$B$305,0),MATCH(TEXT($C100,"0"),銘柄管理!$B$6:$B$305,0))-1,0,1,14))-SUM(OFFSET(安値!$E$6,IFERROR(MATCH($C100,銘柄管理!$B$6:$B$305,0),MATCH(TEXT($C100,"0"),銘柄管理!$B$6:$B$305,0))-1,0,1,14)))/SUM(OFFSET(終値!$E$6,IFERROR(MATCH($C100,銘柄管理!$B$6:$B$305,0),MATCH(TEXT($C100,"0"),銘柄管理!$B$6:$B$305,0))-1,0,1,14))*100,"")</f>
      </c>
      <c r="BB100">
        <f>IFERROR((MAX(OFFSET(高値!$E$6,IFERROR(MATCH($C100,銘柄管理!$B$6:$B$305,0),MATCH(TEXT($C100,"0"),銘柄管理!$B$6:$B$305,0))-1,0,1,25))-MIN(OFFSET(安値!$E$6,IFERROR(MATCH($C100,銘柄管理!$B$6:$B$305,0),MATCH(TEXT($C100,"0"),銘柄管理!$B$6:$B$305,0))-1,0,1,25)))/$E100*100,"")</f>
      </c>
      <c r="BC100">
        <f>IFERROR(($F100-$G100)/$G100*100,"")</f>
      </c>
      <c r="BD100">
        <f>IFERROR(($E100-MAX(OFFSET(高値!$E$6,IFERROR(MATCH($C100,銘柄管理!$B$6:$B$305,0),MATCH(TEXT($C100,"0"),銘柄管理!$B$6:$B$305,0))-1,0,1,25)))/MAX(OFFSET(高値!$E$6,IFERROR(MATCH($C100,銘柄管理!$B$6:$B$305,0),MATCH(TEXT($C100,"0"),銘柄管理!$B$6:$B$305,0))-1,0,1,25))*100,"")</f>
      </c>
      <c r="BE100">
        <f>IFERROR(($H100-$I100)/$F100*100,"")</f>
      </c>
      <c r="BF100">
        <f>IFERROR(-(($BA100-AVERAGE($BA$3:$BA$206))/STDEV($BA$3:$BA$206))-(($BE100-AVERAGE($BE$3:$BE$206))/STDEV($BE$3:$BE$206))-(($BB100-AVERAGE($BB$3:$BB$206))/STDEV($BB$3:$BB$206))-(($Z100-AVERAGE($Z$3:$Z$206))/STDEV($Z$3:$Z$206))-(($BC100-AVERAGE($BC$3:$BC$206))/STDEV($BC$3:$BC$206)),"")</f>
      </c>
      <c r="BG100">
        <f>IF(OR($C100="",$C100="TOPX",$BA100="",$BF100=""),0,IF(AND($BK$10=1,$BA100&lt;=$BK$2,$BB100&lt;=$BK$3,$BC100&lt;=$BK$4,$Z100&lt;=$BK$5,$Z100&gt;=$BK$6,$BD100&gt;=$BK$7,$BE100&lt;=$BK$8),1,0))</f>
      </c>
      <c r="BH100">
        <f>IF($C100="","",IF($BG100=1,"○ゲート通過",IF($BK$10&lt;&gt;1,"― この方向は停止中",IF($BA100&gt;$BK$2,"×値動きが荒い",IF($BB100&gt;$BK$3,"×レンジが広い",IF($BC100&gt;$BK$4,"×窓を開けて上昇",IF($Z100&gt;$BK$5,"×前日に急騰",IF($Z100&lt;$BK$6,"×前日に急落",IF($BD100&lt;$BK$7,"×高値から離れすぎ",IF($BE100&gt;$BK$8,"×当日の値幅が大きい","×")))))))))</f>
      </c>
    </row>
    <row r="101" spans="1:60"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IF(AND(E101&lt;&gt;"",K101&lt;&gt;"",K101&lt;&gt;0),(E101-K101)/K101*100,"")</f>
        <v>-29.602411908799699</v>
      </c>
      <c r="M101" s="166">
        <f>IF(C101&lt;&gt;"",IFERROR(AVERAGE(出来高!E79:I79),""),"")</f>
        <v>4232280</v>
      </c>
      <c r="N101" s="166">
        <f>IF(C101&lt;&gt;"",IFERROR(AVERAGE(出来高!E79:AC79),""),"")</f>
        <v>3520708</v>
      </c>
      <c r="O101" s="168">
        <f>IF(AND(J101&lt;&gt;"",M101&lt;&gt;"",M101&lt;&gt;0),J101/M101,"")</f>
        <v>1.5334760460082981</v>
      </c>
      <c r="P101" s="163" t="str">
        <f>IF(O101="","",IF(O101&gt;=2,"急増↑↑",IF(O101&gt;=1.5,"増加↑",IF(O101&gt;=1,"普通→","減少↓"))))</f>
        <v>増加↑</v>
      </c>
      <c r="Q101" s="163" t="str">
        <f>IF(E101="","",IF(AND(E101&gt;G101,O101&gt;=1.5),"買い▲",IF(E101&lt;G101,"様子見▼","中立→")))</f>
        <v>様子見▼</v>
      </c>
      <c r="R101" s="166">
        <f>IF(E101&lt;&gt;"",ROUND(E101*1.08,0),"")</f>
        <v>4035</v>
      </c>
      <c r="S101" s="166">
        <f>IF(E101&lt;&gt;"",ROUND(E101*0.96,0),"")</f>
        <v>3587</v>
      </c>
      <c r="T101" s="163">
        <f>IF(C101="","",IFERROR(IF(O101&gt;=2,3,IF(O101&gt;=1.5,2,IF(O101&gt;=1,1,0)))+IF(E101&gt;G101,1,0)+IF(L101&gt;=-5,1,0)+IF(Q101="買い▲",2,0)+IF(W101&lt;=30,3,IF(W101&lt;=40,2,IF(AND(W101&gt;=40,W101&lt;=60),1,0)))+IF(X101&gt;0,1,0)+IF(V101="年初来高値更新●",3,IF(V101="高値圏",2,0))+IF(AD101="パーフェクト▲",3,IF(AD101="上昇トレンド▲",2,0))+IF(AE101="25日線押し目●",2,IF(AE101="5日線押し目○",1,0))+IF(P101="急増↑↑",2,IF(P101="増加↑",1,0))+N(AI101),0))</f>
        <v>2</v>
      </c>
      <c r="U101" s="163" t="str">
        <f>IF(T101="","",IF(AND(T101&gt;=3,O101&gt;=1.5),"有効",IF(T101&gt;=3,"要確認","除外")))</f>
        <v>除外</v>
      </c>
      <c r="V101" s="163" t="str">
        <f>IF(AND(H101&lt;&gt;"",K101&lt;&gt;""),IF(H101&gt;=K101,"年初来高値更新●",IF(H101&gt;=K101*0.95,"高値圏","通常")),"")</f>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IF(AND(E101&lt;&gt;"",G101&lt;&gt;"",G101&lt;&gt;0),(E101-G101)/G101*100,"")</f>
        <v>-8.7890625</v>
      </c>
      <c r="AA101" s="163" t="str">
        <f>IF(OR(C101="",E101="",E101=0),"",IF(E101&gt;G101,"上昇▲",IF(E101&lt;G101,"下落▼","横ばい→")))</f>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IF(OR(C101="",AB101="",AC101=""),"",IF(AND(E101&gt;AB101,AB101&gt;AC101),"パーフェクト▲",IF(E101&gt;AC101,"上昇トレンド▲",IF(AND(E101&lt;AB101,AB101&lt;AC101),"下降トレンド▼","もみ合い→"))))</f>
        <v>もみ合い→</v>
      </c>
      <c r="AE101" s="406" t="str">
        <f>IF(OR(C101="",AB101="",AC101=""),"",IF(AND(ABS(E101-AC101)/AC101&lt;=0.02,E101&gt;AC101),"25日押し目★",IF(AND(ABS(E101-AB101)/AB101&lt;=0.01,E101&gt;AB101),"5日押し目○","なし")))</f>
        <v>なし</v>
      </c>
      <c r="AF101" s="365">
        <f t="array" ref="AF101">IF(C101="","",IFERROR((INDEX(終値!$E:$E,MATCH(TEXT(C101,"0"),終値!$A:$A,0))-INDEX(終値!$E:$CZ,MATCH(TEXT(C101,"0"),終値!$A:$A,0),$AL$2))/INDEX(終値!$E:$CZ,MATCH(TEXT(C101,"0"),終値!$A:$A,0),$AL$2)*100,""))</f>
        <v>-25.250100040016004</v>
      </c>
      <c r="AG101" s="365">
        <f t="array" ref="AG101">IFERROR((終値!$E$5-INDEX(終値!$E$5:$IT$5,1,$AL$2))/INDEX(終値!$E$5:$IT$5,1,$AL$2)*100,"")</f>
        <v>1.0179378228534113</v>
      </c>
      <c r="AH101" s="366">
        <f>IF(OR(AF101="",AG101=""),"",AF101-AG101)</f>
        <v>-26.268037862869416</v>
      </c>
      <c r="AI101" s="364">
        <f>IF(AH101="","",IF(AH101&gt;5,3,IF(AH101&gt;0,1,IF(AH101&gt;-3,-1,-2))))</f>
        <v>-2</v>
      </c>
      <c r="BA101">
        <f>IFERROR((SUM(OFFSET(高値!$E$6,IFERROR(MATCH($C101,銘柄管理!$B$6:$B$305,0),MATCH(TEXT($C101,"0"),銘柄管理!$B$6:$B$305,0))-1,0,1,14))-SUM(OFFSET(安値!$E$6,IFERROR(MATCH($C101,銘柄管理!$B$6:$B$305,0),MATCH(TEXT($C101,"0"),銘柄管理!$B$6:$B$305,0))-1,0,1,14)))/SUM(OFFSET(終値!$E$6,IFERROR(MATCH($C101,銘柄管理!$B$6:$B$305,0),MATCH(TEXT($C101,"0"),銘柄管理!$B$6:$B$305,0))-1,0,1,14))*100,"")</f>
      </c>
      <c r="BB101">
        <f>IFERROR((MAX(OFFSET(高値!$E$6,IFERROR(MATCH($C101,銘柄管理!$B$6:$B$305,0),MATCH(TEXT($C101,"0"),銘柄管理!$B$6:$B$305,0))-1,0,1,25))-MIN(OFFSET(安値!$E$6,IFERROR(MATCH($C101,銘柄管理!$B$6:$B$305,0),MATCH(TEXT($C101,"0"),銘柄管理!$B$6:$B$305,0))-1,0,1,25)))/$E101*100,"")</f>
      </c>
      <c r="BC101">
        <f>IFERROR(($F101-$G101)/$G101*100,"")</f>
      </c>
      <c r="BD101">
        <f>IFERROR(($E101-MAX(OFFSET(高値!$E$6,IFERROR(MATCH($C101,銘柄管理!$B$6:$B$305,0),MATCH(TEXT($C101,"0"),銘柄管理!$B$6:$B$305,0))-1,0,1,25)))/MAX(OFFSET(高値!$E$6,IFERROR(MATCH($C101,銘柄管理!$B$6:$B$305,0),MATCH(TEXT($C101,"0"),銘柄管理!$B$6:$B$305,0))-1,0,1,25))*100,"")</f>
      </c>
      <c r="BE101">
        <f>IFERROR(($H101-$I101)/$F101*100,"")</f>
      </c>
      <c r="BF101">
        <f>IFERROR(-(($BA101-AVERAGE($BA$3:$BA$206))/STDEV($BA$3:$BA$206))-(($BE101-AVERAGE($BE$3:$BE$206))/STDEV($BE$3:$BE$206))-(($BB101-AVERAGE($BB$3:$BB$206))/STDEV($BB$3:$BB$206))-(($Z101-AVERAGE($Z$3:$Z$206))/STDEV($Z$3:$Z$206))-(($BC101-AVERAGE($BC$3:$BC$206))/STDEV($BC$3:$BC$206)),"")</f>
      </c>
      <c r="BG101">
        <f>IF(OR($C101="",$C101="TOPX",$BA101="",$BF101=""),0,IF(AND($BK$10=1,$BA101&lt;=$BK$2,$BB101&lt;=$BK$3,$BC101&lt;=$BK$4,$Z101&lt;=$BK$5,$Z101&gt;=$BK$6,$BD101&gt;=$BK$7,$BE101&lt;=$BK$8),1,0))</f>
      </c>
      <c r="BH101">
        <f>IF($C101="","",IF($BG101=1,"○ゲート通過",IF($BK$10&lt;&gt;1,"― この方向は停止中",IF($BA101&gt;$BK$2,"×値動きが荒い",IF($BB101&gt;$BK$3,"×レンジが広い",IF($BC101&gt;$BK$4,"×窓を開けて上昇",IF($Z101&gt;$BK$5,"×前日に急騰",IF($Z101&lt;$BK$6,"×前日に急落",IF($BD101&lt;$BK$7,"×高値から離れすぎ",IF($BE101&gt;$BK$8,"×当日の値幅が大きい","×")))))))))</f>
      </c>
    </row>
    <row r="102" spans="1:60"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IF(AND(E102&lt;&gt;"",K102&lt;&gt;"",K102&lt;&gt;0),(E102-K102)/K102*100,"")</f>
        <v>-9.6055684454756367</v>
      </c>
      <c r="M102" s="166">
        <f>IF(C102&lt;&gt;"",IFERROR(AVERAGE(出来高!E178:I178),""),"")</f>
        <v>418920</v>
      </c>
      <c r="N102" s="166">
        <f>IF(C102&lt;&gt;"",IFERROR(AVERAGE(出来高!E178:AC178),""),"")</f>
        <v>328625</v>
      </c>
      <c r="O102" s="168">
        <f>IF(AND(J102&lt;&gt;"",M102&lt;&gt;"",M102&lt;&gt;0),J102/M102,"")</f>
        <v>0.47336006874820968</v>
      </c>
      <c r="P102" s="163" t="str">
        <f>IF(O102="","",IF(O102&gt;=2,"急増↑↑",IF(O102&gt;=1.5,"増加↑",IF(O102&gt;=1,"普通→","減少↓"))))</f>
        <v>減少↓</v>
      </c>
      <c r="Q102" s="163" t="str">
        <f>IF(E102="","",IF(AND(E102&gt;G102,O102&gt;=1.5),"買い▲",IF(E102&lt;G102,"様子見▼","中立→")))</f>
        <v>中立→</v>
      </c>
      <c r="R102" s="166">
        <f>IF(E102&lt;&gt;"",ROUND(E102*1.08,0),"")</f>
        <v>4208</v>
      </c>
      <c r="S102" s="166">
        <f>IF(E102&lt;&gt;"",ROUND(E102*0.96,0),"")</f>
        <v>3740</v>
      </c>
      <c r="T102" s="163">
        <f>IF(C102="","",IFERROR(IF(O102&gt;=2,3,IF(O102&gt;=1.5,2,IF(O102&gt;=1,1,0)))+IF(E102&gt;G102,1,0)+IF(L102&gt;=-5,1,0)+IF(Q102="買い▲",2,0)+IF(W102&lt;=30,3,IF(W102&lt;=40,2,IF(AND(W102&gt;=40,W102&lt;=60),1,0)))+IF(X102&gt;0,1,0)+IF(V102="年初来高値更新●",3,IF(V102="高値圏",2,0))+IF(AD102="パーフェクト▲",3,IF(AD102="上昇トレンド▲",2,0))+IF(AE102="25日線押し目●",2,IF(AE102="5日線押し目○",1,0))+IF(P102="急増↑↑",2,IF(P102="増加↑",1,0))+N(AI102),0))</f>
        <v>8</v>
      </c>
      <c r="U102" s="163" t="str">
        <f>IF(T102="","",IF(AND(T102&gt;=3,O102&gt;=1.5),"有効",IF(T102&gt;=3,"要確認","除外")))</f>
        <v>要確認</v>
      </c>
      <c r="V102" s="163" t="str">
        <f>IF(AND(H102&lt;&gt;"",K102&lt;&gt;""),IF(H102&gt;=K102,"年初来高値更新●",IF(H102&gt;=K102*0.95,"高値圏","通常")),"")</f>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IF(AND(E102&lt;&gt;"",G102&lt;&gt;"",G102&lt;&gt;0),(E102-G102)/G102*100,"")</f>
        <v>0.41237113402061859</v>
      </c>
      <c r="AA102" s="163" t="str">
        <f>IF(OR(C102="",E102="",E102=0),"",IF(E102&gt;G102,"上昇▲",IF(E102&lt;G102,"下落▼","横ばい→")))</f>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IF(OR(C102="",AB102="",AC102=""),"",IF(AND(E102&gt;AB102,AB102&gt;AC102),"パーフェクト▲",IF(E102&gt;AC102,"上昇トレンド▲",IF(AND(E102&lt;AB102,AB102&lt;AC102),"下降トレンド▼","もみ合い→"))))</f>
        <v>上昇トレンド▲</v>
      </c>
      <c r="AE102" s="404" t="str">
        <f>IF(OR(C102="",AB102="",AC102=""),"",IF(AND(ABS(E102-AC102)/AC102&lt;=0.02,E102&gt;AC102),"25日押し目★",IF(AND(ABS(E102-AB102)/AB102&lt;=0.01,E102&gt;AB102),"5日押し目○","なし")))</f>
        <v>なし</v>
      </c>
      <c r="AF102" s="365">
        <f t="array" ref="AF102">IF(C102="","",IFERROR((INDEX(終値!$E:$E,MATCH(TEXT(C102,"0"),終値!$A:$A,0))-INDEX(終値!$E:$CZ,MATCH(TEXT(C102,"0"),終値!$A:$A,0),$AL$2))/INDEX(終値!$E:$CZ,MATCH(TEXT(C102,"0"),終値!$A:$A,0),$AL$2)*100,""))</f>
        <v>6.5354115395132624</v>
      </c>
      <c r="AG102" s="365">
        <f t="array" ref="AG102">IFERROR((終値!$E$5-INDEX(終値!$E$5:$IT$5,1,$AL$2))/INDEX(終値!$E$5:$IT$5,1,$AL$2)*100,"")</f>
        <v>1.0179378228534113</v>
      </c>
      <c r="AH102" s="366">
        <f>IF(OR(AF102="",AG102=""),"",AF102-AG102)</f>
        <v>5.5174737166598513</v>
      </c>
      <c r="AI102" s="364">
        <f>IF(AH102="","",IF(AH102&gt;5,3,IF(AH102&gt;0,1,IF(AH102&gt;-3,-1,-2))))</f>
        <v>3</v>
      </c>
      <c r="BA102">
        <f>IFERROR((SUM(OFFSET(高値!$E$6,IFERROR(MATCH($C102,銘柄管理!$B$6:$B$305,0),MATCH(TEXT($C102,"0"),銘柄管理!$B$6:$B$305,0))-1,0,1,14))-SUM(OFFSET(安値!$E$6,IFERROR(MATCH($C102,銘柄管理!$B$6:$B$305,0),MATCH(TEXT($C102,"0"),銘柄管理!$B$6:$B$305,0))-1,0,1,14)))/SUM(OFFSET(終値!$E$6,IFERROR(MATCH($C102,銘柄管理!$B$6:$B$305,0),MATCH(TEXT($C102,"0"),銘柄管理!$B$6:$B$305,0))-1,0,1,14))*100,"")</f>
      </c>
      <c r="BB102">
        <f>IFERROR((MAX(OFFSET(高値!$E$6,IFERROR(MATCH($C102,銘柄管理!$B$6:$B$305,0),MATCH(TEXT($C102,"0"),銘柄管理!$B$6:$B$305,0))-1,0,1,25))-MIN(OFFSET(安値!$E$6,IFERROR(MATCH($C102,銘柄管理!$B$6:$B$305,0),MATCH(TEXT($C102,"0"),銘柄管理!$B$6:$B$305,0))-1,0,1,25)))/$E102*100,"")</f>
      </c>
      <c r="BC102">
        <f>IFERROR(($F102-$G102)/$G102*100,"")</f>
      </c>
      <c r="BD102">
        <f>IFERROR(($E102-MAX(OFFSET(高値!$E$6,IFERROR(MATCH($C102,銘柄管理!$B$6:$B$305,0),MATCH(TEXT($C102,"0"),銘柄管理!$B$6:$B$305,0))-1,0,1,25)))/MAX(OFFSET(高値!$E$6,IFERROR(MATCH($C102,銘柄管理!$B$6:$B$305,0),MATCH(TEXT($C102,"0"),銘柄管理!$B$6:$B$305,0))-1,0,1,25))*100,"")</f>
      </c>
      <c r="BE102">
        <f>IFERROR(($H102-$I102)/$F102*100,"")</f>
      </c>
      <c r="BF102">
        <f>IFERROR(-(($BA102-AVERAGE($BA$3:$BA$206))/STDEV($BA$3:$BA$206))-(($BE102-AVERAGE($BE$3:$BE$206))/STDEV($BE$3:$BE$206))-(($BB102-AVERAGE($BB$3:$BB$206))/STDEV($BB$3:$BB$206))-(($Z102-AVERAGE($Z$3:$Z$206))/STDEV($Z$3:$Z$206))-(($BC102-AVERAGE($BC$3:$BC$206))/STDEV($BC$3:$BC$206)),"")</f>
      </c>
      <c r="BG102">
        <f>IF(OR($C102="",$C102="TOPX",$BA102="",$BF102=""),0,IF(AND($BK$10=1,$BA102&lt;=$BK$2,$BB102&lt;=$BK$3,$BC102&lt;=$BK$4,$Z102&lt;=$BK$5,$Z102&gt;=$BK$6,$BD102&gt;=$BK$7,$BE102&lt;=$BK$8),1,0))</f>
      </c>
      <c r="BH102">
        <f>IF($C102="","",IF($BG102=1,"○ゲート通過",IF($BK$10&lt;&gt;1,"― この方向は停止中",IF($BA102&gt;$BK$2,"×値動きが荒い",IF($BB102&gt;$BK$3,"×レンジが広い",IF($BC102&gt;$BK$4,"×窓を開けて上昇",IF($Z102&gt;$BK$5,"×前日に急騰",IF($Z102&lt;$BK$6,"×前日に急落",IF($BD102&lt;$BK$7,"×高値から離れすぎ",IF($BE102&gt;$BK$8,"×当日の値幅が大きい","×")))))))))</f>
      </c>
    </row>
    <row r="103" spans="1:60"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IF(AND(E103&lt;&gt;"",K103&lt;&gt;"",K103&lt;&gt;0),(E103-K103)/K103*100,"")</f>
        <v>-45.126993502658003</v>
      </c>
      <c r="M103" s="166">
        <f>IF(C103&lt;&gt;"",IFERROR(AVERAGE(出来高!E147:I147),""),"")</f>
        <v>155040</v>
      </c>
      <c r="N103" s="166">
        <f>IF(C103&lt;&gt;"",IFERROR(AVERAGE(出来高!E147:AC147),""),"")</f>
        <v>114808.33333333333</v>
      </c>
      <c r="O103" s="168">
        <f>IF(AND(J103&lt;&gt;"",M103&lt;&gt;"",M103&lt;&gt;0),J103/M103,"")</f>
        <v>0.59726522187822495</v>
      </c>
      <c r="P103" s="163" t="str">
        <f>IF(O103="","",IF(O103&gt;=2,"急増↑↑",IF(O103&gt;=1.5,"増加↑",IF(O103&gt;=1,"普通→","減少↓"))))</f>
        <v>減少↓</v>
      </c>
      <c r="Q103" s="163" t="str">
        <f>IF(E103="","",IF(AND(E103&gt;G103,O103&gt;=1.5),"買い▲",IF(E103&lt;G103,"様子見▼","中立→")))</f>
        <v>様子見▼</v>
      </c>
      <c r="R103" s="166">
        <f>IF(E103&lt;&gt;"",ROUND(E103*1.08,0),"")</f>
        <v>10033</v>
      </c>
      <c r="S103" s="166">
        <f>IF(E103&lt;&gt;"",ROUND(E103*0.96,0),"")</f>
        <v>8918</v>
      </c>
      <c r="T103" s="163">
        <f>IF(C103="","",IFERROR(IF(O103&gt;=2,3,IF(O103&gt;=1.5,2,IF(O103&gt;=1,1,0)))+IF(E103&gt;G103,1,0)+IF(L103&gt;=-5,1,0)+IF(Q103="買い▲",2,0)+IF(W103&lt;=30,3,IF(W103&lt;=40,2,IF(AND(W103&gt;=40,W103&lt;=60),1,0)))+IF(X103&gt;0,1,0)+IF(V103="年初来高値更新●",3,IF(V103="高値圏",2,0))+IF(AD103="パーフェクト▲",3,IF(AD103="上昇トレンド▲",2,0))+IF(AE103="25日線押し目●",2,IF(AE103="5日線押し目○",1,0))+IF(P103="急増↑↑",2,IF(P103="増加↑",1,0))+N(AI103),0))</f>
        <v>1</v>
      </c>
      <c r="U103" s="163" t="str">
        <f>IF(T103="","",IF(AND(T103&gt;=3,O103&gt;=1.5),"有効",IF(T103&gt;=3,"要確認","除外")))</f>
        <v>除外</v>
      </c>
      <c r="V103" s="163" t="str">
        <f>IF(AND(H103&lt;&gt;"",K103&lt;&gt;""),IF(H103&gt;=K103,"年初来高値更新●",IF(H103&gt;=K103*0.95,"高値圏","通常")),"")</f>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IF(AND(E103&lt;&gt;"",G103&lt;&gt;"",G103&lt;&gt;0),(E103-G103)/G103*100,"")</f>
        <v>-5.7809330628803242</v>
      </c>
      <c r="AA103" s="163" t="str">
        <f>IF(OR(C103="",E103="",E103=0),"",IF(E103&gt;G103,"上昇▲",IF(E103&lt;G103,"下落▼","横ばい→")))</f>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IF(OR(C103="",AB103="",AC103=""),"",IF(AND(E103&gt;AB103,AB103&gt;AC103),"パーフェクト▲",IF(E103&gt;AC103,"上昇トレンド▲",IF(AND(E103&lt;AB103,AB103&lt;AC103),"下降トレンド▼","もみ合い→"))))</f>
        <v>上昇トレンド▲</v>
      </c>
      <c r="AE103" s="406" t="str">
        <f>IF(OR(C103="",AB103="",AC103=""),"",IF(AND(ABS(E103-AC103)/AC103&lt;=0.02,E103&gt;AC103),"25日押し目★",IF(AND(ABS(E103-AB103)/AB103&lt;=0.01,E103&gt;AB103),"5日押し目○","なし")))</f>
        <v>なし</v>
      </c>
      <c r="AF103" s="365">
        <f t="array" ref="AF103">IF(C103="","",IFERROR((INDEX(終値!$E:$E,MATCH(TEXT(C103,"0"),終値!$A:$A,0))-INDEX(終値!$E:$CZ,MATCH(TEXT(C103,"0"),終値!$A:$A,0),$AL$2))/INDEX(終値!$E:$CZ,MATCH(TEXT(C103,"0"),終値!$A:$A,0),$AL$2)*100,""))</f>
        <v>-33.926031294452343</v>
      </c>
      <c r="AG103" s="365">
        <f t="array" ref="AG103">IFERROR((終値!$E$5-INDEX(終値!$E$5:$IT$5,1,$AL$2))/INDEX(終値!$E$5:$IT$5,1,$AL$2)*100,"")</f>
        <v>1.0179378228534113</v>
      </c>
      <c r="AH103" s="366">
        <f>IF(OR(AF103="",AG103=""),"",AF103-AG103)</f>
        <v>-34.943969117305755</v>
      </c>
      <c r="AI103" s="364">
        <f>IF(AH103="","",IF(AH103&gt;5,3,IF(AH103&gt;0,1,IF(AH103&gt;-3,-1,-2))))</f>
        <v>-2</v>
      </c>
      <c r="BA103">
        <f>IFERROR((SUM(OFFSET(高値!$E$6,IFERROR(MATCH($C103,銘柄管理!$B$6:$B$305,0),MATCH(TEXT($C103,"0"),銘柄管理!$B$6:$B$305,0))-1,0,1,14))-SUM(OFFSET(安値!$E$6,IFERROR(MATCH($C103,銘柄管理!$B$6:$B$305,0),MATCH(TEXT($C103,"0"),銘柄管理!$B$6:$B$305,0))-1,0,1,14)))/SUM(OFFSET(終値!$E$6,IFERROR(MATCH($C103,銘柄管理!$B$6:$B$305,0),MATCH(TEXT($C103,"0"),銘柄管理!$B$6:$B$305,0))-1,0,1,14))*100,"")</f>
      </c>
      <c r="BB103">
        <f>IFERROR((MAX(OFFSET(高値!$E$6,IFERROR(MATCH($C103,銘柄管理!$B$6:$B$305,0),MATCH(TEXT($C103,"0"),銘柄管理!$B$6:$B$305,0))-1,0,1,25))-MIN(OFFSET(安値!$E$6,IFERROR(MATCH($C103,銘柄管理!$B$6:$B$305,0),MATCH(TEXT($C103,"0"),銘柄管理!$B$6:$B$305,0))-1,0,1,25)))/$E103*100,"")</f>
      </c>
      <c r="BC103">
        <f>IFERROR(($F103-$G103)/$G103*100,"")</f>
      </c>
      <c r="BD103">
        <f>IFERROR(($E103-MAX(OFFSET(高値!$E$6,IFERROR(MATCH($C103,銘柄管理!$B$6:$B$305,0),MATCH(TEXT($C103,"0"),銘柄管理!$B$6:$B$305,0))-1,0,1,25)))/MAX(OFFSET(高値!$E$6,IFERROR(MATCH($C103,銘柄管理!$B$6:$B$305,0),MATCH(TEXT($C103,"0"),銘柄管理!$B$6:$B$305,0))-1,0,1,25))*100,"")</f>
      </c>
      <c r="BE103">
        <f>IFERROR(($H103-$I103)/$F103*100,"")</f>
      </c>
      <c r="BF103">
        <f>IFERROR(-(($BA103-AVERAGE($BA$3:$BA$206))/STDEV($BA$3:$BA$206))-(($BE103-AVERAGE($BE$3:$BE$206))/STDEV($BE$3:$BE$206))-(($BB103-AVERAGE($BB$3:$BB$206))/STDEV($BB$3:$BB$206))-(($Z103-AVERAGE($Z$3:$Z$206))/STDEV($Z$3:$Z$206))-(($BC103-AVERAGE($BC$3:$BC$206))/STDEV($BC$3:$BC$206)),"")</f>
      </c>
      <c r="BG103">
        <f>IF(OR($C103="",$C103="TOPX",$BA103="",$BF103=""),0,IF(AND($BK$10=1,$BA103&lt;=$BK$2,$BB103&lt;=$BK$3,$BC103&lt;=$BK$4,$Z103&lt;=$BK$5,$Z103&gt;=$BK$6,$BD103&gt;=$BK$7,$BE103&lt;=$BK$8),1,0))</f>
      </c>
      <c r="BH103">
        <f>IF($C103="","",IF($BG103=1,"○ゲート通過",IF($BK$10&lt;&gt;1,"― この方向は停止中",IF($BA103&gt;$BK$2,"×値動きが荒い",IF($BB103&gt;$BK$3,"×レンジが広い",IF($BC103&gt;$BK$4,"×窓を開けて上昇",IF($Z103&gt;$BK$5,"×前日に急騰",IF($Z103&lt;$BK$6,"×前日に急落",IF($BD103&lt;$BK$7,"×高値から離れすぎ",IF($BE103&gt;$BK$8,"×当日の値幅が大きい","×")))))))))</f>
      </c>
    </row>
    <row r="104" spans="1:60"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IF(AND(E104&lt;&gt;"",K104&lt;&gt;"",K104&lt;&gt;0),(E104-K104)/K104*100,"")</f>
        <v>-76.963470319634709</v>
      </c>
      <c r="M104" s="166">
        <f>IF(C104&lt;&gt;"",IFERROR(AVERAGE(出来高!E128:I128),""),"")</f>
        <v>1592960</v>
      </c>
      <c r="N104" s="166">
        <f>IF(C104&lt;&gt;"",IFERROR(AVERAGE(出来高!E128:AC128),""),"")</f>
        <v>1896187.5</v>
      </c>
      <c r="O104" s="168">
        <f>IF(AND(J104&lt;&gt;"",M104&lt;&gt;"",M104&lt;&gt;0),J104/M104,"")</f>
        <v>0.82362394535958217</v>
      </c>
      <c r="P104" s="163" t="str">
        <f>IF(O104="","",IF(O104&gt;=2,"急増↑↑",IF(O104&gt;=1.5,"増加↑",IF(O104&gt;=1,"普通→","減少↓"))))</f>
        <v>減少↓</v>
      </c>
      <c r="Q104" s="163" t="str">
        <f>IF(E104="","",IF(AND(E104&gt;G104,O104&gt;=1.5),"買い▲",IF(E104&lt;G104,"様子見▼","中立→")))</f>
        <v>様子見▼</v>
      </c>
      <c r="R104" s="166">
        <f>IF(E104&lt;&gt;"",ROUND(E104*1.08,0),"")</f>
        <v>2179</v>
      </c>
      <c r="S104" s="166">
        <f>IF(E104&lt;&gt;"",ROUND(E104*0.96,0),"")</f>
        <v>1937</v>
      </c>
      <c r="T104" s="163">
        <f>IF(C104="","",IFERROR(IF(O104&gt;=2,3,IF(O104&gt;=1.5,2,IF(O104&gt;=1,1,0)))+IF(E104&gt;G104,1,0)+IF(L104&gt;=-5,1,0)+IF(Q104="買い▲",2,0)+IF(W104&lt;=30,3,IF(W104&lt;=40,2,IF(AND(W104&gt;=40,W104&lt;=60),1,0)))+IF(X104&gt;0,1,0)+IF(V104="年初来高値更新●",3,IF(V104="高値圏",2,0))+IF(AD104="パーフェクト▲",3,IF(AD104="上昇トレンド▲",2,0))+IF(AE104="25日線押し目●",2,IF(AE104="5日線押し目○",1,0))+IF(P104="急増↑↑",2,IF(P104="増加↑",1,0))+N(AI104),0))</f>
        <v>5</v>
      </c>
      <c r="U104" s="163" t="str">
        <f>IF(T104="","",IF(AND(T104&gt;=3,O104&gt;=1.5),"有効",IF(T104&gt;=3,"要確認","除外")))</f>
        <v>要確認</v>
      </c>
      <c r="V104" s="163" t="str">
        <f>IF(AND(H104&lt;&gt;"",K104&lt;&gt;""),IF(H104&gt;=K104,"年初来高値更新●",IF(H104&gt;=K104*0.95,"高値圏","通常")),"")</f>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IF(AND(E104&lt;&gt;"",G104&lt;&gt;"",G104&lt;&gt;0),(E104-G104)/G104*100,"")</f>
        <v>-4.1330166270783852</v>
      </c>
      <c r="AA104" s="163" t="str">
        <f>IF(OR(C104="",E104="",E104=0),"",IF(E104&gt;G104,"上昇▲",IF(E104&lt;G104,"下落▼","横ばい→")))</f>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IF(OR(C104="",AB104="",AC104=""),"",IF(AND(E104&gt;AB104,AB104&gt;AC104),"パーフェクト▲",IF(E104&gt;AC104,"上昇トレンド▲",IF(AND(E104&lt;AB104,AB104&lt;AC104),"下降トレンド▼","もみ合い→"))))</f>
        <v>上昇トレンド▲</v>
      </c>
      <c r="AE104" s="404" t="str">
        <f>IF(OR(C104="",AB104="",AC104=""),"",IF(AND(ABS(E104-AC104)/AC104&lt;=0.02,E104&gt;AC104),"25日押し目★",IF(AND(ABS(E104-AB104)/AB104&lt;=0.01,E104&gt;AB104),"5日押し目○","なし")))</f>
        <v>なし</v>
      </c>
      <c r="AF104" s="365">
        <f t="array" ref="AF104">IF(C104="","",IFERROR((INDEX(終値!$E:$E,MATCH(TEXT(C104,"0"),終値!$A:$A,0))-INDEX(終値!$E:$CZ,MATCH(TEXT(C104,"0"),終値!$A:$A,0),$AL$2))/INDEX(終値!$E:$CZ,MATCH(TEXT(C104,"0"),終値!$A:$A,0),$AL$2)*100,""))</f>
        <v>4.1279669762641902</v>
      </c>
      <c r="AG104" s="365">
        <f t="array" ref="AG104">IFERROR((終値!$E$5-INDEX(終値!$E$5:$IT$5,1,$AL$2))/INDEX(終値!$E$5:$IT$5,1,$AL$2)*100,"")</f>
        <v>1.0179378228534113</v>
      </c>
      <c r="AH104" s="366">
        <f>IF(OR(AF104="",AG104=""),"",AF104-AG104)</f>
        <v>3.1100291534107791</v>
      </c>
      <c r="AI104" s="364">
        <f>IF(AH104="","",IF(AH104&gt;5,3,IF(AH104&gt;0,1,IF(AH104&gt;-3,-1,-2))))</f>
        <v>1</v>
      </c>
      <c r="BA104">
        <f>IFERROR((SUM(OFFSET(高値!$E$6,IFERROR(MATCH($C104,銘柄管理!$B$6:$B$305,0),MATCH(TEXT($C104,"0"),銘柄管理!$B$6:$B$305,0))-1,0,1,14))-SUM(OFFSET(安値!$E$6,IFERROR(MATCH($C104,銘柄管理!$B$6:$B$305,0),MATCH(TEXT($C104,"0"),銘柄管理!$B$6:$B$305,0))-1,0,1,14)))/SUM(OFFSET(終値!$E$6,IFERROR(MATCH($C104,銘柄管理!$B$6:$B$305,0),MATCH(TEXT($C104,"0"),銘柄管理!$B$6:$B$305,0))-1,0,1,14))*100,"")</f>
      </c>
      <c r="BB104">
        <f>IFERROR((MAX(OFFSET(高値!$E$6,IFERROR(MATCH($C104,銘柄管理!$B$6:$B$305,0),MATCH(TEXT($C104,"0"),銘柄管理!$B$6:$B$305,0))-1,0,1,25))-MIN(OFFSET(安値!$E$6,IFERROR(MATCH($C104,銘柄管理!$B$6:$B$305,0),MATCH(TEXT($C104,"0"),銘柄管理!$B$6:$B$305,0))-1,0,1,25)))/$E104*100,"")</f>
      </c>
      <c r="BC104">
        <f>IFERROR(($F104-$G104)/$G104*100,"")</f>
      </c>
      <c r="BD104">
        <f>IFERROR(($E104-MAX(OFFSET(高値!$E$6,IFERROR(MATCH($C104,銘柄管理!$B$6:$B$305,0),MATCH(TEXT($C104,"0"),銘柄管理!$B$6:$B$305,0))-1,0,1,25)))/MAX(OFFSET(高値!$E$6,IFERROR(MATCH($C104,銘柄管理!$B$6:$B$305,0),MATCH(TEXT($C104,"0"),銘柄管理!$B$6:$B$305,0))-1,0,1,25))*100,"")</f>
      </c>
      <c r="BE104">
        <f>IFERROR(($H104-$I104)/$F104*100,"")</f>
      </c>
      <c r="BF104">
        <f>IFERROR(-(($BA104-AVERAGE($BA$3:$BA$206))/STDEV($BA$3:$BA$206))-(($BE104-AVERAGE($BE$3:$BE$206))/STDEV($BE$3:$BE$206))-(($BB104-AVERAGE($BB$3:$BB$206))/STDEV($BB$3:$BB$206))-(($Z104-AVERAGE($Z$3:$Z$206))/STDEV($Z$3:$Z$206))-(($BC104-AVERAGE($BC$3:$BC$206))/STDEV($BC$3:$BC$206)),"")</f>
      </c>
      <c r="BG104">
        <f>IF(OR($C104="",$C104="TOPX",$BA104="",$BF104=""),0,IF(AND($BK$10=1,$BA104&lt;=$BK$2,$BB104&lt;=$BK$3,$BC104&lt;=$BK$4,$Z104&lt;=$BK$5,$Z104&gt;=$BK$6,$BD104&gt;=$BK$7,$BE104&lt;=$BK$8),1,0))</f>
      </c>
      <c r="BH104">
        <f>IF($C104="","",IF($BG104=1,"○ゲート通過",IF($BK$10&lt;&gt;1,"― この方向は停止中",IF($BA104&gt;$BK$2,"×値動きが荒い",IF($BB104&gt;$BK$3,"×レンジが広い",IF($BC104&gt;$BK$4,"×窓を開けて上昇",IF($Z104&gt;$BK$5,"×前日に急騰",IF($Z104&lt;$BK$6,"×前日に急落",IF($BD104&lt;$BK$7,"×高値から離れすぎ",IF($BE104&gt;$BK$8,"×当日の値幅が大きい","×")))))))))</f>
      </c>
    </row>
    <row r="105" spans="1:60"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IF(AND(E105&lt;&gt;"",K105&lt;&gt;"",K105&lt;&gt;0),(E105-K105)/K105*100,"")</f>
        <v>-64.662447257383974</v>
      </c>
      <c r="M105" s="166">
        <f>IF(C105&lt;&gt;"",IFERROR(AVERAGE(出来高!E133:I133),""),"")</f>
        <v>727700</v>
      </c>
      <c r="N105" s="166">
        <f>IF(C105&lt;&gt;"",IFERROR(AVERAGE(出来高!E133:AC133),""),"")</f>
        <v>867991.66666666663</v>
      </c>
      <c r="O105" s="168">
        <f>IF(AND(J105&lt;&gt;"",M105&lt;&gt;"",M105&lt;&gt;0),J105/M105,"")</f>
        <v>0.61481379689432458</v>
      </c>
      <c r="P105" s="163" t="str">
        <f>IF(O105="","",IF(O105&gt;=2,"急増↑↑",IF(O105&gt;=1.5,"増加↑",IF(O105&gt;=1,"普通→","減少↓"))))</f>
        <v>減少↓</v>
      </c>
      <c r="Q105" s="163" t="str">
        <f>IF(E105="","",IF(AND(E105&gt;G105,O105&gt;=1.5),"買い▲",IF(E105&lt;G105,"様子見▼","中立→")))</f>
        <v>様子見▼</v>
      </c>
      <c r="R105" s="166">
        <f>IF(E105&lt;&gt;"",ROUND(E105*1.08,0),"")</f>
        <v>3618</v>
      </c>
      <c r="S105" s="166">
        <f>IF(E105&lt;&gt;"",ROUND(E105*0.96,0),"")</f>
        <v>3216</v>
      </c>
      <c r="T105" s="163">
        <f>IF(C105="","",IFERROR(IF(O105&gt;=2,3,IF(O105&gt;=1.5,2,IF(O105&gt;=1,1,0)))+IF(E105&gt;G105,1,0)+IF(L105&gt;=-5,1,0)+IF(Q105="買い▲",2,0)+IF(W105&lt;=30,3,IF(W105&lt;=40,2,IF(AND(W105&gt;=40,W105&lt;=60),1,0)))+IF(X105&gt;0,1,0)+IF(V105="年初来高値更新●",3,IF(V105="高値圏",2,0))+IF(AD105="パーフェクト▲",3,IF(AD105="上昇トレンド▲",2,0))+IF(AE105="25日線押し目●",2,IF(AE105="5日線押し目○",1,0))+IF(P105="急増↑↑",2,IF(P105="増加↑",1,0))+N(AI105),0))</f>
        <v>-1</v>
      </c>
      <c r="U105" s="163" t="str">
        <f>IF(T105="","",IF(AND(T105&gt;=3,O105&gt;=1.5),"有効",IF(T105&gt;=3,"要確認","除外")))</f>
        <v>除外</v>
      </c>
      <c r="V105" s="163" t="str">
        <f>IF(AND(H105&lt;&gt;"",K105&lt;&gt;""),IF(H105&gt;=K105,"年初来高値更新●",IF(H105&gt;=K105*0.95,"高値圏","通常")),"")</f>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IF(AND(E105&lt;&gt;"",G105&lt;&gt;"",G105&lt;&gt;0),(E105-G105)/G105*100,"")</f>
        <v>-0.8875739644970414</v>
      </c>
      <c r="AA105" s="163" t="str">
        <f>IF(OR(C105="",E105="",E105=0),"",IF(E105&gt;G105,"上昇▲",IF(E105&lt;G105,"下落▼","横ばい→")))</f>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IF(OR(C105="",AB105="",AC105=""),"",IF(AND(E105&gt;AB105,AB105&gt;AC105),"パーフェクト▲",IF(E105&gt;AC105,"上昇トレンド▲",IF(AND(E105&lt;AB105,AB105&lt;AC105),"下降トレンド▼","もみ合い→"))))</f>
        <v>もみ合い→</v>
      </c>
      <c r="AE105" s="406" t="str">
        <f>IF(OR(C105="",AB105="",AC105=""),"",IF(AND(ABS(E105-AC105)/AC105&lt;=0.02,E105&gt;AC105),"25日押し目★",IF(AND(ABS(E105-AB105)/AB105&lt;=0.01,E105&gt;AB105),"5日押し目○","なし")))</f>
        <v>なし</v>
      </c>
      <c r="AF105" s="365">
        <f t="array" ref="AF105">IF(C105="","",IFERROR((INDEX(終値!$E:$E,MATCH(TEXT(C105,"0"),終値!$A:$A,0))-INDEX(終値!$E:$CZ,MATCH(TEXT(C105,"0"),終値!$A:$A,0),$AL$2))/INDEX(終値!$E:$CZ,MATCH(TEXT(C105,"0"),終値!$A:$A,0),$AL$2)*100,""))</f>
        <v>-59.589867310012067</v>
      </c>
      <c r="AG105" s="365">
        <f t="array" ref="AG105">IFERROR((終値!$E$5-INDEX(終値!$E$5:$IT$5,1,$AL$2))/INDEX(終値!$E$5:$IT$5,1,$AL$2)*100,"")</f>
        <v>1.0179378228534113</v>
      </c>
      <c r="AH105" s="366">
        <f>IF(OR(AF105="",AG105=""),"",AF105-AG105)</f>
        <v>-60.607805132865479</v>
      </c>
      <c r="AI105" s="364">
        <f>IF(AH105="","",IF(AH105&gt;5,3,IF(AH105&gt;0,1,IF(AH105&gt;-3,-1,-2))))</f>
        <v>-2</v>
      </c>
      <c r="BA105">
        <f>IFERROR((SUM(OFFSET(高値!$E$6,IFERROR(MATCH($C105,銘柄管理!$B$6:$B$305,0),MATCH(TEXT($C105,"0"),銘柄管理!$B$6:$B$305,0))-1,0,1,14))-SUM(OFFSET(安値!$E$6,IFERROR(MATCH($C105,銘柄管理!$B$6:$B$305,0),MATCH(TEXT($C105,"0"),銘柄管理!$B$6:$B$305,0))-1,0,1,14)))/SUM(OFFSET(終値!$E$6,IFERROR(MATCH($C105,銘柄管理!$B$6:$B$305,0),MATCH(TEXT($C105,"0"),銘柄管理!$B$6:$B$305,0))-1,0,1,14))*100,"")</f>
      </c>
      <c r="BB105">
        <f>IFERROR((MAX(OFFSET(高値!$E$6,IFERROR(MATCH($C105,銘柄管理!$B$6:$B$305,0),MATCH(TEXT($C105,"0"),銘柄管理!$B$6:$B$305,0))-1,0,1,25))-MIN(OFFSET(安値!$E$6,IFERROR(MATCH($C105,銘柄管理!$B$6:$B$305,0),MATCH(TEXT($C105,"0"),銘柄管理!$B$6:$B$305,0))-1,0,1,25)))/$E105*100,"")</f>
      </c>
      <c r="BC105">
        <f>IFERROR(($F105-$G105)/$G105*100,"")</f>
      </c>
      <c r="BD105">
        <f>IFERROR(($E105-MAX(OFFSET(高値!$E$6,IFERROR(MATCH($C105,銘柄管理!$B$6:$B$305,0),MATCH(TEXT($C105,"0"),銘柄管理!$B$6:$B$305,0))-1,0,1,25)))/MAX(OFFSET(高値!$E$6,IFERROR(MATCH($C105,銘柄管理!$B$6:$B$305,0),MATCH(TEXT($C105,"0"),銘柄管理!$B$6:$B$305,0))-1,0,1,25))*100,"")</f>
      </c>
      <c r="BE105">
        <f>IFERROR(($H105-$I105)/$F105*100,"")</f>
      </c>
      <c r="BF105">
        <f>IFERROR(-(($BA105-AVERAGE($BA$3:$BA$206))/STDEV($BA$3:$BA$206))-(($BE105-AVERAGE($BE$3:$BE$206))/STDEV($BE$3:$BE$206))-(($BB105-AVERAGE($BB$3:$BB$206))/STDEV($BB$3:$BB$206))-(($Z105-AVERAGE($Z$3:$Z$206))/STDEV($Z$3:$Z$206))-(($BC105-AVERAGE($BC$3:$BC$206))/STDEV($BC$3:$BC$206)),"")</f>
      </c>
      <c r="BG105">
        <f>IF(OR($C105="",$C105="TOPX",$BA105="",$BF105=""),0,IF(AND($BK$10=1,$BA105&lt;=$BK$2,$BB105&lt;=$BK$3,$BC105&lt;=$BK$4,$Z105&lt;=$BK$5,$Z105&gt;=$BK$6,$BD105&gt;=$BK$7,$BE105&lt;=$BK$8),1,0))</f>
      </c>
      <c r="BH105">
        <f>IF($C105="","",IF($BG105=1,"○ゲート通過",IF($BK$10&lt;&gt;1,"― この方向は停止中",IF($BA105&gt;$BK$2,"×値動きが荒い",IF($BB105&gt;$BK$3,"×レンジが広い",IF($BC105&gt;$BK$4,"×窓を開けて上昇",IF($Z105&gt;$BK$5,"×前日に急騰",IF($Z105&lt;$BK$6,"×前日に急落",IF($BD105&lt;$BK$7,"×高値から離れすぎ",IF($BE105&gt;$BK$8,"×当日の値幅が大きい","×")))))))))</f>
      </c>
    </row>
    <row r="106" spans="1:60"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IF(AND(E106&lt;&gt;"",K106&lt;&gt;"",K106&lt;&gt;0),(E106-K106)/K106*100,"")</f>
        <v>-19.888440084631657</v>
      </c>
      <c r="M106" s="166">
        <f>IF(C106&lt;&gt;"",IFERROR(AVERAGE(出来高!E90:I90),""),"")</f>
        <v>3380340</v>
      </c>
      <c r="N106" s="166">
        <f>IF(C106&lt;&gt;"",IFERROR(AVERAGE(出来高!E90:AC90),""),"")</f>
        <v>3331148</v>
      </c>
      <c r="O106" s="168">
        <f>IF(AND(J106&lt;&gt;"",M106&lt;&gt;"",M106&lt;&gt;0),J106/M106,"")</f>
        <v>0.5882248531212837</v>
      </c>
      <c r="P106" s="163" t="str">
        <f>IF(O106="","",IF(O106&gt;=2,"急増↑↑",IF(O106&gt;=1.5,"増加↑",IF(O106&gt;=1,"普通→","減少↓"))))</f>
        <v>減少↓</v>
      </c>
      <c r="Q106" s="163" t="str">
        <f>IF(E106="","",IF(AND(E106&gt;G106,O106&gt;=1.5),"買い▲",IF(E106&lt;G106,"様子見▼","中立→")))</f>
        <v>様子見▼</v>
      </c>
      <c r="R106" s="166">
        <f>IF(E106&lt;&gt;"",ROUND(E106*1.08,0),"")</f>
        <v>4498</v>
      </c>
      <c r="S106" s="166">
        <f>IF(E106&lt;&gt;"",ROUND(E106*0.96,0),"")</f>
        <v>3998</v>
      </c>
      <c r="T106" s="163">
        <f>IF(C106="","",IFERROR(IF(O106&gt;=2,3,IF(O106&gt;=1.5,2,IF(O106&gt;=1,1,0)))+IF(E106&gt;G106,1,0)+IF(L106&gt;=-5,1,0)+IF(Q106="買い▲",2,0)+IF(W106&lt;=30,3,IF(W106&lt;=40,2,IF(AND(W106&gt;=40,W106&lt;=60),1,0)))+IF(X106&gt;0,1,0)+IF(V106="年初来高値更新●",3,IF(V106="高値圏",2,0))+IF(AD106="パーフェクト▲",3,IF(AD106="上昇トレンド▲",2,0))+IF(AE106="25日線押し目●",2,IF(AE106="5日線押し目○",1,0))+IF(P106="急増↑↑",2,IF(P106="増加↑",1,0))+N(AI106),0))</f>
        <v>-1</v>
      </c>
      <c r="U106" s="163" t="str">
        <f>IF(T106="","",IF(AND(T106&gt;=3,O106&gt;=1.5),"有効",IF(T106&gt;=3,"要確認","除外")))</f>
        <v>除外</v>
      </c>
      <c r="V106" s="163" t="str">
        <f>IF(AND(H106&lt;&gt;"",K106&lt;&gt;""),IF(H106&gt;=K106,"年初来高値更新●",IF(H106&gt;=K106*0.95,"高値圏","通常")),"")</f>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IF(AND(E106&lt;&gt;"",G106&lt;&gt;"",G106&lt;&gt;0),(E106-G106)/G106*100,"")</f>
        <v>-7.4032903512672306</v>
      </c>
      <c r="AA106" s="163" t="str">
        <f>IF(OR(C106="",E106="",E106=0),"",IF(E106&gt;G106,"上昇▲",IF(E106&lt;G106,"下落▼","横ばい→")))</f>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IF(OR(C106="",AB106="",AC106=""),"",IF(AND(E106&gt;AB106,AB106&gt;AC106),"パーフェクト▲",IF(E106&gt;AC106,"上昇トレンド▲",IF(AND(E106&lt;AB106,AB106&lt;AC106),"下降トレンド▼","もみ合い→"))))</f>
        <v>もみ合い→</v>
      </c>
      <c r="AE106" s="404" t="str">
        <f>IF(OR(C106="",AB106="",AC106=""),"",IF(AND(ABS(E106-AC106)/AC106&lt;=0.02,E106&gt;AC106),"25日押し目★",IF(AND(ABS(E106-AB106)/AB106&lt;=0.01,E106&gt;AB106),"5日押し目○","なし")))</f>
        <v>なし</v>
      </c>
      <c r="AF106" s="365">
        <f t="array" ref="AF106">IF(C106="","",IFERROR((INDEX(終値!$E:$E,MATCH(TEXT(C106,"0"),終値!$A:$A,0))-INDEX(終値!$E:$CZ,MATCH(TEXT(C106,"0"),終値!$A:$A,0),$AL$2))/INDEX(終値!$E:$CZ,MATCH(TEXT(C106,"0"),終値!$A:$A,0),$AL$2)*100,""))</f>
        <v>-18.011811023622048</v>
      </c>
      <c r="AG106" s="365">
        <f t="array" ref="AG106">IFERROR((終値!$E$5-INDEX(終値!$E$5:$IT$5,1,$AL$2))/INDEX(終値!$E$5:$IT$5,1,$AL$2)*100,"")</f>
        <v>1.0179378228534113</v>
      </c>
      <c r="AH106" s="366">
        <f>IF(OR(AF106="",AG106=""),"",AF106-AG106)</f>
        <v>-19.02974884647546</v>
      </c>
      <c r="AI106" s="364">
        <f>IF(AH106="","",IF(AH106&gt;5,3,IF(AH106&gt;0,1,IF(AH106&gt;-3,-1,-2))))</f>
        <v>-2</v>
      </c>
      <c r="BA106">
        <f>IFERROR((SUM(OFFSET(高値!$E$6,IFERROR(MATCH($C106,銘柄管理!$B$6:$B$305,0),MATCH(TEXT($C106,"0"),銘柄管理!$B$6:$B$305,0))-1,0,1,14))-SUM(OFFSET(安値!$E$6,IFERROR(MATCH($C106,銘柄管理!$B$6:$B$305,0),MATCH(TEXT($C106,"0"),銘柄管理!$B$6:$B$305,0))-1,0,1,14)))/SUM(OFFSET(終値!$E$6,IFERROR(MATCH($C106,銘柄管理!$B$6:$B$305,0),MATCH(TEXT($C106,"0"),銘柄管理!$B$6:$B$305,0))-1,0,1,14))*100,"")</f>
      </c>
      <c r="BB106">
        <f>IFERROR((MAX(OFFSET(高値!$E$6,IFERROR(MATCH($C106,銘柄管理!$B$6:$B$305,0),MATCH(TEXT($C106,"0"),銘柄管理!$B$6:$B$305,0))-1,0,1,25))-MIN(OFFSET(安値!$E$6,IFERROR(MATCH($C106,銘柄管理!$B$6:$B$305,0),MATCH(TEXT($C106,"0"),銘柄管理!$B$6:$B$305,0))-1,0,1,25)))/$E106*100,"")</f>
      </c>
      <c r="BC106">
        <f>IFERROR(($F106-$G106)/$G106*100,"")</f>
      </c>
      <c r="BD106">
        <f>IFERROR(($E106-MAX(OFFSET(高値!$E$6,IFERROR(MATCH($C106,銘柄管理!$B$6:$B$305,0),MATCH(TEXT($C106,"0"),銘柄管理!$B$6:$B$305,0))-1,0,1,25)))/MAX(OFFSET(高値!$E$6,IFERROR(MATCH($C106,銘柄管理!$B$6:$B$305,0),MATCH(TEXT($C106,"0"),銘柄管理!$B$6:$B$305,0))-1,0,1,25))*100,"")</f>
      </c>
      <c r="BE106">
        <f>IFERROR(($H106-$I106)/$F106*100,"")</f>
      </c>
      <c r="BF106">
        <f>IFERROR(-(($BA106-AVERAGE($BA$3:$BA$206))/STDEV($BA$3:$BA$206))-(($BE106-AVERAGE($BE$3:$BE$206))/STDEV($BE$3:$BE$206))-(($BB106-AVERAGE($BB$3:$BB$206))/STDEV($BB$3:$BB$206))-(($Z106-AVERAGE($Z$3:$Z$206))/STDEV($Z$3:$Z$206))-(($BC106-AVERAGE($BC$3:$BC$206))/STDEV($BC$3:$BC$206)),"")</f>
      </c>
      <c r="BG106">
        <f>IF(OR($C106="",$C106="TOPX",$BA106="",$BF106=""),0,IF(AND($BK$10=1,$BA106&lt;=$BK$2,$BB106&lt;=$BK$3,$BC106&lt;=$BK$4,$Z106&lt;=$BK$5,$Z106&gt;=$BK$6,$BD106&gt;=$BK$7,$BE106&lt;=$BK$8),1,0))</f>
      </c>
      <c r="BH106">
        <f>IF($C106="","",IF($BG106=1,"○ゲート通過",IF($BK$10&lt;&gt;1,"― この方向は停止中",IF($BA106&gt;$BK$2,"×値動きが荒い",IF($BB106&gt;$BK$3,"×レンジが広い",IF($BC106&gt;$BK$4,"×窓を開けて上昇",IF($Z106&gt;$BK$5,"×前日に急騰",IF($Z106&lt;$BK$6,"×前日に急落",IF($BD106&lt;$BK$7,"×高値から離れすぎ",IF($BE106&gt;$BK$8,"×当日の値幅が大きい","×")))))))))</f>
      </c>
    </row>
    <row r="107" spans="1:60"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IF(AND(E107&lt;&gt;"",K107&lt;&gt;"",K107&lt;&gt;0),(E107-K107)/K107*100,"")</f>
        <v>-21.979238754325259</v>
      </c>
      <c r="M107" s="166">
        <f>IF(C107&lt;&gt;"",IFERROR(AVERAGE(出来高!E203:I203),""),"")</f>
        <v>2126040</v>
      </c>
      <c r="N107" s="166">
        <f>IF(C107&lt;&gt;"",IFERROR(AVERAGE(出来高!E203:AC203),""),"")</f>
        <v>1188620</v>
      </c>
      <c r="O107" s="168">
        <f>IF(AND(J107&lt;&gt;"",M107&lt;&gt;"",M107&lt;&gt;0),J107/M107,"")</f>
        <v>0.53921845308648941</v>
      </c>
      <c r="P107" s="163" t="str">
        <f>IF(O107="","",IF(O107&gt;=2,"急増↑↑",IF(O107&gt;=1.5,"増加↑",IF(O107&gt;=1,"普通→","減少↓"))))</f>
        <v>減少↓</v>
      </c>
      <c r="Q107" s="163" t="str">
        <f>IF(E107="","",IF(AND(E107&gt;G107,O107&gt;=1.5),"買い▲",IF(E107&lt;G107,"様子見▼","中立→")))</f>
        <v>中立→</v>
      </c>
      <c r="R107" s="166">
        <f>IF(E107&lt;&gt;"",ROUND(E107*1.08,0),"")</f>
        <v>6088</v>
      </c>
      <c r="S107" s="166">
        <f>IF(E107&lt;&gt;"",ROUND(E107*0.96,0),"")</f>
        <v>5412</v>
      </c>
      <c r="T107" s="163">
        <f>IF(C107="","",IFERROR(IF(O107&gt;=2,3,IF(O107&gt;=1.5,2,IF(O107&gt;=1,1,0)))+IF(E107&gt;G107,1,0)+IF(L107&gt;=-5,1,0)+IF(Q107="買い▲",2,0)+IF(W107&lt;=30,3,IF(W107&lt;=40,2,IF(AND(W107&gt;=40,W107&lt;=60),1,0)))+IF(X107&gt;0,1,0)+IF(V107="年初来高値更新●",3,IF(V107="高値圏",2,0))+IF(AD107="パーフェクト▲",3,IF(AD107="上昇トレンド▲",2,0))+IF(AE107="25日線押し目●",2,IF(AE107="5日線押し目○",1,0))+IF(P107="急増↑↑",2,IF(P107="増加↑",1,0))+N(AI107),0))</f>
        <v>8</v>
      </c>
      <c r="U107" s="163" t="str">
        <f>IF(T107="","",IF(AND(T107&gt;=3,O107&gt;=1.5),"有効",IF(T107&gt;=3,"要確認","除外")))</f>
        <v>要確認</v>
      </c>
      <c r="V107" s="163" t="str">
        <f>IF(AND(H107&lt;&gt;"",K107&lt;&gt;""),IF(H107&gt;=K107,"年初来高値更新●",IF(H107&gt;=K107*0.95,"高値圏","通常")),"")</f>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IF(AND(E107&lt;&gt;"",G107&lt;&gt;"",G107&lt;&gt;0),(E107-G107)/G107*100,"")</f>
        <v>2.8461959496442253</v>
      </c>
      <c r="AA107" s="163" t="str">
        <f>IF(OR(C107="",E107="",E107=0),"",IF(E107&gt;G107,"上昇▲",IF(E107&lt;G107,"下落▼","横ばい→")))</f>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IF(OR(C107="",AB107="",AC107=""),"",IF(AND(E107&gt;AB107,AB107&gt;AC107),"パーフェクト▲",IF(E107&gt;AC107,"上昇トレンド▲",IF(AND(E107&lt;AB107,AB107&lt;AC107),"下降トレンド▼","もみ合い→"))))</f>
        <v>上昇トレンド▲</v>
      </c>
      <c r="AE107" s="406" t="str">
        <f>IF(OR(C107="",AB107="",AC107=""),"",IF(AND(ABS(E107-AC107)/AC107&lt;=0.02,E107&gt;AC107),"25日押し目★",IF(AND(ABS(E107-AB107)/AB107&lt;=0.01,E107&gt;AB107),"5日押し目○","なし")))</f>
        <v>なし</v>
      </c>
      <c r="AF107" s="365">
        <f t="array" ref="AF107">IF(C107="","",IFERROR((INDEX(終値!$E:$E,MATCH(TEXT(C107,"0"),終値!$A:$A,0))-INDEX(終値!$E:$CZ,MATCH(TEXT(C107,"0"),終値!$A:$A,0),$AL$2))/INDEX(終値!$E:$CZ,MATCH(TEXT(C107,"0"),終値!$A:$A,0),$AL$2)*100,""))</f>
        <v>8.278908951210143</v>
      </c>
      <c r="AG107" s="365">
        <f t="array" ref="AG107">IFERROR((終値!$E$5-INDEX(終値!$E$5:$IT$5,1,$AL$2))/INDEX(終値!$E$5:$IT$5,1,$AL$2)*100,"")</f>
        <v>1.0179378228534113</v>
      </c>
      <c r="AH107" s="366">
        <f>IF(OR(AF107="",AG107=""),"",AF107-AG107)</f>
        <v>7.260971128356732</v>
      </c>
      <c r="AI107" s="364">
        <f>IF(AH107="","",IF(AH107&gt;5,3,IF(AH107&gt;0,1,IF(AH107&gt;-3,-1,-2))))</f>
        <v>3</v>
      </c>
      <c r="BA107">
        <f>IFERROR((SUM(OFFSET(高値!$E$6,IFERROR(MATCH($C107,銘柄管理!$B$6:$B$305,0),MATCH(TEXT($C107,"0"),銘柄管理!$B$6:$B$305,0))-1,0,1,14))-SUM(OFFSET(安値!$E$6,IFERROR(MATCH($C107,銘柄管理!$B$6:$B$305,0),MATCH(TEXT($C107,"0"),銘柄管理!$B$6:$B$305,0))-1,0,1,14)))/SUM(OFFSET(終値!$E$6,IFERROR(MATCH($C107,銘柄管理!$B$6:$B$305,0),MATCH(TEXT($C107,"0"),銘柄管理!$B$6:$B$305,0))-1,0,1,14))*100,"")</f>
      </c>
      <c r="BB107">
        <f>IFERROR((MAX(OFFSET(高値!$E$6,IFERROR(MATCH($C107,銘柄管理!$B$6:$B$305,0),MATCH(TEXT($C107,"0"),銘柄管理!$B$6:$B$305,0))-1,0,1,25))-MIN(OFFSET(安値!$E$6,IFERROR(MATCH($C107,銘柄管理!$B$6:$B$305,0),MATCH(TEXT($C107,"0"),銘柄管理!$B$6:$B$305,0))-1,0,1,25)))/$E107*100,"")</f>
      </c>
      <c r="BC107">
        <f>IFERROR(($F107-$G107)/$G107*100,"")</f>
      </c>
      <c r="BD107">
        <f>IFERROR(($E107-MAX(OFFSET(高値!$E$6,IFERROR(MATCH($C107,銘柄管理!$B$6:$B$305,0),MATCH(TEXT($C107,"0"),銘柄管理!$B$6:$B$305,0))-1,0,1,25)))/MAX(OFFSET(高値!$E$6,IFERROR(MATCH($C107,銘柄管理!$B$6:$B$305,0),MATCH(TEXT($C107,"0"),銘柄管理!$B$6:$B$305,0))-1,0,1,25))*100,"")</f>
      </c>
      <c r="BE107">
        <f>IFERROR(($H107-$I107)/$F107*100,"")</f>
      </c>
      <c r="BF107">
        <f>IFERROR(-(($BA107-AVERAGE($BA$3:$BA$206))/STDEV($BA$3:$BA$206))-(($BE107-AVERAGE($BE$3:$BE$206))/STDEV($BE$3:$BE$206))-(($BB107-AVERAGE($BB$3:$BB$206))/STDEV($BB$3:$BB$206))-(($Z107-AVERAGE($Z$3:$Z$206))/STDEV($Z$3:$Z$206))-(($BC107-AVERAGE($BC$3:$BC$206))/STDEV($BC$3:$BC$206)),"")</f>
      </c>
      <c r="BG107">
        <f>IF(OR($C107="",$C107="TOPX",$BA107="",$BF107=""),0,IF(AND($BK$10=1,$BA107&lt;=$BK$2,$BB107&lt;=$BK$3,$BC107&lt;=$BK$4,$Z107&lt;=$BK$5,$Z107&gt;=$BK$6,$BD107&gt;=$BK$7,$BE107&lt;=$BK$8),1,0))</f>
      </c>
      <c r="BH107">
        <f>IF($C107="","",IF($BG107=1,"○ゲート通過",IF($BK$10&lt;&gt;1,"― この方向は停止中",IF($BA107&gt;$BK$2,"×値動きが荒い",IF($BB107&gt;$BK$3,"×レンジが広い",IF($BC107&gt;$BK$4,"×窓を開けて上昇",IF($Z107&gt;$BK$5,"×前日に急騰",IF($Z107&lt;$BK$6,"×前日に急落",IF($BD107&lt;$BK$7,"×高値から離れすぎ",IF($BE107&gt;$BK$8,"×当日の値幅が大きい","×")))))))))</f>
      </c>
    </row>
    <row r="108" spans="1:60"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IF(AND(E108&lt;&gt;"",K108&lt;&gt;"",K108&lt;&gt;0),(E108-K108)/K108*100,"")</f>
        <v>-19.727272727272727</v>
      </c>
      <c r="M108" s="166">
        <f>IF(C108&lt;&gt;"",IFERROR(AVERAGE(出来高!E30:I30),""),"")</f>
        <v>1065840</v>
      </c>
      <c r="N108" s="166">
        <f>IF(C108&lt;&gt;"",IFERROR(AVERAGE(出来高!E30:AC30),""),"")</f>
        <v>926276</v>
      </c>
      <c r="O108" s="168">
        <f>IF(AND(J108&lt;&gt;"",M108&lt;&gt;"",M108&lt;&gt;0),J108/M108,"")</f>
        <v>0.70320123095398934</v>
      </c>
      <c r="P108" s="163" t="str">
        <f>IF(O108="","",IF(O108&gt;=2,"急増↑↑",IF(O108&gt;=1.5,"増加↑",IF(O108&gt;=1,"普通→","減少↓"))))</f>
        <v>減少↓</v>
      </c>
      <c r="Q108" s="163" t="str">
        <f>IF(E108="","",IF(AND(E108&gt;G108,O108&gt;=1.5),"買い▲",IF(E108&lt;G108,"様子見▼","中立→")))</f>
        <v>様子見▼</v>
      </c>
      <c r="R108" s="166">
        <f>IF(E108&lt;&gt;"",ROUND(E108*1.08,0),"")</f>
        <v>4768</v>
      </c>
      <c r="S108" s="166">
        <f>IF(E108&lt;&gt;"",ROUND(E108*0.96,0),"")</f>
        <v>4238</v>
      </c>
      <c r="T108" s="163">
        <f>IF(C108="","",IFERROR(IF(O108&gt;=2,3,IF(O108&gt;=1.5,2,IF(O108&gt;=1,1,0)))+IF(E108&gt;G108,1,0)+IF(L108&gt;=-5,1,0)+IF(Q108="買い▲",2,0)+IF(W108&lt;=30,3,IF(W108&lt;=40,2,IF(AND(W108&gt;=40,W108&lt;=60),1,0)))+IF(X108&gt;0,1,0)+IF(V108="年初来高値更新●",3,IF(V108="高値圏",2,0))+IF(AD108="パーフェクト▲",3,IF(AD108="上昇トレンド▲",2,0))+IF(AE108="25日線押し目●",2,IF(AE108="5日線押し目○",1,0))+IF(P108="急増↑↑",2,IF(P108="増加↑",1,0))+N(AI108),0))</f>
        <v>2</v>
      </c>
      <c r="U108" s="163" t="str">
        <f>IF(T108="","",IF(AND(T108&gt;=3,O108&gt;=1.5),"有効",IF(T108&gt;=3,"要確認","除外")))</f>
        <v>除外</v>
      </c>
      <c r="V108" s="163" t="str">
        <f>IF(AND(H108&lt;&gt;"",K108&lt;&gt;""),IF(H108&gt;=K108,"年初来高値更新●",IF(H108&gt;=K108*0.95,"高値圏","通常")),"")</f>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IF(AND(E108&lt;&gt;"",G108&lt;&gt;"",G108&lt;&gt;0),(E108-G108)/G108*100,"")</f>
        <v>-4.1259500542888166</v>
      </c>
      <c r="AA108" s="163" t="str">
        <f>IF(OR(C108="",E108="",E108=0),"",IF(E108&gt;G108,"上昇▲",IF(E108&lt;G108,"下落▼","横ばい→")))</f>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IF(OR(C108="",AB108="",AC108=""),"",IF(AND(E108&gt;AB108,AB108&gt;AC108),"パーフェクト▲",IF(E108&gt;AC108,"上昇トレンド▲",IF(AND(E108&lt;AB108,AB108&lt;AC108),"下降トレンド▼","もみ合い→"))))</f>
        <v>パーフェクト▲</v>
      </c>
      <c r="AE108" s="404" t="str">
        <f>IF(OR(C108="",AB108="",AC108=""),"",IF(AND(ABS(E108-AC108)/AC108&lt;=0.02,E108&gt;AC108),"25日押し目★",IF(AND(ABS(E108-AB108)/AB108&lt;=0.01,E108&gt;AB108),"5日押し目○","なし")))</f>
        <v>なし</v>
      </c>
      <c r="AF108" s="365">
        <f t="array" ref="AF108">IF(C108="","",IFERROR((INDEX(終値!$E:$E,MATCH(TEXT(C108,"0"),終値!$A:$A,0))-INDEX(終値!$E:$CZ,MATCH(TEXT(C108,"0"),終値!$A:$A,0),$AL$2))/INDEX(終値!$E:$CZ,MATCH(TEXT(C108,"0"),終値!$A:$A,0),$AL$2)*100,""))</f>
        <v>-14.932562620423893</v>
      </c>
      <c r="AG108" s="365">
        <f t="array" ref="AG108">IFERROR((終値!$E$5-INDEX(終値!$E$5:$IT$5,1,$AL$2))/INDEX(終値!$E$5:$IT$5,1,$AL$2)*100,"")</f>
        <v>1.0179378228534113</v>
      </c>
      <c r="AH108" s="366">
        <f>IF(OR(AF108="",AG108=""),"",AF108-AG108)</f>
        <v>-15.950500443277305</v>
      </c>
      <c r="AI108" s="364">
        <f>IF(AH108="","",IF(AH108&gt;5,3,IF(AH108&gt;0,1,IF(AH108&gt;-3,-1,-2))))</f>
        <v>-2</v>
      </c>
      <c r="BA108">
        <f>IFERROR((SUM(OFFSET(高値!$E$6,IFERROR(MATCH($C108,銘柄管理!$B$6:$B$305,0),MATCH(TEXT($C108,"0"),銘柄管理!$B$6:$B$305,0))-1,0,1,14))-SUM(OFFSET(安値!$E$6,IFERROR(MATCH($C108,銘柄管理!$B$6:$B$305,0),MATCH(TEXT($C108,"0"),銘柄管理!$B$6:$B$305,0))-1,0,1,14)))/SUM(OFFSET(終値!$E$6,IFERROR(MATCH($C108,銘柄管理!$B$6:$B$305,0),MATCH(TEXT($C108,"0"),銘柄管理!$B$6:$B$305,0))-1,0,1,14))*100,"")</f>
      </c>
      <c r="BB108">
        <f>IFERROR((MAX(OFFSET(高値!$E$6,IFERROR(MATCH($C108,銘柄管理!$B$6:$B$305,0),MATCH(TEXT($C108,"0"),銘柄管理!$B$6:$B$305,0))-1,0,1,25))-MIN(OFFSET(安値!$E$6,IFERROR(MATCH($C108,銘柄管理!$B$6:$B$305,0),MATCH(TEXT($C108,"0"),銘柄管理!$B$6:$B$305,0))-1,0,1,25)))/$E108*100,"")</f>
      </c>
      <c r="BC108">
        <f>IFERROR(($F108-$G108)/$G108*100,"")</f>
      </c>
      <c r="BD108">
        <f>IFERROR(($E108-MAX(OFFSET(高値!$E$6,IFERROR(MATCH($C108,銘柄管理!$B$6:$B$305,0),MATCH(TEXT($C108,"0"),銘柄管理!$B$6:$B$305,0))-1,0,1,25)))/MAX(OFFSET(高値!$E$6,IFERROR(MATCH($C108,銘柄管理!$B$6:$B$305,0),MATCH(TEXT($C108,"0"),銘柄管理!$B$6:$B$305,0))-1,0,1,25))*100,"")</f>
      </c>
      <c r="BE108">
        <f>IFERROR(($H108-$I108)/$F108*100,"")</f>
      </c>
      <c r="BF108">
        <f>IFERROR(-(($BA108-AVERAGE($BA$3:$BA$206))/STDEV($BA$3:$BA$206))-(($BE108-AVERAGE($BE$3:$BE$206))/STDEV($BE$3:$BE$206))-(($BB108-AVERAGE($BB$3:$BB$206))/STDEV($BB$3:$BB$206))-(($Z108-AVERAGE($Z$3:$Z$206))/STDEV($Z$3:$Z$206))-(($BC108-AVERAGE($BC$3:$BC$206))/STDEV($BC$3:$BC$206)),"")</f>
      </c>
      <c r="BG108">
        <f>IF(OR($C108="",$C108="TOPX",$BA108="",$BF108=""),0,IF(AND($BK$10=1,$BA108&lt;=$BK$2,$BB108&lt;=$BK$3,$BC108&lt;=$BK$4,$Z108&lt;=$BK$5,$Z108&gt;=$BK$6,$BD108&gt;=$BK$7,$BE108&lt;=$BK$8),1,0))</f>
      </c>
      <c r="BH108">
        <f>IF($C108="","",IF($BG108=1,"○ゲート通過",IF($BK$10&lt;&gt;1,"― この方向は停止中",IF($BA108&gt;$BK$2,"×値動きが荒い",IF($BB108&gt;$BK$3,"×レンジが広い",IF($BC108&gt;$BK$4,"×窓を開けて上昇",IF($Z108&gt;$BK$5,"×前日に急騰",IF($Z108&lt;$BK$6,"×前日に急落",IF($BD108&lt;$BK$7,"×高値から離れすぎ",IF($BE108&gt;$BK$8,"×当日の値幅が大きい","×")))))))))</f>
      </c>
    </row>
    <row r="109" spans="1:60"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IF(AND(E109&lt;&gt;"",K109&lt;&gt;"",K109&lt;&gt;0),(E109-K109)/K109*100,"")</f>
        <v>-57.941888619854723</v>
      </c>
      <c r="M109" s="166">
        <f>IF(C109&lt;&gt;"",IFERROR(AVERAGE(出来高!E135:I135),""),"")</f>
        <v>670220</v>
      </c>
      <c r="N109" s="166">
        <f>IF(C109&lt;&gt;"",IFERROR(AVERAGE(出来高!E135:AC135),""),"")</f>
        <v>841004</v>
      </c>
      <c r="O109" s="168">
        <f>IF(AND(J109&lt;&gt;"",M109&lt;&gt;"",M109&lt;&gt;0),J109/M109,"")</f>
        <v>0.64710095192623318</v>
      </c>
      <c r="P109" s="163" t="str">
        <f>IF(O109="","",IF(O109&gt;=2,"急増↑↑",IF(O109&gt;=1.5,"増加↑",IF(O109&gt;=1,"普通→","減少↓"))))</f>
        <v>減少↓</v>
      </c>
      <c r="Q109" s="163" t="str">
        <f>IF(E109="","",IF(AND(E109&gt;G109,O109&gt;=1.5),"買い▲",IF(E109&lt;G109,"様子見▼","中立→")))</f>
        <v>様子見▼</v>
      </c>
      <c r="R109" s="166">
        <f>IF(E109&lt;&gt;"",ROUND(E109*1.08,0),"")</f>
        <v>1876</v>
      </c>
      <c r="S109" s="166">
        <f>IF(E109&lt;&gt;"",ROUND(E109*0.96,0),"")</f>
        <v>1668</v>
      </c>
      <c r="T109" s="163">
        <f>IF(C109="","",IFERROR(IF(O109&gt;=2,3,IF(O109&gt;=1.5,2,IF(O109&gt;=1,1,0)))+IF(E109&gt;G109,1,0)+IF(L109&gt;=-5,1,0)+IF(Q109="買い▲",2,0)+IF(W109&lt;=30,3,IF(W109&lt;=40,2,IF(AND(W109&gt;=40,W109&lt;=60),1,0)))+IF(X109&gt;0,1,0)+IF(V109="年初来高値更新●",3,IF(V109="高値圏",2,0))+IF(AD109="パーフェクト▲",3,IF(AD109="上昇トレンド▲",2,0))+IF(AE109="25日線押し目●",2,IF(AE109="5日線押し目○",1,0))+IF(P109="急増↑↑",2,IF(P109="増加↑",1,0))+N(AI109),0))</f>
        <v>4</v>
      </c>
      <c r="U109" s="163" t="str">
        <f>IF(T109="","",IF(AND(T109&gt;=3,O109&gt;=1.5),"有効",IF(T109&gt;=3,"要確認","除外")))</f>
        <v>要確認</v>
      </c>
      <c r="V109" s="163" t="str">
        <f>IF(AND(H109&lt;&gt;"",K109&lt;&gt;""),IF(H109&gt;=K109,"年初来高値更新●",IF(H109&gt;=K109*0.95,"高値圏","通常")),"")</f>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IF(AND(E109&lt;&gt;"",G109&lt;&gt;"",G109&lt;&gt;0),(E109-G109)/G109*100,"")</f>
        <v>-5.081967213114754</v>
      </c>
      <c r="AA109" s="163" t="str">
        <f>IF(OR(C109="",E109="",E109=0),"",IF(E109&gt;G109,"上昇▲",IF(E109&lt;G109,"下落▼","横ばい→")))</f>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IF(OR(C109="",AB109="",AC109=""),"",IF(AND(E109&gt;AB109,AB109&gt;AC109),"パーフェクト▲",IF(E109&gt;AC109,"上昇トレンド▲",IF(AND(E109&lt;AB109,AB109&lt;AC109),"下降トレンド▼","もみ合い→"))))</f>
        <v>パーフェクト▲</v>
      </c>
      <c r="AE109" s="406" t="str">
        <f>IF(OR(C109="",AB109="",AC109=""),"",IF(AND(ABS(E109-AC109)/AC109&lt;=0.02,E109&gt;AC109),"25日押し目★",IF(AND(ABS(E109-AB109)/AB109&lt;=0.01,E109&gt;AB109),"5日押し目○","なし")))</f>
        <v>なし</v>
      </c>
      <c r="AF109" s="365">
        <f t="array" ref="AF109">IF(C109="","",IFERROR((INDEX(終値!$E:$E,MATCH(TEXT(C109,"0"),終値!$A:$A,0))-INDEX(終値!$E:$CZ,MATCH(TEXT(C109,"0"),終値!$A:$A,0),$AL$2))/INDEX(終値!$E:$CZ,MATCH(TEXT(C109,"0"),終値!$A:$A,0),$AL$2)*100,""))</f>
        <v>-79.047044632086852</v>
      </c>
      <c r="AG109" s="365">
        <f t="array" ref="AG109">IFERROR((終値!$E$5-INDEX(終値!$E$5:$IT$5,1,$AL$2))/INDEX(終値!$E$5:$IT$5,1,$AL$2)*100,"")</f>
        <v>1.0179378228534113</v>
      </c>
      <c r="AH109" s="366">
        <f>IF(OR(AF109="",AG109=""),"",AF109-AG109)</f>
        <v>-80.064982454940264</v>
      </c>
      <c r="AI109" s="364">
        <f>IF(AH109="","",IF(AH109&gt;5,3,IF(AH109&gt;0,1,IF(AH109&gt;-3,-1,-2))))</f>
        <v>-2</v>
      </c>
      <c r="BA109">
        <f>IFERROR((SUM(OFFSET(高値!$E$6,IFERROR(MATCH($C109,銘柄管理!$B$6:$B$305,0),MATCH(TEXT($C109,"0"),銘柄管理!$B$6:$B$305,0))-1,0,1,14))-SUM(OFFSET(安値!$E$6,IFERROR(MATCH($C109,銘柄管理!$B$6:$B$305,0),MATCH(TEXT($C109,"0"),銘柄管理!$B$6:$B$305,0))-1,0,1,14)))/SUM(OFFSET(終値!$E$6,IFERROR(MATCH($C109,銘柄管理!$B$6:$B$305,0),MATCH(TEXT($C109,"0"),銘柄管理!$B$6:$B$305,0))-1,0,1,14))*100,"")</f>
      </c>
      <c r="BB109">
        <f>IFERROR((MAX(OFFSET(高値!$E$6,IFERROR(MATCH($C109,銘柄管理!$B$6:$B$305,0),MATCH(TEXT($C109,"0"),銘柄管理!$B$6:$B$305,0))-1,0,1,25))-MIN(OFFSET(安値!$E$6,IFERROR(MATCH($C109,銘柄管理!$B$6:$B$305,0),MATCH(TEXT($C109,"0"),銘柄管理!$B$6:$B$305,0))-1,0,1,25)))/$E109*100,"")</f>
      </c>
      <c r="BC109">
        <f>IFERROR(($F109-$G109)/$G109*100,"")</f>
      </c>
      <c r="BD109">
        <f>IFERROR(($E109-MAX(OFFSET(高値!$E$6,IFERROR(MATCH($C109,銘柄管理!$B$6:$B$305,0),MATCH(TEXT($C109,"0"),銘柄管理!$B$6:$B$305,0))-1,0,1,25)))/MAX(OFFSET(高値!$E$6,IFERROR(MATCH($C109,銘柄管理!$B$6:$B$305,0),MATCH(TEXT($C109,"0"),銘柄管理!$B$6:$B$305,0))-1,0,1,25))*100,"")</f>
      </c>
      <c r="BE109">
        <f>IFERROR(($H109-$I109)/$F109*100,"")</f>
      </c>
      <c r="BF109">
        <f>IFERROR(-(($BA109-AVERAGE($BA$3:$BA$206))/STDEV($BA$3:$BA$206))-(($BE109-AVERAGE($BE$3:$BE$206))/STDEV($BE$3:$BE$206))-(($BB109-AVERAGE($BB$3:$BB$206))/STDEV($BB$3:$BB$206))-(($Z109-AVERAGE($Z$3:$Z$206))/STDEV($Z$3:$Z$206))-(($BC109-AVERAGE($BC$3:$BC$206))/STDEV($BC$3:$BC$206)),"")</f>
      </c>
      <c r="BG109">
        <f>IF(OR($C109="",$C109="TOPX",$BA109="",$BF109=""),0,IF(AND($BK$10=1,$BA109&lt;=$BK$2,$BB109&lt;=$BK$3,$BC109&lt;=$BK$4,$Z109&lt;=$BK$5,$Z109&gt;=$BK$6,$BD109&gt;=$BK$7,$BE109&lt;=$BK$8),1,0))</f>
      </c>
      <c r="BH109">
        <f>IF($C109="","",IF($BG109=1,"○ゲート通過",IF($BK$10&lt;&gt;1,"― この方向は停止中",IF($BA109&gt;$BK$2,"×値動きが荒い",IF($BB109&gt;$BK$3,"×レンジが広い",IF($BC109&gt;$BK$4,"×窓を開けて上昇",IF($Z109&gt;$BK$5,"×前日に急騰",IF($Z109&lt;$BK$6,"×前日に急落",IF($BD109&lt;$BK$7,"×高値から離れすぎ",IF($BE109&gt;$BK$8,"×当日の値幅が大きい","×")))))))))</f>
      </c>
    </row>
    <row r="110" spans="1:60"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IF(AND(E110&lt;&gt;"",K110&lt;&gt;"",K110&lt;&gt;0),(E110-K110)/K110*100,"")</f>
        <v>-19.477693144722526</v>
      </c>
      <c r="M110" s="166">
        <f>IF(C110&lt;&gt;"",IFERROR(AVERAGE(出来高!E132:I132),""),"")</f>
        <v>1086600</v>
      </c>
      <c r="N110" s="166">
        <f>IF(C110&lt;&gt;"",IFERROR(AVERAGE(出来高!E132:AC132),""),"")</f>
        <v>1480050</v>
      </c>
      <c r="O110" s="168">
        <f>IF(AND(J110&lt;&gt;"",M110&lt;&gt;"",M110&lt;&gt;0),J110/M110,"")</f>
        <v>0.82413031474323584</v>
      </c>
      <c r="P110" s="163" t="str">
        <f>IF(O110="","",IF(O110&gt;=2,"急増↑↑",IF(O110&gt;=1.5,"増加↑",IF(O110&gt;=1,"普通→","減少↓"))))</f>
        <v>減少↓</v>
      </c>
      <c r="Q110" s="163" t="str">
        <f>IF(E110="","",IF(AND(E110&gt;G110,O110&gt;=1.5),"買い▲",IF(E110&lt;G110,"様子見▼","中立→")))</f>
        <v>中立→</v>
      </c>
      <c r="R110" s="166">
        <f>IF(E110&lt;&gt;"",ROUND(E110*1.08,0),"")</f>
        <v>7992</v>
      </c>
      <c r="S110" s="166">
        <f>IF(E110&lt;&gt;"",ROUND(E110*0.96,0),"")</f>
        <v>7104</v>
      </c>
      <c r="T110" s="163">
        <f>IF(C110="","",IFERROR(IF(O110&gt;=2,3,IF(O110&gt;=1.5,2,IF(O110&gt;=1,1,0)))+IF(E110&gt;G110,1,0)+IF(L110&gt;=-5,1,0)+IF(Q110="買い▲",2,0)+IF(W110&lt;=30,3,IF(W110&lt;=40,2,IF(AND(W110&gt;=40,W110&lt;=60),1,0)))+IF(X110&gt;0,1,0)+IF(V110="年初来高値更新●",3,IF(V110="高値圏",2,0))+IF(AD110="パーフェクト▲",3,IF(AD110="上昇トレンド▲",2,0))+IF(AE110="25日線押し目●",2,IF(AE110="5日線押し目○",1,0))+IF(P110="急増↑↑",2,IF(P110="増加↑",1,0))+N(AI110),0))</f>
        <v>4</v>
      </c>
      <c r="U110" s="163" t="str">
        <f>IF(T110="","",IF(AND(T110&gt;=3,O110&gt;=1.5),"有効",IF(T110&gt;=3,"要確認","除外")))</f>
        <v>要確認</v>
      </c>
      <c r="V110" s="163" t="str">
        <f>IF(AND(H110&lt;&gt;"",K110&lt;&gt;""),IF(H110&gt;=K110,"年初来高値更新●",IF(H110&gt;=K110*0.95,"高値圏","通常")),"")</f>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IF(AND(E110&lt;&gt;"",G110&lt;&gt;"",G110&lt;&gt;0),(E110-G110)/G110*100,"")</f>
        <v>0.27100271002710025</v>
      </c>
      <c r="AA110" s="163" t="str">
        <f>IF(OR(C110="",E110="",E110=0),"",IF(E110&gt;G110,"上昇▲",IF(E110&lt;G110,"下落▼","横ばい→")))</f>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IF(OR(C110="",AB110="",AC110=""),"",IF(AND(E110&gt;AB110,AB110&gt;AC110),"パーフェクト▲",IF(E110&gt;AC110,"上昇トレンド▲",IF(AND(E110&lt;AB110,AB110&lt;AC110),"下降トレンド▼","もみ合い→"))))</f>
        <v>パーフェクト▲</v>
      </c>
      <c r="AE110" s="404" t="str">
        <f>IF(OR(C110="",AB110="",AC110=""),"",IF(AND(ABS(E110-AC110)/AC110&lt;=0.02,E110&gt;AC110),"25日押し目★",IF(AND(ABS(E110-AB110)/AB110&lt;=0.01,E110&gt;AB110),"5日押し目○","なし")))</f>
        <v>なし</v>
      </c>
      <c r="AF110" s="365">
        <f t="array" ref="AF110">IF(C110="","",IFERROR((INDEX(終値!$E:$E,MATCH(TEXT(C110,"0"),終値!$A:$A,0))-INDEX(終値!$E:$CZ,MATCH(TEXT(C110,"0"),終値!$A:$A,0),$AL$2))/INDEX(終値!$E:$CZ,MATCH(TEXT(C110,"0"),終値!$A:$A,0),$AL$2)*100,""))</f>
        <v>-0.67114093959731547</v>
      </c>
      <c r="AG110" s="365">
        <f t="array" ref="AG110">IFERROR((終値!$E$5-INDEX(終値!$E$5:$IT$5,1,$AL$2))/INDEX(終値!$E$5:$IT$5,1,$AL$2)*100,"")</f>
        <v>1.0179378228534113</v>
      </c>
      <c r="AH110" s="366">
        <f>IF(OR(AF110="",AG110=""),"",AF110-AG110)</f>
        <v>-1.6890787624507269</v>
      </c>
      <c r="AI110" s="364">
        <f>IF(AH110="","",IF(AH110&gt;5,3,IF(AH110&gt;0,1,IF(AH110&gt;-3,-1,-2))))</f>
        <v>-1</v>
      </c>
      <c r="BA110">
        <f>IFERROR((SUM(OFFSET(高値!$E$6,IFERROR(MATCH($C110,銘柄管理!$B$6:$B$305,0),MATCH(TEXT($C110,"0"),銘柄管理!$B$6:$B$305,0))-1,0,1,14))-SUM(OFFSET(安値!$E$6,IFERROR(MATCH($C110,銘柄管理!$B$6:$B$305,0),MATCH(TEXT($C110,"0"),銘柄管理!$B$6:$B$305,0))-1,0,1,14)))/SUM(OFFSET(終値!$E$6,IFERROR(MATCH($C110,銘柄管理!$B$6:$B$305,0),MATCH(TEXT($C110,"0"),銘柄管理!$B$6:$B$305,0))-1,0,1,14))*100,"")</f>
      </c>
      <c r="BB110">
        <f>IFERROR((MAX(OFFSET(高値!$E$6,IFERROR(MATCH($C110,銘柄管理!$B$6:$B$305,0),MATCH(TEXT($C110,"0"),銘柄管理!$B$6:$B$305,0))-1,0,1,25))-MIN(OFFSET(安値!$E$6,IFERROR(MATCH($C110,銘柄管理!$B$6:$B$305,0),MATCH(TEXT($C110,"0"),銘柄管理!$B$6:$B$305,0))-1,0,1,25)))/$E110*100,"")</f>
      </c>
      <c r="BC110">
        <f>IFERROR(($F110-$G110)/$G110*100,"")</f>
      </c>
      <c r="BD110">
        <f>IFERROR(($E110-MAX(OFFSET(高値!$E$6,IFERROR(MATCH($C110,銘柄管理!$B$6:$B$305,0),MATCH(TEXT($C110,"0"),銘柄管理!$B$6:$B$305,0))-1,0,1,25)))/MAX(OFFSET(高値!$E$6,IFERROR(MATCH($C110,銘柄管理!$B$6:$B$305,0),MATCH(TEXT($C110,"0"),銘柄管理!$B$6:$B$305,0))-1,0,1,25))*100,"")</f>
      </c>
      <c r="BE110">
        <f>IFERROR(($H110-$I110)/$F110*100,"")</f>
      </c>
      <c r="BF110">
        <f>IFERROR(-(($BA110-AVERAGE($BA$3:$BA$206))/STDEV($BA$3:$BA$206))-(($BE110-AVERAGE($BE$3:$BE$206))/STDEV($BE$3:$BE$206))-(($BB110-AVERAGE($BB$3:$BB$206))/STDEV($BB$3:$BB$206))-(($Z110-AVERAGE($Z$3:$Z$206))/STDEV($Z$3:$Z$206))-(($BC110-AVERAGE($BC$3:$BC$206))/STDEV($BC$3:$BC$206)),"")</f>
      </c>
      <c r="BG110">
        <f>IF(OR($C110="",$C110="TOPX",$BA110="",$BF110=""),0,IF(AND($BK$10=1,$BA110&lt;=$BK$2,$BB110&lt;=$BK$3,$BC110&lt;=$BK$4,$Z110&lt;=$BK$5,$Z110&gt;=$BK$6,$BD110&gt;=$BK$7,$BE110&lt;=$BK$8),1,0))</f>
      </c>
      <c r="BH110">
        <f>IF($C110="","",IF($BG110=1,"○ゲート通過",IF($BK$10&lt;&gt;1,"― この方向は停止中",IF($BA110&gt;$BK$2,"×値動きが荒い",IF($BB110&gt;$BK$3,"×レンジが広い",IF($BC110&gt;$BK$4,"×窓を開けて上昇",IF($Z110&gt;$BK$5,"×前日に急騰",IF($Z110&lt;$BK$6,"×前日に急落",IF($BD110&lt;$BK$7,"×高値から離れすぎ",IF($BE110&gt;$BK$8,"×当日の値幅が大きい","×")))))))))</f>
      </c>
    </row>
    <row r="111" spans="1:60"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IF(AND(E111&lt;&gt;"",K111&lt;&gt;"",K111&lt;&gt;0),(E111-K111)/K111*100,"")</f>
        <v>-28.128078817733993</v>
      </c>
      <c r="M111" s="166">
        <f>IF(C111&lt;&gt;"",IFERROR(AVERAGE(出来高!E57:I57),""),"")</f>
        <v>273240</v>
      </c>
      <c r="N111" s="166">
        <f>IF(C111&lt;&gt;"",IFERROR(AVERAGE(出来高!E57:AC57),""),"")</f>
        <v>338720</v>
      </c>
      <c r="O111" s="168">
        <f>IF(AND(J111&lt;&gt;"",M111&lt;&gt;"",M111&lt;&gt;0),J111/M111,"")</f>
        <v>1.5532132923437272</v>
      </c>
      <c r="P111" s="163" t="str">
        <f>IF(O111="","",IF(O111&gt;=2,"急増↑↑",IF(O111&gt;=1.5,"増加↑",IF(O111&gt;=1,"普通→","減少↓"))))</f>
        <v>増加↑</v>
      </c>
      <c r="Q111" s="163" t="str">
        <f>IF(E111="","",IF(AND(E111&gt;G111,O111&gt;=1.5),"買い▲",IF(E111&lt;G111,"様子見▼","中立→")))</f>
        <v>様子見▼</v>
      </c>
      <c r="R111" s="166">
        <f>IF(E111&lt;&gt;"",ROUND(E111*1.08,0),"")</f>
        <v>1576</v>
      </c>
      <c r="S111" s="166">
        <f>IF(E111&lt;&gt;"",ROUND(E111*0.96,0),"")</f>
        <v>1401</v>
      </c>
      <c r="T111" s="163">
        <f>IF(C111="","",IFERROR(IF(O111&gt;=2,3,IF(O111&gt;=1.5,2,IF(O111&gt;=1,1,0)))+IF(E111&gt;G111,1,0)+IF(L111&gt;=-5,1,0)+IF(Q111="買い▲",2,0)+IF(W111&lt;=30,3,IF(W111&lt;=40,2,IF(AND(W111&gt;=40,W111&lt;=60),1,0)))+IF(X111&gt;0,1,0)+IF(V111="年初来高値更新●",3,IF(V111="高値圏",2,0))+IF(AD111="パーフェクト▲",3,IF(AD111="上昇トレンド▲",2,0))+IF(AE111="25日線押し目●",2,IF(AE111="5日線押し目○",1,0))+IF(P111="急増↑↑",2,IF(P111="増加↑",1,0))+N(AI111),0))</f>
        <v>3</v>
      </c>
      <c r="U111" s="163" t="str">
        <f>IF(T111="","",IF(AND(T111&gt;=3,O111&gt;=1.5),"有効",IF(T111&gt;=3,"要確認","除外")))</f>
        <v>有効</v>
      </c>
      <c r="V111" s="163" t="str">
        <f>IF(AND(H111&lt;&gt;"",K111&lt;&gt;""),IF(H111&gt;=K111,"年初来高値更新●",IF(H111&gt;=K111*0.95,"高値圏","通常")),"")</f>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IF(AND(E111&lt;&gt;"",G111&lt;&gt;"",G111&lt;&gt;0),(E111-G111)/G111*100,"")</f>
        <v>-1.0847457627118644</v>
      </c>
      <c r="AA111" s="163" t="str">
        <f>IF(OR(C111="",E111="",E111=0),"",IF(E111&gt;G111,"上昇▲",IF(E111&lt;G111,"下落▼","横ばい→")))</f>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IF(OR(C111="",AB111="",AC111=""),"",IF(AND(E111&gt;AB111,AB111&gt;AC111),"パーフェクト▲",IF(E111&gt;AC111,"上昇トレンド▲",IF(AND(E111&lt;AB111,AB111&lt;AC111),"下降トレンド▼","もみ合い→"))))</f>
        <v>もみ合い→</v>
      </c>
      <c r="AE111" s="406" t="str">
        <f>IF(OR(C111="",AB111="",AC111=""),"",IF(AND(ABS(E111-AC111)/AC111&lt;=0.02,E111&gt;AC111),"25日押し目★",IF(AND(ABS(E111-AB111)/AB111&lt;=0.01,E111&gt;AB111),"5日押し目○","なし")))</f>
        <v>なし</v>
      </c>
      <c r="AF111" s="365">
        <f t="array" ref="AF111">IF(C111="","",IFERROR((INDEX(終値!$E:$E,MATCH(TEXT(C111,"0"),終値!$A:$A,0))-INDEX(終値!$E:$CZ,MATCH(TEXT(C111,"0"),終値!$A:$A,0),$AL$2))/INDEX(終値!$E:$CZ,MATCH(TEXT(C111,"0"),終値!$A:$A,0),$AL$2)*100,""))</f>
        <v>-3.56906807666887</v>
      </c>
      <c r="AG111" s="365">
        <f t="array" ref="AG111">IFERROR((終値!$E$5-INDEX(終値!$E$5:$IT$5,1,$AL$2))/INDEX(終値!$E$5:$IT$5,1,$AL$2)*100,"")</f>
        <v>1.0179378228534113</v>
      </c>
      <c r="AH111" s="366">
        <f>IF(OR(AF111="",AG111=""),"",AF111-AG111)</f>
        <v>-4.5870058995222811</v>
      </c>
      <c r="AI111" s="364">
        <f>IF(AH111="","",IF(AH111&gt;5,3,IF(AH111&gt;0,1,IF(AH111&gt;-3,-1,-2))))</f>
        <v>-2</v>
      </c>
      <c r="BA111">
        <f>IFERROR((SUM(OFFSET(高値!$E$6,IFERROR(MATCH($C111,銘柄管理!$B$6:$B$305,0),MATCH(TEXT($C111,"0"),銘柄管理!$B$6:$B$305,0))-1,0,1,14))-SUM(OFFSET(安値!$E$6,IFERROR(MATCH($C111,銘柄管理!$B$6:$B$305,0),MATCH(TEXT($C111,"0"),銘柄管理!$B$6:$B$305,0))-1,0,1,14)))/SUM(OFFSET(終値!$E$6,IFERROR(MATCH($C111,銘柄管理!$B$6:$B$305,0),MATCH(TEXT($C111,"0"),銘柄管理!$B$6:$B$305,0))-1,0,1,14))*100,"")</f>
      </c>
      <c r="BB111">
        <f>IFERROR((MAX(OFFSET(高値!$E$6,IFERROR(MATCH($C111,銘柄管理!$B$6:$B$305,0),MATCH(TEXT($C111,"0"),銘柄管理!$B$6:$B$305,0))-1,0,1,25))-MIN(OFFSET(安値!$E$6,IFERROR(MATCH($C111,銘柄管理!$B$6:$B$305,0),MATCH(TEXT($C111,"0"),銘柄管理!$B$6:$B$305,0))-1,0,1,25)))/$E111*100,"")</f>
      </c>
      <c r="BC111">
        <f>IFERROR(($F111-$G111)/$G111*100,"")</f>
      </c>
      <c r="BD111">
        <f>IFERROR(($E111-MAX(OFFSET(高値!$E$6,IFERROR(MATCH($C111,銘柄管理!$B$6:$B$305,0),MATCH(TEXT($C111,"0"),銘柄管理!$B$6:$B$305,0))-1,0,1,25)))/MAX(OFFSET(高値!$E$6,IFERROR(MATCH($C111,銘柄管理!$B$6:$B$305,0),MATCH(TEXT($C111,"0"),銘柄管理!$B$6:$B$305,0))-1,0,1,25))*100,"")</f>
      </c>
      <c r="BE111">
        <f>IFERROR(($H111-$I111)/$F111*100,"")</f>
      </c>
      <c r="BF111">
        <f>IFERROR(-(($BA111-AVERAGE($BA$3:$BA$206))/STDEV($BA$3:$BA$206))-(($BE111-AVERAGE($BE$3:$BE$206))/STDEV($BE$3:$BE$206))-(($BB111-AVERAGE($BB$3:$BB$206))/STDEV($BB$3:$BB$206))-(($Z111-AVERAGE($Z$3:$Z$206))/STDEV($Z$3:$Z$206))-(($BC111-AVERAGE($BC$3:$BC$206))/STDEV($BC$3:$BC$206)),"")</f>
      </c>
      <c r="BG111">
        <f>IF(OR($C111="",$C111="TOPX",$BA111="",$BF111=""),0,IF(AND($BK$10=1,$BA111&lt;=$BK$2,$BB111&lt;=$BK$3,$BC111&lt;=$BK$4,$Z111&lt;=$BK$5,$Z111&gt;=$BK$6,$BD111&gt;=$BK$7,$BE111&lt;=$BK$8),1,0))</f>
      </c>
      <c r="BH111">
        <f>IF($C111="","",IF($BG111=1,"○ゲート通過",IF($BK$10&lt;&gt;1,"― この方向は停止中",IF($BA111&gt;$BK$2,"×値動きが荒い",IF($BB111&gt;$BK$3,"×レンジが広い",IF($BC111&gt;$BK$4,"×窓を開けて上昇",IF($Z111&gt;$BK$5,"×前日に急騰",IF($Z111&lt;$BK$6,"×前日に急落",IF($BD111&lt;$BK$7,"×高値から離れすぎ",IF($BE111&gt;$BK$8,"×当日の値幅が大きい","×")))))))))</f>
      </c>
    </row>
    <row r="112" spans="1:60"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IF(AND(E112&lt;&gt;"",K112&lt;&gt;"",K112&lt;&gt;0),(E112-K112)/K112*100,"")</f>
        <v>-5.6900964756841903</v>
      </c>
      <c r="M112" s="166">
        <f>IF(C112&lt;&gt;"",IFERROR(AVERAGE(出来高!E104:I104),""),"")</f>
        <v>5159220</v>
      </c>
      <c r="N112" s="166">
        <f>IF(C112&lt;&gt;"",IFERROR(AVERAGE(出来高!E104:AC104),""),"")</f>
        <v>5511388</v>
      </c>
      <c r="O112" s="168">
        <f>IF(AND(J112&lt;&gt;"",M112&lt;&gt;"",M112&lt;&gt;0),J112/M112,"")</f>
        <v>0.76015366663953077</v>
      </c>
      <c r="P112" s="163" t="str">
        <f>IF(O112="","",IF(O112&gt;=2,"急増↑↑",IF(O112&gt;=1.5,"増加↑",IF(O112&gt;=1,"普通→","減少↓"))))</f>
        <v>減少↓</v>
      </c>
      <c r="Q112" s="163" t="str">
        <f>IF(E112="","",IF(AND(E112&gt;G112,O112&gt;=1.5),"買い▲",IF(E112&lt;G112,"様子見▼","中立→")))</f>
        <v>中立→</v>
      </c>
      <c r="R112" s="166">
        <f>IF(E112&lt;&gt;"",ROUND(E112*1.08,0),"")</f>
        <v>2587</v>
      </c>
      <c r="S112" s="166">
        <f>IF(E112&lt;&gt;"",ROUND(E112*0.96,0),"")</f>
        <v>2299</v>
      </c>
      <c r="T112" s="163">
        <f>IF(C112="","",IFERROR(IF(O112&gt;=2,3,IF(O112&gt;=1.5,2,IF(O112&gt;=1,1,0)))+IF(E112&gt;G112,1,0)+IF(L112&gt;=-5,1,0)+IF(Q112="買い▲",2,0)+IF(W112&lt;=30,3,IF(W112&lt;=40,2,IF(AND(W112&gt;=40,W112&lt;=60),1,0)))+IF(X112&gt;0,1,0)+IF(V112="年初来高値更新●",3,IF(V112="高値圏",2,0))+IF(AD112="パーフェクト▲",3,IF(AD112="上昇トレンド▲",2,0))+IF(AE112="25日線押し目●",2,IF(AE112="5日線押し目○",1,0))+IF(P112="急増↑↑",2,IF(P112="増加↑",1,0))+N(AI112),0))</f>
        <v>9</v>
      </c>
      <c r="U112" s="163" t="str">
        <f>IF(T112="","",IF(AND(T112&gt;=3,O112&gt;=1.5),"有効",IF(T112&gt;=3,"要確認","除外")))</f>
        <v>要確認</v>
      </c>
      <c r="V112" s="163" t="str">
        <f>IF(AND(H112&lt;&gt;"",K112&lt;&gt;""),IF(H112&gt;=K112,"年初来高値更新●",IF(H112&gt;=K112*0.95,"高値圏","通常")),"")</f>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IF(AND(E112&lt;&gt;"",G112&lt;&gt;"",G112&lt;&gt;0),(E112-G112)/G112*100,"")</f>
        <v>1.6122189223589309</v>
      </c>
      <c r="AA112" s="163" t="str">
        <f>IF(OR(C112="",E112="",E112=0),"",IF(E112&gt;G112,"上昇▲",IF(E112&lt;G112,"下落▼","横ばい→")))</f>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IF(OR(C112="",AB112="",AC112=""),"",IF(AND(E112&gt;AB112,AB112&gt;AC112),"パーフェクト▲",IF(E112&gt;AC112,"上昇トレンド▲",IF(AND(E112&lt;AB112,AB112&lt;AC112),"下降トレンド▼","もみ合い→"))))</f>
        <v>パーフェクト▲</v>
      </c>
      <c r="AE112" s="404" t="str">
        <f>IF(OR(C112="",AB112="",AC112=""),"",IF(AND(ABS(E112-AC112)/AC112&lt;=0.02,E112&gt;AC112),"25日押し目★",IF(AND(ABS(E112-AB112)/AB112&lt;=0.01,E112&gt;AB112),"5日押し目○","なし")))</f>
        <v>なし</v>
      </c>
      <c r="AF112" s="365">
        <f t="array" ref="AF112">IF(C112="","",IFERROR((INDEX(終値!$E:$E,MATCH(TEXT(C112,"0"),終値!$A:$A,0))-INDEX(終値!$E:$CZ,MATCH(TEXT(C112,"0"),終値!$A:$A,0),$AL$2))/INDEX(終値!$E:$CZ,MATCH(TEXT(C112,"0"),終値!$A:$A,0),$AL$2)*100,""))</f>
        <v>10.445008070094536</v>
      </c>
      <c r="AG112" s="365">
        <f t="array" ref="AG112">IFERROR((終値!$E$5-INDEX(終値!$E$5:$IT$5,1,$AL$2))/INDEX(終値!$E$5:$IT$5,1,$AL$2)*100,"")</f>
        <v>1.0179378228534113</v>
      </c>
      <c r="AH112" s="366">
        <f>IF(OR(AF112="",AG112=""),"",AF112-AG112)</f>
        <v>9.4270702472411241</v>
      </c>
      <c r="AI112" s="364">
        <f>IF(AH112="","",IF(AH112&gt;5,3,IF(AH112&gt;0,1,IF(AH112&gt;-3,-1,-2))))</f>
        <v>3</v>
      </c>
      <c r="BA112">
        <f>IFERROR((SUM(OFFSET(高値!$E$6,IFERROR(MATCH($C112,銘柄管理!$B$6:$B$305,0),MATCH(TEXT($C112,"0"),銘柄管理!$B$6:$B$305,0))-1,0,1,14))-SUM(OFFSET(安値!$E$6,IFERROR(MATCH($C112,銘柄管理!$B$6:$B$305,0),MATCH(TEXT($C112,"0"),銘柄管理!$B$6:$B$305,0))-1,0,1,14)))/SUM(OFFSET(終値!$E$6,IFERROR(MATCH($C112,銘柄管理!$B$6:$B$305,0),MATCH(TEXT($C112,"0"),銘柄管理!$B$6:$B$305,0))-1,0,1,14))*100,"")</f>
      </c>
      <c r="BB112">
        <f>IFERROR((MAX(OFFSET(高値!$E$6,IFERROR(MATCH($C112,銘柄管理!$B$6:$B$305,0),MATCH(TEXT($C112,"0"),銘柄管理!$B$6:$B$305,0))-1,0,1,25))-MIN(OFFSET(安値!$E$6,IFERROR(MATCH($C112,銘柄管理!$B$6:$B$305,0),MATCH(TEXT($C112,"0"),銘柄管理!$B$6:$B$305,0))-1,0,1,25)))/$E112*100,"")</f>
      </c>
      <c r="BC112">
        <f>IFERROR(($F112-$G112)/$G112*100,"")</f>
      </c>
      <c r="BD112">
        <f>IFERROR(($E112-MAX(OFFSET(高値!$E$6,IFERROR(MATCH($C112,銘柄管理!$B$6:$B$305,0),MATCH(TEXT($C112,"0"),銘柄管理!$B$6:$B$305,0))-1,0,1,25)))/MAX(OFFSET(高値!$E$6,IFERROR(MATCH($C112,銘柄管理!$B$6:$B$305,0),MATCH(TEXT($C112,"0"),銘柄管理!$B$6:$B$305,0))-1,0,1,25))*100,"")</f>
      </c>
      <c r="BE112">
        <f>IFERROR(($H112-$I112)/$F112*100,"")</f>
      </c>
      <c r="BF112">
        <f>IFERROR(-(($BA112-AVERAGE($BA$3:$BA$206))/STDEV($BA$3:$BA$206))-(($BE112-AVERAGE($BE$3:$BE$206))/STDEV($BE$3:$BE$206))-(($BB112-AVERAGE($BB$3:$BB$206))/STDEV($BB$3:$BB$206))-(($Z112-AVERAGE($Z$3:$Z$206))/STDEV($Z$3:$Z$206))-(($BC112-AVERAGE($BC$3:$BC$206))/STDEV($BC$3:$BC$206)),"")</f>
      </c>
      <c r="BG112">
        <f>IF(OR($C112="",$C112="TOPX",$BA112="",$BF112=""),0,IF(AND($BK$10=1,$BA112&lt;=$BK$2,$BB112&lt;=$BK$3,$BC112&lt;=$BK$4,$Z112&lt;=$BK$5,$Z112&gt;=$BK$6,$BD112&gt;=$BK$7,$BE112&lt;=$BK$8),1,0))</f>
      </c>
      <c r="BH112">
        <f>IF($C112="","",IF($BG112=1,"○ゲート通過",IF($BK$10&lt;&gt;1,"― この方向は停止中",IF($BA112&gt;$BK$2,"×値動きが荒い",IF($BB112&gt;$BK$3,"×レンジが広い",IF($BC112&gt;$BK$4,"×窓を開けて上昇",IF($Z112&gt;$BK$5,"×前日に急騰",IF($Z112&lt;$BK$6,"×前日に急落",IF($BD112&lt;$BK$7,"×高値から離れすぎ",IF($BE112&gt;$BK$8,"×当日の値幅が大きい","×")))))))))</f>
      </c>
    </row>
    <row r="113" spans="1:60"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IF(AND(E113&lt;&gt;"",K113&lt;&gt;"",K113&lt;&gt;0),(E113-K113)/K113*100,"")</f>
        <v>-32.82068062827225</v>
      </c>
      <c r="M113" s="166">
        <f>IF(C113&lt;&gt;"",IFERROR(AVERAGE(出来高!E197:I197),""),"")</f>
        <v>2315160</v>
      </c>
      <c r="N113" s="166">
        <f>IF(C113&lt;&gt;"",IFERROR(AVERAGE(出来高!E197:AC197),""),"")</f>
        <v>1957596</v>
      </c>
      <c r="O113" s="168">
        <f>IF(AND(J113&lt;&gt;"",M113&lt;&gt;"",M113&lt;&gt;0),J113/M113,"")</f>
        <v>0.67779332745900933</v>
      </c>
      <c r="P113" s="163" t="str">
        <f>IF(O113="","",IF(O113&gt;=2,"急増↑↑",IF(O113&gt;=1.5,"増加↑",IF(O113&gt;=1,"普通→","減少↓"))))</f>
        <v>減少↓</v>
      </c>
      <c r="Q113" s="163" t="str">
        <f>IF(E113="","",IF(AND(E113&gt;G113,O113&gt;=1.5),"買い▲",IF(E113&lt;G113,"様子見▼","中立→")))</f>
        <v>様子見▼</v>
      </c>
      <c r="R113" s="166">
        <f>IF(E113&lt;&gt;"",ROUND(E113*1.08,0),"")</f>
        <v>66517</v>
      </c>
      <c r="S113" s="166">
        <f>IF(E113&lt;&gt;"",ROUND(E113*0.96,0),"")</f>
        <v>59126</v>
      </c>
      <c r="T113" s="163">
        <f>IF(C113="","",IFERROR(IF(O113&gt;=2,3,IF(O113&gt;=1.5,2,IF(O113&gt;=1,1,0)))+IF(E113&gt;G113,1,0)+IF(L113&gt;=-5,1,0)+IF(Q113="買い▲",2,0)+IF(W113&lt;=30,3,IF(W113&lt;=40,2,IF(AND(W113&gt;=40,W113&lt;=60),1,0)))+IF(X113&gt;0,1,0)+IF(V113="年初来高値更新●",3,IF(V113="高値圏",2,0))+IF(AD113="パーフェクト▲",3,IF(AD113="上昇トレンド▲",2,0))+IF(AE113="25日線押し目●",2,IF(AE113="5日線押し目○",1,0))+IF(P113="急増↑↑",2,IF(P113="増加↑",1,0))+N(AI113),0))</f>
        <v>2</v>
      </c>
      <c r="U113" s="163" t="str">
        <f>IF(T113="","",IF(AND(T113&gt;=3,O113&gt;=1.5),"有効",IF(T113&gt;=3,"要確認","除外")))</f>
        <v>除外</v>
      </c>
      <c r="V113" s="163" t="str">
        <f>IF(AND(H113&lt;&gt;"",K113&lt;&gt;""),IF(H113&gt;=K113,"年初来高値更新●",IF(H113&gt;=K113*0.95,"高値圏","通常")),"")</f>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IF(AND(E113&lt;&gt;"",G113&lt;&gt;"",G113&lt;&gt;0),(E113-G113)/G113*100,"")</f>
        <v>-3.3730781299027299</v>
      </c>
      <c r="AA113" s="163" t="str">
        <f>IF(OR(C113="",E113="",E113=0),"",IF(E113&gt;G113,"上昇▲",IF(E113&lt;G113,"下落▼","横ばい→")))</f>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IF(OR(C113="",AB113="",AC113=""),"",IF(AND(E113&gt;AB113,AB113&gt;AC113),"パーフェクト▲",IF(E113&gt;AC113,"上昇トレンド▲",IF(AND(E113&lt;AB113,AB113&lt;AC113),"下降トレンド▼","もみ合い→"))))</f>
        <v>上昇トレンド▲</v>
      </c>
      <c r="AE113" s="406" t="str">
        <f>IF(OR(C113="",AB113="",AC113=""),"",IF(AND(ABS(E113-AC113)/AC113&lt;=0.02,E113&gt;AC113),"25日押し目★",IF(AND(ABS(E113-AB113)/AB113&lt;=0.01,E113&gt;AB113),"5日押し目○","なし")))</f>
        <v>なし</v>
      </c>
      <c r="AF113" s="365">
        <f t="array" ref="AF113">IF(C113="","",IFERROR((INDEX(終値!$E:$E,MATCH(TEXT(C113,"0"),終値!$A:$A,0))-INDEX(終値!$E:$CZ,MATCH(TEXT(C113,"0"),終値!$A:$A,0),$AL$2))/INDEX(終値!$E:$CZ,MATCH(TEXT(C113,"0"),終値!$A:$A,0),$AL$2)*100,""))</f>
        <v>-27.129673450070989</v>
      </c>
      <c r="AG113" s="365">
        <f t="array" ref="AG113">IFERROR((終値!$E$5-INDEX(終値!$E$5:$IT$5,1,$AL$2))/INDEX(終値!$E$5:$IT$5,1,$AL$2)*100,"")</f>
        <v>1.0179378228534113</v>
      </c>
      <c r="AH113" s="366">
        <f>IF(OR(AF113="",AG113=""),"",AF113-AG113)</f>
        <v>-28.147611272924401</v>
      </c>
      <c r="AI113" s="364">
        <f>IF(AH113="","",IF(AH113&gt;5,3,IF(AH113&gt;0,1,IF(AH113&gt;-3,-1,-2))))</f>
        <v>-2</v>
      </c>
      <c r="BA113">
        <f>IFERROR((SUM(OFFSET(高値!$E$6,IFERROR(MATCH($C113,銘柄管理!$B$6:$B$305,0),MATCH(TEXT($C113,"0"),銘柄管理!$B$6:$B$305,0))-1,0,1,14))-SUM(OFFSET(安値!$E$6,IFERROR(MATCH($C113,銘柄管理!$B$6:$B$305,0),MATCH(TEXT($C113,"0"),銘柄管理!$B$6:$B$305,0))-1,0,1,14)))/SUM(OFFSET(終値!$E$6,IFERROR(MATCH($C113,銘柄管理!$B$6:$B$305,0),MATCH(TEXT($C113,"0"),銘柄管理!$B$6:$B$305,0))-1,0,1,14))*100,"")</f>
      </c>
      <c r="BB113">
        <f>IFERROR((MAX(OFFSET(高値!$E$6,IFERROR(MATCH($C113,銘柄管理!$B$6:$B$305,0),MATCH(TEXT($C113,"0"),銘柄管理!$B$6:$B$305,0))-1,0,1,25))-MIN(OFFSET(安値!$E$6,IFERROR(MATCH($C113,銘柄管理!$B$6:$B$305,0),MATCH(TEXT($C113,"0"),銘柄管理!$B$6:$B$305,0))-1,0,1,25)))/$E113*100,"")</f>
      </c>
      <c r="BC113">
        <f>IFERROR(($F113-$G113)/$G113*100,"")</f>
      </c>
      <c r="BD113">
        <f>IFERROR(($E113-MAX(OFFSET(高値!$E$6,IFERROR(MATCH($C113,銘柄管理!$B$6:$B$305,0),MATCH(TEXT($C113,"0"),銘柄管理!$B$6:$B$305,0))-1,0,1,25)))/MAX(OFFSET(高値!$E$6,IFERROR(MATCH($C113,銘柄管理!$B$6:$B$305,0),MATCH(TEXT($C113,"0"),銘柄管理!$B$6:$B$305,0))-1,0,1,25))*100,"")</f>
      </c>
      <c r="BE113">
        <f>IFERROR(($H113-$I113)/$F113*100,"")</f>
      </c>
      <c r="BF113">
        <f>IFERROR(-(($BA113-AVERAGE($BA$3:$BA$206))/STDEV($BA$3:$BA$206))-(($BE113-AVERAGE($BE$3:$BE$206))/STDEV($BE$3:$BE$206))-(($BB113-AVERAGE($BB$3:$BB$206))/STDEV($BB$3:$BB$206))-(($Z113-AVERAGE($Z$3:$Z$206))/STDEV($Z$3:$Z$206))-(($BC113-AVERAGE($BC$3:$BC$206))/STDEV($BC$3:$BC$206)),"")</f>
      </c>
      <c r="BG113">
        <f>IF(OR($C113="",$C113="TOPX",$BA113="",$BF113=""),0,IF(AND($BK$10=1,$BA113&lt;=$BK$2,$BB113&lt;=$BK$3,$BC113&lt;=$BK$4,$Z113&lt;=$BK$5,$Z113&gt;=$BK$6,$BD113&gt;=$BK$7,$BE113&lt;=$BK$8),1,0))</f>
      </c>
      <c r="BH113">
        <f>IF($C113="","",IF($BG113=1,"○ゲート通過",IF($BK$10&lt;&gt;1,"― この方向は停止中",IF($BA113&gt;$BK$2,"×値動きが荒い",IF($BB113&gt;$BK$3,"×レンジが広い",IF($BC113&gt;$BK$4,"×窓を開けて上昇",IF($Z113&gt;$BK$5,"×前日に急騰",IF($Z113&lt;$BK$6,"×前日に急落",IF($BD113&lt;$BK$7,"×高値から離れすぎ",IF($BE113&gt;$BK$8,"×当日の値幅が大きい","×")))))))))</f>
      </c>
    </row>
    <row r="114" spans="1:60"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IF(AND(E114&lt;&gt;"",K114&lt;&gt;"",K114&lt;&gt;0),(E114-K114)/K114*100,"")</f>
        <v>-9.236274180923628</v>
      </c>
      <c r="M114" s="166">
        <f>IF(C114&lt;&gt;"",IFERROR(AVERAGE(出来高!E92:I92),""),"")</f>
        <v>1997180</v>
      </c>
      <c r="N114" s="166">
        <f>IF(C114&lt;&gt;"",IFERROR(AVERAGE(出来高!E92:AC92),""),"")</f>
        <v>1060564</v>
      </c>
      <c r="O114" s="168">
        <f>IF(AND(J114&lt;&gt;"",M114&lt;&gt;"",M114&lt;&gt;0),J114/M114,"")</f>
        <v>0.79747443895893211</v>
      </c>
      <c r="P114" s="163" t="str">
        <f>IF(O114="","",IF(O114&gt;=2,"急増↑↑",IF(O114&gt;=1.5,"増加↑",IF(O114&gt;=1,"普通→","減少↓"))))</f>
        <v>減少↓</v>
      </c>
      <c r="Q114" s="163" t="str">
        <f>IF(E114="","",IF(AND(E114&gt;G114,O114&gt;=1.5),"買い▲",IF(E114&lt;G114,"様子見▼","中立→")))</f>
        <v>様子見▼</v>
      </c>
      <c r="R114" s="166">
        <f>IF(E114&lt;&gt;"",ROUND(E114*1.08,0),"")</f>
        <v>8766</v>
      </c>
      <c r="S114" s="166">
        <f>IF(E114&lt;&gt;"",ROUND(E114*0.96,0),"")</f>
        <v>7792</v>
      </c>
      <c r="T114" s="163">
        <f>IF(C114="","",IFERROR(IF(O114&gt;=2,3,IF(O114&gt;=1.5,2,IF(O114&gt;=1,1,0)))+IF(E114&gt;G114,1,0)+IF(L114&gt;=-5,1,0)+IF(Q114="買い▲",2,0)+IF(W114&lt;=30,3,IF(W114&lt;=40,2,IF(AND(W114&gt;=40,W114&lt;=60),1,0)))+IF(X114&gt;0,1,0)+IF(V114="年初来高値更新●",3,IF(V114="高値圏",2,0))+IF(AD114="パーフェクト▲",3,IF(AD114="上昇トレンド▲",2,0))+IF(AE114="25日線押し目●",2,IF(AE114="5日線押し目○",1,0))+IF(P114="急増↑↑",2,IF(P114="増加↑",1,0))+N(AI114),0))</f>
        <v>1</v>
      </c>
      <c r="U114" s="163" t="str">
        <f>IF(T114="","",IF(AND(T114&gt;=3,O114&gt;=1.5),"有効",IF(T114&gt;=3,"要確認","除外")))</f>
        <v>除外</v>
      </c>
      <c r="V114" s="163" t="str">
        <f>IF(AND(H114&lt;&gt;"",K114&lt;&gt;""),IF(H114&gt;=K114,"年初来高値更新●",IF(H114&gt;=K114*0.95,"高値圏","通常")),"")</f>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IF(AND(E114&lt;&gt;"",G114&lt;&gt;"",G114&lt;&gt;0),(E114-G114)/G114*100,"")</f>
        <v>-4.3370654095462582</v>
      </c>
      <c r="AA114" s="163" t="str">
        <f>IF(OR(C114="",E114="",E114=0),"",IF(E114&gt;G114,"上昇▲",IF(E114&lt;G114,"下落▼","横ばい→")))</f>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IF(OR(C114="",AB114="",AC114=""),"",IF(AND(E114&gt;AB114,AB114&gt;AC114),"パーフェクト▲",IF(E114&gt;AC114,"上昇トレンド▲",IF(AND(E114&lt;AB114,AB114&lt;AC114),"下降トレンド▼","もみ合い→"))))</f>
        <v>上昇トレンド▲</v>
      </c>
      <c r="AE114" s="404" t="str">
        <f>IF(OR(C114="",AB114="",AC114=""),"",IF(AND(ABS(E114-AC114)/AC114&lt;=0.02,E114&gt;AC114),"25日押し目★",IF(AND(ABS(E114-AB114)/AB114&lt;=0.01,E114&gt;AB114),"5日押し目○","なし")))</f>
        <v>なし</v>
      </c>
      <c r="AF114" s="365">
        <f t="array" ref="AF114">IF(C114="","",IFERROR((INDEX(終値!$E:$E,MATCH(TEXT(C114,"0"),終値!$A:$A,0))-INDEX(終値!$E:$CZ,MATCH(TEXT(C114,"0"),終値!$A:$A,0),$AL$2))/INDEX(終値!$E:$CZ,MATCH(TEXT(C114,"0"),終値!$A:$A,0),$AL$2)*100,""))</f>
        <v>-9.1244961934617113</v>
      </c>
      <c r="AG114" s="365">
        <f t="array" ref="AG114">IFERROR((終値!$E$5-INDEX(終値!$E$5:$IT$5,1,$AL$2))/INDEX(終値!$E$5:$IT$5,1,$AL$2)*100,"")</f>
        <v>1.0179378228534113</v>
      </c>
      <c r="AH114" s="366">
        <f>IF(OR(AF114="",AG114=""),"",AF114-AG114)</f>
        <v>-10.142434016315123</v>
      </c>
      <c r="AI114" s="364">
        <f>IF(AH114="","",IF(AH114&gt;5,3,IF(AH114&gt;0,1,IF(AH114&gt;-3,-1,-2))))</f>
        <v>-2</v>
      </c>
      <c r="BA114">
        <f>IFERROR((SUM(OFFSET(高値!$E$6,IFERROR(MATCH($C114,銘柄管理!$B$6:$B$305,0),MATCH(TEXT($C114,"0"),銘柄管理!$B$6:$B$305,0))-1,0,1,14))-SUM(OFFSET(安値!$E$6,IFERROR(MATCH($C114,銘柄管理!$B$6:$B$305,0),MATCH(TEXT($C114,"0"),銘柄管理!$B$6:$B$305,0))-1,0,1,14)))/SUM(OFFSET(終値!$E$6,IFERROR(MATCH($C114,銘柄管理!$B$6:$B$305,0),MATCH(TEXT($C114,"0"),銘柄管理!$B$6:$B$305,0))-1,0,1,14))*100,"")</f>
      </c>
      <c r="BB114">
        <f>IFERROR((MAX(OFFSET(高値!$E$6,IFERROR(MATCH($C114,銘柄管理!$B$6:$B$305,0),MATCH(TEXT($C114,"0"),銘柄管理!$B$6:$B$305,0))-1,0,1,25))-MIN(OFFSET(安値!$E$6,IFERROR(MATCH($C114,銘柄管理!$B$6:$B$305,0),MATCH(TEXT($C114,"0"),銘柄管理!$B$6:$B$305,0))-1,0,1,25)))/$E114*100,"")</f>
      </c>
      <c r="BC114">
        <f>IFERROR(($F114-$G114)/$G114*100,"")</f>
      </c>
      <c r="BD114">
        <f>IFERROR(($E114-MAX(OFFSET(高値!$E$6,IFERROR(MATCH($C114,銘柄管理!$B$6:$B$305,0),MATCH(TEXT($C114,"0"),銘柄管理!$B$6:$B$305,0))-1,0,1,25)))/MAX(OFFSET(高値!$E$6,IFERROR(MATCH($C114,銘柄管理!$B$6:$B$305,0),MATCH(TEXT($C114,"0"),銘柄管理!$B$6:$B$305,0))-1,0,1,25))*100,"")</f>
      </c>
      <c r="BE114">
        <f>IFERROR(($H114-$I114)/$F114*100,"")</f>
      </c>
      <c r="BF114">
        <f>IFERROR(-(($BA114-AVERAGE($BA$3:$BA$206))/STDEV($BA$3:$BA$206))-(($BE114-AVERAGE($BE$3:$BE$206))/STDEV($BE$3:$BE$206))-(($BB114-AVERAGE($BB$3:$BB$206))/STDEV($BB$3:$BB$206))-(($Z114-AVERAGE($Z$3:$Z$206))/STDEV($Z$3:$Z$206))-(($BC114-AVERAGE($BC$3:$BC$206))/STDEV($BC$3:$BC$206)),"")</f>
      </c>
      <c r="BG114">
        <f>IF(OR($C114="",$C114="TOPX",$BA114="",$BF114=""),0,IF(AND($BK$10=1,$BA114&lt;=$BK$2,$BB114&lt;=$BK$3,$BC114&lt;=$BK$4,$Z114&lt;=$BK$5,$Z114&gt;=$BK$6,$BD114&gt;=$BK$7,$BE114&lt;=$BK$8),1,0))</f>
      </c>
      <c r="BH114">
        <f>IF($C114="","",IF($BG114=1,"○ゲート通過",IF($BK$10&lt;&gt;1,"― この方向は停止中",IF($BA114&gt;$BK$2,"×値動きが荒い",IF($BB114&gt;$BK$3,"×レンジが広い",IF($BC114&gt;$BK$4,"×窓を開けて上昇",IF($Z114&gt;$BK$5,"×前日に急騰",IF($Z114&lt;$BK$6,"×前日に急落",IF($BD114&lt;$BK$7,"×高値から離れすぎ",IF($BE114&gt;$BK$8,"×当日の値幅が大きい","×")))))))))</f>
      </c>
    </row>
    <row r="115" spans="1:60"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IF(AND(E115&lt;&gt;"",K115&lt;&gt;"",K115&lt;&gt;0),(E115-K115)/K115*100,"")</f>
        <v>-89.444444444444443</v>
      </c>
      <c r="M115" s="166">
        <f>IF(C115&lt;&gt;"",IFERROR(AVERAGE(出来高!E137:I137),""),"")</f>
        <v>3800860</v>
      </c>
      <c r="N115" s="166">
        <f>IF(C115&lt;&gt;"",IFERROR(AVERAGE(出来高!E137:AC137),""),"")</f>
        <v>3863145.8333333335</v>
      </c>
      <c r="O115" s="168">
        <f>IF(AND(J115&lt;&gt;"",M115&lt;&gt;"",M115&lt;&gt;0),J115/M115,"")</f>
        <v>0.35981330540982831</v>
      </c>
      <c r="P115" s="163" t="str">
        <f>IF(O115="","",IF(O115&gt;=2,"急増↑↑",IF(O115&gt;=1.5,"増加↑",IF(O115&gt;=1,"普通→","減少↓"))))</f>
        <v>減少↓</v>
      </c>
      <c r="Q115" s="163" t="str">
        <f>IF(E115="","",IF(AND(E115&gt;G115,O115&gt;=1.5),"買い▲",IF(E115&lt;G115,"様子見▼","中立→")))</f>
        <v>様子見▼</v>
      </c>
      <c r="R115" s="166">
        <f>IF(E115&lt;&gt;"",ROUND(E115*1.08,0),"")</f>
        <v>82</v>
      </c>
      <c r="S115" s="166">
        <f>IF(E115&lt;&gt;"",ROUND(E115*0.96,0),"")</f>
        <v>73</v>
      </c>
      <c r="T115" s="163">
        <f>IF(C115="","",IFERROR(IF(O115&gt;=2,3,IF(O115&gt;=1.5,2,IF(O115&gt;=1,1,0)))+IF(E115&gt;G115,1,0)+IF(L115&gt;=-5,1,0)+IF(Q115="買い▲",2,0)+IF(W115&lt;=30,3,IF(W115&lt;=40,2,IF(AND(W115&gt;=40,W115&lt;=60),1,0)))+IF(X115&gt;0,1,0)+IF(V115="年初来高値更新●",3,IF(V115="高値圏",2,0))+IF(AD115="パーフェクト▲",3,IF(AD115="上昇トレンド▲",2,0))+IF(AE115="25日線押し目●",2,IF(AE115="5日線押し目○",1,0))+IF(P115="急増↑↑",2,IF(P115="増加↑",1,0))+N(AI115),0))</f>
        <v>0</v>
      </c>
      <c r="U115" s="163" t="str">
        <f>IF(T115="","",IF(AND(T115&gt;=3,O115&gt;=1.5),"有効",IF(T115&gt;=3,"要確認","除外")))</f>
        <v>除外</v>
      </c>
      <c r="V115" s="163" t="str">
        <f>IF(AND(H115&lt;&gt;"",K115&lt;&gt;""),IF(H115&gt;=K115,"年初来高値更新●",IF(H115&gt;=K115*0.95,"高値圏","通常")),"")</f>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IF(AND(E115&lt;&gt;"",G115&lt;&gt;"",G115&lt;&gt;0),(E115-G115)/G115*100,"")</f>
        <v>-2.5641025641025639</v>
      </c>
      <c r="AA115" s="163" t="str">
        <f>IF(OR(C115="",E115="",E115=0),"",IF(E115&gt;G115,"上昇▲",IF(E115&lt;G115,"下落▼","横ばい→")))</f>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IF(OR(C115="",AB115="",AC115=""),"",IF(AND(E115&gt;AB115,AB115&gt;AC115),"パーフェクト▲",IF(E115&gt;AC115,"上昇トレンド▲",IF(AND(E115&lt;AB115,AB115&lt;AC115),"下降トレンド▼","もみ合い→"))))</f>
        <v>下降トレンド▼</v>
      </c>
      <c r="AE115" s="406" t="str">
        <f>IF(OR(C115="",AB115="",AC115=""),"",IF(AND(ABS(E115-AC115)/AC115&lt;=0.02,E115&gt;AC115),"25日押し目★",IF(AND(ABS(E115-AB115)/AB115&lt;=0.01,E115&gt;AB115),"5日押し目○","なし")))</f>
        <v>なし</v>
      </c>
      <c r="AF115" s="365">
        <f t="array" ref="AF115">IF(C115="","",IFERROR((INDEX(終値!$E:$E,MATCH(TEXT(C115,"0"),終値!$A:$A,0))-INDEX(終値!$E:$CZ,MATCH(TEXT(C115,"0"),終値!$A:$A,0),$AL$2))/INDEX(終値!$E:$CZ,MATCH(TEXT(C115,"0"),終値!$A:$A,0),$AL$2)*100,""))</f>
        <v>-69.721115537848604</v>
      </c>
      <c r="AG115" s="365">
        <f t="array" ref="AG115">IFERROR((終値!$E$5-INDEX(終値!$E$5:$IT$5,1,$AL$2))/INDEX(終値!$E$5:$IT$5,1,$AL$2)*100,"")</f>
        <v>1.0179378228534113</v>
      </c>
      <c r="AH115" s="366">
        <f>IF(OR(AF115="",AG115=""),"",AF115-AG115)</f>
        <v>-70.739053360702016</v>
      </c>
      <c r="AI115" s="364">
        <f>IF(AH115="","",IF(AH115&gt;5,3,IF(AH115&gt;0,1,IF(AH115&gt;-3,-1,-2))))</f>
        <v>-2</v>
      </c>
      <c r="BA115">
        <f>IFERROR((SUM(OFFSET(高値!$E$6,IFERROR(MATCH($C115,銘柄管理!$B$6:$B$305,0),MATCH(TEXT($C115,"0"),銘柄管理!$B$6:$B$305,0))-1,0,1,14))-SUM(OFFSET(安値!$E$6,IFERROR(MATCH($C115,銘柄管理!$B$6:$B$305,0),MATCH(TEXT($C115,"0"),銘柄管理!$B$6:$B$305,0))-1,0,1,14)))/SUM(OFFSET(終値!$E$6,IFERROR(MATCH($C115,銘柄管理!$B$6:$B$305,0),MATCH(TEXT($C115,"0"),銘柄管理!$B$6:$B$305,0))-1,0,1,14))*100,"")</f>
      </c>
      <c r="BB115">
        <f>IFERROR((MAX(OFFSET(高値!$E$6,IFERROR(MATCH($C115,銘柄管理!$B$6:$B$305,0),MATCH(TEXT($C115,"0"),銘柄管理!$B$6:$B$305,0))-1,0,1,25))-MIN(OFFSET(安値!$E$6,IFERROR(MATCH($C115,銘柄管理!$B$6:$B$305,0),MATCH(TEXT($C115,"0"),銘柄管理!$B$6:$B$305,0))-1,0,1,25)))/$E115*100,"")</f>
      </c>
      <c r="BC115">
        <f>IFERROR(($F115-$G115)/$G115*100,"")</f>
      </c>
      <c r="BD115">
        <f>IFERROR(($E115-MAX(OFFSET(高値!$E$6,IFERROR(MATCH($C115,銘柄管理!$B$6:$B$305,0),MATCH(TEXT($C115,"0"),銘柄管理!$B$6:$B$305,0))-1,0,1,25)))/MAX(OFFSET(高値!$E$6,IFERROR(MATCH($C115,銘柄管理!$B$6:$B$305,0),MATCH(TEXT($C115,"0"),銘柄管理!$B$6:$B$305,0))-1,0,1,25))*100,"")</f>
      </c>
      <c r="BE115">
        <f>IFERROR(($H115-$I115)/$F115*100,"")</f>
      </c>
      <c r="BF115">
        <f>IFERROR(-(($BA115-AVERAGE($BA$3:$BA$206))/STDEV($BA$3:$BA$206))-(($BE115-AVERAGE($BE$3:$BE$206))/STDEV($BE$3:$BE$206))-(($BB115-AVERAGE($BB$3:$BB$206))/STDEV($BB$3:$BB$206))-(($Z115-AVERAGE($Z$3:$Z$206))/STDEV($Z$3:$Z$206))-(($BC115-AVERAGE($BC$3:$BC$206))/STDEV($BC$3:$BC$206)),"")</f>
      </c>
      <c r="BG115">
        <f>IF(OR($C115="",$C115="TOPX",$BA115="",$BF115=""),0,IF(AND($BK$10=1,$BA115&lt;=$BK$2,$BB115&lt;=$BK$3,$BC115&lt;=$BK$4,$Z115&lt;=$BK$5,$Z115&gt;=$BK$6,$BD115&gt;=$BK$7,$BE115&lt;=$BK$8),1,0))</f>
      </c>
      <c r="BH115">
        <f>IF($C115="","",IF($BG115=1,"○ゲート通過",IF($BK$10&lt;&gt;1,"― この方向は停止中",IF($BA115&gt;$BK$2,"×値動きが荒い",IF($BB115&gt;$BK$3,"×レンジが広い",IF($BC115&gt;$BK$4,"×窓を開けて上昇",IF($Z115&gt;$BK$5,"×前日に急騰",IF($Z115&lt;$BK$6,"×前日に急落",IF($BD115&lt;$BK$7,"×高値から離れすぎ",IF($BE115&gt;$BK$8,"×当日の値幅が大きい","×")))))))))</f>
      </c>
    </row>
    <row r="116" spans="1:60"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IF(AND(E116&lt;&gt;"",K116&lt;&gt;"",K116&lt;&gt;0),(E116-K116)/K116*100,"")</f>
        <v>-32.435530085959883</v>
      </c>
      <c r="M116" s="166">
        <f>IF(C116&lt;&gt;"",IFERROR(AVERAGE(出来高!E72:I72),""),"")</f>
        <v>49900</v>
      </c>
      <c r="N116" s="166">
        <f>IF(C116&lt;&gt;"",IFERROR(AVERAGE(出来高!E72:AC72),""),"")</f>
        <v>71812</v>
      </c>
      <c r="O116" s="168">
        <f>IF(AND(J116&lt;&gt;"",M116&lt;&gt;"",M116&lt;&gt;0),J116/M116,"")</f>
        <v>1.2124248496993988</v>
      </c>
      <c r="P116" s="163" t="str">
        <f>IF(O116="","",IF(O116&gt;=2,"急増↑↑",IF(O116&gt;=1.5,"増加↑",IF(O116&gt;=1,"普通→","減少↓"))))</f>
        <v>普通→</v>
      </c>
      <c r="Q116" s="163" t="str">
        <f>IF(E116="","",IF(AND(E116&gt;G116,O116&gt;=1.5),"買い▲",IF(E116&lt;G116,"様子見▼","中立→")))</f>
        <v>様子見▼</v>
      </c>
      <c r="R116" s="166">
        <f>IF(E116&lt;&gt;"",ROUND(E116*1.08,0),"")</f>
        <v>2547</v>
      </c>
      <c r="S116" s="166">
        <f>IF(E116&lt;&gt;"",ROUND(E116*0.96,0),"")</f>
        <v>2264</v>
      </c>
      <c r="T116" s="163">
        <f>IF(C116="","",IFERROR(IF(O116&gt;=2,3,IF(O116&gt;=1.5,2,IF(O116&gt;=1,1,0)))+IF(E116&gt;G116,1,0)+IF(L116&gt;=-5,1,0)+IF(Q116="買い▲",2,0)+IF(W116&lt;=30,3,IF(W116&lt;=40,2,IF(AND(W116&gt;=40,W116&lt;=60),1,0)))+IF(X116&gt;0,1,0)+IF(V116="年初来高値更新●",3,IF(V116="高値圏",2,0))+IF(AD116="パーフェクト▲",3,IF(AD116="上昇トレンド▲",2,0))+IF(AE116="25日線押し目●",2,IF(AE116="5日線押し目○",1,0))+IF(P116="急増↑↑",2,IF(P116="増加↑",1,0))+N(AI116),0))</f>
        <v>1</v>
      </c>
      <c r="U116" s="163" t="str">
        <f>IF(T116="","",IF(AND(T116&gt;=3,O116&gt;=1.5),"有効",IF(T116&gt;=3,"要確認","除外")))</f>
        <v>除外</v>
      </c>
      <c r="V116" s="163" t="str">
        <f>IF(AND(H116&lt;&gt;"",K116&lt;&gt;""),IF(H116&gt;=K116,"年初来高値更新●",IF(H116&gt;=K116*0.95,"高値圏","通常")),"")</f>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IF(AND(E116&lt;&gt;"",G116&lt;&gt;"",G116&lt;&gt;0),(E116-G116)/G116*100,"")</f>
        <v>-1.3389121338912133</v>
      </c>
      <c r="AA116" s="163" t="str">
        <f>IF(OR(C116="",E116="",E116=0),"",IF(E116&gt;G116,"上昇▲",IF(E116&lt;G116,"下落▼","横ばい→")))</f>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IF(OR(C116="",AB116="",AC116=""),"",IF(AND(E116&gt;AB116,AB116&gt;AC116),"パーフェクト▲",IF(E116&gt;AC116,"上昇トレンド▲",IF(AND(E116&lt;AB116,AB116&lt;AC116),"下降トレンド▼","もみ合い→"))))</f>
        <v>下降トレンド▼</v>
      </c>
      <c r="AE116" s="404" t="str">
        <f>IF(OR(C116="",AB116="",AC116=""),"",IF(AND(ABS(E116-AC116)/AC116&lt;=0.02,E116&gt;AC116),"25日押し目★",IF(AND(ABS(E116-AB116)/AB116&lt;=0.01,E116&gt;AB116),"5日押し目○","なし")))</f>
        <v>なし</v>
      </c>
      <c r="AF116" s="365">
        <f t="array" ref="AF116">IF(C116="","",IFERROR((INDEX(終値!$E:$E,MATCH(TEXT(C116,"0"),終値!$A:$A,0))-INDEX(終値!$E:$CZ,MATCH(TEXT(C116,"0"),終値!$A:$A,0),$AL$2))/INDEX(終値!$E:$CZ,MATCH(TEXT(C116,"0"),終値!$A:$A,0),$AL$2)*100,""))</f>
        <v>-1.8726591760299627</v>
      </c>
      <c r="AG116" s="365">
        <f t="array" ref="AG116">IFERROR((終値!$E$5-INDEX(終値!$E$5:$IT$5,1,$AL$2))/INDEX(終値!$E$5:$IT$5,1,$AL$2)*100,"")</f>
        <v>1.0179378228534113</v>
      </c>
      <c r="AH116" s="366">
        <f>IF(OR(AF116="",AG116=""),"",AF116-AG116)</f>
        <v>-2.8905969988833737</v>
      </c>
      <c r="AI116" s="364">
        <f>IF(AH116="","",IF(AH116&gt;5,3,IF(AH116&gt;0,1,IF(AH116&gt;-3,-1,-2))))</f>
        <v>-1</v>
      </c>
      <c r="BA116">
        <f>IFERROR((SUM(OFFSET(高値!$E$6,IFERROR(MATCH($C116,銘柄管理!$B$6:$B$305,0),MATCH(TEXT($C116,"0"),銘柄管理!$B$6:$B$305,0))-1,0,1,14))-SUM(OFFSET(安値!$E$6,IFERROR(MATCH($C116,銘柄管理!$B$6:$B$305,0),MATCH(TEXT($C116,"0"),銘柄管理!$B$6:$B$305,0))-1,0,1,14)))/SUM(OFFSET(終値!$E$6,IFERROR(MATCH($C116,銘柄管理!$B$6:$B$305,0),MATCH(TEXT($C116,"0"),銘柄管理!$B$6:$B$305,0))-1,0,1,14))*100,"")</f>
      </c>
      <c r="BB116">
        <f>IFERROR((MAX(OFFSET(高値!$E$6,IFERROR(MATCH($C116,銘柄管理!$B$6:$B$305,0),MATCH(TEXT($C116,"0"),銘柄管理!$B$6:$B$305,0))-1,0,1,25))-MIN(OFFSET(安値!$E$6,IFERROR(MATCH($C116,銘柄管理!$B$6:$B$305,0),MATCH(TEXT($C116,"0"),銘柄管理!$B$6:$B$305,0))-1,0,1,25)))/$E116*100,"")</f>
      </c>
      <c r="BC116">
        <f>IFERROR(($F116-$G116)/$G116*100,"")</f>
      </c>
      <c r="BD116">
        <f>IFERROR(($E116-MAX(OFFSET(高値!$E$6,IFERROR(MATCH($C116,銘柄管理!$B$6:$B$305,0),MATCH(TEXT($C116,"0"),銘柄管理!$B$6:$B$305,0))-1,0,1,25)))/MAX(OFFSET(高値!$E$6,IFERROR(MATCH($C116,銘柄管理!$B$6:$B$305,0),MATCH(TEXT($C116,"0"),銘柄管理!$B$6:$B$305,0))-1,0,1,25))*100,"")</f>
      </c>
      <c r="BE116">
        <f>IFERROR(($H116-$I116)/$F116*100,"")</f>
      </c>
      <c r="BF116">
        <f>IFERROR(-(($BA116-AVERAGE($BA$3:$BA$206))/STDEV($BA$3:$BA$206))-(($BE116-AVERAGE($BE$3:$BE$206))/STDEV($BE$3:$BE$206))-(($BB116-AVERAGE($BB$3:$BB$206))/STDEV($BB$3:$BB$206))-(($Z116-AVERAGE($Z$3:$Z$206))/STDEV($Z$3:$Z$206))-(($BC116-AVERAGE($BC$3:$BC$206))/STDEV($BC$3:$BC$206)),"")</f>
      </c>
      <c r="BG116">
        <f>IF(OR($C116="",$C116="TOPX",$BA116="",$BF116=""),0,IF(AND($BK$10=1,$BA116&lt;=$BK$2,$BB116&lt;=$BK$3,$BC116&lt;=$BK$4,$Z116&lt;=$BK$5,$Z116&gt;=$BK$6,$BD116&gt;=$BK$7,$BE116&lt;=$BK$8),1,0))</f>
      </c>
      <c r="BH116">
        <f>IF($C116="","",IF($BG116=1,"○ゲート通過",IF($BK$10&lt;&gt;1,"― この方向は停止中",IF($BA116&gt;$BK$2,"×値動きが荒い",IF($BB116&gt;$BK$3,"×レンジが広い",IF($BC116&gt;$BK$4,"×窓を開けて上昇",IF($Z116&gt;$BK$5,"×前日に急騰",IF($Z116&lt;$BK$6,"×前日に急落",IF($BD116&lt;$BK$7,"×高値から離れすぎ",IF($BE116&gt;$BK$8,"×当日の値幅が大きい","×")))))))))</f>
      </c>
    </row>
    <row r="117" spans="1:60"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IF(AND(E117&lt;&gt;"",K117&lt;&gt;"",K117&lt;&gt;0),(E117-K117)/K117*100,"")</f>
        <v>-19.299820466786354</v>
      </c>
      <c r="M117" s="166">
        <f>IF(C117&lt;&gt;"",IFERROR(AVERAGE(出来高!E42:I42),""),"")</f>
        <v>426820</v>
      </c>
      <c r="N117" s="166">
        <f>IF(C117&lt;&gt;"",IFERROR(AVERAGE(出来高!E42:AC42),""),"")</f>
        <v>332340</v>
      </c>
      <c r="O117" s="168">
        <f>IF(AND(J117&lt;&gt;"",M117&lt;&gt;"",M117&lt;&gt;0),J117/M117,"")</f>
        <v>1.6901738437748934</v>
      </c>
      <c r="P117" s="163" t="str">
        <f>IF(O117="","",IF(O117&gt;=2,"急増↑↑",IF(O117&gt;=1.5,"増加↑",IF(O117&gt;=1,"普通→","減少↓"))))</f>
        <v>増加↑</v>
      </c>
      <c r="Q117" s="163" t="str">
        <f>IF(E117="","",IF(AND(E117&gt;G117,O117&gt;=1.5),"買い▲",IF(E117&lt;G117,"様子見▼","中立→")))</f>
        <v>買い▲</v>
      </c>
      <c r="R117" s="166">
        <f>IF(E117&lt;&gt;"",ROUND(E117*1.08,0),"")</f>
        <v>3884</v>
      </c>
      <c r="S117" s="166">
        <f>IF(E117&lt;&gt;"",ROUND(E117*0.96,0),"")</f>
        <v>3452</v>
      </c>
      <c r="T117" s="163">
        <f>IF(C117="","",IFERROR(IF(O117&gt;=2,3,IF(O117&gt;=1.5,2,IF(O117&gt;=1,1,0)))+IF(E117&gt;G117,1,0)+IF(L117&gt;=-5,1,0)+IF(Q117="買い▲",2,0)+IF(W117&lt;=30,3,IF(W117&lt;=40,2,IF(AND(W117&gt;=40,W117&lt;=60),1,0)))+IF(X117&gt;0,1,0)+IF(V117="年初来高値更新●",3,IF(V117="高値圏",2,0))+IF(AD117="パーフェクト▲",3,IF(AD117="上昇トレンド▲",2,0))+IF(AE117="25日線押し目●",2,IF(AE117="5日線押し目○",1,0))+IF(P117="急増↑↑",2,IF(P117="増加↑",1,0))+N(AI117),0))</f>
        <v>8</v>
      </c>
      <c r="U117" s="163" t="str">
        <f>IF(T117="","",IF(AND(T117&gt;=3,O117&gt;=1.5),"有効",IF(T117&gt;=3,"要確認","除外")))</f>
        <v>有効</v>
      </c>
      <c r="V117" s="163" t="str">
        <f>IF(AND(H117&lt;&gt;"",K117&lt;&gt;""),IF(H117&gt;=K117,"年初来高値更新●",IF(H117&gt;=K117*0.95,"高値圏","通常")),"")</f>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IF(AND(E117&lt;&gt;"",G117&lt;&gt;"",G117&lt;&gt;0),(E117-G117)/G117*100,"")</f>
        <v>2.7428571428571429</v>
      </c>
      <c r="AA117" s="163" t="str">
        <f>IF(OR(C117="",E117="",E117=0),"",IF(E117&gt;G117,"上昇▲",IF(E117&lt;G117,"下落▼","横ばい→")))</f>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IF(OR(C117="",AB117="",AC117=""),"",IF(AND(E117&gt;AB117,AB117&gt;AC117),"パーフェクト▲",IF(E117&gt;AC117,"上昇トレンド▲",IF(AND(E117&lt;AB117,AB117&lt;AC117),"下降トレンド▼","もみ合い→"))))</f>
        <v>上昇トレンド▲</v>
      </c>
      <c r="AE117" s="406" t="str">
        <f>IF(OR(C117="",AB117="",AC117=""),"",IF(AND(ABS(E117-AC117)/AC117&lt;=0.02,E117&gt;AC117),"25日押し目★",IF(AND(ABS(E117-AB117)/AB117&lt;=0.01,E117&gt;AB117),"5日押し目○","なし")))</f>
        <v>なし</v>
      </c>
      <c r="AF117" s="365">
        <f t="array" ref="AF117">IF(C117="","",IFERROR((INDEX(終値!$E:$E,MATCH(TEXT(C117,"0"),終値!$A:$A,0))-INDEX(終値!$E:$CZ,MATCH(TEXT(C117,"0"),終値!$A:$A,0),$AL$2))/INDEX(終値!$E:$CZ,MATCH(TEXT(C117,"0"),終値!$A:$A,0),$AL$2)*100,""))</f>
        <v>0.86956521739130432</v>
      </c>
      <c r="AG117" s="365">
        <f t="array" ref="AG117">IFERROR((終値!$E$5-INDEX(終値!$E$5:$IT$5,1,$AL$2))/INDEX(終値!$E$5:$IT$5,1,$AL$2)*100,"")</f>
        <v>1.0179378228534113</v>
      </c>
      <c r="AH117" s="366">
        <f>IF(OR(AF117="",AG117=""),"",AF117-AG117)</f>
        <v>-0.14837260546210695</v>
      </c>
      <c r="AI117" s="364">
        <f>IF(AH117="","",IF(AH117&gt;5,3,IF(AH117&gt;0,1,IF(AH117&gt;-3,-1,-2))))</f>
        <v>-1</v>
      </c>
      <c r="BA117">
        <f>IFERROR((SUM(OFFSET(高値!$E$6,IFERROR(MATCH($C117,銘柄管理!$B$6:$B$305,0),MATCH(TEXT($C117,"0"),銘柄管理!$B$6:$B$305,0))-1,0,1,14))-SUM(OFFSET(安値!$E$6,IFERROR(MATCH($C117,銘柄管理!$B$6:$B$305,0),MATCH(TEXT($C117,"0"),銘柄管理!$B$6:$B$305,0))-1,0,1,14)))/SUM(OFFSET(終値!$E$6,IFERROR(MATCH($C117,銘柄管理!$B$6:$B$305,0),MATCH(TEXT($C117,"0"),銘柄管理!$B$6:$B$305,0))-1,0,1,14))*100,"")</f>
      </c>
      <c r="BB117">
        <f>IFERROR((MAX(OFFSET(高値!$E$6,IFERROR(MATCH($C117,銘柄管理!$B$6:$B$305,0),MATCH(TEXT($C117,"0"),銘柄管理!$B$6:$B$305,0))-1,0,1,25))-MIN(OFFSET(安値!$E$6,IFERROR(MATCH($C117,銘柄管理!$B$6:$B$305,0),MATCH(TEXT($C117,"0"),銘柄管理!$B$6:$B$305,0))-1,0,1,25)))/$E117*100,"")</f>
      </c>
      <c r="BC117">
        <f>IFERROR(($F117-$G117)/$G117*100,"")</f>
      </c>
      <c r="BD117">
        <f>IFERROR(($E117-MAX(OFFSET(高値!$E$6,IFERROR(MATCH($C117,銘柄管理!$B$6:$B$305,0),MATCH(TEXT($C117,"0"),銘柄管理!$B$6:$B$305,0))-1,0,1,25)))/MAX(OFFSET(高値!$E$6,IFERROR(MATCH($C117,銘柄管理!$B$6:$B$305,0),MATCH(TEXT($C117,"0"),銘柄管理!$B$6:$B$305,0))-1,0,1,25))*100,"")</f>
      </c>
      <c r="BE117">
        <f>IFERROR(($H117-$I117)/$F117*100,"")</f>
      </c>
      <c r="BF117">
        <f>IFERROR(-(($BA117-AVERAGE($BA$3:$BA$206))/STDEV($BA$3:$BA$206))-(($BE117-AVERAGE($BE$3:$BE$206))/STDEV($BE$3:$BE$206))-(($BB117-AVERAGE($BB$3:$BB$206))/STDEV($BB$3:$BB$206))-(($Z117-AVERAGE($Z$3:$Z$206))/STDEV($Z$3:$Z$206))-(($BC117-AVERAGE($BC$3:$BC$206))/STDEV($BC$3:$BC$206)),"")</f>
      </c>
      <c r="BG117">
        <f>IF(OR($C117="",$C117="TOPX",$BA117="",$BF117=""),0,IF(AND($BK$10=1,$BA117&lt;=$BK$2,$BB117&lt;=$BK$3,$BC117&lt;=$BK$4,$Z117&lt;=$BK$5,$Z117&gt;=$BK$6,$BD117&gt;=$BK$7,$BE117&lt;=$BK$8),1,0))</f>
      </c>
      <c r="BH117">
        <f>IF($C117="","",IF($BG117=1,"○ゲート通過",IF($BK$10&lt;&gt;1,"― この方向は停止中",IF($BA117&gt;$BK$2,"×値動きが荒い",IF($BB117&gt;$BK$3,"×レンジが広い",IF($BC117&gt;$BK$4,"×窓を開けて上昇",IF($Z117&gt;$BK$5,"×前日に急騰",IF($Z117&lt;$BK$6,"×前日に急落",IF($BD117&lt;$BK$7,"×高値から離れすぎ",IF($BE117&gt;$BK$8,"×当日の値幅が大きい","×")))))))))</f>
      </c>
    </row>
    <row r="118" spans="1:60"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IF(AND(E118&lt;&gt;"",K118&lt;&gt;"",K118&lt;&gt;0),(E118-K118)/K118*100,"")</f>
        <v>-8.2604220277920746</v>
      </c>
      <c r="M118" s="166">
        <f>IF(C118&lt;&gt;"",IFERROR(AVERAGE(出来高!E36:I36),""),"")</f>
        <v>3631280</v>
      </c>
      <c r="N118" s="166">
        <f>IF(C118&lt;&gt;"",IFERROR(AVERAGE(出来高!E36:AC36),""),"")</f>
        <v>2348684</v>
      </c>
      <c r="O118" s="168">
        <f>IF(AND(J118&lt;&gt;"",M118&lt;&gt;"",M118&lt;&gt;0),J118/M118,"")</f>
        <v>0.65186380560022916</v>
      </c>
      <c r="P118" s="163" t="str">
        <f>IF(O118="","",IF(O118&gt;=2,"急増↑↑",IF(O118&gt;=1.5,"増加↑",IF(O118&gt;=1,"普通→","減少↓"))))</f>
        <v>減少↓</v>
      </c>
      <c r="Q118" s="163" t="str">
        <f>IF(E118="","",IF(AND(E118&gt;G118,O118&gt;=1.5),"買い▲",IF(E118&lt;G118,"様子見▼","中立→")))</f>
        <v>中立→</v>
      </c>
      <c r="R118" s="166">
        <f>IF(E118&lt;&gt;"",ROUND(E118*1.08,0),"")</f>
        <v>1925</v>
      </c>
      <c r="S118" s="166">
        <f>IF(E118&lt;&gt;"",ROUND(E118*0.96,0),"")</f>
        <v>1711</v>
      </c>
      <c r="T118" s="163">
        <f>IF(C118="","",IFERROR(IF(O118&gt;=2,3,IF(O118&gt;=1.5,2,IF(O118&gt;=1,1,0)))+IF(E118&gt;G118,1,0)+IF(L118&gt;=-5,1,0)+IF(Q118="買い▲",2,0)+IF(W118&lt;=30,3,IF(W118&lt;=40,2,IF(AND(W118&gt;=40,W118&lt;=60),1,0)))+IF(X118&gt;0,1,0)+IF(V118="年初来高値更新●",3,IF(V118="高値圏",2,0))+IF(AD118="パーフェクト▲",3,IF(AD118="上昇トレンド▲",2,0))+IF(AE118="25日線押し目●",2,IF(AE118="5日線押し目○",1,0))+IF(P118="急増↑↑",2,IF(P118="増加↑",1,0))+N(AI118),0))</f>
        <v>2</v>
      </c>
      <c r="U118" s="163" t="str">
        <f>IF(T118="","",IF(AND(T118&gt;=3,O118&gt;=1.5),"有効",IF(T118&gt;=3,"要確認","除外")))</f>
        <v>除外</v>
      </c>
      <c r="V118" s="163" t="str">
        <f>IF(AND(H118&lt;&gt;"",K118&lt;&gt;""),IF(H118&gt;=K118,"年初来高値更新●",IF(H118&gt;=K118*0.95,"高値圏","通常")),"")</f>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IF(AND(E118&lt;&gt;"",G118&lt;&gt;"",G118&lt;&gt;0),(E118-G118)/G118*100,"")</f>
        <v>1.5958962667426617</v>
      </c>
      <c r="AA118" s="163" t="str">
        <f>IF(OR(C118="",E118="",E118=0),"",IF(E118&gt;G118,"上昇▲",IF(E118&lt;G118,"下落▼","横ばい→")))</f>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IF(OR(C118="",AB118="",AC118=""),"",IF(AND(E118&gt;AB118,AB118&gt;AC118),"パーフェクト▲",IF(E118&gt;AC118,"上昇トレンド▲",IF(AND(E118&lt;AB118,AB118&lt;AC118),"下降トレンド▼","もみ合い→"))))</f>
        <v>もみ合い→</v>
      </c>
      <c r="AE118" s="404" t="str">
        <f>IF(OR(C118="",AB118="",AC118=""),"",IF(AND(ABS(E118-AC118)/AC118&lt;=0.02,E118&gt;AC118),"25日押し目★",IF(AND(ABS(E118-AB118)/AB118&lt;=0.01,E118&gt;AB118),"5日押し目○","なし")))</f>
        <v>なし</v>
      </c>
      <c r="AF118" s="365">
        <f t="array" ref="AF118">IF(C118="","",IFERROR((INDEX(終値!$E:$E,MATCH(TEXT(C118,"0"),終値!$A:$A,0))-INDEX(終値!$E:$CZ,MATCH(TEXT(C118,"0"),終値!$A:$A,0),$AL$2))/INDEX(終値!$E:$CZ,MATCH(TEXT(C118,"0"),終値!$A:$A,0),$AL$2)*100,""))</f>
        <v>-0.50237231370360036</v>
      </c>
      <c r="AG118" s="365">
        <f t="array" ref="AG118">IFERROR((終値!$E$5-INDEX(終値!$E$5:$IT$5,1,$AL$2))/INDEX(終値!$E$5:$IT$5,1,$AL$2)*100,"")</f>
        <v>1.0179378228534113</v>
      </c>
      <c r="AH118" s="366">
        <f>IF(OR(AF118="",AG118=""),"",AF118-AG118)</f>
        <v>-1.5203101365570117</v>
      </c>
      <c r="AI118" s="364">
        <f>IF(AH118="","",IF(AH118&gt;5,3,IF(AH118&gt;0,1,IF(AH118&gt;-3,-1,-2))))</f>
        <v>-1</v>
      </c>
      <c r="BA118">
        <f>IFERROR((SUM(OFFSET(高値!$E$6,IFERROR(MATCH($C118,銘柄管理!$B$6:$B$305,0),MATCH(TEXT($C118,"0"),銘柄管理!$B$6:$B$305,0))-1,0,1,14))-SUM(OFFSET(安値!$E$6,IFERROR(MATCH($C118,銘柄管理!$B$6:$B$305,0),MATCH(TEXT($C118,"0"),銘柄管理!$B$6:$B$305,0))-1,0,1,14)))/SUM(OFFSET(終値!$E$6,IFERROR(MATCH($C118,銘柄管理!$B$6:$B$305,0),MATCH(TEXT($C118,"0"),銘柄管理!$B$6:$B$305,0))-1,0,1,14))*100,"")</f>
      </c>
      <c r="BB118">
        <f>IFERROR((MAX(OFFSET(高値!$E$6,IFERROR(MATCH($C118,銘柄管理!$B$6:$B$305,0),MATCH(TEXT($C118,"0"),銘柄管理!$B$6:$B$305,0))-1,0,1,25))-MIN(OFFSET(安値!$E$6,IFERROR(MATCH($C118,銘柄管理!$B$6:$B$305,0),MATCH(TEXT($C118,"0"),銘柄管理!$B$6:$B$305,0))-1,0,1,25)))/$E118*100,"")</f>
      </c>
      <c r="BC118">
        <f>IFERROR(($F118-$G118)/$G118*100,"")</f>
      </c>
      <c r="BD118">
        <f>IFERROR(($E118-MAX(OFFSET(高値!$E$6,IFERROR(MATCH($C118,銘柄管理!$B$6:$B$305,0),MATCH(TEXT($C118,"0"),銘柄管理!$B$6:$B$305,0))-1,0,1,25)))/MAX(OFFSET(高値!$E$6,IFERROR(MATCH($C118,銘柄管理!$B$6:$B$305,0),MATCH(TEXT($C118,"0"),銘柄管理!$B$6:$B$305,0))-1,0,1,25))*100,"")</f>
      </c>
      <c r="BE118">
        <f>IFERROR(($H118-$I118)/$F118*100,"")</f>
      </c>
      <c r="BF118">
        <f>IFERROR(-(($BA118-AVERAGE($BA$3:$BA$206))/STDEV($BA$3:$BA$206))-(($BE118-AVERAGE($BE$3:$BE$206))/STDEV($BE$3:$BE$206))-(($BB118-AVERAGE($BB$3:$BB$206))/STDEV($BB$3:$BB$206))-(($Z118-AVERAGE($Z$3:$Z$206))/STDEV($Z$3:$Z$206))-(($BC118-AVERAGE($BC$3:$BC$206))/STDEV($BC$3:$BC$206)),"")</f>
      </c>
      <c r="BG118">
        <f>IF(OR($C118="",$C118="TOPX",$BA118="",$BF118=""),0,IF(AND($BK$10=1,$BA118&lt;=$BK$2,$BB118&lt;=$BK$3,$BC118&lt;=$BK$4,$Z118&lt;=$BK$5,$Z118&gt;=$BK$6,$BD118&gt;=$BK$7,$BE118&lt;=$BK$8),1,0))</f>
      </c>
      <c r="BH118">
        <f>IF($C118="","",IF($BG118=1,"○ゲート通過",IF($BK$10&lt;&gt;1,"― この方向は停止中",IF($BA118&gt;$BK$2,"×値動きが荒い",IF($BB118&gt;$BK$3,"×レンジが広い",IF($BC118&gt;$BK$4,"×窓を開けて上昇",IF($Z118&gt;$BK$5,"×前日に急騰",IF($Z118&lt;$BK$6,"×前日に急落",IF($BD118&lt;$BK$7,"×高値から離れすぎ",IF($BE118&gt;$BK$8,"×当日の値幅が大きい","×")))))))))</f>
      </c>
    </row>
    <row r="119" spans="1:60"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IF(AND(E119&lt;&gt;"",K119&lt;&gt;"",K119&lt;&gt;0),(E119-K119)/K119*100,"")</f>
        <v>-15.149393090569561</v>
      </c>
      <c r="M119" s="166">
        <f>IF(C119&lt;&gt;"",IFERROR(AVERAGE(出来高!E49:I49),""),"")</f>
        <v>1085400</v>
      </c>
      <c r="N119" s="166">
        <f>IF(C119&lt;&gt;"",IFERROR(AVERAGE(出来高!E49:AC49),""),"")</f>
        <v>670133.33333333337</v>
      </c>
      <c r="O119" s="168">
        <f>IF(AND(J119&lt;&gt;"",M119&lt;&gt;"",M119&lt;&gt;0),J119/M119,"")</f>
        <v>0.56928321356182054</v>
      </c>
      <c r="P119" s="163" t="str">
        <f>IF(O119="","",IF(O119&gt;=2,"急増↑↑",IF(O119&gt;=1.5,"増加↑",IF(O119&gt;=1,"普通→","減少↓"))))</f>
        <v>減少↓</v>
      </c>
      <c r="Q119" s="163" t="str">
        <f>IF(E119="","",IF(AND(E119&gt;G119,O119&gt;=1.5),"買い▲",IF(E119&lt;G119,"様子見▼","中立→")))</f>
        <v>中立→</v>
      </c>
      <c r="R119" s="166">
        <f>IF(E119&lt;&gt;"",ROUND(E119*1.08,0),"")</f>
        <v>3926</v>
      </c>
      <c r="S119" s="166">
        <f>IF(E119&lt;&gt;"",ROUND(E119*0.96,0),"")</f>
        <v>3490</v>
      </c>
      <c r="T119" s="163">
        <f>IF(C119="","",IFERROR(IF(O119&gt;=2,3,IF(O119&gt;=1.5,2,IF(O119&gt;=1,1,0)))+IF(E119&gt;G119,1,0)+IF(L119&gt;=-5,1,0)+IF(Q119="買い▲",2,0)+IF(W119&lt;=30,3,IF(W119&lt;=40,2,IF(AND(W119&gt;=40,W119&lt;=60),1,0)))+IF(X119&gt;0,1,0)+IF(V119="年初来高値更新●",3,IF(V119="高値圏",2,0))+IF(AD119="パーフェクト▲",3,IF(AD119="上昇トレンド▲",2,0))+IF(AE119="25日線押し目●",2,IF(AE119="5日線押し目○",1,0))+IF(P119="急増↑↑",2,IF(P119="増加↑",1,0))+N(AI119),0))</f>
        <v>2</v>
      </c>
      <c r="U119" s="163" t="str">
        <f>IF(T119="","",IF(AND(T119&gt;=3,O119&gt;=1.5),"有効",IF(T119&gt;=3,"要確認","除外")))</f>
        <v>除外</v>
      </c>
      <c r="V119" s="163" t="str">
        <f>IF(AND(H119&lt;&gt;"",K119&lt;&gt;""),IF(H119&gt;=K119,"年初来高値更新●",IF(H119&gt;=K119*0.95,"高値圏","通常")),"")</f>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IF(AND(E119&lt;&gt;"",G119&lt;&gt;"",G119&lt;&gt;0),(E119-G119)/G119*100,"")</f>
        <v>0.63676633444075303</v>
      </c>
      <c r="AA119" s="163" t="str">
        <f>IF(OR(C119="",E119="",E119=0),"",IF(E119&gt;G119,"上昇▲",IF(E119&lt;G119,"下落▼","横ばい→")))</f>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IF(OR(C119="",AB119="",AC119=""),"",IF(AND(E119&gt;AB119,AB119&gt;AC119),"パーフェクト▲",IF(E119&gt;AC119,"上昇トレンド▲",IF(AND(E119&lt;AB119,AB119&lt;AC119),"下降トレンド▼","もみ合い→"))))</f>
        <v>上昇トレンド▲</v>
      </c>
      <c r="AE119" s="406" t="str">
        <f>IF(OR(C119="",AB119="",AC119=""),"",IF(AND(ABS(E119-AC119)/AC119&lt;=0.02,E119&gt;AC119),"25日押し目★",IF(AND(ABS(E119-AB119)/AB119&lt;=0.01,E119&gt;AB119),"5日押し目○","なし")))</f>
        <v>なし</v>
      </c>
      <c r="AF119" s="365">
        <f t="array" ref="AF119">IF(C119="","",IFERROR((INDEX(終値!$E:$E,MATCH(TEXT(C119,"0"),終値!$A:$A,0))-INDEX(終値!$E:$CZ,MATCH(TEXT(C119,"0"),終値!$A:$A,0),$AL$2))/INDEX(終値!$E:$CZ,MATCH(TEXT(C119,"0"),終値!$A:$A,0),$AL$2)*100,""))</f>
        <v>-2.859433458043827</v>
      </c>
      <c r="AG119" s="365">
        <f t="array" ref="AG119">IFERROR((終値!$E$5-INDEX(終値!$E$5:$IT$5,1,$AL$2))/INDEX(終値!$E$5:$IT$5,1,$AL$2)*100,"")</f>
        <v>1.0179378228534113</v>
      </c>
      <c r="AH119" s="366">
        <f>IF(OR(AF119="",AG119=""),"",AF119-AG119)</f>
        <v>-3.877371280897238</v>
      </c>
      <c r="AI119" s="364">
        <f>IF(AH119="","",IF(AH119&gt;5,3,IF(AH119&gt;0,1,IF(AH119&gt;-3,-1,-2))))</f>
        <v>-2</v>
      </c>
      <c r="BA119">
        <f>IFERROR((SUM(OFFSET(高値!$E$6,IFERROR(MATCH($C119,銘柄管理!$B$6:$B$305,0),MATCH(TEXT($C119,"0"),銘柄管理!$B$6:$B$305,0))-1,0,1,14))-SUM(OFFSET(安値!$E$6,IFERROR(MATCH($C119,銘柄管理!$B$6:$B$305,0),MATCH(TEXT($C119,"0"),銘柄管理!$B$6:$B$305,0))-1,0,1,14)))/SUM(OFFSET(終値!$E$6,IFERROR(MATCH($C119,銘柄管理!$B$6:$B$305,0),MATCH(TEXT($C119,"0"),銘柄管理!$B$6:$B$305,0))-1,0,1,14))*100,"")</f>
      </c>
      <c r="BB119">
        <f>IFERROR((MAX(OFFSET(高値!$E$6,IFERROR(MATCH($C119,銘柄管理!$B$6:$B$305,0),MATCH(TEXT($C119,"0"),銘柄管理!$B$6:$B$305,0))-1,0,1,25))-MIN(OFFSET(安値!$E$6,IFERROR(MATCH($C119,銘柄管理!$B$6:$B$305,0),MATCH(TEXT($C119,"0"),銘柄管理!$B$6:$B$305,0))-1,0,1,25)))/$E119*100,"")</f>
      </c>
      <c r="BC119">
        <f>IFERROR(($F119-$G119)/$G119*100,"")</f>
      </c>
      <c r="BD119">
        <f>IFERROR(($E119-MAX(OFFSET(高値!$E$6,IFERROR(MATCH($C119,銘柄管理!$B$6:$B$305,0),MATCH(TEXT($C119,"0"),銘柄管理!$B$6:$B$305,0))-1,0,1,25)))/MAX(OFFSET(高値!$E$6,IFERROR(MATCH($C119,銘柄管理!$B$6:$B$305,0),MATCH(TEXT($C119,"0"),銘柄管理!$B$6:$B$305,0))-1,0,1,25))*100,"")</f>
      </c>
      <c r="BE119">
        <f>IFERROR(($H119-$I119)/$F119*100,"")</f>
      </c>
      <c r="BF119">
        <f>IFERROR(-(($BA119-AVERAGE($BA$3:$BA$206))/STDEV($BA$3:$BA$206))-(($BE119-AVERAGE($BE$3:$BE$206))/STDEV($BE$3:$BE$206))-(($BB119-AVERAGE($BB$3:$BB$206))/STDEV($BB$3:$BB$206))-(($Z119-AVERAGE($Z$3:$Z$206))/STDEV($Z$3:$Z$206))-(($BC119-AVERAGE($BC$3:$BC$206))/STDEV($BC$3:$BC$206)),"")</f>
      </c>
      <c r="BG119">
        <f>IF(OR($C119="",$C119="TOPX",$BA119="",$BF119=""),0,IF(AND($BK$10=1,$BA119&lt;=$BK$2,$BB119&lt;=$BK$3,$BC119&lt;=$BK$4,$Z119&lt;=$BK$5,$Z119&gt;=$BK$6,$BD119&gt;=$BK$7,$BE119&lt;=$BK$8),1,0))</f>
      </c>
      <c r="BH119">
        <f>IF($C119="","",IF($BG119=1,"○ゲート通過",IF($BK$10&lt;&gt;1,"― この方向は停止中",IF($BA119&gt;$BK$2,"×値動きが荒い",IF($BB119&gt;$BK$3,"×レンジが広い",IF($BC119&gt;$BK$4,"×窓を開けて上昇",IF($Z119&gt;$BK$5,"×前日に急騰",IF($Z119&lt;$BK$6,"×前日に急落",IF($BD119&lt;$BK$7,"×高値から離れすぎ",IF($BE119&gt;$BK$8,"×当日の値幅が大きい","×")))))))))</f>
      </c>
    </row>
    <row r="120" spans="1:60"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IF(AND(E120&lt;&gt;"",K120&lt;&gt;"",K120&lt;&gt;0),(E120-K120)/K120*100,"")</f>
        <v>-3.4968210717529522</v>
      </c>
      <c r="M120" s="166">
        <f>IF(C120&lt;&gt;"",IFERROR(AVERAGE(出来高!E55:I55),""),"")</f>
        <v>290760</v>
      </c>
      <c r="N120" s="166">
        <f>IF(C120&lt;&gt;"",IFERROR(AVERAGE(出来高!E55:AC55),""),"")</f>
        <v>225568</v>
      </c>
      <c r="O120" s="168">
        <f>IF(AND(J120&lt;&gt;"",M120&lt;&gt;"",M120&lt;&gt;0),J120/M120,"")</f>
        <v>1.3186132893107718</v>
      </c>
      <c r="P120" s="163" t="str">
        <f>IF(O120="","",IF(O120&gt;=2,"急増↑↑",IF(O120&gt;=1.5,"増加↑",IF(O120&gt;=1,"普通→","減少↓"))))</f>
        <v>普通→</v>
      </c>
      <c r="Q120" s="163" t="str">
        <f>IF(E120="","",IF(AND(E120&gt;G120,O120&gt;=1.5),"買い▲",IF(E120&lt;G120,"様子見▼","中立→")))</f>
        <v>中立→</v>
      </c>
      <c r="R120" s="166">
        <f>IF(E120&lt;&gt;"",ROUND(E120*1.08,0),"")</f>
        <v>4590</v>
      </c>
      <c r="S120" s="166">
        <f>IF(E120&lt;&gt;"",ROUND(E120*0.96,0),"")</f>
        <v>4080</v>
      </c>
      <c r="T120" s="163">
        <f>IF(C120="","",IFERROR(IF(O120&gt;=2,3,IF(O120&gt;=1.5,2,IF(O120&gt;=1,1,0)))+IF(E120&gt;G120,1,0)+IF(L120&gt;=-5,1,0)+IF(Q120="買い▲",2,0)+IF(W120&lt;=30,3,IF(W120&lt;=40,2,IF(AND(W120&gt;=40,W120&lt;=60),1,0)))+IF(X120&gt;0,1,0)+IF(V120="年初来高値更新●",3,IF(V120="高値圏",2,0))+IF(AD120="パーフェクト▲",3,IF(AD120="上昇トレンド▲",2,0))+IF(AE120="25日線押し目●",2,IF(AE120="5日線押し目○",1,0))+IF(P120="急増↑↑",2,IF(P120="増加↑",1,0))+N(AI120),0))</f>
        <v>10</v>
      </c>
      <c r="U120" s="163" t="str">
        <f>IF(T120="","",IF(AND(T120&gt;=3,O120&gt;=1.5),"有効",IF(T120&gt;=3,"要確認","除外")))</f>
        <v>要確認</v>
      </c>
      <c r="V120" s="163" t="str">
        <f>IF(AND(H120&lt;&gt;"",K120&lt;&gt;""),IF(H120&gt;=K120,"年初来高値更新●",IF(H120&gt;=K120*0.95,"高値圏","通常")),"")</f>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IF(AND(E120&lt;&gt;"",G120&lt;&gt;"",G120&lt;&gt;0),(E120-G120)/G120*100,"")</f>
        <v>0.25949516395376265</v>
      </c>
      <c r="AA120" s="163" t="str">
        <f>IF(OR(C120="",E120="",E120=0),"",IF(E120&gt;G120,"上昇▲",IF(E120&lt;G120,"下落▼","横ばい→")))</f>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IF(OR(C120="",AB120="",AC120=""),"",IF(AND(E120&gt;AB120,AB120&gt;AC120),"パーフェクト▲",IF(E120&gt;AC120,"上昇トレンド▲",IF(AND(E120&lt;AB120,AB120&lt;AC120),"下降トレンド▼","もみ合い→"))))</f>
        <v>パーフェクト▲</v>
      </c>
      <c r="AE120" s="404" t="str">
        <f>IF(OR(C120="",AB120="",AC120=""),"",IF(AND(ABS(E120-AC120)/AC120&lt;=0.02,E120&gt;AC120),"25日押し目★",IF(AND(ABS(E120-AB120)/AB120&lt;=0.01,E120&gt;AB120),"5日押し目○","なし")))</f>
        <v>なし</v>
      </c>
      <c r="AF120" s="365">
        <f t="array" ref="AF120">IF(C120="","",IFERROR((INDEX(終値!$E:$E,MATCH(TEXT(C120,"0"),終値!$A:$A,0))-INDEX(終値!$E:$CZ,MATCH(TEXT(C120,"0"),終値!$A:$A,0),$AL$2))/INDEX(終値!$E:$CZ,MATCH(TEXT(C120,"0"),終値!$A:$A,0),$AL$2)*100,""))</f>
        <v>4.192203971561657</v>
      </c>
      <c r="AG120" s="365">
        <f t="array" ref="AG120">IFERROR((終値!$E$5-INDEX(終値!$E$5:$IT$5,1,$AL$2))/INDEX(終値!$E$5:$IT$5,1,$AL$2)*100,"")</f>
        <v>1.0179378228534113</v>
      </c>
      <c r="AH120" s="366">
        <f>IF(OR(AF120="",AG120=""),"",AF120-AG120)</f>
        <v>3.174266148708246</v>
      </c>
      <c r="AI120" s="364">
        <f>IF(AH120="","",IF(AH120&gt;5,3,IF(AH120&gt;0,1,IF(AH120&gt;-3,-1,-2))))</f>
        <v>1</v>
      </c>
      <c r="BA120">
        <f>IFERROR((SUM(OFFSET(高値!$E$6,IFERROR(MATCH($C120,銘柄管理!$B$6:$B$305,0),MATCH(TEXT($C120,"0"),銘柄管理!$B$6:$B$305,0))-1,0,1,14))-SUM(OFFSET(安値!$E$6,IFERROR(MATCH($C120,銘柄管理!$B$6:$B$305,0),MATCH(TEXT($C120,"0"),銘柄管理!$B$6:$B$305,0))-1,0,1,14)))/SUM(OFFSET(終値!$E$6,IFERROR(MATCH($C120,銘柄管理!$B$6:$B$305,0),MATCH(TEXT($C120,"0"),銘柄管理!$B$6:$B$305,0))-1,0,1,14))*100,"")</f>
      </c>
      <c r="BB120">
        <f>IFERROR((MAX(OFFSET(高値!$E$6,IFERROR(MATCH($C120,銘柄管理!$B$6:$B$305,0),MATCH(TEXT($C120,"0"),銘柄管理!$B$6:$B$305,0))-1,0,1,25))-MIN(OFFSET(安値!$E$6,IFERROR(MATCH($C120,銘柄管理!$B$6:$B$305,0),MATCH(TEXT($C120,"0"),銘柄管理!$B$6:$B$305,0))-1,0,1,25)))/$E120*100,"")</f>
      </c>
      <c r="BC120">
        <f>IFERROR(($F120-$G120)/$G120*100,"")</f>
      </c>
      <c r="BD120">
        <f>IFERROR(($E120-MAX(OFFSET(高値!$E$6,IFERROR(MATCH($C120,銘柄管理!$B$6:$B$305,0),MATCH(TEXT($C120,"0"),銘柄管理!$B$6:$B$305,0))-1,0,1,25)))/MAX(OFFSET(高値!$E$6,IFERROR(MATCH($C120,銘柄管理!$B$6:$B$305,0),MATCH(TEXT($C120,"0"),銘柄管理!$B$6:$B$305,0))-1,0,1,25))*100,"")</f>
      </c>
      <c r="BE120">
        <f>IFERROR(($H120-$I120)/$F120*100,"")</f>
      </c>
      <c r="BF120">
        <f>IFERROR(-(($BA120-AVERAGE($BA$3:$BA$206))/STDEV($BA$3:$BA$206))-(($BE120-AVERAGE($BE$3:$BE$206))/STDEV($BE$3:$BE$206))-(($BB120-AVERAGE($BB$3:$BB$206))/STDEV($BB$3:$BB$206))-(($Z120-AVERAGE($Z$3:$Z$206))/STDEV($Z$3:$Z$206))-(($BC120-AVERAGE($BC$3:$BC$206))/STDEV($BC$3:$BC$206)),"")</f>
      </c>
      <c r="BG120">
        <f>IF(OR($C120="",$C120="TOPX",$BA120="",$BF120=""),0,IF(AND($BK$10=1,$BA120&lt;=$BK$2,$BB120&lt;=$BK$3,$BC120&lt;=$BK$4,$Z120&lt;=$BK$5,$Z120&gt;=$BK$6,$BD120&gt;=$BK$7,$BE120&lt;=$BK$8),1,0))</f>
      </c>
      <c r="BH120">
        <f>IF($C120="","",IF($BG120=1,"○ゲート通過",IF($BK$10&lt;&gt;1,"― この方向は停止中",IF($BA120&gt;$BK$2,"×値動きが荒い",IF($BB120&gt;$BK$3,"×レンジが広い",IF($BC120&gt;$BK$4,"×窓を開けて上昇",IF($Z120&gt;$BK$5,"×前日に急騰",IF($Z120&lt;$BK$6,"×前日に急落",IF($BD120&lt;$BK$7,"×高値から離れすぎ",IF($BE120&gt;$BK$8,"×当日の値幅が大きい","×")))))))))</f>
      </c>
    </row>
    <row r="121" spans="1:60"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IF(AND(E121&lt;&gt;"",K121&lt;&gt;"",K121&lt;&gt;0),(E121-K121)/K121*100,"")</f>
        <v>-25.626461744069495</v>
      </c>
      <c r="M121" s="166">
        <f>IF(C121&lt;&gt;"",IFERROR(AVERAGE(出来高!E89:I89),""),"")</f>
        <v>33440</v>
      </c>
      <c r="N121" s="166">
        <f>IF(C121&lt;&gt;"",IFERROR(AVERAGE(出来高!E89:AC89),""),"")</f>
        <v>46228</v>
      </c>
      <c r="O121" s="168">
        <f>IF(AND(J121&lt;&gt;"",M121&lt;&gt;"",M121&lt;&gt;0),J121/M121,"")</f>
        <v>0.83433014354066981</v>
      </c>
      <c r="P121" s="163" t="str">
        <f>IF(O121="","",IF(O121&gt;=2,"急増↑↑",IF(O121&gt;=1.5,"増加↑",IF(O121&gt;=1,"普通→","減少↓"))))</f>
        <v>減少↓</v>
      </c>
      <c r="Q121" s="163" t="str">
        <f>IF(E121="","",IF(AND(E121&gt;G121,O121&gt;=1.5),"買い▲",IF(E121&lt;G121,"様子見▼","中立→")))</f>
        <v>中立→</v>
      </c>
      <c r="R121" s="166">
        <f>IF(E121&lt;&gt;"",ROUND(E121*1.08,0),"")</f>
        <v>2404</v>
      </c>
      <c r="S121" s="166">
        <f>IF(E121&lt;&gt;"",ROUND(E121*0.96,0),"")</f>
        <v>2137</v>
      </c>
      <c r="T121" s="163">
        <f>IF(C121="","",IFERROR(IF(O121&gt;=2,3,IF(O121&gt;=1.5,2,IF(O121&gt;=1,1,0)))+IF(E121&gt;G121,1,0)+IF(L121&gt;=-5,1,0)+IF(Q121="買い▲",2,0)+IF(W121&lt;=30,3,IF(W121&lt;=40,2,IF(AND(W121&gt;=40,W121&lt;=60),1,0)))+IF(X121&gt;0,1,0)+IF(V121="年初来高値更新●",3,IF(V121="高値圏",2,0))+IF(AD121="パーフェクト▲",3,IF(AD121="上昇トレンド▲",2,0))+IF(AE121="25日線押し目●",2,IF(AE121="5日線押し目○",1,0))+IF(P121="急増↑↑",2,IF(P121="増加↑",1,0))+N(AI121),0))</f>
        <v>5</v>
      </c>
      <c r="U121" s="163" t="str">
        <f>IF(T121="","",IF(AND(T121&gt;=3,O121&gt;=1.5),"有効",IF(T121&gt;=3,"要確認","除外")))</f>
        <v>要確認</v>
      </c>
      <c r="V121" s="163" t="str">
        <f>IF(AND(H121&lt;&gt;"",K121&lt;&gt;""),IF(H121&gt;=K121,"年初来高値更新●",IF(H121&gt;=K121*0.95,"高値圏","通常")),"")</f>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IF(AND(E121&lt;&gt;"",G121&lt;&gt;"",G121&lt;&gt;0),(E121-G121)/G121*100,"")</f>
        <v>0.58743786714866697</v>
      </c>
      <c r="AA121" s="163" t="str">
        <f>IF(OR(C121="",E121="",E121=0),"",IF(E121&gt;G121,"上昇▲",IF(E121&lt;G121,"下落▼","横ばい→")))</f>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IF(OR(C121="",AB121="",AC121=""),"",IF(AND(E121&gt;AB121,AB121&gt;AC121),"パーフェクト▲",IF(E121&gt;AC121,"上昇トレンド▲",IF(AND(E121&lt;AB121,AB121&lt;AC121),"下降トレンド▼","もみ合い→"))))</f>
        <v>下降トレンド▼</v>
      </c>
      <c r="AE121" s="406" t="str">
        <f>IF(OR(C121="",AB121="",AC121=""),"",IF(AND(ABS(E121-AC121)/AC121&lt;=0.02,E121&gt;AC121),"25日押し目★",IF(AND(ABS(E121-AB121)/AB121&lt;=0.01,E121&gt;AB121),"5日押し目○","なし")))</f>
        <v>なし</v>
      </c>
      <c r="AF121" s="365">
        <f t="array" ref="AF121">IF(C121="","",IFERROR((INDEX(終値!$E:$E,MATCH(TEXT(C121,"0"),終値!$A:$A,0))-INDEX(終値!$E:$CZ,MATCH(TEXT(C121,"0"),終値!$A:$A,0),$AL$2))/INDEX(終値!$E:$CZ,MATCH(TEXT(C121,"0"),終値!$A:$A,0),$AL$2)*100,""))</f>
        <v>9.5472440944881889</v>
      </c>
      <c r="AG121" s="365">
        <f t="array" ref="AG121">IFERROR((終値!$E$5-INDEX(終値!$E$5:$IT$5,1,$AL$2))/INDEX(終値!$E$5:$IT$5,1,$AL$2)*100,"")</f>
        <v>1.0179378228534113</v>
      </c>
      <c r="AH121" s="366">
        <f>IF(OR(AF121="",AG121=""),"",AF121-AG121)</f>
        <v>8.5293062716347769</v>
      </c>
      <c r="AI121" s="364">
        <f>IF(AH121="","",IF(AH121&gt;5,3,IF(AH121&gt;0,1,IF(AH121&gt;-3,-1,-2))))</f>
        <v>3</v>
      </c>
      <c r="BA121">
        <f>IFERROR((SUM(OFFSET(高値!$E$6,IFERROR(MATCH($C121,銘柄管理!$B$6:$B$305,0),MATCH(TEXT($C121,"0"),銘柄管理!$B$6:$B$305,0))-1,0,1,14))-SUM(OFFSET(安値!$E$6,IFERROR(MATCH($C121,銘柄管理!$B$6:$B$305,0),MATCH(TEXT($C121,"0"),銘柄管理!$B$6:$B$305,0))-1,0,1,14)))/SUM(OFFSET(終値!$E$6,IFERROR(MATCH($C121,銘柄管理!$B$6:$B$305,0),MATCH(TEXT($C121,"0"),銘柄管理!$B$6:$B$305,0))-1,0,1,14))*100,"")</f>
      </c>
      <c r="BB121">
        <f>IFERROR((MAX(OFFSET(高値!$E$6,IFERROR(MATCH($C121,銘柄管理!$B$6:$B$305,0),MATCH(TEXT($C121,"0"),銘柄管理!$B$6:$B$305,0))-1,0,1,25))-MIN(OFFSET(安値!$E$6,IFERROR(MATCH($C121,銘柄管理!$B$6:$B$305,0),MATCH(TEXT($C121,"0"),銘柄管理!$B$6:$B$305,0))-1,0,1,25)))/$E121*100,"")</f>
      </c>
      <c r="BC121">
        <f>IFERROR(($F121-$G121)/$G121*100,"")</f>
      </c>
      <c r="BD121">
        <f>IFERROR(($E121-MAX(OFFSET(高値!$E$6,IFERROR(MATCH($C121,銘柄管理!$B$6:$B$305,0),MATCH(TEXT($C121,"0"),銘柄管理!$B$6:$B$305,0))-1,0,1,25)))/MAX(OFFSET(高値!$E$6,IFERROR(MATCH($C121,銘柄管理!$B$6:$B$305,0),MATCH(TEXT($C121,"0"),銘柄管理!$B$6:$B$305,0))-1,0,1,25))*100,"")</f>
      </c>
      <c r="BE121">
        <f>IFERROR(($H121-$I121)/$F121*100,"")</f>
      </c>
      <c r="BF121">
        <f>IFERROR(-(($BA121-AVERAGE($BA$3:$BA$206))/STDEV($BA$3:$BA$206))-(($BE121-AVERAGE($BE$3:$BE$206))/STDEV($BE$3:$BE$206))-(($BB121-AVERAGE($BB$3:$BB$206))/STDEV($BB$3:$BB$206))-(($Z121-AVERAGE($Z$3:$Z$206))/STDEV($Z$3:$Z$206))-(($BC121-AVERAGE($BC$3:$BC$206))/STDEV($BC$3:$BC$206)),"")</f>
      </c>
      <c r="BG121">
        <f>IF(OR($C121="",$C121="TOPX",$BA121="",$BF121=""),0,IF(AND($BK$10=1,$BA121&lt;=$BK$2,$BB121&lt;=$BK$3,$BC121&lt;=$BK$4,$Z121&lt;=$BK$5,$Z121&gt;=$BK$6,$BD121&gt;=$BK$7,$BE121&lt;=$BK$8),1,0))</f>
      </c>
      <c r="BH121">
        <f>IF($C121="","",IF($BG121=1,"○ゲート通過",IF($BK$10&lt;&gt;1,"― この方向は停止中",IF($BA121&gt;$BK$2,"×値動きが荒い",IF($BB121&gt;$BK$3,"×レンジが広い",IF($BC121&gt;$BK$4,"×窓を開けて上昇",IF($Z121&gt;$BK$5,"×前日に急騰",IF($Z121&lt;$BK$6,"×前日に急落",IF($BD121&lt;$BK$7,"×高値から離れすぎ",IF($BE121&gt;$BK$8,"×当日の値幅が大きい","×")))))))))</f>
      </c>
    </row>
    <row r="122" spans="1:60"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IF(AND(E122&lt;&gt;"",K122&lt;&gt;"",K122&lt;&gt;0),(E122-K122)/K122*100,"")</f>
        <v>-26.694915254237291</v>
      </c>
      <c r="M122" s="166">
        <f>IF(C122&lt;&gt;"",IFERROR(AVERAGE(出来高!E62:I62),""),"")</f>
        <v>915560</v>
      </c>
      <c r="N122" s="166">
        <f>IF(C122&lt;&gt;"",IFERROR(AVERAGE(出来高!E62:AC62),""),"")</f>
        <v>698424</v>
      </c>
      <c r="O122" s="168">
        <f>IF(AND(J122&lt;&gt;"",M122&lt;&gt;"",M122&lt;&gt;0),J122/M122,"")</f>
        <v>1.3824326095504391</v>
      </c>
      <c r="P122" s="163" t="str">
        <f>IF(O122="","",IF(O122&gt;=2,"急増↑↑",IF(O122&gt;=1.5,"増加↑",IF(O122&gt;=1,"普通→","減少↓"))))</f>
        <v>普通→</v>
      </c>
      <c r="Q122" s="163" t="str">
        <f>IF(E122="","",IF(AND(E122&gt;G122,O122&gt;=1.5),"買い▲",IF(E122&lt;G122,"様子見▼","中立→")))</f>
        <v>中立→</v>
      </c>
      <c r="R122" s="166">
        <f>IF(E122&lt;&gt;"",ROUND(E122*1.08,0),"")</f>
        <v>3737</v>
      </c>
      <c r="S122" s="166">
        <f>IF(E122&lt;&gt;"",ROUND(E122*0.96,0),"")</f>
        <v>3322</v>
      </c>
      <c r="T122" s="163">
        <f>IF(C122="","",IFERROR(IF(O122&gt;=2,3,IF(O122&gt;=1.5,2,IF(O122&gt;=1,1,0)))+IF(E122&gt;G122,1,0)+IF(L122&gt;=-5,1,0)+IF(Q122="買い▲",2,0)+IF(W122&lt;=30,3,IF(W122&lt;=40,2,IF(AND(W122&gt;=40,W122&lt;=60),1,0)))+IF(X122&gt;0,1,0)+IF(V122="年初来高値更新●",3,IF(V122="高値圏",2,0))+IF(AD122="パーフェクト▲",3,IF(AD122="上昇トレンド▲",2,0))+IF(AE122="25日線押し目●",2,IF(AE122="5日線押し目○",1,0))+IF(P122="急増↑↑",2,IF(P122="増加↑",1,0))+N(AI122),0))</f>
        <v>9</v>
      </c>
      <c r="U122" s="163" t="str">
        <f>IF(T122="","",IF(AND(T122&gt;=3,O122&gt;=1.5),"有効",IF(T122&gt;=3,"要確認","除外")))</f>
        <v>要確認</v>
      </c>
      <c r="V122" s="163" t="str">
        <f>IF(AND(H122&lt;&gt;"",K122&lt;&gt;""),IF(H122&gt;=K122,"年初来高値更新●",IF(H122&gt;=K122*0.95,"高値圏","通常")),"")</f>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IF(AND(E122&lt;&gt;"",G122&lt;&gt;"",G122&lt;&gt;0),(E122-G122)/G122*100,"")</f>
        <v>5.1671732522796354</v>
      </c>
      <c r="AA122" s="163" t="str">
        <f>IF(OR(C122="",E122="",E122=0),"",IF(E122&gt;G122,"上昇▲",IF(E122&lt;G122,"下落▼","横ばい→")))</f>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IF(OR(C122="",AB122="",AC122=""),"",IF(AND(E122&gt;AB122,AB122&gt;AC122),"パーフェクト▲",IF(E122&gt;AC122,"上昇トレンド▲",IF(AND(E122&lt;AB122,AB122&lt;AC122),"下降トレンド▼","もみ合い→"))))</f>
        <v>上昇トレンド▲</v>
      </c>
      <c r="AE122" s="404" t="str">
        <f>IF(OR(C122="",AB122="",AC122=""),"",IF(AND(ABS(E122-AC122)/AC122&lt;=0.02,E122&gt;AC122),"25日押し目★",IF(AND(ABS(E122-AB122)/AB122&lt;=0.01,E122&gt;AB122),"5日押し目○","なし")))</f>
        <v>なし</v>
      </c>
      <c r="AF122" s="365">
        <f t="array" ref="AF122">IF(C122="","",IFERROR((INDEX(終値!$E:$E,MATCH(TEXT(C122,"0"),終値!$A:$A,0))-INDEX(終値!$E:$CZ,MATCH(TEXT(C122,"0"),終値!$A:$A,0),$AL$2))/INDEX(終値!$E:$CZ,MATCH(TEXT(C122,"0"),終値!$A:$A,0),$AL$2)*100,""))</f>
        <v>18.737131091283459</v>
      </c>
      <c r="AG122" s="365">
        <f t="array" ref="AG122">IFERROR((終値!$E$5-INDEX(終値!$E$5:$IT$5,1,$AL$2))/INDEX(終値!$E$5:$IT$5,1,$AL$2)*100,"")</f>
        <v>1.0179378228534113</v>
      </c>
      <c r="AH122" s="366">
        <f>IF(OR(AF122="",AG122=""),"",AF122-AG122)</f>
        <v>17.719193268430047</v>
      </c>
      <c r="AI122" s="364">
        <f>IF(AH122="","",IF(AH122&gt;5,3,IF(AH122&gt;0,1,IF(AH122&gt;-3,-1,-2))))</f>
        <v>3</v>
      </c>
      <c r="BA122">
        <f>IFERROR((SUM(OFFSET(高値!$E$6,IFERROR(MATCH($C122,銘柄管理!$B$6:$B$305,0),MATCH(TEXT($C122,"0"),銘柄管理!$B$6:$B$305,0))-1,0,1,14))-SUM(OFFSET(安値!$E$6,IFERROR(MATCH($C122,銘柄管理!$B$6:$B$305,0),MATCH(TEXT($C122,"0"),銘柄管理!$B$6:$B$305,0))-1,0,1,14)))/SUM(OFFSET(終値!$E$6,IFERROR(MATCH($C122,銘柄管理!$B$6:$B$305,0),MATCH(TEXT($C122,"0"),銘柄管理!$B$6:$B$305,0))-1,0,1,14))*100,"")</f>
      </c>
      <c r="BB122">
        <f>IFERROR((MAX(OFFSET(高値!$E$6,IFERROR(MATCH($C122,銘柄管理!$B$6:$B$305,0),MATCH(TEXT($C122,"0"),銘柄管理!$B$6:$B$305,0))-1,0,1,25))-MIN(OFFSET(安値!$E$6,IFERROR(MATCH($C122,銘柄管理!$B$6:$B$305,0),MATCH(TEXT($C122,"0"),銘柄管理!$B$6:$B$305,0))-1,0,1,25)))/$E122*100,"")</f>
      </c>
      <c r="BC122">
        <f>IFERROR(($F122-$G122)/$G122*100,"")</f>
      </c>
      <c r="BD122">
        <f>IFERROR(($E122-MAX(OFFSET(高値!$E$6,IFERROR(MATCH($C122,銘柄管理!$B$6:$B$305,0),MATCH(TEXT($C122,"0"),銘柄管理!$B$6:$B$305,0))-1,0,1,25)))/MAX(OFFSET(高値!$E$6,IFERROR(MATCH($C122,銘柄管理!$B$6:$B$305,0),MATCH(TEXT($C122,"0"),銘柄管理!$B$6:$B$305,0))-1,0,1,25))*100,"")</f>
      </c>
      <c r="BE122">
        <f>IFERROR(($H122-$I122)/$F122*100,"")</f>
      </c>
      <c r="BF122">
        <f>IFERROR(-(($BA122-AVERAGE($BA$3:$BA$206))/STDEV($BA$3:$BA$206))-(($BE122-AVERAGE($BE$3:$BE$206))/STDEV($BE$3:$BE$206))-(($BB122-AVERAGE($BB$3:$BB$206))/STDEV($BB$3:$BB$206))-(($Z122-AVERAGE($Z$3:$Z$206))/STDEV($Z$3:$Z$206))-(($BC122-AVERAGE($BC$3:$BC$206))/STDEV($BC$3:$BC$206)),"")</f>
      </c>
      <c r="BG122">
        <f>IF(OR($C122="",$C122="TOPX",$BA122="",$BF122=""),0,IF(AND($BK$10=1,$BA122&lt;=$BK$2,$BB122&lt;=$BK$3,$BC122&lt;=$BK$4,$Z122&lt;=$BK$5,$Z122&gt;=$BK$6,$BD122&gt;=$BK$7,$BE122&lt;=$BK$8),1,0))</f>
      </c>
      <c r="BH122">
        <f>IF($C122="","",IF($BG122=1,"○ゲート通過",IF($BK$10&lt;&gt;1,"― この方向は停止中",IF($BA122&gt;$BK$2,"×値動きが荒い",IF($BB122&gt;$BK$3,"×レンジが広い",IF($BC122&gt;$BK$4,"×窓を開けて上昇",IF($Z122&gt;$BK$5,"×前日に急騰",IF($Z122&lt;$BK$6,"×前日に急落",IF($BD122&lt;$BK$7,"×高値から離れすぎ",IF($BE122&gt;$BK$8,"×当日の値幅が大きい","×")))))))))</f>
      </c>
    </row>
    <row r="123" spans="1:60"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IF(AND(E123&lt;&gt;"",K123&lt;&gt;"",K123&lt;&gt;0),(E123-K123)/K123*100,"")</f>
        <v>-5.3169734151329244</v>
      </c>
      <c r="M123" s="166">
        <f>IF(C123&lt;&gt;"",IFERROR(AVERAGE(出来高!E118:I118),""),"")</f>
        <v>1132180</v>
      </c>
      <c r="N123" s="166">
        <f>IF(C123&lt;&gt;"",IFERROR(AVERAGE(出来高!E118:AC118),""),"")</f>
        <v>972772</v>
      </c>
      <c r="O123" s="168">
        <f>IF(AND(J123&lt;&gt;"",M123&lt;&gt;"",M123&lt;&gt;0),J123/M123,"")</f>
        <v>0.79943118585383954</v>
      </c>
      <c r="P123" s="163" t="str">
        <f>IF(O123="","",IF(O123&gt;=2,"急増↑↑",IF(O123&gt;=1.5,"増加↑",IF(O123&gt;=1,"普通→","減少↓"))))</f>
        <v>減少↓</v>
      </c>
      <c r="Q123" s="163" t="str">
        <f>IF(E123="","",IF(AND(E123&gt;G123,O123&gt;=1.5),"買い▲",IF(E123&lt;G123,"様子見▼","中立→")))</f>
        <v>様子見▼</v>
      </c>
      <c r="R123" s="166">
        <f>IF(E123&lt;&gt;"",ROUND(E123*1.08,0),"")</f>
        <v>5000</v>
      </c>
      <c r="S123" s="166">
        <f>IF(E123&lt;&gt;"",ROUND(E123*0.96,0),"")</f>
        <v>4445</v>
      </c>
      <c r="T123" s="163">
        <f>IF(C123="","",IFERROR(IF(O123&gt;=2,3,IF(O123&gt;=1.5,2,IF(O123&gt;=1,1,0)))+IF(E123&gt;G123,1,0)+IF(L123&gt;=-5,1,0)+IF(Q123="買い▲",2,0)+IF(W123&lt;=30,3,IF(W123&lt;=40,2,IF(AND(W123&gt;=40,W123&lt;=60),1,0)))+IF(X123&gt;0,1,0)+IF(V123="年初来高値更新●",3,IF(V123="高値圏",2,0))+IF(AD123="パーフェクト▲",3,IF(AD123="上昇トレンド▲",2,0))+IF(AE123="25日線押し目●",2,IF(AE123="5日線押し目○",1,0))+IF(P123="急増↑↑",2,IF(P123="増加↑",1,0))+N(AI123),0))</f>
        <v>6</v>
      </c>
      <c r="U123" s="163" t="str">
        <f>IF(T123="","",IF(AND(T123&gt;=3,O123&gt;=1.5),"有効",IF(T123&gt;=3,"要確認","除外")))</f>
        <v>要確認</v>
      </c>
      <c r="V123" s="163" t="str">
        <f>IF(AND(H123&lt;&gt;"",K123&lt;&gt;""),IF(H123&gt;=K123,"年初来高値更新●",IF(H123&gt;=K123*0.95,"高値圏","通常")),"")</f>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IF(AND(E123&lt;&gt;"",G123&lt;&gt;"",G123&lt;&gt;0),(E123-G123)/G123*100,"")</f>
        <v>-1.0049176822749626</v>
      </c>
      <c r="AA123" s="163" t="str">
        <f>IF(OR(C123="",E123="",E123=0),"",IF(E123&gt;G123,"上昇▲",IF(E123&lt;G123,"下落▼","横ばい→")))</f>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IF(OR(C123="",AB123="",AC123=""),"",IF(AND(E123&gt;AB123,AB123&gt;AC123),"パーフェクト▲",IF(E123&gt;AC123,"上昇トレンド▲",IF(AND(E123&lt;AB123,AB123&lt;AC123),"下降トレンド▼","もみ合い→"))))</f>
        <v>上昇トレンド▲</v>
      </c>
      <c r="AE123" s="406" t="str">
        <f>IF(OR(C123="",AB123="",AC123=""),"",IF(AND(ABS(E123-AC123)/AC123&lt;=0.02,E123&gt;AC123),"25日押し目★",IF(AND(ABS(E123-AB123)/AB123&lt;=0.01,E123&gt;AB123),"5日押し目○","なし")))</f>
        <v>なし</v>
      </c>
      <c r="AF123" s="365">
        <f t="array" ref="AF123">IF(C123="","",IFERROR((INDEX(終値!$E:$E,MATCH(TEXT(C123,"0"),終値!$A:$A,0))-INDEX(終値!$E:$CZ,MATCH(TEXT(C123,"0"),終値!$A:$A,0),$AL$2))/INDEX(終値!$E:$CZ,MATCH(TEXT(C123,"0"),終値!$A:$A,0),$AL$2)*100,""))</f>
        <v>1.2464465340039361</v>
      </c>
      <c r="AG123" s="365">
        <f t="array" ref="AG123">IFERROR((終値!$E$5-INDEX(終値!$E$5:$IT$5,1,$AL$2))/INDEX(終値!$E$5:$IT$5,1,$AL$2)*100,"")</f>
        <v>1.0179378228534113</v>
      </c>
      <c r="AH123" s="366">
        <f>IF(OR(AF123="",AG123=""),"",AF123-AG123)</f>
        <v>0.22850871115052485</v>
      </c>
      <c r="AI123" s="364">
        <f>IF(AH123="","",IF(AH123&gt;5,3,IF(AH123&gt;0,1,IF(AH123&gt;-3,-1,-2))))</f>
        <v>1</v>
      </c>
      <c r="BA123">
        <f>IFERROR((SUM(OFFSET(高値!$E$6,IFERROR(MATCH($C123,銘柄管理!$B$6:$B$305,0),MATCH(TEXT($C123,"0"),銘柄管理!$B$6:$B$305,0))-1,0,1,14))-SUM(OFFSET(安値!$E$6,IFERROR(MATCH($C123,銘柄管理!$B$6:$B$305,0),MATCH(TEXT($C123,"0"),銘柄管理!$B$6:$B$305,0))-1,0,1,14)))/SUM(OFFSET(終値!$E$6,IFERROR(MATCH($C123,銘柄管理!$B$6:$B$305,0),MATCH(TEXT($C123,"0"),銘柄管理!$B$6:$B$305,0))-1,0,1,14))*100,"")</f>
      </c>
      <c r="BB123">
        <f>IFERROR((MAX(OFFSET(高値!$E$6,IFERROR(MATCH($C123,銘柄管理!$B$6:$B$305,0),MATCH(TEXT($C123,"0"),銘柄管理!$B$6:$B$305,0))-1,0,1,25))-MIN(OFFSET(安値!$E$6,IFERROR(MATCH($C123,銘柄管理!$B$6:$B$305,0),MATCH(TEXT($C123,"0"),銘柄管理!$B$6:$B$305,0))-1,0,1,25)))/$E123*100,"")</f>
      </c>
      <c r="BC123">
        <f>IFERROR(($F123-$G123)/$G123*100,"")</f>
      </c>
      <c r="BD123">
        <f>IFERROR(($E123-MAX(OFFSET(高値!$E$6,IFERROR(MATCH($C123,銘柄管理!$B$6:$B$305,0),MATCH(TEXT($C123,"0"),銘柄管理!$B$6:$B$305,0))-1,0,1,25)))/MAX(OFFSET(高値!$E$6,IFERROR(MATCH($C123,銘柄管理!$B$6:$B$305,0),MATCH(TEXT($C123,"0"),銘柄管理!$B$6:$B$305,0))-1,0,1,25))*100,"")</f>
      </c>
      <c r="BE123">
        <f>IFERROR(($H123-$I123)/$F123*100,"")</f>
      </c>
      <c r="BF123">
        <f>IFERROR(-(($BA123-AVERAGE($BA$3:$BA$206))/STDEV($BA$3:$BA$206))-(($BE123-AVERAGE($BE$3:$BE$206))/STDEV($BE$3:$BE$206))-(($BB123-AVERAGE($BB$3:$BB$206))/STDEV($BB$3:$BB$206))-(($Z123-AVERAGE($Z$3:$Z$206))/STDEV($Z$3:$Z$206))-(($BC123-AVERAGE($BC$3:$BC$206))/STDEV($BC$3:$BC$206)),"")</f>
      </c>
      <c r="BG123">
        <f>IF(OR($C123="",$C123="TOPX",$BA123="",$BF123=""),0,IF(AND($BK$10=1,$BA123&lt;=$BK$2,$BB123&lt;=$BK$3,$BC123&lt;=$BK$4,$Z123&lt;=$BK$5,$Z123&gt;=$BK$6,$BD123&gt;=$BK$7,$BE123&lt;=$BK$8),1,0))</f>
      </c>
      <c r="BH123">
        <f>IF($C123="","",IF($BG123=1,"○ゲート通過",IF($BK$10&lt;&gt;1,"― この方向は停止中",IF($BA123&gt;$BK$2,"×値動きが荒い",IF($BB123&gt;$BK$3,"×レンジが広い",IF($BC123&gt;$BK$4,"×窓を開けて上昇",IF($Z123&gt;$BK$5,"×前日に急騰",IF($Z123&lt;$BK$6,"×前日に急落",IF($BD123&lt;$BK$7,"×高値から離れすぎ",IF($BE123&gt;$BK$8,"×当日の値幅が大きい","×")))))))))</f>
      </c>
    </row>
    <row r="124" spans="1:60"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IF(AND(E124&lt;&gt;"",K124&lt;&gt;"",K124&lt;&gt;0),(E124-K124)/K124*100,"")</f>
        <v>-40.753461414618442</v>
      </c>
      <c r="M124" s="166">
        <f>IF(C124&lt;&gt;"",IFERROR(AVERAGE(出来高!E117:I117),""),"")</f>
        <v>1057000</v>
      </c>
      <c r="N124" s="166">
        <f>IF(C124&lt;&gt;"",IFERROR(AVERAGE(出来高!E117:AC117),""),"")</f>
        <v>1103732</v>
      </c>
      <c r="O124" s="168">
        <f>IF(AND(J124&lt;&gt;"",M124&lt;&gt;"",M124&lt;&gt;0),J124/M124,"")</f>
        <v>1.1195837275307474</v>
      </c>
      <c r="P124" s="163" t="str">
        <f>IF(O124="","",IF(O124&gt;=2,"急増↑↑",IF(O124&gt;=1.5,"増加↑",IF(O124&gt;=1,"普通→","減少↓"))))</f>
        <v>普通→</v>
      </c>
      <c r="Q124" s="163" t="str">
        <f>IF(E124="","",IF(AND(E124&gt;G124,O124&gt;=1.5),"買い▲",IF(E124&lt;G124,"様子見▼","中立→")))</f>
        <v>様子見▼</v>
      </c>
      <c r="R124" s="166">
        <f>IF(E124&lt;&gt;"",ROUND(E124*1.08,0),"")</f>
        <v>5962</v>
      </c>
      <c r="S124" s="166">
        <f>IF(E124&lt;&gt;"",ROUND(E124*0.96,0),"")</f>
        <v>5299</v>
      </c>
      <c r="T124" s="163">
        <f>IF(C124="","",IFERROR(IF(O124&gt;=2,3,IF(O124&gt;=1.5,2,IF(O124&gt;=1,1,0)))+IF(E124&gt;G124,1,0)+IF(L124&gt;=-5,1,0)+IF(Q124="買い▲",2,0)+IF(W124&lt;=30,3,IF(W124&lt;=40,2,IF(AND(W124&gt;=40,W124&lt;=60),1,0)))+IF(X124&gt;0,1,0)+IF(V124="年初来高値更新●",3,IF(V124="高値圏",2,0))+IF(AD124="パーフェクト▲",3,IF(AD124="上昇トレンド▲",2,0))+IF(AE124="25日線押し目●",2,IF(AE124="5日線押し目○",1,0))+IF(P124="急増↑↑",2,IF(P124="増加↑",1,0))+N(AI124),0))</f>
        <v>8</v>
      </c>
      <c r="U124" s="163" t="str">
        <f>IF(T124="","",IF(AND(T124&gt;=3,O124&gt;=1.5),"有効",IF(T124&gt;=3,"要確認","除外")))</f>
        <v>要確認</v>
      </c>
      <c r="V124" s="163" t="str">
        <f>IF(AND(H124&lt;&gt;"",K124&lt;&gt;""),IF(H124&gt;=K124,"年初来高値更新●",IF(H124&gt;=K124*0.95,"高値圏","通常")),"")</f>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IF(AND(E124&lt;&gt;"",G124&lt;&gt;"",G124&lt;&gt;0),(E124-G124)/G124*100,"")</f>
        <v>-0.57636887608069165</v>
      </c>
      <c r="AA124" s="163" t="str">
        <f>IF(OR(C124="",E124="",E124=0),"",IF(E124&gt;G124,"上昇▲",IF(E124&lt;G124,"下落▼","横ばい→")))</f>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IF(OR(C124="",AB124="",AC124=""),"",IF(AND(E124&gt;AB124,AB124&gt;AC124),"パーフェクト▲",IF(E124&gt;AC124,"上昇トレンド▲",IF(AND(E124&lt;AB124,AB124&lt;AC124),"下降トレンド▼","もみ合い→"))))</f>
        <v>パーフェクト▲</v>
      </c>
      <c r="AE124" s="404" t="str">
        <f>IF(OR(C124="",AB124="",AC124=""),"",IF(AND(ABS(E124-AC124)/AC124&lt;=0.02,E124&gt;AC124),"25日押し目★",IF(AND(ABS(E124-AB124)/AB124&lt;=0.01,E124&gt;AB124),"5日押し目○","なし")))</f>
        <v>なし</v>
      </c>
      <c r="AF124" s="365">
        <f t="array" ref="AF124">IF(C124="","",IFERROR((INDEX(終値!$E:$E,MATCH(TEXT(C124,"0"),終値!$A:$A,0))-INDEX(終値!$E:$CZ,MATCH(TEXT(C124,"0"),終値!$A:$A,0),$AL$2))/INDEX(終値!$E:$CZ,MATCH(TEXT(C124,"0"),終値!$A:$A,0),$AL$2)*100,""))</f>
        <v>7.7493656060901817</v>
      </c>
      <c r="AG124" s="365">
        <f t="array" ref="AG124">IFERROR((終値!$E$5-INDEX(終値!$E$5:$IT$5,1,$AL$2))/INDEX(終値!$E$5:$IT$5,1,$AL$2)*100,"")</f>
        <v>1.0179378228534113</v>
      </c>
      <c r="AH124" s="366">
        <f>IF(OR(AF124="",AG124=""),"",AF124-AG124)</f>
        <v>6.7314277832367706</v>
      </c>
      <c r="AI124" s="364">
        <f>IF(AH124="","",IF(AH124&gt;5,3,IF(AH124&gt;0,1,IF(AH124&gt;-3,-1,-2))))</f>
        <v>3</v>
      </c>
      <c r="BA124">
        <f>IFERROR((SUM(OFFSET(高値!$E$6,IFERROR(MATCH($C124,銘柄管理!$B$6:$B$305,0),MATCH(TEXT($C124,"0"),銘柄管理!$B$6:$B$305,0))-1,0,1,14))-SUM(OFFSET(安値!$E$6,IFERROR(MATCH($C124,銘柄管理!$B$6:$B$305,0),MATCH(TEXT($C124,"0"),銘柄管理!$B$6:$B$305,0))-1,0,1,14)))/SUM(OFFSET(終値!$E$6,IFERROR(MATCH($C124,銘柄管理!$B$6:$B$305,0),MATCH(TEXT($C124,"0"),銘柄管理!$B$6:$B$305,0))-1,0,1,14))*100,"")</f>
      </c>
      <c r="BB124">
        <f>IFERROR((MAX(OFFSET(高値!$E$6,IFERROR(MATCH($C124,銘柄管理!$B$6:$B$305,0),MATCH(TEXT($C124,"0"),銘柄管理!$B$6:$B$305,0))-1,0,1,25))-MIN(OFFSET(安値!$E$6,IFERROR(MATCH($C124,銘柄管理!$B$6:$B$305,0),MATCH(TEXT($C124,"0"),銘柄管理!$B$6:$B$305,0))-1,0,1,25)))/$E124*100,"")</f>
      </c>
      <c r="BC124">
        <f>IFERROR(($F124-$G124)/$G124*100,"")</f>
      </c>
      <c r="BD124">
        <f>IFERROR(($E124-MAX(OFFSET(高値!$E$6,IFERROR(MATCH($C124,銘柄管理!$B$6:$B$305,0),MATCH(TEXT($C124,"0"),銘柄管理!$B$6:$B$305,0))-1,0,1,25)))/MAX(OFFSET(高値!$E$6,IFERROR(MATCH($C124,銘柄管理!$B$6:$B$305,0),MATCH(TEXT($C124,"0"),銘柄管理!$B$6:$B$305,0))-1,0,1,25))*100,"")</f>
      </c>
      <c r="BE124">
        <f>IFERROR(($H124-$I124)/$F124*100,"")</f>
      </c>
      <c r="BF124">
        <f>IFERROR(-(($BA124-AVERAGE($BA$3:$BA$206))/STDEV($BA$3:$BA$206))-(($BE124-AVERAGE($BE$3:$BE$206))/STDEV($BE$3:$BE$206))-(($BB124-AVERAGE($BB$3:$BB$206))/STDEV($BB$3:$BB$206))-(($Z124-AVERAGE($Z$3:$Z$206))/STDEV($Z$3:$Z$206))-(($BC124-AVERAGE($BC$3:$BC$206))/STDEV($BC$3:$BC$206)),"")</f>
      </c>
      <c r="BG124">
        <f>IF(OR($C124="",$C124="TOPX",$BA124="",$BF124=""),0,IF(AND($BK$10=1,$BA124&lt;=$BK$2,$BB124&lt;=$BK$3,$BC124&lt;=$BK$4,$Z124&lt;=$BK$5,$Z124&gt;=$BK$6,$BD124&gt;=$BK$7,$BE124&lt;=$BK$8),1,0))</f>
      </c>
      <c r="BH124">
        <f>IF($C124="","",IF($BG124=1,"○ゲート通過",IF($BK$10&lt;&gt;1,"― この方向は停止中",IF($BA124&gt;$BK$2,"×値動きが荒い",IF($BB124&gt;$BK$3,"×レンジが広い",IF($BC124&gt;$BK$4,"×窓を開けて上昇",IF($Z124&gt;$BK$5,"×前日に急騰",IF($Z124&lt;$BK$6,"×前日に急落",IF($BD124&lt;$BK$7,"×高値から離れすぎ",IF($BE124&gt;$BK$8,"×当日の値幅が大きい","×")))))))))</f>
      </c>
    </row>
    <row r="125" spans="1:60"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IF(AND(E125&lt;&gt;"",K125&lt;&gt;"",K125&lt;&gt;0),(E125-K125)/K125*100,"")</f>
        <v>-42.064792638346148</v>
      </c>
      <c r="M125" s="166">
        <f>IF(C125&lt;&gt;"",IFERROR(AVERAGE(出来高!E103:I103),""),"")</f>
        <v>54445500</v>
      </c>
      <c r="N125" s="166">
        <f>IF(C125&lt;&gt;"",IFERROR(AVERAGE(出来高!E103:AC103),""),"")</f>
        <v>42442200</v>
      </c>
      <c r="O125" s="168">
        <f>IF(AND(J125&lt;&gt;"",M125&lt;&gt;"",M125&lt;&gt;0),J125/M125,"")</f>
        <v>1.05723338016916</v>
      </c>
      <c r="P125" s="163" t="str">
        <f>IF(O125="","",IF(O125&gt;=2,"急増↑↑",IF(O125&gt;=1.5,"増加↑",IF(O125&gt;=1,"普通→","減少↓"))))</f>
        <v>普通→</v>
      </c>
      <c r="Q125" s="163" t="str">
        <f>IF(E125="","",IF(AND(E125&gt;G125,O125&gt;=1.5),"買い▲",IF(E125&lt;G125,"様子見▼","中立→")))</f>
        <v>様子見▼</v>
      </c>
      <c r="R125" s="166">
        <f>IF(E125&lt;&gt;"",ROUND(E125*1.08,0),"")</f>
        <v>4964</v>
      </c>
      <c r="S125" s="166">
        <f>IF(E125&lt;&gt;"",ROUND(E125*0.96,0),"")</f>
        <v>4412</v>
      </c>
      <c r="T125" s="163">
        <f>IF(C125="","",IFERROR(IF(O125&gt;=2,3,IF(O125&gt;=1.5,2,IF(O125&gt;=1,1,0)))+IF(E125&gt;G125,1,0)+IF(L125&gt;=-5,1,0)+IF(Q125="買い▲",2,0)+IF(W125&lt;=30,3,IF(W125&lt;=40,2,IF(AND(W125&gt;=40,W125&lt;=60),1,0)))+IF(X125&gt;0,1,0)+IF(V125="年初来高値更新●",3,IF(V125="高値圏",2,0))+IF(AD125="パーフェクト▲",3,IF(AD125="上昇トレンド▲",2,0))+IF(AE125="25日線押し目●",2,IF(AE125="5日線押し目○",1,0))+IF(P125="急増↑↑",2,IF(P125="増加↑",1,0))+N(AI125),0))</f>
        <v>0</v>
      </c>
      <c r="U125" s="163" t="str">
        <f>IF(T125="","",IF(AND(T125&gt;=3,O125&gt;=1.5),"有効",IF(T125&gt;=3,"要確認","除外")))</f>
        <v>除外</v>
      </c>
      <c r="V125" s="163" t="str">
        <f>IF(AND(H125&lt;&gt;"",K125&lt;&gt;""),IF(H125&gt;=K125,"年初来高値更新●",IF(H125&gt;=K125*0.95,"高値圏","通常")),"")</f>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IF(AND(E125&lt;&gt;"",G125&lt;&gt;"",G125&lt;&gt;0),(E125-G125)/G125*100,"")</f>
        <v>-9.4027202838557056</v>
      </c>
      <c r="AA125" s="163" t="str">
        <f>IF(OR(C125="",E125="",E125=0),"",IF(E125&gt;G125,"上昇▲",IF(E125&lt;G125,"下落▼","横ばい→")))</f>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IF(OR(C125="",AB125="",AC125=""),"",IF(AND(E125&gt;AB125,AB125&gt;AC125),"パーフェクト▲",IF(E125&gt;AC125,"上昇トレンド▲",IF(AND(E125&lt;AB125,AB125&lt;AC125),"下降トレンド▼","もみ合い→"))))</f>
        <v>下降トレンド▼</v>
      </c>
      <c r="AE125" s="406" t="str">
        <f>IF(OR(C125="",AB125="",AC125=""),"",IF(AND(ABS(E125-AC125)/AC125&lt;=0.02,E125&gt;AC125),"25日押し目★",IF(AND(ABS(E125-AB125)/AB125&lt;=0.01,E125&gt;AB125),"5日押し目○","なし")))</f>
        <v>なし</v>
      </c>
      <c r="AF125" s="365">
        <f t="array" ref="AF125">IF(C125="","",IFERROR((INDEX(終値!$E:$E,MATCH(TEXT(C125,"0"),終値!$A:$A,0))-INDEX(終値!$E:$CZ,MATCH(TEXT(C125,"0"),終値!$A:$A,0),$AL$2))/INDEX(終値!$E:$CZ,MATCH(TEXT(C125,"0"),終値!$A:$A,0),$AL$2)*100,""))</f>
        <v>-21.112255406797118</v>
      </c>
      <c r="AG125" s="365">
        <f t="array" ref="AG125">IFERROR((終値!$E$5-INDEX(終値!$E$5:$IT$5,1,$AL$2))/INDEX(終値!$E$5:$IT$5,1,$AL$2)*100,"")</f>
        <v>1.0179378228534113</v>
      </c>
      <c r="AH125" s="366">
        <f>IF(OR(AF125="",AG125=""),"",AF125-AG125)</f>
        <v>-22.13019322965053</v>
      </c>
      <c r="AI125" s="364">
        <f>IF(AH125="","",IF(AH125&gt;5,3,IF(AH125&gt;0,1,IF(AH125&gt;-3,-1,-2))))</f>
        <v>-2</v>
      </c>
      <c r="BA125">
        <f>IFERROR((SUM(OFFSET(高値!$E$6,IFERROR(MATCH($C125,銘柄管理!$B$6:$B$305,0),MATCH(TEXT($C125,"0"),銘柄管理!$B$6:$B$305,0))-1,0,1,14))-SUM(OFFSET(安値!$E$6,IFERROR(MATCH($C125,銘柄管理!$B$6:$B$305,0),MATCH(TEXT($C125,"0"),銘柄管理!$B$6:$B$305,0))-1,0,1,14)))/SUM(OFFSET(終値!$E$6,IFERROR(MATCH($C125,銘柄管理!$B$6:$B$305,0),MATCH(TEXT($C125,"0"),銘柄管理!$B$6:$B$305,0))-1,0,1,14))*100,"")</f>
      </c>
      <c r="BB125">
        <f>IFERROR((MAX(OFFSET(高値!$E$6,IFERROR(MATCH($C125,銘柄管理!$B$6:$B$305,0),MATCH(TEXT($C125,"0"),銘柄管理!$B$6:$B$305,0))-1,0,1,25))-MIN(OFFSET(安値!$E$6,IFERROR(MATCH($C125,銘柄管理!$B$6:$B$305,0),MATCH(TEXT($C125,"0"),銘柄管理!$B$6:$B$305,0))-1,0,1,25)))/$E125*100,"")</f>
      </c>
      <c r="BC125">
        <f>IFERROR(($F125-$G125)/$G125*100,"")</f>
      </c>
      <c r="BD125">
        <f>IFERROR(($E125-MAX(OFFSET(高値!$E$6,IFERROR(MATCH($C125,銘柄管理!$B$6:$B$305,0),MATCH(TEXT($C125,"0"),銘柄管理!$B$6:$B$305,0))-1,0,1,25)))/MAX(OFFSET(高値!$E$6,IFERROR(MATCH($C125,銘柄管理!$B$6:$B$305,0),MATCH(TEXT($C125,"0"),銘柄管理!$B$6:$B$305,0))-1,0,1,25))*100,"")</f>
      </c>
      <c r="BE125">
        <f>IFERROR(($H125-$I125)/$F125*100,"")</f>
      </c>
      <c r="BF125">
        <f>IFERROR(-(($BA125-AVERAGE($BA$3:$BA$206))/STDEV($BA$3:$BA$206))-(($BE125-AVERAGE($BE$3:$BE$206))/STDEV($BE$3:$BE$206))-(($BB125-AVERAGE($BB$3:$BB$206))/STDEV($BB$3:$BB$206))-(($Z125-AVERAGE($Z$3:$Z$206))/STDEV($Z$3:$Z$206))-(($BC125-AVERAGE($BC$3:$BC$206))/STDEV($BC$3:$BC$206)),"")</f>
      </c>
      <c r="BG125">
        <f>IF(OR($C125="",$C125="TOPX",$BA125="",$BF125=""),0,IF(AND($BK$10=1,$BA125&lt;=$BK$2,$BB125&lt;=$BK$3,$BC125&lt;=$BK$4,$Z125&lt;=$BK$5,$Z125&gt;=$BK$6,$BD125&gt;=$BK$7,$BE125&lt;=$BK$8),1,0))</f>
      </c>
      <c r="BH125">
        <f>IF($C125="","",IF($BG125=1,"○ゲート通過",IF($BK$10&lt;&gt;1,"― この方向は停止中",IF($BA125&gt;$BK$2,"×値動きが荒い",IF($BB125&gt;$BK$3,"×レンジが広い",IF($BC125&gt;$BK$4,"×窓を開けて上昇",IF($Z125&gt;$BK$5,"×前日に急騰",IF($Z125&lt;$BK$6,"×前日に急落",IF($BD125&lt;$BK$7,"×高値から離れすぎ",IF($BE125&gt;$BK$8,"×当日の値幅が大きい","×")))))))))</f>
      </c>
    </row>
    <row r="126" spans="1:60"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IF(AND(E126&lt;&gt;"",K126&lt;&gt;"",K126&lt;&gt;0),(E126-K126)/K126*100,"")</f>
        <v>-28.502815501821793</v>
      </c>
      <c r="M126" s="166">
        <f>IF(C126&lt;&gt;"",IFERROR(AVERAGE(出来高!E102:I102),""),"")</f>
        <v>31458650</v>
      </c>
      <c r="N126" s="166">
        <f>IF(C126&lt;&gt;"",IFERROR(AVERAGE(出来高!E102:AC102),""),"")</f>
        <v>31458650</v>
      </c>
      <c r="O126" s="168">
        <f>IF(AND(J126&lt;&gt;"",M126&lt;&gt;"",M126&lt;&gt;0),J126/M126,"")</f>
        <v>1.0162038103987299</v>
      </c>
      <c r="P126" s="163" t="str">
        <f>IF(O126="","",IF(O126&gt;=2,"急増↑↑",IF(O126&gt;=1.5,"増加↑",IF(O126&gt;=1,"普通→","減少↓"))))</f>
        <v>普通→</v>
      </c>
      <c r="Q126" s="163" t="str">
        <f>IF(E126="","",IF(AND(E126&gt;G126,O126&gt;=1.5),"買い▲",IF(E126&lt;G126,"様子見▼","中立→")))</f>
        <v>様子見▼</v>
      </c>
      <c r="R126" s="166">
        <f>IF(E126&lt;&gt;"",ROUND(E126*1.08,0),"")</f>
        <v>2331</v>
      </c>
      <c r="S126" s="166">
        <f>IF(E126&lt;&gt;"",ROUND(E126*0.96,0),"")</f>
        <v>2072</v>
      </c>
      <c r="T126" s="163">
        <f>IF(C126="","",IFERROR(IF(O126&gt;=2,3,IF(O126&gt;=1.5,2,IF(O126&gt;=1,1,0)))+IF(E126&gt;G126,1,0)+IF(L126&gt;=-5,1,0)+IF(Q126="買い▲",2,0)+IF(W126&lt;=30,3,IF(W126&lt;=40,2,IF(AND(W126&gt;=40,W126&lt;=60),1,0)))+IF(X126&gt;0,1,0)+IF(V126="年初来高値更新●",3,IF(V126="高値圏",2,0))+IF(AD126="パーフェクト▲",3,IF(AD126="上昇トレンド▲",2,0))+IF(AE126="25日線押し目●",2,IF(AE126="5日線押し目○",1,0))+IF(P126="急増↑↑",2,IF(P126="増加↑",1,0))+N(AI126),0))</f>
        <v>6</v>
      </c>
      <c r="U126" s="163" t="str">
        <f>IF(T126="","",IF(AND(T126&gt;=3,O126&gt;=1.5),"有効",IF(T126&gt;=3,"要確認","除外")))</f>
        <v>要確認</v>
      </c>
      <c r="V126" s="163" t="str">
        <f>IF(AND(H126&lt;&gt;"",K126&lt;&gt;""),IF(H126&gt;=K126,"年初来高値更新●",IF(H126&gt;=K126*0.95,"高値圏","通常")),"")</f>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IF(AND(E126&lt;&gt;"",G126&lt;&gt;"",G126&lt;&gt;0),(E126-G126)/G126*100,"")</f>
        <v>-8.9816571790006314</v>
      </c>
      <c r="AA126" s="163" t="str">
        <f>IF(OR(C126="",E126="",E126=0),"",IF(E126&gt;G126,"上昇▲",IF(E126&lt;G126,"下落▼","横ばい→")))</f>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IF(OR(C126="",AB126="",AC126=""),"",IF(AND(E126&gt;AB126,AB126&gt;AC126),"パーフェクト▲",IF(E126&gt;AC126,"上昇トレンド▲",IF(AND(E126&lt;AB126,AB126&lt;AC126),"下降トレンド▼","もみ合い→"))))</f>
        <v>パーフェクト▲</v>
      </c>
      <c r="AE126" s="404" t="str">
        <f>IF(OR(C126="",AB126="",AC126=""),"",IF(AND(ABS(E126-AC126)/AC126&lt;=0.02,E126&gt;AC126),"25日押し目★",IF(AND(ABS(E126-AB126)/AB126&lt;=0.01,E126&gt;AB126),"5日押し目○","なし")))</f>
        <v>なし</v>
      </c>
      <c r="AF126" s="365" t="str">
        <f t="array" ref="AF126">IF(C126="","",IFERROR((INDEX(終値!$E:$E,MATCH(TEXT(C126,"0"),終値!$A:$A,0))-INDEX(終値!$E:$CZ,MATCH(TEXT(C126,"0"),終値!$A:$A,0),$AL$2))/INDEX(終値!$E:$CZ,MATCH(TEXT(C126,"0"),終値!$A:$A,0),$AL$2)*100,""))</f>
        <v/>
      </c>
      <c r="AG126" s="365">
        <f t="array" ref="AG126">IFERROR((終値!$E$5-INDEX(終値!$E$5:$IT$5,1,$AL$2))/INDEX(終値!$E$5:$IT$5,1,$AL$2)*100,"")</f>
        <v>1.0179378228534113</v>
      </c>
      <c r="AH126" s="366" t="str">
        <f>IF(OR(AF126="",AG126=""),"",AF126-AG126)</f>
        <v/>
      </c>
      <c r="AI126" s="364" t="str">
        <f>IF(AH126="","",IF(AH126&gt;5,3,IF(AH126&gt;0,1,IF(AH126&gt;-3,-1,-2))))</f>
        <v/>
      </c>
      <c r="BA126">
        <f>IFERROR((SUM(OFFSET(高値!$E$6,IFERROR(MATCH($C126,銘柄管理!$B$6:$B$305,0),MATCH(TEXT($C126,"0"),銘柄管理!$B$6:$B$305,0))-1,0,1,14))-SUM(OFFSET(安値!$E$6,IFERROR(MATCH($C126,銘柄管理!$B$6:$B$305,0),MATCH(TEXT($C126,"0"),銘柄管理!$B$6:$B$305,0))-1,0,1,14)))/SUM(OFFSET(終値!$E$6,IFERROR(MATCH($C126,銘柄管理!$B$6:$B$305,0),MATCH(TEXT($C126,"0"),銘柄管理!$B$6:$B$305,0))-1,0,1,14))*100,"")</f>
      </c>
      <c r="BB126">
        <f>IFERROR((MAX(OFFSET(高値!$E$6,IFERROR(MATCH($C126,銘柄管理!$B$6:$B$305,0),MATCH(TEXT($C126,"0"),銘柄管理!$B$6:$B$305,0))-1,0,1,25))-MIN(OFFSET(安値!$E$6,IFERROR(MATCH($C126,銘柄管理!$B$6:$B$305,0),MATCH(TEXT($C126,"0"),銘柄管理!$B$6:$B$305,0))-1,0,1,25)))/$E126*100,"")</f>
      </c>
      <c r="BC126">
        <f>IFERROR(($F126-$G126)/$G126*100,"")</f>
      </c>
      <c r="BD126">
        <f>IFERROR(($E126-MAX(OFFSET(高値!$E$6,IFERROR(MATCH($C126,銘柄管理!$B$6:$B$305,0),MATCH(TEXT($C126,"0"),銘柄管理!$B$6:$B$305,0))-1,0,1,25)))/MAX(OFFSET(高値!$E$6,IFERROR(MATCH($C126,銘柄管理!$B$6:$B$305,0),MATCH(TEXT($C126,"0"),銘柄管理!$B$6:$B$305,0))-1,0,1,25))*100,"")</f>
      </c>
      <c r="BE126">
        <f>IFERROR(($H126-$I126)/$F126*100,"")</f>
      </c>
      <c r="BF126">
        <f>IFERROR(-(($BA126-AVERAGE($BA$3:$BA$206))/STDEV($BA$3:$BA$206))-(($BE126-AVERAGE($BE$3:$BE$206))/STDEV($BE$3:$BE$206))-(($BB126-AVERAGE($BB$3:$BB$206))/STDEV($BB$3:$BB$206))-(($Z126-AVERAGE($Z$3:$Z$206))/STDEV($Z$3:$Z$206))-(($BC126-AVERAGE($BC$3:$BC$206))/STDEV($BC$3:$BC$206)),"")</f>
      </c>
      <c r="BG126">
        <f>IF(OR($C126="",$C126="TOPX",$BA126="",$BF126=""),0,IF(AND($BK$10=1,$BA126&lt;=$BK$2,$BB126&lt;=$BK$3,$BC126&lt;=$BK$4,$Z126&lt;=$BK$5,$Z126&gt;=$BK$6,$BD126&gt;=$BK$7,$BE126&lt;=$BK$8),1,0))</f>
      </c>
      <c r="BH126">
        <f>IF($C126="","",IF($BG126=1,"○ゲート通過",IF($BK$10&lt;&gt;1,"― この方向は停止中",IF($BA126&gt;$BK$2,"×値動きが荒い",IF($BB126&gt;$BK$3,"×レンジが広い",IF($BC126&gt;$BK$4,"×窓を開けて上昇",IF($Z126&gt;$BK$5,"×前日に急騰",IF($Z126&lt;$BK$6,"×前日に急落",IF($BD126&lt;$BK$7,"×高値から離れすぎ",IF($BE126&gt;$BK$8,"×当日の値幅が大きい","×")))))))))</f>
      </c>
    </row>
    <row r="127" spans="1:60"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IF(AND(E127&lt;&gt;"",K127&lt;&gt;"",K127&lt;&gt;0),(E127-K127)/K127*100,"")</f>
        <v>-19.733059548254619</v>
      </c>
      <c r="M127" s="166">
        <f>IF(C127&lt;&gt;"",IFERROR(AVERAGE(出来高!E200:I200),""),"")</f>
        <v>37311000</v>
      </c>
      <c r="N127" s="166">
        <f>IF(C127&lt;&gt;"",IFERROR(AVERAGE(出来高!E200:AC200),""),"")</f>
        <v>22022140</v>
      </c>
      <c r="O127" s="168">
        <f>IF(AND(J127&lt;&gt;"",M127&lt;&gt;"",M127&lt;&gt;0),J127/M127,"")</f>
        <v>1.939229717777599</v>
      </c>
      <c r="P127" s="163" t="str">
        <f>IF(O127="","",IF(O127&gt;=2,"急増↑↑",IF(O127&gt;=1.5,"増加↑",IF(O127&gt;=1,"普通→","減少↓"))))</f>
        <v>増加↑</v>
      </c>
      <c r="Q127" s="163" t="str">
        <f>IF(E127="","",IF(AND(E127&gt;G127,O127&gt;=1.5),"買い▲",IF(E127&lt;G127,"様子見▼","中立→")))</f>
        <v>様子見▼</v>
      </c>
      <c r="R127" s="166">
        <f>IF(E127&lt;&gt;"",ROUND(E127*1.08,0),"")</f>
        <v>4222</v>
      </c>
      <c r="S127" s="166">
        <f>IF(E127&lt;&gt;"",ROUND(E127*0.96,0),"")</f>
        <v>3753</v>
      </c>
      <c r="T127" s="163">
        <f>IF(C127="","",IFERROR(IF(O127&gt;=2,3,IF(O127&gt;=1.5,2,IF(O127&gt;=1,1,0)))+IF(E127&gt;G127,1,0)+IF(L127&gt;=-5,1,0)+IF(Q127="買い▲",2,0)+IF(W127&lt;=30,3,IF(W127&lt;=40,2,IF(AND(W127&gt;=40,W127&lt;=60),1,0)))+IF(X127&gt;0,1,0)+IF(V127="年初来高値更新●",3,IF(V127="高値圏",2,0))+IF(AD127="パーフェクト▲",3,IF(AD127="上昇トレンド▲",2,0))+IF(AE127="25日線押し目●",2,IF(AE127="5日線押し目○",1,0))+IF(P127="急増↑↑",2,IF(P127="増加↑",1,0))+N(AI127),0))</f>
        <v>5</v>
      </c>
      <c r="U127" s="163" t="str">
        <f>IF(T127="","",IF(AND(T127&gt;=3,O127&gt;=1.5),"有効",IF(T127&gt;=3,"要確認","除外")))</f>
        <v>有効</v>
      </c>
      <c r="V127" s="163" t="str">
        <f>IF(AND(H127&lt;&gt;"",K127&lt;&gt;""),IF(H127&gt;=K127,"年初来高値更新●",IF(H127&gt;=K127*0.95,"高値圏","通常")),"")</f>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IF(AND(E127&lt;&gt;"",G127&lt;&gt;"",G127&lt;&gt;0),(E127-G127)/G127*100,"")</f>
        <v>-0.25516713447307987</v>
      </c>
      <c r="AA127" s="163" t="str">
        <f>IF(OR(C127="",E127="",E127=0),"",IF(E127&gt;G127,"上昇▲",IF(E127&lt;G127,"下落▼","横ばい→")))</f>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IF(OR(C127="",AB127="",AC127=""),"",IF(AND(E127&gt;AB127,AB127&gt;AC127),"パーフェクト▲",IF(E127&gt;AC127,"上昇トレンド▲",IF(AND(E127&lt;AB127,AB127&lt;AC127),"下降トレンド▼","もみ合い→"))))</f>
        <v>パーフェクト▲</v>
      </c>
      <c r="AE127" s="406" t="str">
        <f>IF(OR(C127="",AB127="",AC127=""),"",IF(AND(ABS(E127-AC127)/AC127&lt;=0.02,E127&gt;AC127),"25日押し目★",IF(AND(ABS(E127-AB127)/AB127&lt;=0.01,E127&gt;AB127),"5日押し目○","なし")))</f>
        <v>なし</v>
      </c>
      <c r="AF127" s="365">
        <f t="array" ref="AF127">IF(C127="","",IFERROR((INDEX(終値!$E:$E,MATCH(TEXT(C127,"0"),終値!$A:$A,0))-INDEX(終値!$E:$CZ,MATCH(TEXT(C127,"0"),終値!$A:$A,0),$AL$2))/INDEX(終値!$E:$CZ,MATCH(TEXT(C127,"0"),終値!$A:$A,0),$AL$2)*100,""))</f>
        <v>-10.158584233509538</v>
      </c>
      <c r="AG127" s="365">
        <f t="array" ref="AG127">IFERROR((終値!$E$5-INDEX(終値!$E$5:$IT$5,1,$AL$2))/INDEX(終値!$E$5:$IT$5,1,$AL$2)*100,"")</f>
        <v>1.0179378228534113</v>
      </c>
      <c r="AH127" s="366">
        <f>IF(OR(AF127="",AG127=""),"",AF127-AG127)</f>
        <v>-11.17652205636295</v>
      </c>
      <c r="AI127" s="364">
        <f>IF(AH127="","",IF(AH127&gt;5,3,IF(AH127&gt;0,1,IF(AH127&gt;-3,-1,-2))))</f>
        <v>-2</v>
      </c>
      <c r="BA127">
        <f>IFERROR((SUM(OFFSET(高値!$E$6,IFERROR(MATCH($C127,銘柄管理!$B$6:$B$305,0),MATCH(TEXT($C127,"0"),銘柄管理!$B$6:$B$305,0))-1,0,1,14))-SUM(OFFSET(安値!$E$6,IFERROR(MATCH($C127,銘柄管理!$B$6:$B$305,0),MATCH(TEXT($C127,"0"),銘柄管理!$B$6:$B$305,0))-1,0,1,14)))/SUM(OFFSET(終値!$E$6,IFERROR(MATCH($C127,銘柄管理!$B$6:$B$305,0),MATCH(TEXT($C127,"0"),銘柄管理!$B$6:$B$305,0))-1,0,1,14))*100,"")</f>
      </c>
      <c r="BB127">
        <f>IFERROR((MAX(OFFSET(高値!$E$6,IFERROR(MATCH($C127,銘柄管理!$B$6:$B$305,0),MATCH(TEXT($C127,"0"),銘柄管理!$B$6:$B$305,0))-1,0,1,25))-MIN(OFFSET(安値!$E$6,IFERROR(MATCH($C127,銘柄管理!$B$6:$B$305,0),MATCH(TEXT($C127,"0"),銘柄管理!$B$6:$B$305,0))-1,0,1,25)))/$E127*100,"")</f>
      </c>
      <c r="BC127">
        <f>IFERROR(($F127-$G127)/$G127*100,"")</f>
      </c>
      <c r="BD127">
        <f>IFERROR(($E127-MAX(OFFSET(高値!$E$6,IFERROR(MATCH($C127,銘柄管理!$B$6:$B$305,0),MATCH(TEXT($C127,"0"),銘柄管理!$B$6:$B$305,0))-1,0,1,25)))/MAX(OFFSET(高値!$E$6,IFERROR(MATCH($C127,銘柄管理!$B$6:$B$305,0),MATCH(TEXT($C127,"0"),銘柄管理!$B$6:$B$305,0))-1,0,1,25))*100,"")</f>
      </c>
      <c r="BE127">
        <f>IFERROR(($H127-$I127)/$F127*100,"")</f>
      </c>
      <c r="BF127">
        <f>IFERROR(-(($BA127-AVERAGE($BA$3:$BA$206))/STDEV($BA$3:$BA$206))-(($BE127-AVERAGE($BE$3:$BE$206))/STDEV($BE$3:$BE$206))-(($BB127-AVERAGE($BB$3:$BB$206))/STDEV($BB$3:$BB$206))-(($Z127-AVERAGE($Z$3:$Z$206))/STDEV($Z$3:$Z$206))-(($BC127-AVERAGE($BC$3:$BC$206))/STDEV($BC$3:$BC$206)),"")</f>
      </c>
      <c r="BG127">
        <f>IF(OR($C127="",$C127="TOPX",$BA127="",$BF127=""),0,IF(AND($BK$10=1,$BA127&lt;=$BK$2,$BB127&lt;=$BK$3,$BC127&lt;=$BK$4,$Z127&lt;=$BK$5,$Z127&gt;=$BK$6,$BD127&gt;=$BK$7,$BE127&lt;=$BK$8),1,0))</f>
      </c>
      <c r="BH127">
        <f>IF($C127="","",IF($BG127=1,"○ゲート通過",IF($BK$10&lt;&gt;1,"― この方向は停止中",IF($BA127&gt;$BK$2,"×値動きが荒い",IF($BB127&gt;$BK$3,"×レンジが広い",IF($BC127&gt;$BK$4,"×窓を開けて上昇",IF($Z127&gt;$BK$5,"×前日に急騰",IF($Z127&lt;$BK$6,"×前日に急落",IF($BD127&lt;$BK$7,"×高値から離れすぎ",IF($BE127&gt;$BK$8,"×当日の値幅が大きい","×")))))))))</f>
      </c>
    </row>
    <row r="128" spans="1:60"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IF(AND(E128&lt;&gt;"",K128&lt;&gt;"",K128&lt;&gt;0),(E128-K128)/K128*100,"")</f>
        <v>-28.053311793214863</v>
      </c>
      <c r="M128" s="166">
        <f>IF(C128&lt;&gt;"",IFERROR(AVERAGE(出来高!E10:I10),""),"")</f>
        <v>575340</v>
      </c>
      <c r="N128" s="166">
        <f>IF(C128&lt;&gt;"",IFERROR(AVERAGE(出来高!E10:AC10),""),"")</f>
        <v>491308</v>
      </c>
      <c r="O128" s="168">
        <f>IF(AND(J128&lt;&gt;"",M128&lt;&gt;"",M128&lt;&gt;0),J128/M128,"")</f>
        <v>1.5550804741544131</v>
      </c>
      <c r="P128" s="163" t="str">
        <f>IF(O128="","",IF(O128&gt;=2,"急増↑↑",IF(O128&gt;=1.5,"増加↑",IF(O128&gt;=1,"普通→","減少↓"))))</f>
        <v>増加↑</v>
      </c>
      <c r="Q128" s="163" t="str">
        <f>IF(E128="","",IF(AND(E128&gt;G128,O128&gt;=1.5),"買い▲",IF(E128&lt;G128,"様子見▼","中立→")))</f>
        <v>買い▲</v>
      </c>
      <c r="R128" s="166">
        <f>IF(E128&lt;&gt;"",ROUND(E128*1.08,0),"")</f>
        <v>9620</v>
      </c>
      <c r="S128" s="166">
        <f>IF(E128&lt;&gt;"",ROUND(E128*0.96,0),"")</f>
        <v>8551</v>
      </c>
      <c r="T128" s="163">
        <f>IF(C128="","",IFERROR(IF(O128&gt;=2,3,IF(O128&gt;=1.5,2,IF(O128&gt;=1,1,0)))+IF(E128&gt;G128,1,0)+IF(L128&gt;=-5,1,0)+IF(Q128="買い▲",2,0)+IF(W128&lt;=30,3,IF(W128&lt;=40,2,IF(AND(W128&gt;=40,W128&lt;=60),1,0)))+IF(X128&gt;0,1,0)+IF(V128="年初来高値更新●",3,IF(V128="高値圏",2,0))+IF(AD128="パーフェクト▲",3,IF(AD128="上昇トレンド▲",2,0))+IF(AE128="25日線押し目●",2,IF(AE128="5日線押し目○",1,0))+IF(P128="急増↑↑",2,IF(P128="増加↑",1,0))+N(AI128),0))</f>
        <v>11</v>
      </c>
      <c r="U128" s="163" t="str">
        <f>IF(T128="","",IF(AND(T128&gt;=3,O128&gt;=1.5),"有効",IF(T128&gt;=3,"要確認","除外")))</f>
        <v>有効</v>
      </c>
      <c r="V128" s="163" t="str">
        <f>IF(AND(H128&lt;&gt;"",K128&lt;&gt;""),IF(H128&gt;=K128,"年初来高値更新●",IF(H128&gt;=K128*0.95,"高値圏","通常")),"")</f>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IF(AND(E128&lt;&gt;"",G128&lt;&gt;"",G128&lt;&gt;0),(E128-G128)/G128*100,"")</f>
        <v>4.0658955485453907</v>
      </c>
      <c r="AA128" s="163" t="str">
        <f>IF(OR(C128="",E128="",E128=0),"",IF(E128&gt;G128,"上昇▲",IF(E128&lt;G128,"下落▼","横ばい→")))</f>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IF(OR(C128="",AB128="",AC128=""),"",IF(AND(E128&gt;AB128,AB128&gt;AC128),"パーフェクト▲",IF(E128&gt;AC128,"上昇トレンド▲",IF(AND(E128&lt;AB128,AB128&lt;AC128),"下降トレンド▼","もみ合い→"))))</f>
        <v>上昇トレンド▲</v>
      </c>
      <c r="AE128" s="404" t="str">
        <f>IF(OR(C128="",AB128="",AC128=""),"",IF(AND(ABS(E128-AC128)/AC128&lt;=0.02,E128&gt;AC128),"25日押し目★",IF(AND(ABS(E128-AB128)/AB128&lt;=0.01,E128&gt;AB128),"5日押し目○","なし")))</f>
        <v>なし</v>
      </c>
      <c r="AF128" s="365">
        <f t="array" ref="AF128">IF(C128="","",IFERROR((INDEX(終値!$E:$E,MATCH(TEXT(C128,"0"),終値!$A:$A,0))-INDEX(終値!$E:$CZ,MATCH(TEXT(C128,"0"),終値!$A:$A,0),$AL$2))/INDEX(終値!$E:$CZ,MATCH(TEXT(C128,"0"),終値!$A:$A,0),$AL$2)*100,""))</f>
        <v>3.5456870495233668</v>
      </c>
      <c r="AG128" s="365">
        <f t="array" ref="AG128">IFERROR((終値!$E$5-INDEX(終値!$E$5:$IT$5,1,$AL$2))/INDEX(終値!$E$5:$IT$5,1,$AL$2)*100,"")</f>
        <v>1.0179378228534113</v>
      </c>
      <c r="AH128" s="366">
        <f>IF(OR(AF128="",AG128=""),"",AF128-AG128)</f>
        <v>2.5277492266699557</v>
      </c>
      <c r="AI128" s="364">
        <f>IF(AH128="","",IF(AH128&gt;5,3,IF(AH128&gt;0,1,IF(AH128&gt;-3,-1,-2))))</f>
        <v>1</v>
      </c>
      <c r="BA128">
        <f>IFERROR((SUM(OFFSET(高値!$E$6,IFERROR(MATCH($C128,銘柄管理!$B$6:$B$305,0),MATCH(TEXT($C128,"0"),銘柄管理!$B$6:$B$305,0))-1,0,1,14))-SUM(OFFSET(安値!$E$6,IFERROR(MATCH($C128,銘柄管理!$B$6:$B$305,0),MATCH(TEXT($C128,"0"),銘柄管理!$B$6:$B$305,0))-1,0,1,14)))/SUM(OFFSET(終値!$E$6,IFERROR(MATCH($C128,銘柄管理!$B$6:$B$305,0),MATCH(TEXT($C128,"0"),銘柄管理!$B$6:$B$305,0))-1,0,1,14))*100,"")</f>
      </c>
      <c r="BB128">
        <f>IFERROR((MAX(OFFSET(高値!$E$6,IFERROR(MATCH($C128,銘柄管理!$B$6:$B$305,0),MATCH(TEXT($C128,"0"),銘柄管理!$B$6:$B$305,0))-1,0,1,25))-MIN(OFFSET(安値!$E$6,IFERROR(MATCH($C128,銘柄管理!$B$6:$B$305,0),MATCH(TEXT($C128,"0"),銘柄管理!$B$6:$B$305,0))-1,0,1,25)))/$E128*100,"")</f>
      </c>
      <c r="BC128">
        <f>IFERROR(($F128-$G128)/$G128*100,"")</f>
      </c>
      <c r="BD128">
        <f>IFERROR(($E128-MAX(OFFSET(高値!$E$6,IFERROR(MATCH($C128,銘柄管理!$B$6:$B$305,0),MATCH(TEXT($C128,"0"),銘柄管理!$B$6:$B$305,0))-1,0,1,25)))/MAX(OFFSET(高値!$E$6,IFERROR(MATCH($C128,銘柄管理!$B$6:$B$305,0),MATCH(TEXT($C128,"0"),銘柄管理!$B$6:$B$305,0))-1,0,1,25))*100,"")</f>
      </c>
      <c r="BE128">
        <f>IFERROR(($H128-$I128)/$F128*100,"")</f>
      </c>
      <c r="BF128">
        <f>IFERROR(-(($BA128-AVERAGE($BA$3:$BA$206))/STDEV($BA$3:$BA$206))-(($BE128-AVERAGE($BE$3:$BE$206))/STDEV($BE$3:$BE$206))-(($BB128-AVERAGE($BB$3:$BB$206))/STDEV($BB$3:$BB$206))-(($Z128-AVERAGE($Z$3:$Z$206))/STDEV($Z$3:$Z$206))-(($BC128-AVERAGE($BC$3:$BC$206))/STDEV($BC$3:$BC$206)),"")</f>
      </c>
      <c r="BG128">
        <f>IF(OR($C128="",$C128="TOPX",$BA128="",$BF128=""),0,IF(AND($BK$10=1,$BA128&lt;=$BK$2,$BB128&lt;=$BK$3,$BC128&lt;=$BK$4,$Z128&lt;=$BK$5,$Z128&gt;=$BK$6,$BD128&gt;=$BK$7,$BE128&lt;=$BK$8),1,0))</f>
      </c>
      <c r="BH128">
        <f>IF($C128="","",IF($BG128=1,"○ゲート通過",IF($BK$10&lt;&gt;1,"― この方向は停止中",IF($BA128&gt;$BK$2,"×値動きが荒い",IF($BB128&gt;$BK$3,"×レンジが広い",IF($BC128&gt;$BK$4,"×窓を開けて上昇",IF($Z128&gt;$BK$5,"×前日に急騰",IF($Z128&lt;$BK$6,"×前日に急落",IF($BD128&lt;$BK$7,"×高値から離れすぎ",IF($BE128&gt;$BK$8,"×当日の値幅が大きい","×")))))))))</f>
      </c>
    </row>
    <row r="129" spans="1:60"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IF(AND(E129&lt;&gt;"",K129&lt;&gt;"",K129&lt;&gt;0),(E129-K129)/K129*100,"")</f>
        <v>-31.669172932330824</v>
      </c>
      <c r="M129" s="166">
        <f>IF(C129&lt;&gt;"",IFERROR(AVERAGE(出来高!F8:J8),""),"")</f>
        <v>3307800</v>
      </c>
      <c r="N129" s="166">
        <f>IF(C129&lt;&gt;"",IFERROR(AVERAGE(出来高!F8:AD8),""),"")</f>
        <v>2971856</v>
      </c>
      <c r="O129" s="168">
        <f>IF(AND(J129&lt;&gt;"",M129&lt;&gt;"",M129&lt;&gt;0),J129/M129,"")</f>
        <v>1.4833121712316344</v>
      </c>
      <c r="P129" s="163" t="str">
        <f>IF(O129="","",IF(O129&gt;=2,"急増↑↑",IF(O129&gt;=1.5,"増加↑",IF(O129&gt;=1,"普通→","減少↓"))))</f>
        <v>普通→</v>
      </c>
      <c r="Q129" s="163" t="str">
        <f>IF(E129="","",IF(AND(E129&gt;G129,O129&gt;=1.5),"買い▲",IF(E129&lt;G129,"様子見▼","中立→")))</f>
        <v>中立→</v>
      </c>
      <c r="R129" s="166">
        <f>IF(E129&lt;&gt;"",ROUND(E129*1.08,0),"")</f>
        <v>9815</v>
      </c>
      <c r="S129" s="166">
        <f>IF(E129&lt;&gt;"",ROUND(E129*0.96,0),"")</f>
        <v>8724</v>
      </c>
      <c r="T129" s="163">
        <f>IF(C129="","",IFERROR(IF(O129&gt;=2,3,IF(O129&gt;=1.5,2,IF(O129&gt;=1,1,0)))+IF(E129&gt;G129,1,0)+IF(L129&gt;=-5,1,0)+IF(Q129="買い▲",2,0)+IF(W129&lt;=30,3,IF(W129&lt;=40,2,IF(AND(W129&gt;=40,W129&lt;=60),1,0)))+IF(X129&gt;0,1,0)+IF(V129="年初来高値更新●",3,IF(V129="高値圏",2,0))+IF(AD129="パーフェクト▲",3,IF(AD129="上昇トレンド▲",2,0))+IF(AE129="25日線押し目●",2,IF(AE129="5日線押し目○",1,0))+IF(P129="急増↑↑",2,IF(P129="増加↑",1,0))+N(AI129),0))</f>
        <v>9</v>
      </c>
      <c r="U129" s="163" t="str">
        <f>IF(T129="","",IF(AND(T129&gt;=3,O129&gt;=1.5),"有効",IF(T129&gt;=3,"要確認","除外")))</f>
        <v>要確認</v>
      </c>
      <c r="V129" s="163" t="str">
        <f>IF(AND(H129&lt;&gt;"",K129&lt;&gt;""),IF(H129&gt;=K129,"年初来高値更新●",IF(H129&gt;=K129*0.95,"高値圏","通常")),"")</f>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IF(AND(E129&lt;&gt;"",G129&lt;&gt;"",G129&lt;&gt;0),(E129-G129)/G129*100,"")</f>
        <v>6.1310288450309471</v>
      </c>
      <c r="AA129" s="163" t="str">
        <f>IF(OR(C129="",E129="",E129=0),"",IF(E129&gt;G129,"上昇▲",IF(E129&lt;G129,"下落▼","横ばい→")))</f>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IF(OR(C129="",AB129="",AC129=""),"",IF(AND(E129&gt;AB129,AB129&gt;AC129),"パーフェクト▲",IF(E129&gt;AC129,"上昇トレンド▲",IF(AND(E129&lt;AB129,AB129&lt;AC129),"下降トレンド▼","もみ合い→"))))</f>
        <v>パーフェクト▲</v>
      </c>
      <c r="AE129" s="406" t="str">
        <f>IF(OR(C129="",AB129="",AC129=""),"",IF(AND(ABS(E129-AC129)/AC129&lt;=0.02,E129&gt;AC129),"25日押し目★",IF(AND(ABS(E129-AB129)/AB129&lt;=0.01,E129&gt;AB129),"5日押し目○","なし")))</f>
        <v>なし</v>
      </c>
      <c r="AF129" s="365">
        <f t="array" ref="AF129">IF(C129="","",IFERROR((INDEX(終値!$E:$E,MATCH(TEXT(C129,"0"),終値!$A:$A,0))-INDEX(終値!$E:$CZ,MATCH(TEXT(C129,"0"),終値!$A:$A,0),$AL$2))/INDEX(終値!$E:$CZ,MATCH(TEXT(C129,"0"),終値!$A:$A,0),$AL$2)*100,""))</f>
        <v>23.882224645583424</v>
      </c>
      <c r="AG129" s="365">
        <f t="array" ref="AG129">IFERROR((終値!$E$5-INDEX(終値!$E$5:$IT$5,1,$AL$2))/INDEX(終値!$E$5:$IT$5,1,$AL$2)*100,"")</f>
        <v>1.0179378228534113</v>
      </c>
      <c r="AH129" s="366">
        <f>IF(OR(AF129="",AG129=""),"",AF129-AG129)</f>
        <v>22.864286822730012</v>
      </c>
      <c r="AI129" s="364">
        <f>IF(AH129="","",IF(AH129&gt;5,3,IF(AH129&gt;0,1,IF(AH129&gt;-3,-1,-2))))</f>
        <v>3</v>
      </c>
      <c r="BA129">
        <f>IFERROR((SUM(OFFSET(高値!$E$6,IFERROR(MATCH($C129,銘柄管理!$B$6:$B$305,0),MATCH(TEXT($C129,"0"),銘柄管理!$B$6:$B$305,0))-1,0,1,14))-SUM(OFFSET(安値!$E$6,IFERROR(MATCH($C129,銘柄管理!$B$6:$B$305,0),MATCH(TEXT($C129,"0"),銘柄管理!$B$6:$B$305,0))-1,0,1,14)))/SUM(OFFSET(終値!$E$6,IFERROR(MATCH($C129,銘柄管理!$B$6:$B$305,0),MATCH(TEXT($C129,"0"),銘柄管理!$B$6:$B$305,0))-1,0,1,14))*100,"")</f>
      </c>
      <c r="BB129">
        <f>IFERROR((MAX(OFFSET(高値!$E$6,IFERROR(MATCH($C129,銘柄管理!$B$6:$B$305,0),MATCH(TEXT($C129,"0"),銘柄管理!$B$6:$B$305,0))-1,0,1,25))-MIN(OFFSET(安値!$E$6,IFERROR(MATCH($C129,銘柄管理!$B$6:$B$305,0),MATCH(TEXT($C129,"0"),銘柄管理!$B$6:$B$305,0))-1,0,1,25)))/$E129*100,"")</f>
      </c>
      <c r="BC129">
        <f>IFERROR(($F129-$G129)/$G129*100,"")</f>
      </c>
      <c r="BD129">
        <f>IFERROR(($E129-MAX(OFFSET(高値!$E$6,IFERROR(MATCH($C129,銘柄管理!$B$6:$B$305,0),MATCH(TEXT($C129,"0"),銘柄管理!$B$6:$B$305,0))-1,0,1,25)))/MAX(OFFSET(高値!$E$6,IFERROR(MATCH($C129,銘柄管理!$B$6:$B$305,0),MATCH(TEXT($C129,"0"),銘柄管理!$B$6:$B$305,0))-1,0,1,25))*100,"")</f>
      </c>
      <c r="BE129">
        <f>IFERROR(($H129-$I129)/$F129*100,"")</f>
      </c>
      <c r="BF129">
        <f>IFERROR(-(($BA129-AVERAGE($BA$3:$BA$206))/STDEV($BA$3:$BA$206))-(($BE129-AVERAGE($BE$3:$BE$206))/STDEV($BE$3:$BE$206))-(($BB129-AVERAGE($BB$3:$BB$206))/STDEV($BB$3:$BB$206))-(($Z129-AVERAGE($Z$3:$Z$206))/STDEV($Z$3:$Z$206))-(($BC129-AVERAGE($BC$3:$BC$206))/STDEV($BC$3:$BC$206)),"")</f>
      </c>
      <c r="BG129">
        <f>IF(OR($C129="",$C129="TOPX",$BA129="",$BF129=""),0,IF(AND($BK$10=1,$BA129&lt;=$BK$2,$BB129&lt;=$BK$3,$BC129&lt;=$BK$4,$Z129&lt;=$BK$5,$Z129&gt;=$BK$6,$BD129&gt;=$BK$7,$BE129&lt;=$BK$8),1,0))</f>
      </c>
      <c r="BH129">
        <f>IF($C129="","",IF($BG129=1,"○ゲート通過",IF($BK$10&lt;&gt;1,"― この方向は停止中",IF($BA129&gt;$BK$2,"×値動きが荒い",IF($BB129&gt;$BK$3,"×レンジが広い",IF($BC129&gt;$BK$4,"×窓を開けて上昇",IF($Z129&gt;$BK$5,"×前日に急騰",IF($Z129&lt;$BK$6,"×前日に急落",IF($BD129&lt;$BK$7,"×高値から離れすぎ",IF($BE129&gt;$BK$8,"×当日の値幅が大きい","×")))))))))</f>
      </c>
    </row>
    <row r="130" spans="1:60"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IF(AND(E130&lt;&gt;"",K130&lt;&gt;"",K130&lt;&gt;0),(E130-K130)/K130*100,"")</f>
        <v>-27.244531505060397</v>
      </c>
      <c r="M130" s="166">
        <f>IF(C130&lt;&gt;"",IFERROR(AVERAGE(出来高!E9:I9),""),"")</f>
        <v>1324120</v>
      </c>
      <c r="N130" s="166">
        <f>IF(C130&lt;&gt;"",IFERROR(AVERAGE(出来高!E9:AC9),""),"")</f>
        <v>1442080</v>
      </c>
      <c r="O130" s="168">
        <f>IF(AND(J130&lt;&gt;"",M130&lt;&gt;"",M130&lt;&gt;0),J130/M130,"")</f>
        <v>1.0483188834848804</v>
      </c>
      <c r="P130" s="163" t="str">
        <f>IF(O130="","",IF(O130&gt;=2,"急増↑↑",IF(O130&gt;=1.5,"増加↑",IF(O130&gt;=1,"普通→","減少↓"))))</f>
        <v>普通→</v>
      </c>
      <c r="Q130" s="163" t="str">
        <f>IF(E130="","",IF(AND(E130&gt;G130,O130&gt;=1.5),"買い▲",IF(E130&lt;G130,"様子見▼","中立→")))</f>
        <v>中立→</v>
      </c>
      <c r="R130" s="166">
        <f>IF(E130&lt;&gt;"",ROUND(E130*1.08,0),"")</f>
        <v>4814</v>
      </c>
      <c r="S130" s="166">
        <f>IF(E130&lt;&gt;"",ROUND(E130*0.96,0),"")</f>
        <v>4279</v>
      </c>
      <c r="T130" s="163">
        <f>IF(C130="","",IFERROR(IF(O130&gt;=2,3,IF(O130&gt;=1.5,2,IF(O130&gt;=1,1,0)))+IF(E130&gt;G130,1,0)+IF(L130&gt;=-5,1,0)+IF(Q130="買い▲",2,0)+IF(W130&lt;=30,3,IF(W130&lt;=40,2,IF(AND(W130&gt;=40,W130&lt;=60),1,0)))+IF(X130&gt;0,1,0)+IF(V130="年初来高値更新●",3,IF(V130="高値圏",2,0))+IF(AD130="パーフェクト▲",3,IF(AD130="上昇トレンド▲",2,0))+IF(AE130="25日線押し目●",2,IF(AE130="5日線押し目○",1,0))+IF(P130="急増↑↑",2,IF(P130="増加↑",1,0))+N(AI130),0))</f>
        <v>5</v>
      </c>
      <c r="U130" s="163" t="str">
        <f>IF(T130="","",IF(AND(T130&gt;=3,O130&gt;=1.5),"有効",IF(T130&gt;=3,"要確認","除外")))</f>
        <v>要確認</v>
      </c>
      <c r="V130" s="163" t="str">
        <f>IF(AND(H130&lt;&gt;"",K130&lt;&gt;""),IF(H130&gt;=K130,"年初来高値更新●",IF(H130&gt;=K130*0.95,"高値圏","通常")),"")</f>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IF(AND(E130&lt;&gt;"",G130&lt;&gt;"",G130&lt;&gt;0),(E130-G130)/G130*100,"")</f>
        <v>1.711547238703788</v>
      </c>
      <c r="AA130" s="163" t="str">
        <f>IF(OR(C130="",E130="",E130=0),"",IF(E130&gt;G130,"上昇▲",IF(E130&lt;G130,"下落▼","横ばい→")))</f>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IF(OR(C130="",AB130="",AC130=""),"",IF(AND(E130&gt;AB130,AB130&gt;AC130),"パーフェクト▲",IF(E130&gt;AC130,"上昇トレンド▲",IF(AND(E130&lt;AB130,AB130&lt;AC130),"下降トレンド▼","もみ合い→"))))</f>
        <v>もみ合い→</v>
      </c>
      <c r="AE130" s="404" t="str">
        <f>IF(OR(C130="",AB130="",AC130=""),"",IF(AND(ABS(E130-AC130)/AC130&lt;=0.02,E130&gt;AC130),"25日押し目★",IF(AND(ABS(E130-AB130)/AB130&lt;=0.01,E130&gt;AB130),"5日押し目○","なし")))</f>
        <v>なし</v>
      </c>
      <c r="AF130" s="365">
        <f t="array" ref="AF130">IF(C130="","",IFERROR((INDEX(終値!$E:$E,MATCH(TEXT(C130,"0"),終値!$A:$A,0))-INDEX(終値!$E:$CZ,MATCH(TEXT(C130,"0"),終値!$A:$A,0),$AL$2))/INDEX(終値!$E:$CZ,MATCH(TEXT(C130,"0"),終値!$A:$A,0),$AL$2)*100,""))</f>
        <v>1.5956234328698427</v>
      </c>
      <c r="AG130" s="365">
        <f t="array" ref="AG130">IFERROR((終値!$E$5-INDEX(終値!$E$5:$IT$5,1,$AL$2))/INDEX(終値!$E$5:$IT$5,1,$AL$2)*100,"")</f>
        <v>1.0179378228534113</v>
      </c>
      <c r="AH130" s="366">
        <f>IF(OR(AF130="",AG130=""),"",AF130-AG130)</f>
        <v>0.57768561001643137</v>
      </c>
      <c r="AI130" s="364">
        <f>IF(AH130="","",IF(AH130&gt;5,3,IF(AH130&gt;0,1,IF(AH130&gt;-3,-1,-2))))</f>
        <v>1</v>
      </c>
      <c r="BA130">
        <f>IFERROR((SUM(OFFSET(高値!$E$6,IFERROR(MATCH($C130,銘柄管理!$B$6:$B$305,0),MATCH(TEXT($C130,"0"),銘柄管理!$B$6:$B$305,0))-1,0,1,14))-SUM(OFFSET(安値!$E$6,IFERROR(MATCH($C130,銘柄管理!$B$6:$B$305,0),MATCH(TEXT($C130,"0"),銘柄管理!$B$6:$B$305,0))-1,0,1,14)))/SUM(OFFSET(終値!$E$6,IFERROR(MATCH($C130,銘柄管理!$B$6:$B$305,0),MATCH(TEXT($C130,"0"),銘柄管理!$B$6:$B$305,0))-1,0,1,14))*100,"")</f>
      </c>
      <c r="BB130">
        <f>IFERROR((MAX(OFFSET(高値!$E$6,IFERROR(MATCH($C130,銘柄管理!$B$6:$B$305,0),MATCH(TEXT($C130,"0"),銘柄管理!$B$6:$B$305,0))-1,0,1,25))-MIN(OFFSET(安値!$E$6,IFERROR(MATCH($C130,銘柄管理!$B$6:$B$305,0),MATCH(TEXT($C130,"0"),銘柄管理!$B$6:$B$305,0))-1,0,1,25)))/$E130*100,"")</f>
      </c>
      <c r="BC130">
        <f>IFERROR(($F130-$G130)/$G130*100,"")</f>
      </c>
      <c r="BD130">
        <f>IFERROR(($E130-MAX(OFFSET(高値!$E$6,IFERROR(MATCH($C130,銘柄管理!$B$6:$B$305,0),MATCH(TEXT($C130,"0"),銘柄管理!$B$6:$B$305,0))-1,0,1,25)))/MAX(OFFSET(高値!$E$6,IFERROR(MATCH($C130,銘柄管理!$B$6:$B$305,0),MATCH(TEXT($C130,"0"),銘柄管理!$B$6:$B$305,0))-1,0,1,25))*100,"")</f>
      </c>
      <c r="BE130">
        <f>IFERROR(($H130-$I130)/$F130*100,"")</f>
      </c>
      <c r="BF130">
        <f>IFERROR(-(($BA130-AVERAGE($BA$3:$BA$206))/STDEV($BA$3:$BA$206))-(($BE130-AVERAGE($BE$3:$BE$206))/STDEV($BE$3:$BE$206))-(($BB130-AVERAGE($BB$3:$BB$206))/STDEV($BB$3:$BB$206))-(($Z130-AVERAGE($Z$3:$Z$206))/STDEV($Z$3:$Z$206))-(($BC130-AVERAGE($BC$3:$BC$206))/STDEV($BC$3:$BC$206)),"")</f>
      </c>
      <c r="BG130">
        <f>IF(OR($C130="",$C130="TOPX",$BA130="",$BF130=""),0,IF(AND($BK$10=1,$BA130&lt;=$BK$2,$BB130&lt;=$BK$3,$BC130&lt;=$BK$4,$Z130&lt;=$BK$5,$Z130&gt;=$BK$6,$BD130&gt;=$BK$7,$BE130&lt;=$BK$8),1,0))</f>
      </c>
      <c r="BH130">
        <f>IF($C130="","",IF($BG130=1,"○ゲート通過",IF($BK$10&lt;&gt;1,"― この方向は停止中",IF($BA130&gt;$BK$2,"×値動きが荒い",IF($BB130&gt;$BK$3,"×レンジが広い",IF($BC130&gt;$BK$4,"×窓を開けて上昇",IF($Z130&gt;$BK$5,"×前日に急騰",IF($Z130&lt;$BK$6,"×前日に急落",IF($BD130&lt;$BK$7,"×高値から離れすぎ",IF($BE130&gt;$BK$8,"×当日の値幅が大きい","×")))))))))</f>
      </c>
    </row>
    <row r="131" spans="1:60"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IF(AND(E131&lt;&gt;"",K131&lt;&gt;"",K131&lt;&gt;0),(E131-K131)/K131*100,"")</f>
        <v>-44.592720970537265</v>
      </c>
      <c r="M131" s="166">
        <f>IF(C131&lt;&gt;"",IFERROR(AVERAGE(出来高!F6:J6),""),"")</f>
        <v>1457140</v>
      </c>
      <c r="N131" s="166">
        <f>IF(C131&lt;&gt;"",IFERROR(AVERAGE(出来高!F6:AD6),""),"")</f>
        <v>1309736</v>
      </c>
      <c r="O131" s="168">
        <f>IF(AND(J131&lt;&gt;"",M131&lt;&gt;"",M131&lt;&gt;0),J131/M131,"")</f>
        <v>0.93875674266027975</v>
      </c>
      <c r="P131" s="163" t="str">
        <f>IF(O131="","",IF(O131&gt;=2,"急増↑↑",IF(O131&gt;=1.5,"増加↑",IF(O131&gt;=1,"普通→","減少↓"))))</f>
        <v>減少↓</v>
      </c>
      <c r="Q131" s="163" t="str">
        <f>IF(E131="","",IF(AND(E131&gt;G131,O131&gt;=1.5),"買い▲",IF(E131&lt;G131,"様子見▼","中立→")))</f>
        <v>様子見▼</v>
      </c>
      <c r="R131" s="166">
        <f>IF(E131&lt;&gt;"",ROUND(E131*1.08,0),"")</f>
        <v>34528</v>
      </c>
      <c r="S131" s="166">
        <f>IF(E131&lt;&gt;"",ROUND(E131*0.96,0),"")</f>
        <v>30691</v>
      </c>
      <c r="T131" s="163">
        <f>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1</v>
      </c>
      <c r="U131" s="163" t="str">
        <f>IF(T131="","",IF(AND(T131&gt;=3,O131&gt;=1.5),"有効",IF(T131&gt;=3,"要確認","除外")))</f>
        <v>除外</v>
      </c>
      <c r="V131" s="163" t="str">
        <f>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IF(AND(E131&lt;&gt;"",G131&lt;&gt;"",G131&lt;&gt;0),(E131-G131)/G131*100,"")</f>
        <v>-9.6382136800452241</v>
      </c>
      <c r="AA131" s="163" t="str">
        <f>IF(OR(C131="",E131="",E131=0),"",IF(E131&gt;G131,"上昇▲",IF(E131&lt;G131,"下落▼","横ばい→")))</f>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IF(OR(C131="",AB131="",AC131=""),"",IF(AND(E131&gt;AB131,AB131&gt;AC131),"パーフェクト▲",IF(E131&gt;AC131,"上昇トレンド▲",IF(AND(E131&lt;AB131,AB131&lt;AC131),"下降トレンド▼","もみ合い→"))))</f>
        <v>上昇トレンド▲</v>
      </c>
      <c r="AE131" s="406" t="str">
        <f>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IFERROR((終値!$E$5-INDEX(終値!$E$5:$IT$5,1,$AL$2))/INDEX(終値!$E$5:$IT$5,1,$AL$2)*100,"")</f>
        <v>1.0179378228534113</v>
      </c>
      <c r="AH131" s="366">
        <f>IF(OR(AF131="",AG131=""),"",AF131-AG131)</f>
        <v>-26.944721882167592</v>
      </c>
      <c r="AI131" s="364">
        <f>IF(AH131="","",IF(AH131&gt;5,3,IF(AH131&gt;0,1,IF(AH131&gt;-3,-1,-2))))</f>
        <v>-2</v>
      </c>
      <c r="BA131">
        <f>IFERROR((SUM(OFFSET(高値!$E$6,IFERROR(MATCH($C131,銘柄管理!$B$6:$B$305,0),MATCH(TEXT($C131,"0"),銘柄管理!$B$6:$B$305,0))-1,0,1,14))-SUM(OFFSET(安値!$E$6,IFERROR(MATCH($C131,銘柄管理!$B$6:$B$305,0),MATCH(TEXT($C131,"0"),銘柄管理!$B$6:$B$305,0))-1,0,1,14)))/SUM(OFFSET(終値!$E$6,IFERROR(MATCH($C131,銘柄管理!$B$6:$B$305,0),MATCH(TEXT($C131,"0"),銘柄管理!$B$6:$B$305,0))-1,0,1,14))*100,"")</f>
      </c>
      <c r="BB131">
        <f>IFERROR((MAX(OFFSET(高値!$E$6,IFERROR(MATCH($C131,銘柄管理!$B$6:$B$305,0),MATCH(TEXT($C131,"0"),銘柄管理!$B$6:$B$305,0))-1,0,1,25))-MIN(OFFSET(安値!$E$6,IFERROR(MATCH($C131,銘柄管理!$B$6:$B$305,0),MATCH(TEXT($C131,"0"),銘柄管理!$B$6:$B$305,0))-1,0,1,25)))/$E131*100,"")</f>
      </c>
      <c r="BC131">
        <f>IFERROR(($F131-$G131)/$G131*100,"")</f>
      </c>
      <c r="BD131">
        <f>IFERROR(($E131-MAX(OFFSET(高値!$E$6,IFERROR(MATCH($C131,銘柄管理!$B$6:$B$305,0),MATCH(TEXT($C131,"0"),銘柄管理!$B$6:$B$305,0))-1,0,1,25)))/MAX(OFFSET(高値!$E$6,IFERROR(MATCH($C131,銘柄管理!$B$6:$B$305,0),MATCH(TEXT($C131,"0"),銘柄管理!$B$6:$B$305,0))-1,0,1,25))*100,"")</f>
      </c>
      <c r="BE131">
        <f>IFERROR(($H131-$I131)/$F131*100,"")</f>
      </c>
      <c r="BF131">
        <f>IFERROR(-(($BA131-AVERAGE($BA$3:$BA$206))/STDEV($BA$3:$BA$206))-(($BE131-AVERAGE($BE$3:$BE$206))/STDEV($BE$3:$BE$206))-(($BB131-AVERAGE($BB$3:$BB$206))/STDEV($BB$3:$BB$206))-(($Z131-AVERAGE($Z$3:$Z$206))/STDEV($Z$3:$Z$206))-(($BC131-AVERAGE($BC$3:$BC$206))/STDEV($BC$3:$BC$206)),"")</f>
      </c>
      <c r="BG131">
        <f>IF(OR($C131="",$C131="TOPX",$BA131="",$BF131=""),0,IF(AND($BK$10=1,$BA131&lt;=$BK$2,$BB131&lt;=$BK$3,$BC131&lt;=$BK$4,$Z131&lt;=$BK$5,$Z131&gt;=$BK$6,$BD131&gt;=$BK$7,$BE131&lt;=$BK$8),1,0))</f>
      </c>
      <c r="BH131">
        <f>IF($C131="","",IF($BG131=1,"○ゲート通過",IF($BK$10&lt;&gt;1,"― この方向は停止中",IF($BA131&gt;$BK$2,"×値動きが荒い",IF($BB131&gt;$BK$3,"×レンジが広い",IF($BC131&gt;$BK$4,"×窓を開けて上昇",IF($Z131&gt;$BK$5,"×前日に急騰",IF($Z131&lt;$BK$6,"×前日に急落",IF($BD131&lt;$BK$7,"×高値から離れすぎ",IF($BE131&gt;$BK$8,"×当日の値幅が大きい","×")))))))))</f>
      </c>
    </row>
    <row r="132" spans="1:60"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IF(AND(E132&lt;&gt;"",K132&lt;&gt;"",K132&lt;&gt;0),(E132-K132)/K132*100,"")</f>
        <v>-11.831831831831833</v>
      </c>
      <c r="M132" s="166">
        <f>IF(C132&lt;&gt;"",IFERROR(AVERAGE(出来高!E13:I13),""),"")</f>
        <v>622000</v>
      </c>
      <c r="N132" s="166">
        <f>IF(C132&lt;&gt;"",IFERROR(AVERAGE(出来高!E13:AC13),""),"")</f>
        <v>390060</v>
      </c>
      <c r="O132" s="168">
        <f>IF(AND(J132&lt;&gt;"",M132&lt;&gt;"",M132&lt;&gt;0),J132/M132,"")</f>
        <v>0.45241157556270095</v>
      </c>
      <c r="P132" s="163" t="str">
        <f>IF(O132="","",IF(O132&gt;=2,"急増↑↑",IF(O132&gt;=1.5,"増加↑",IF(O132&gt;=1,"普通→","減少↓"))))</f>
        <v>減少↓</v>
      </c>
      <c r="Q132" s="163" t="str">
        <f>IF(E132="","",IF(AND(E132&gt;G132,O132&gt;=1.5),"買い▲",IF(E132&lt;G132,"様子見▼","中立→")))</f>
        <v>中立→</v>
      </c>
      <c r="R132" s="166">
        <f>IF(E132&lt;&gt;"",ROUND(E132*1.08,0),"")</f>
        <v>3171</v>
      </c>
      <c r="S132" s="166">
        <f>IF(E132&lt;&gt;"",ROUND(E132*0.96,0),"")</f>
        <v>2819</v>
      </c>
      <c r="T132" s="163">
        <f>IF(C132="","",IFERROR(IF(O132&gt;=2,3,IF(O132&gt;=1.5,2,IF(O132&gt;=1,1,0)))+IF(E132&gt;G132,1,0)+IF(L132&gt;=-5,1,0)+IF(Q132="買い▲",2,0)+IF(W132&lt;=30,3,IF(W132&lt;=40,2,IF(AND(W132&gt;=40,W132&lt;=60),1,0)))+IF(X132&gt;0,1,0)+IF(V132="年初来高値更新●",3,IF(V132="高値圏",2,0))+IF(AD132="パーフェクト▲",3,IF(AD132="上昇トレンド▲",2,0))+IF(AE132="25日線押し目●",2,IF(AE132="5日線押し目○",1,0))+IF(P132="急増↑↑",2,IF(P132="増加↑",1,0))+N(AI132),0))</f>
        <v>8</v>
      </c>
      <c r="U132" s="163" t="str">
        <f>IF(T132="","",IF(AND(T132&gt;=3,O132&gt;=1.5),"有効",IF(T132&gt;=3,"要確認","除外")))</f>
        <v>要確認</v>
      </c>
      <c r="V132" s="163" t="str">
        <f>IF(AND(H132&lt;&gt;"",K132&lt;&gt;""),IF(H132&gt;=K132,"年初来高値更新●",IF(H132&gt;=K132*0.95,"高値圏","通常")),"")</f>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IF(AND(E132&lt;&gt;"",G132&lt;&gt;"",G132&lt;&gt;0),(E132-G132)/G132*100,"")</f>
        <v>0.65135413095646211</v>
      </c>
      <c r="AA132" s="163" t="str">
        <f>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IF(OR(C132="",AB132="",AC132=""),"",IF(AND(E132&gt;AB132,AB132&gt;AC132),"パーフェクト▲",IF(E132&gt;AC132,"上昇トレンド▲",IF(AND(E132&lt;AB132,AB132&lt;AC132),"下降トレンド▼","もみ合い→"))))</f>
        <v>パーフェクト▲</v>
      </c>
      <c r="AE132" s="404" t="str">
        <f>IF(OR(C132="",AB132="",AC132=""),"",IF(AND(ABS(E132-AC132)/AC132&lt;=0.02,E132&gt;AC132),"25日押し目★",IF(AND(ABS(E132-AB132)/AB132&lt;=0.01,E132&gt;AB132),"5日押し目○","なし")))</f>
        <v>なし</v>
      </c>
      <c r="AF132" s="365">
        <f t="array" ref="AF132">IF(C132="","",IFERROR((INDEX(終値!$E:$E,MATCH(TEXT(C132,"0"),終値!$A:$A,0))-INDEX(終値!$E:$CZ,MATCH(TEXT(C132,"0"),終値!$A:$A,0),$AL$2))/INDEX(終値!$E:$CZ,MATCH(TEXT(C132,"0"),終値!$A:$A,0),$AL$2)*100,""))</f>
        <v>7.0751276440554349</v>
      </c>
      <c r="AG132" s="365">
        <f t="array" ref="AG132">IFERROR((終値!$E$5-INDEX(終値!$E$5:$IT$5,1,$AL$2))/INDEX(終値!$E$5:$IT$5,1,$AL$2)*100,"")</f>
        <v>1.0179378228534113</v>
      </c>
      <c r="AH132" s="366">
        <f>IF(OR(AF132="",AG132=""),"",AF132-AG132)</f>
        <v>6.0571898212020239</v>
      </c>
      <c r="AI132" s="364">
        <f>IF(AH132="","",IF(AH132&gt;5,3,IF(AH132&gt;0,1,IF(AH132&gt;-3,-1,-2))))</f>
        <v>3</v>
      </c>
      <c r="BA132">
        <f>IFERROR((SUM(OFFSET(高値!$E$6,IFERROR(MATCH($C132,銘柄管理!$B$6:$B$305,0),MATCH(TEXT($C132,"0"),銘柄管理!$B$6:$B$305,0))-1,0,1,14))-SUM(OFFSET(安値!$E$6,IFERROR(MATCH($C132,銘柄管理!$B$6:$B$305,0),MATCH(TEXT($C132,"0"),銘柄管理!$B$6:$B$305,0))-1,0,1,14)))/SUM(OFFSET(終値!$E$6,IFERROR(MATCH($C132,銘柄管理!$B$6:$B$305,0),MATCH(TEXT($C132,"0"),銘柄管理!$B$6:$B$305,0))-1,0,1,14))*100,"")</f>
      </c>
      <c r="BB132">
        <f>IFERROR((MAX(OFFSET(高値!$E$6,IFERROR(MATCH($C132,銘柄管理!$B$6:$B$305,0),MATCH(TEXT($C132,"0"),銘柄管理!$B$6:$B$305,0))-1,0,1,25))-MIN(OFFSET(安値!$E$6,IFERROR(MATCH($C132,銘柄管理!$B$6:$B$305,0),MATCH(TEXT($C132,"0"),銘柄管理!$B$6:$B$305,0))-1,0,1,25)))/$E132*100,"")</f>
      </c>
      <c r="BC132">
        <f>IFERROR(($F132-$G132)/$G132*100,"")</f>
      </c>
      <c r="BD132">
        <f>IFERROR(($E132-MAX(OFFSET(高値!$E$6,IFERROR(MATCH($C132,銘柄管理!$B$6:$B$305,0),MATCH(TEXT($C132,"0"),銘柄管理!$B$6:$B$305,0))-1,0,1,25)))/MAX(OFFSET(高値!$E$6,IFERROR(MATCH($C132,銘柄管理!$B$6:$B$305,0),MATCH(TEXT($C132,"0"),銘柄管理!$B$6:$B$305,0))-1,0,1,25))*100,"")</f>
      </c>
      <c r="BE132">
        <f>IFERROR(($H132-$I132)/$F132*100,"")</f>
      </c>
      <c r="BF132">
        <f>IFERROR(-(($BA132-AVERAGE($BA$3:$BA$206))/STDEV($BA$3:$BA$206))-(($BE132-AVERAGE($BE$3:$BE$206))/STDEV($BE$3:$BE$206))-(($BB132-AVERAGE($BB$3:$BB$206))/STDEV($BB$3:$BB$206))-(($Z132-AVERAGE($Z$3:$Z$206))/STDEV($Z$3:$Z$206))-(($BC132-AVERAGE($BC$3:$BC$206))/STDEV($BC$3:$BC$206)),"")</f>
      </c>
      <c r="BG132">
        <f>IF(OR($C132="",$C132="TOPX",$BA132="",$BF132=""),0,IF(AND($BK$10=1,$BA132&lt;=$BK$2,$BB132&lt;=$BK$3,$BC132&lt;=$BK$4,$Z132&lt;=$BK$5,$Z132&gt;=$BK$6,$BD132&gt;=$BK$7,$BE132&lt;=$BK$8),1,0))</f>
      </c>
      <c r="BH132">
        <f>IF($C132="","",IF($BG132=1,"○ゲート通過",IF($BK$10&lt;&gt;1,"― この方向は停止中",IF($BA132&gt;$BK$2,"×値動きが荒い",IF($BB132&gt;$BK$3,"×レンジが広い",IF($BC132&gt;$BK$4,"×窓を開けて上昇",IF($Z132&gt;$BK$5,"×前日に急騰",IF($Z132&lt;$BK$6,"×前日に急落",IF($BD132&lt;$BK$7,"×高値から離れすぎ",IF($BE132&gt;$BK$8,"×当日の値幅が大きい","×")))))))))</f>
      </c>
    </row>
    <row r="133" spans="1:60"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IF(AND(E133&lt;&gt;"",K133&lt;&gt;"",K133&lt;&gt;0),(E133-K133)/K133*100,"")</f>
        <v>-34.333764553686933</v>
      </c>
      <c r="M133" s="166">
        <f>IF(C133&lt;&gt;"",IFERROR(AVERAGE(出来高!E20:I20),""),"")</f>
        <v>325380</v>
      </c>
      <c r="N133" s="166">
        <f>IF(C133&lt;&gt;"",IFERROR(AVERAGE(出来高!E20:AC20),""),"")</f>
        <v>233675</v>
      </c>
      <c r="O133" s="168">
        <f>IF(AND(J133&lt;&gt;"",M133&lt;&gt;"",M133&lt;&gt;0),J133/M133,"")</f>
        <v>1.5056241932509682</v>
      </c>
      <c r="P133" s="163" t="str">
        <f>IF(O133="","",IF(O133&gt;=2,"急増↑↑",IF(O133&gt;=1.5,"増加↑",IF(O133&gt;=1,"普通→","減少↓"))))</f>
        <v>増加↑</v>
      </c>
      <c r="Q133" s="163" t="str">
        <f>IF(E133="","",IF(AND(E133&gt;G133,O133&gt;=1.5),"買い▲",IF(E133&lt;G133,"様子見▼","中立→")))</f>
        <v>様子見▼</v>
      </c>
      <c r="R133" s="166">
        <f>IF(E133&lt;&gt;"",ROUND(E133*1.08,0),"")</f>
        <v>2741</v>
      </c>
      <c r="S133" s="166">
        <f>IF(E133&lt;&gt;"",ROUND(E133*0.96,0),"")</f>
        <v>2436</v>
      </c>
      <c r="T133" s="163">
        <f>IF(C133="","",IFERROR(IF(O133&gt;=2,3,IF(O133&gt;=1.5,2,IF(O133&gt;=1,1,0)))+IF(E133&gt;G133,1,0)+IF(L133&gt;=-5,1,0)+IF(Q133="買い▲",2,0)+IF(W133&lt;=30,3,IF(W133&lt;=40,2,IF(AND(W133&gt;=40,W133&lt;=60),1,0)))+IF(X133&gt;0,1,0)+IF(V133="年初来高値更新●",3,IF(V133="高値圏",2,0))+IF(AD133="パーフェクト▲",3,IF(AD133="上昇トレンド▲",2,0))+IF(AE133="25日線押し目●",2,IF(AE133="5日線押し目○",1,0))+IF(P133="急増↑↑",2,IF(P133="増加↑",1,0))+N(AI133),0))</f>
        <v>8</v>
      </c>
      <c r="U133" s="163" t="str">
        <f>IF(T133="","",IF(AND(T133&gt;=3,O133&gt;=1.5),"有効",IF(T133&gt;=3,"要確認","除外")))</f>
        <v>有効</v>
      </c>
      <c r="V133" s="163" t="str">
        <f>IF(AND(H133&lt;&gt;"",K133&lt;&gt;""),IF(H133&gt;=K133,"年初来高値更新●",IF(H133&gt;=K133*0.95,"高値圏","通常")),"")</f>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IF(AND(E133&lt;&gt;"",G133&lt;&gt;"",G133&lt;&gt;0),(E133-G133)/G133*100,"")</f>
        <v>-0.3142183817753339</v>
      </c>
      <c r="AA133" s="163" t="str">
        <f>IF(OR(C133="",E133="",E133=0),"",IF(E133&gt;G133,"上昇▲",IF(E133&lt;G133,"下落▼","横ばい→")))</f>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IF(OR(C133="",AB133="",AC133=""),"",IF(AND(E133&gt;AB133,AB133&gt;AC133),"パーフェクト▲",IF(E133&gt;AC133,"上昇トレンド▲",IF(AND(E133&lt;AB133,AB133&lt;AC133),"下降トレンド▼","もみ合い→"))))</f>
        <v>もみ合い→</v>
      </c>
      <c r="AE133" s="406" t="str">
        <f>IF(OR(C133="",AB133="",AC133=""),"",IF(AND(ABS(E133-AC133)/AC133&lt;=0.02,E133&gt;AC133),"25日押し目★",IF(AND(ABS(E133-AB133)/AB133&lt;=0.01,E133&gt;AB133),"5日押し目○","なし")))</f>
        <v>なし</v>
      </c>
      <c r="AF133" s="365">
        <f t="array" ref="AF133">IF(C133="","",IFERROR((INDEX(終値!$E:$E,MATCH(TEXT(C133,"0"),終値!$A:$A,0))-INDEX(終値!$E:$CZ,MATCH(TEXT(C133,"0"),終値!$A:$A,0),$AL$2))/INDEX(終値!$E:$CZ,MATCH(TEXT(C133,"0"),終値!$A:$A,0),$AL$2)*100,""))</f>
        <v>13.557046979865772</v>
      </c>
      <c r="AG133" s="365">
        <f t="array" ref="AG133">IFERROR((終値!$E$5-INDEX(終値!$E$5:$IT$5,1,$AL$2))/INDEX(終値!$E$5:$IT$5,1,$AL$2)*100,"")</f>
        <v>1.0179378228534113</v>
      </c>
      <c r="AH133" s="366">
        <f>IF(OR(AF133="",AG133=""),"",AF133-AG133)</f>
        <v>12.53910915701236</v>
      </c>
      <c r="AI133" s="364">
        <f>IF(AH133="","",IF(AH133&gt;5,3,IF(AH133&gt;0,1,IF(AH133&gt;-3,-1,-2))))</f>
        <v>3</v>
      </c>
      <c r="BA133">
        <f>IFERROR((SUM(OFFSET(高値!$E$6,IFERROR(MATCH($C133,銘柄管理!$B$6:$B$305,0),MATCH(TEXT($C133,"0"),銘柄管理!$B$6:$B$305,0))-1,0,1,14))-SUM(OFFSET(安値!$E$6,IFERROR(MATCH($C133,銘柄管理!$B$6:$B$305,0),MATCH(TEXT($C133,"0"),銘柄管理!$B$6:$B$305,0))-1,0,1,14)))/SUM(OFFSET(終値!$E$6,IFERROR(MATCH($C133,銘柄管理!$B$6:$B$305,0),MATCH(TEXT($C133,"0"),銘柄管理!$B$6:$B$305,0))-1,0,1,14))*100,"")</f>
      </c>
      <c r="BB133">
        <f>IFERROR((MAX(OFFSET(高値!$E$6,IFERROR(MATCH($C133,銘柄管理!$B$6:$B$305,0),MATCH(TEXT($C133,"0"),銘柄管理!$B$6:$B$305,0))-1,0,1,25))-MIN(OFFSET(安値!$E$6,IFERROR(MATCH($C133,銘柄管理!$B$6:$B$305,0),MATCH(TEXT($C133,"0"),銘柄管理!$B$6:$B$305,0))-1,0,1,25)))/$E133*100,"")</f>
      </c>
      <c r="BC133">
        <f>IFERROR(($F133-$G133)/$G133*100,"")</f>
      </c>
      <c r="BD133">
        <f>IFERROR(($E133-MAX(OFFSET(高値!$E$6,IFERROR(MATCH($C133,銘柄管理!$B$6:$B$305,0),MATCH(TEXT($C133,"0"),銘柄管理!$B$6:$B$305,0))-1,0,1,25)))/MAX(OFFSET(高値!$E$6,IFERROR(MATCH($C133,銘柄管理!$B$6:$B$305,0),MATCH(TEXT($C133,"0"),銘柄管理!$B$6:$B$305,0))-1,0,1,25))*100,"")</f>
      </c>
      <c r="BE133">
        <f>IFERROR(($H133-$I133)/$F133*100,"")</f>
      </c>
      <c r="BF133">
        <f>IFERROR(-(($BA133-AVERAGE($BA$3:$BA$206))/STDEV($BA$3:$BA$206))-(($BE133-AVERAGE($BE$3:$BE$206))/STDEV($BE$3:$BE$206))-(($BB133-AVERAGE($BB$3:$BB$206))/STDEV($BB$3:$BB$206))-(($Z133-AVERAGE($Z$3:$Z$206))/STDEV($Z$3:$Z$206))-(($BC133-AVERAGE($BC$3:$BC$206))/STDEV($BC$3:$BC$206)),"")</f>
      </c>
      <c r="BG133">
        <f>IF(OR($C133="",$C133="TOPX",$BA133="",$BF133=""),0,IF(AND($BK$10=1,$BA133&lt;=$BK$2,$BB133&lt;=$BK$3,$BC133&lt;=$BK$4,$Z133&lt;=$BK$5,$Z133&gt;=$BK$6,$BD133&gt;=$BK$7,$BE133&lt;=$BK$8),1,0))</f>
      </c>
      <c r="BH133">
        <f>IF($C133="","",IF($BG133=1,"○ゲート通過",IF($BK$10&lt;&gt;1,"― この方向は停止中",IF($BA133&gt;$BK$2,"×値動きが荒い",IF($BB133&gt;$BK$3,"×レンジが広い",IF($BC133&gt;$BK$4,"×窓を開けて上昇",IF($Z133&gt;$BK$5,"×前日に急騰",IF($Z133&lt;$BK$6,"×前日に急落",IF($BD133&lt;$BK$7,"×高値から離れすぎ",IF($BE133&gt;$BK$8,"×当日の値幅が大きい","×")))))))))</f>
      </c>
    </row>
    <row r="134" spans="1:60"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IF(AND(E134&lt;&gt;"",K134&lt;&gt;"",K134&lt;&gt;0),(E134-K134)/K134*100,"")</f>
        <v>-29.428208386276999</v>
      </c>
      <c r="M134" s="166">
        <f>IF(C134&lt;&gt;"",IFERROR(AVERAGE(出来高!E51:I51),""),"")</f>
        <v>80420</v>
      </c>
      <c r="N134" s="166">
        <f>IF(C134&lt;&gt;"",IFERROR(AVERAGE(出来高!E51:AC51),""),"")</f>
        <v>42388</v>
      </c>
      <c r="O134" s="168">
        <f>IF(AND(J134&lt;&gt;"",M134&lt;&gt;"",M134&lt;&gt;0),J134/M134,"")</f>
        <v>0.79830887838846054</v>
      </c>
      <c r="P134" s="163" t="str">
        <f>IF(O134="","",IF(O134&gt;=2,"急増↑↑",IF(O134&gt;=1.5,"増加↑",IF(O134&gt;=1,"普通→","減少↓"))))</f>
        <v>減少↓</v>
      </c>
      <c r="Q134" s="163" t="str">
        <f>IF(E134="","",IF(AND(E134&gt;G134,O134&gt;=1.5),"買い▲",IF(E134&lt;G134,"様子見▼","中立→")))</f>
        <v>中立→</v>
      </c>
      <c r="R134" s="166">
        <f>IF(E134&lt;&gt;"",ROUND(E134*1.08,0),"")</f>
        <v>2999</v>
      </c>
      <c r="S134" s="166">
        <f>IF(E134&lt;&gt;"",ROUND(E134*0.96,0),"")</f>
        <v>2666</v>
      </c>
      <c r="T134" s="163">
        <f>IF(C134="","",IFERROR(IF(O134&gt;=2,3,IF(O134&gt;=1.5,2,IF(O134&gt;=1,1,0)))+IF(E134&gt;G134,1,0)+IF(L134&gt;=-5,1,0)+IF(Q134="買い▲",2,0)+IF(W134&lt;=30,3,IF(W134&lt;=40,2,IF(AND(W134&gt;=40,W134&lt;=60),1,0)))+IF(X134&gt;0,1,0)+IF(V134="年初来高値更新●",3,IF(V134="高値圏",2,0))+IF(AD134="パーフェクト▲",3,IF(AD134="上昇トレンド▲",2,0))+IF(AE134="25日線押し目●",2,IF(AE134="5日線押し目○",1,0))+IF(P134="急増↑↑",2,IF(P134="増加↑",1,0))+N(AI134),0))</f>
        <v>8</v>
      </c>
      <c r="U134" s="163" t="str">
        <f>IF(T134="","",IF(AND(T134&gt;=3,O134&gt;=1.5),"有効",IF(T134&gt;=3,"要確認","除外")))</f>
        <v>要確認</v>
      </c>
      <c r="V134" s="163" t="str">
        <f>IF(AND(H134&lt;&gt;"",K134&lt;&gt;""),IF(H134&gt;=K134,"年初来高値更新●",IF(H134&gt;=K134*0.95,"高値圏","通常")),"")</f>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IF(AND(E134&lt;&gt;"",G134&lt;&gt;"",G134&lt;&gt;0),(E134-G134)/G134*100,"")</f>
        <v>1.6471449487554906</v>
      </c>
      <c r="AA134" s="163" t="str">
        <f>IF(OR(C134="",E134="",E134=0),"",IF(E134&gt;G134,"上昇▲",IF(E134&lt;G134,"下落▼","横ばい→")))</f>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IF(OR(C134="",AB134="",AC134=""),"",IF(AND(E134&gt;AB134,AB134&gt;AC134),"パーフェクト▲",IF(E134&gt;AC134,"上昇トレンド▲",IF(AND(E134&lt;AB134,AB134&lt;AC134),"下降トレンド▼","もみ合い→"))))</f>
        <v>上昇トレンド▲</v>
      </c>
      <c r="AE134" s="404" t="str">
        <f>IF(OR(C134="",AB134="",AC134=""),"",IF(AND(ABS(E134-AC134)/AC134&lt;=0.02,E134&gt;AC134),"25日押し目★",IF(AND(ABS(E134-AB134)/AB134&lt;=0.01,E134&gt;AB134),"5日押し目○","なし")))</f>
        <v>なし</v>
      </c>
      <c r="AF134" s="365">
        <f t="array" ref="AF134">IF(C134="","",IFERROR((INDEX(終値!$E:$E,MATCH(TEXT(C134,"0"),終値!$A:$A,0))-INDEX(終値!$E:$CZ,MATCH(TEXT(C134,"0"),終値!$A:$A,0),$AL$2))/INDEX(終値!$E:$CZ,MATCH(TEXT(C134,"0"),終値!$A:$A,0),$AL$2)*100,""))</f>
        <v>22.604856512141282</v>
      </c>
      <c r="AG134" s="365">
        <f t="array" ref="AG134">IFERROR((終値!$E$5-INDEX(終値!$E$5:$IT$5,1,$AL$2))/INDEX(終値!$E$5:$IT$5,1,$AL$2)*100,"")</f>
        <v>1.0179378228534113</v>
      </c>
      <c r="AH134" s="366">
        <f>IF(OR(AF134="",AG134=""),"",AF134-AG134)</f>
        <v>21.58691868928787</v>
      </c>
      <c r="AI134" s="364">
        <f>IF(AH134="","",IF(AH134&gt;5,3,IF(AH134&gt;0,1,IF(AH134&gt;-3,-1,-2))))</f>
        <v>3</v>
      </c>
      <c r="BA134">
        <f>IFERROR((SUM(OFFSET(高値!$E$6,IFERROR(MATCH($C134,銘柄管理!$B$6:$B$305,0),MATCH(TEXT($C134,"0"),銘柄管理!$B$6:$B$305,0))-1,0,1,14))-SUM(OFFSET(安値!$E$6,IFERROR(MATCH($C134,銘柄管理!$B$6:$B$305,0),MATCH(TEXT($C134,"0"),銘柄管理!$B$6:$B$305,0))-1,0,1,14)))/SUM(OFFSET(終値!$E$6,IFERROR(MATCH($C134,銘柄管理!$B$6:$B$305,0),MATCH(TEXT($C134,"0"),銘柄管理!$B$6:$B$305,0))-1,0,1,14))*100,"")</f>
      </c>
      <c r="BB134">
        <f>IFERROR((MAX(OFFSET(高値!$E$6,IFERROR(MATCH($C134,銘柄管理!$B$6:$B$305,0),MATCH(TEXT($C134,"0"),銘柄管理!$B$6:$B$305,0))-1,0,1,25))-MIN(OFFSET(安値!$E$6,IFERROR(MATCH($C134,銘柄管理!$B$6:$B$305,0),MATCH(TEXT($C134,"0"),銘柄管理!$B$6:$B$305,0))-1,0,1,25)))/$E134*100,"")</f>
      </c>
      <c r="BC134">
        <f>IFERROR(($F134-$G134)/$G134*100,"")</f>
      </c>
      <c r="BD134">
        <f>IFERROR(($E134-MAX(OFFSET(高値!$E$6,IFERROR(MATCH($C134,銘柄管理!$B$6:$B$305,0),MATCH(TEXT($C134,"0"),銘柄管理!$B$6:$B$305,0))-1,0,1,25)))/MAX(OFFSET(高値!$E$6,IFERROR(MATCH($C134,銘柄管理!$B$6:$B$305,0),MATCH(TEXT($C134,"0"),銘柄管理!$B$6:$B$305,0))-1,0,1,25))*100,"")</f>
      </c>
      <c r="BE134">
        <f>IFERROR(($H134-$I134)/$F134*100,"")</f>
      </c>
      <c r="BF134">
        <f>IFERROR(-(($BA134-AVERAGE($BA$3:$BA$206))/STDEV($BA$3:$BA$206))-(($BE134-AVERAGE($BE$3:$BE$206))/STDEV($BE$3:$BE$206))-(($BB134-AVERAGE($BB$3:$BB$206))/STDEV($BB$3:$BB$206))-(($Z134-AVERAGE($Z$3:$Z$206))/STDEV($Z$3:$Z$206))-(($BC134-AVERAGE($BC$3:$BC$206))/STDEV($BC$3:$BC$206)),"")</f>
      </c>
      <c r="BG134">
        <f>IF(OR($C134="",$C134="TOPX",$BA134="",$BF134=""),0,IF(AND($BK$10=1,$BA134&lt;=$BK$2,$BB134&lt;=$BK$3,$BC134&lt;=$BK$4,$Z134&lt;=$BK$5,$Z134&gt;=$BK$6,$BD134&gt;=$BK$7,$BE134&lt;=$BK$8),1,0))</f>
      </c>
      <c r="BH134">
        <f>IF($C134="","",IF($BG134=1,"○ゲート通過",IF($BK$10&lt;&gt;1,"― この方向は停止中",IF($BA134&gt;$BK$2,"×値動きが荒い",IF($BB134&gt;$BK$3,"×レンジが広い",IF($BC134&gt;$BK$4,"×窓を開けて上昇",IF($Z134&gt;$BK$5,"×前日に急騰",IF($Z134&lt;$BK$6,"×前日に急落",IF($BD134&lt;$BK$7,"×高値から離れすぎ",IF($BE134&gt;$BK$8,"×当日の値幅が大きい","×")))))))))</f>
      </c>
    </row>
    <row r="135" spans="1:60"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IF(AND(E135&lt;&gt;"",K135&lt;&gt;"",K135&lt;&gt;0),(E135-K135)/K135*100,"")</f>
        <v>-29.784866468842729</v>
      </c>
      <c r="M135" s="166">
        <f>IF(C135&lt;&gt;"",IFERROR(AVERAGE(出来高!E180:I180),""),"")</f>
        <v>167920</v>
      </c>
      <c r="N135" s="166">
        <f>IF(C135&lt;&gt;"",IFERROR(AVERAGE(出来高!E180:AC180),""),"")</f>
        <v>125712.5</v>
      </c>
      <c r="O135" s="168">
        <f>IF(AND(J135&lt;&gt;"",M135&lt;&gt;"",M135&lt;&gt;0),J135/M135,"")</f>
        <v>0.79085278704144835</v>
      </c>
      <c r="P135" s="163" t="str">
        <f>IF(O135="","",IF(O135&gt;=2,"急増↑↑",IF(O135&gt;=1.5,"増加↑",IF(O135&gt;=1,"普通→","減少↓"))))</f>
        <v>減少↓</v>
      </c>
      <c r="Q135" s="163" t="str">
        <f>IF(E135="","",IF(AND(E135&gt;G135,O135&gt;=1.5),"買い▲",IF(E135&lt;G135,"様子見▼","中立→")))</f>
        <v>中立→</v>
      </c>
      <c r="R135" s="166">
        <f>IF(E135&lt;&gt;"",ROUND(E135*1.08,0),"")</f>
        <v>2044</v>
      </c>
      <c r="S135" s="166">
        <f>IF(E135&lt;&gt;"",ROUND(E135*0.96,0),"")</f>
        <v>1817</v>
      </c>
      <c r="T135" s="163">
        <f>IF(C135="","",IFERROR(IF(O135&gt;=2,3,IF(O135&gt;=1.5,2,IF(O135&gt;=1,1,0)))+IF(E135&gt;G135,1,0)+IF(L135&gt;=-5,1,0)+IF(Q135="買い▲",2,0)+IF(W135&lt;=30,3,IF(W135&lt;=40,2,IF(AND(W135&gt;=40,W135&lt;=60),1,0)))+IF(X135&gt;0,1,0)+IF(V135="年初来高値更新●",3,IF(V135="高値圏",2,0))+IF(AD135="パーフェクト▲",3,IF(AD135="上昇トレンド▲",2,0))+IF(AE135="25日線押し目●",2,IF(AE135="5日線押し目○",1,0))+IF(P135="急増↑↑",2,IF(P135="増加↑",1,0))+N(AI135),0))</f>
        <v>8</v>
      </c>
      <c r="U135" s="163" t="str">
        <f>IF(T135="","",IF(AND(T135&gt;=3,O135&gt;=1.5),"有効",IF(T135&gt;=3,"要確認","除外")))</f>
        <v>要確認</v>
      </c>
      <c r="V135" s="163" t="str">
        <f>IF(AND(H135&lt;&gt;"",K135&lt;&gt;""),IF(H135&gt;=K135,"年初来高値更新●",IF(H135&gt;=K135*0.95,"高値圏","通常")),"")</f>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IF(AND(E135&lt;&gt;"",G135&lt;&gt;"",G135&lt;&gt;0),(E135-G135)/G135*100,"")</f>
        <v>1.5013404825737267</v>
      </c>
      <c r="AA135" s="163" t="str">
        <f>IF(OR(C135="",E135="",E135=0),"",IF(E135&gt;G135,"上昇▲",IF(E135&lt;G135,"下落▼","横ばい→")))</f>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IF(OR(C135="",AB135="",AC135=""),"",IF(AND(E135&gt;AB135,AB135&gt;AC135),"パーフェクト▲",IF(E135&gt;AC135,"上昇トレンド▲",IF(AND(E135&lt;AB135,AB135&lt;AC135),"下降トレンド▼","もみ合い→"))))</f>
        <v>上昇トレンド▲</v>
      </c>
      <c r="AE135" s="406" t="str">
        <f>IF(OR(C135="",AB135="",AC135=""),"",IF(AND(ABS(E135-AC135)/AC135&lt;=0.02,E135&gt;AC135),"25日押し目★",IF(AND(ABS(E135-AB135)/AB135&lt;=0.01,E135&gt;AB135),"5日押し目○","なし")))</f>
        <v>なし</v>
      </c>
      <c r="AF135" s="365">
        <f t="array" ref="AF135">IF(C135="","",IFERROR((INDEX(終値!$E:$E,MATCH(TEXT(C135,"0"),終値!$A:$A,0))-INDEX(終値!$E:$CZ,MATCH(TEXT(C135,"0"),終値!$A:$A,0),$AL$2))/INDEX(終値!$E:$CZ,MATCH(TEXT(C135,"0"),終値!$A:$A,0),$AL$2)*100,""))</f>
        <v>10.122164048865621</v>
      </c>
      <c r="AG135" s="365">
        <f t="array" ref="AG135">IFERROR((終値!$E$5-INDEX(終値!$E$5:$IT$5,1,$AL$2))/INDEX(終値!$E$5:$IT$5,1,$AL$2)*100,"")</f>
        <v>1.0179378228534113</v>
      </c>
      <c r="AH135" s="366">
        <f>IF(OR(AF135="",AG135=""),"",AF135-AG135)</f>
        <v>9.1042262260122087</v>
      </c>
      <c r="AI135" s="364">
        <f>IF(AH135="","",IF(AH135&gt;5,3,IF(AH135&gt;0,1,IF(AH135&gt;-3,-1,-2))))</f>
        <v>3</v>
      </c>
      <c r="BA135">
        <f>IFERROR((SUM(OFFSET(高値!$E$6,IFERROR(MATCH($C135,銘柄管理!$B$6:$B$305,0),MATCH(TEXT($C135,"0"),銘柄管理!$B$6:$B$305,0))-1,0,1,14))-SUM(OFFSET(安値!$E$6,IFERROR(MATCH($C135,銘柄管理!$B$6:$B$305,0),MATCH(TEXT($C135,"0"),銘柄管理!$B$6:$B$305,0))-1,0,1,14)))/SUM(OFFSET(終値!$E$6,IFERROR(MATCH($C135,銘柄管理!$B$6:$B$305,0),MATCH(TEXT($C135,"0"),銘柄管理!$B$6:$B$305,0))-1,0,1,14))*100,"")</f>
      </c>
      <c r="BB135">
        <f>IFERROR((MAX(OFFSET(高値!$E$6,IFERROR(MATCH($C135,銘柄管理!$B$6:$B$305,0),MATCH(TEXT($C135,"0"),銘柄管理!$B$6:$B$305,0))-1,0,1,25))-MIN(OFFSET(安値!$E$6,IFERROR(MATCH($C135,銘柄管理!$B$6:$B$305,0),MATCH(TEXT($C135,"0"),銘柄管理!$B$6:$B$305,0))-1,0,1,25)))/$E135*100,"")</f>
      </c>
      <c r="BC135">
        <f>IFERROR(($F135-$G135)/$G135*100,"")</f>
      </c>
      <c r="BD135">
        <f>IFERROR(($E135-MAX(OFFSET(高値!$E$6,IFERROR(MATCH($C135,銘柄管理!$B$6:$B$305,0),MATCH(TEXT($C135,"0"),銘柄管理!$B$6:$B$305,0))-1,0,1,25)))/MAX(OFFSET(高値!$E$6,IFERROR(MATCH($C135,銘柄管理!$B$6:$B$305,0),MATCH(TEXT($C135,"0"),銘柄管理!$B$6:$B$305,0))-1,0,1,25))*100,"")</f>
      </c>
      <c r="BE135">
        <f>IFERROR(($H135-$I135)/$F135*100,"")</f>
      </c>
      <c r="BF135">
        <f>IFERROR(-(($BA135-AVERAGE($BA$3:$BA$206))/STDEV($BA$3:$BA$206))-(($BE135-AVERAGE($BE$3:$BE$206))/STDEV($BE$3:$BE$206))-(($BB135-AVERAGE($BB$3:$BB$206))/STDEV($BB$3:$BB$206))-(($Z135-AVERAGE($Z$3:$Z$206))/STDEV($Z$3:$Z$206))-(($BC135-AVERAGE($BC$3:$BC$206))/STDEV($BC$3:$BC$206)),"")</f>
      </c>
      <c r="BG135">
        <f>IF(OR($C135="",$C135="TOPX",$BA135="",$BF135=""),0,IF(AND($BK$10=1,$BA135&lt;=$BK$2,$BB135&lt;=$BK$3,$BC135&lt;=$BK$4,$Z135&lt;=$BK$5,$Z135&gt;=$BK$6,$BD135&gt;=$BK$7,$BE135&lt;=$BK$8),1,0))</f>
      </c>
      <c r="BH135">
        <f>IF($C135="","",IF($BG135=1,"○ゲート通過",IF($BK$10&lt;&gt;1,"― この方向は停止中",IF($BA135&gt;$BK$2,"×値動きが荒い",IF($BB135&gt;$BK$3,"×レンジが広い",IF($BC135&gt;$BK$4,"×窓を開けて上昇",IF($Z135&gt;$BK$5,"×前日に急騰",IF($Z135&lt;$BK$6,"×前日に急落",IF($BD135&lt;$BK$7,"×高値から離れすぎ",IF($BE135&gt;$BK$8,"×当日の値幅が大きい","×")))))))))</f>
      </c>
    </row>
    <row r="136" spans="1:60"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IF(AND(E136&lt;&gt;"",K136&lt;&gt;"",K136&lt;&gt;0),(E136-K136)/K136*100,"")</f>
        <v>-11.201216421692854</v>
      </c>
      <c r="M136" s="166">
        <f>IF(C136&lt;&gt;"",IFERROR(AVERAGE(出来高!F7:J7),""),"")</f>
        <v>387160</v>
      </c>
      <c r="N136" s="166">
        <f>IF(C136&lt;&gt;"",IFERROR(AVERAGE(出来高!F7:AD7),""),"")</f>
        <v>388816</v>
      </c>
      <c r="O136" s="168">
        <f>IF(AND(J136&lt;&gt;"",M136&lt;&gt;"",M136&lt;&gt;0),J136/M136,"")</f>
        <v>1.0486620518648622</v>
      </c>
      <c r="P136" s="163" t="str">
        <f>IF(O136="","",IF(O136&gt;=2,"急増↑↑",IF(O136&gt;=1.5,"増加↑",IF(O136&gt;=1,"普通→","減少↓"))))</f>
        <v>普通→</v>
      </c>
      <c r="Q136" s="163" t="str">
        <f>IF(E136="","",IF(AND(E136&gt;G136,O136&gt;=1.5),"買い▲",IF(E136&lt;G136,"様子見▼","中立→")))</f>
        <v>中立→</v>
      </c>
      <c r="R136" s="166">
        <f>IF(E136&lt;&gt;"",ROUND(E136*1.08,0),"")</f>
        <v>1892</v>
      </c>
      <c r="S136" s="166">
        <f>IF(E136&lt;&gt;"",ROUND(E136*0.96,0),"")</f>
        <v>1682</v>
      </c>
      <c r="T136" s="163">
        <f>IF(C136="","",IFERROR(IF(O136&gt;=2,3,IF(O136&gt;=1.5,2,IF(O136&gt;=1,1,0)))+IF(E136&gt;G136,1,0)+IF(L136&gt;=-5,1,0)+IF(Q136="買い▲",2,0)+IF(W136&lt;=30,3,IF(W136&lt;=40,2,IF(AND(W136&gt;=40,W136&lt;=60),1,0)))+IF(X136&gt;0,1,0)+IF(V136="年初来高値更新●",3,IF(V136="高値圏",2,0))+IF(AD136="パーフェクト▲",3,IF(AD136="上昇トレンド▲",2,0))+IF(AE136="25日線押し目●",2,IF(AE136="5日線押し目○",1,0))+IF(P136="急増↑↑",2,IF(P136="増加↑",1,0))+N(AI136),0))</f>
        <v>7</v>
      </c>
      <c r="U136" s="163" t="str">
        <f>IF(T136="","",IF(AND(T136&gt;=3,O136&gt;=1.5),"有効",IF(T136&gt;=3,"要確認","除外")))</f>
        <v>要確認</v>
      </c>
      <c r="V136" s="163" t="str">
        <f>IF(AND(H136&lt;&gt;"",K136&lt;&gt;""),IF(H136&gt;=K136,"年初来高値更新●",IF(H136&gt;=K136*0.95,"高値圏","通常")),"")</f>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IF(AND(E136&lt;&gt;"",G136&lt;&gt;"",G136&lt;&gt;0),(E136-G136)/G136*100,"")</f>
        <v>1.6831108531630876</v>
      </c>
      <c r="AA136" s="163" t="str">
        <f>IF(OR(C136="",E136="",E136=0),"",IF(E136&gt;G136,"上昇▲",IF(E136&lt;G136,"下落▼","横ばい→")))</f>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IF(OR(C136="",AB136="",AC136=""),"",IF(AND(E136&gt;AB136,AB136&gt;AC136),"パーフェクト▲",IF(E136&gt;AC136,"上昇トレンド▲",IF(AND(E136&lt;AB136,AB136&lt;AC136),"下降トレンド▼","もみ合い→"))))</f>
        <v>パーフェクト▲</v>
      </c>
      <c r="AE136" s="404" t="str">
        <f>IF(OR(C136="",AB136="",AC136=""),"",IF(AND(ABS(E136-AC136)/AC136&lt;=0.02,E136&gt;AC136),"25日押し目★",IF(AND(ABS(E136-AB136)/AB136&lt;=0.01,E136&gt;AB136),"5日押し目○","なし")))</f>
        <v>なし</v>
      </c>
      <c r="AF136" s="365">
        <f t="array" ref="AF136">IF(C136="","",IFERROR((INDEX(終値!$E:$E,MATCH(TEXT(C136,"0"),終値!$A:$A,0))-INDEX(終値!$E:$CZ,MATCH(TEXT(C136,"0"),終値!$A:$A,0),$AL$2))/INDEX(終値!$E:$CZ,MATCH(TEXT(C136,"0"),終値!$A:$A,0),$AL$2)*100,""))</f>
        <v>2.756598240469208</v>
      </c>
      <c r="AG136" s="365">
        <f t="array" ref="AG136">IFERROR((終値!$E$5-INDEX(終値!$E$5:$IT$5,1,$AL$2))/INDEX(終値!$E$5:$IT$5,1,$AL$2)*100,"")</f>
        <v>1.0179378228534113</v>
      </c>
      <c r="AH136" s="366">
        <f>IF(OR(AF136="",AG136=""),"",AF136-AG136)</f>
        <v>1.7386604176157967</v>
      </c>
      <c r="AI136" s="364">
        <f>IF(AH136="","",IF(AH136&gt;5,3,IF(AH136&gt;0,1,IF(AH136&gt;-3,-1,-2))))</f>
        <v>1</v>
      </c>
      <c r="BA136">
        <f>IFERROR((SUM(OFFSET(高値!$E$6,IFERROR(MATCH($C136,銘柄管理!$B$6:$B$305,0),MATCH(TEXT($C136,"0"),銘柄管理!$B$6:$B$305,0))-1,0,1,14))-SUM(OFFSET(安値!$E$6,IFERROR(MATCH($C136,銘柄管理!$B$6:$B$305,0),MATCH(TEXT($C136,"0"),銘柄管理!$B$6:$B$305,0))-1,0,1,14)))/SUM(OFFSET(終値!$E$6,IFERROR(MATCH($C136,銘柄管理!$B$6:$B$305,0),MATCH(TEXT($C136,"0"),銘柄管理!$B$6:$B$305,0))-1,0,1,14))*100,"")</f>
      </c>
      <c r="BB136">
        <f>IFERROR((MAX(OFFSET(高値!$E$6,IFERROR(MATCH($C136,銘柄管理!$B$6:$B$305,0),MATCH(TEXT($C136,"0"),銘柄管理!$B$6:$B$305,0))-1,0,1,25))-MIN(OFFSET(安値!$E$6,IFERROR(MATCH($C136,銘柄管理!$B$6:$B$305,0),MATCH(TEXT($C136,"0"),銘柄管理!$B$6:$B$305,0))-1,0,1,25)))/$E136*100,"")</f>
      </c>
      <c r="BC136">
        <f>IFERROR(($F136-$G136)/$G136*100,"")</f>
      </c>
      <c r="BD136">
        <f>IFERROR(($E136-MAX(OFFSET(高値!$E$6,IFERROR(MATCH($C136,銘柄管理!$B$6:$B$305,0),MATCH(TEXT($C136,"0"),銘柄管理!$B$6:$B$305,0))-1,0,1,25)))/MAX(OFFSET(高値!$E$6,IFERROR(MATCH($C136,銘柄管理!$B$6:$B$305,0),MATCH(TEXT($C136,"0"),銘柄管理!$B$6:$B$305,0))-1,0,1,25))*100,"")</f>
      </c>
      <c r="BE136">
        <f>IFERROR(($H136-$I136)/$F136*100,"")</f>
      </c>
      <c r="BF136">
        <f>IFERROR(-(($BA136-AVERAGE($BA$3:$BA$206))/STDEV($BA$3:$BA$206))-(($BE136-AVERAGE($BE$3:$BE$206))/STDEV($BE$3:$BE$206))-(($BB136-AVERAGE($BB$3:$BB$206))/STDEV($BB$3:$BB$206))-(($Z136-AVERAGE($Z$3:$Z$206))/STDEV($Z$3:$Z$206))-(($BC136-AVERAGE($BC$3:$BC$206))/STDEV($BC$3:$BC$206)),"")</f>
      </c>
      <c r="BG136">
        <f>IF(OR($C136="",$C136="TOPX",$BA136="",$BF136=""),0,IF(AND($BK$10=1,$BA136&lt;=$BK$2,$BB136&lt;=$BK$3,$BC136&lt;=$BK$4,$Z136&lt;=$BK$5,$Z136&gt;=$BK$6,$BD136&gt;=$BK$7,$BE136&lt;=$BK$8),1,0))</f>
      </c>
      <c r="BH136">
        <f>IF($C136="","",IF($BG136=1,"○ゲート通過",IF($BK$10&lt;&gt;1,"― この方向は停止中",IF($BA136&gt;$BK$2,"×値動きが荒い",IF($BB136&gt;$BK$3,"×レンジが広い",IF($BC136&gt;$BK$4,"×窓を開けて上昇",IF($Z136&gt;$BK$5,"×前日に急騰",IF($Z136&lt;$BK$6,"×前日に急落",IF($BD136&lt;$BK$7,"×高値から離れすぎ",IF($BE136&gt;$BK$8,"×当日の値幅が大きい","×")))))))))</f>
      </c>
    </row>
    <row r="137" spans="1:60"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IF(AND(E137&lt;&gt;"",K137&lt;&gt;"",K137&lt;&gt;0),(E137-K137)/K137*100,"")</f>
        <v>-21.216617210682493</v>
      </c>
      <c r="M137" s="166">
        <f>IF(C137&lt;&gt;"",IFERROR(AVERAGE(出来高!E84:I84),""),"")</f>
        <v>7907900</v>
      </c>
      <c r="N137" s="166">
        <f>IF(C137&lt;&gt;"",IFERROR(AVERAGE(出来高!E84:AC84),""),"")</f>
        <v>5935052</v>
      </c>
      <c r="O137" s="168">
        <f>IF(AND(J137&lt;&gt;"",M137&lt;&gt;"",M137&lt;&gt;0),J137/M137,"")</f>
        <v>0.92899505557733408</v>
      </c>
      <c r="P137" s="163" t="str">
        <f>IF(O137="","",IF(O137&gt;=2,"急増↑↑",IF(O137&gt;=1.5,"増加↑",IF(O137&gt;=1,"普通→","減少↓"))))</f>
        <v>減少↓</v>
      </c>
      <c r="Q137" s="163" t="str">
        <f>IF(E137="","",IF(AND(E137&gt;G137,O137&gt;=1.5),"買い▲",IF(E137&lt;G137,"様子見▼","中立→")))</f>
        <v>中立→</v>
      </c>
      <c r="R137" s="166">
        <f>IF(E137&lt;&gt;"",ROUND(E137*1.08,0),"")</f>
        <v>2007</v>
      </c>
      <c r="S137" s="166">
        <f>IF(E137&lt;&gt;"",ROUND(E137*0.96,0),"")</f>
        <v>1784</v>
      </c>
      <c r="T137" s="163">
        <f>IF(C137="","",IFERROR(IF(O137&gt;=2,3,IF(O137&gt;=1.5,2,IF(O137&gt;=1,1,0)))+IF(E137&gt;G137,1,0)+IF(L137&gt;=-5,1,0)+IF(Q137="買い▲",2,0)+IF(W137&lt;=30,3,IF(W137&lt;=40,2,IF(AND(W137&gt;=40,W137&lt;=60),1,0)))+IF(X137&gt;0,1,0)+IF(V137="年初来高値更新●",3,IF(V137="高値圏",2,0))+IF(AD137="パーフェクト▲",3,IF(AD137="上昇トレンド▲",2,0))+IF(AE137="25日線押し目●",2,IF(AE137="5日線押し目○",1,0))+IF(P137="急増↑↑",2,IF(P137="増加↑",1,0))+N(AI137),0))</f>
        <v>8</v>
      </c>
      <c r="U137" s="163" t="str">
        <f>IF(T137="","",IF(AND(T137&gt;=3,O137&gt;=1.5),"有効",IF(T137&gt;=3,"要確認","除外")))</f>
        <v>要確認</v>
      </c>
      <c r="V137" s="163" t="str">
        <f>IF(AND(H137&lt;&gt;"",K137&lt;&gt;""),IF(H137&gt;=K137,"年初来高値更新●",IF(H137&gt;=K137*0.95,"高値圏","通常")),"")</f>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IF(AND(E137&lt;&gt;"",G137&lt;&gt;"",G137&lt;&gt;0),(E137-G137)/G137*100,"")</f>
        <v>1.0878433505575198</v>
      </c>
      <c r="AA137" s="163" t="str">
        <f>IF(OR(C137="",E137="",E137=0),"",IF(E137&gt;G137,"上昇▲",IF(E137&lt;G137,"下落▼","横ばい→")))</f>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IF(OR(C137="",AB137="",AC137=""),"",IF(AND(E137&gt;AB137,AB137&gt;AC137),"パーフェクト▲",IF(E137&gt;AC137,"上昇トレンド▲",IF(AND(E137&lt;AB137,AB137&lt;AC137),"下降トレンド▼","もみ合い→"))))</f>
        <v>パーフェクト▲</v>
      </c>
      <c r="AE137" s="406" t="str">
        <f>IF(OR(C137="",AB137="",AC137=""),"",IF(AND(ABS(E137-AC137)/AC137&lt;=0.02,E137&gt;AC137),"25日押し目★",IF(AND(ABS(E137-AB137)/AB137&lt;=0.01,E137&gt;AB137),"5日押し目○","なし")))</f>
        <v>なし</v>
      </c>
      <c r="AF137" s="365">
        <f t="array" ref="AF137">IF(C137="","",IFERROR((INDEX(終値!$E:$E,MATCH(TEXT(C137,"0"),終値!$A:$A,0))-INDEX(終値!$E:$CZ,MATCH(TEXT(C137,"0"),終値!$A:$A,0),$AL$2))/INDEX(終値!$E:$CZ,MATCH(TEXT(C137,"0"),終値!$A:$A,0),$AL$2)*100,""))</f>
        <v>19.710144927536234</v>
      </c>
      <c r="AG137" s="365">
        <f t="array" ref="AG137">IFERROR((終値!$E$5-INDEX(終値!$E$5:$IT$5,1,$AL$2))/INDEX(終値!$E$5:$IT$5,1,$AL$2)*100,"")</f>
        <v>1.0179378228534113</v>
      </c>
      <c r="AH137" s="366">
        <f>IF(OR(AF137="",AG137=""),"",AF137-AG137)</f>
        <v>18.692207104682822</v>
      </c>
      <c r="AI137" s="364">
        <f>IF(AH137="","",IF(AH137&gt;5,3,IF(AH137&gt;0,1,IF(AH137&gt;-3,-1,-2))))</f>
        <v>3</v>
      </c>
      <c r="BA137">
        <f>IFERROR((SUM(OFFSET(高値!$E$6,IFERROR(MATCH($C137,銘柄管理!$B$6:$B$305,0),MATCH(TEXT($C137,"0"),銘柄管理!$B$6:$B$305,0))-1,0,1,14))-SUM(OFFSET(安値!$E$6,IFERROR(MATCH($C137,銘柄管理!$B$6:$B$305,0),MATCH(TEXT($C137,"0"),銘柄管理!$B$6:$B$305,0))-1,0,1,14)))/SUM(OFFSET(終値!$E$6,IFERROR(MATCH($C137,銘柄管理!$B$6:$B$305,0),MATCH(TEXT($C137,"0"),銘柄管理!$B$6:$B$305,0))-1,0,1,14))*100,"")</f>
      </c>
      <c r="BB137">
        <f>IFERROR((MAX(OFFSET(高値!$E$6,IFERROR(MATCH($C137,銘柄管理!$B$6:$B$305,0),MATCH(TEXT($C137,"0"),銘柄管理!$B$6:$B$305,0))-1,0,1,25))-MIN(OFFSET(安値!$E$6,IFERROR(MATCH($C137,銘柄管理!$B$6:$B$305,0),MATCH(TEXT($C137,"0"),銘柄管理!$B$6:$B$305,0))-1,0,1,25)))/$E137*100,"")</f>
      </c>
      <c r="BC137">
        <f>IFERROR(($F137-$G137)/$G137*100,"")</f>
      </c>
      <c r="BD137">
        <f>IFERROR(($E137-MAX(OFFSET(高値!$E$6,IFERROR(MATCH($C137,銘柄管理!$B$6:$B$305,0),MATCH(TEXT($C137,"0"),銘柄管理!$B$6:$B$305,0))-1,0,1,25)))/MAX(OFFSET(高値!$E$6,IFERROR(MATCH($C137,銘柄管理!$B$6:$B$305,0),MATCH(TEXT($C137,"0"),銘柄管理!$B$6:$B$305,0))-1,0,1,25))*100,"")</f>
      </c>
      <c r="BE137">
        <f>IFERROR(($H137-$I137)/$F137*100,"")</f>
      </c>
      <c r="BF137">
        <f>IFERROR(-(($BA137-AVERAGE($BA$3:$BA$206))/STDEV($BA$3:$BA$206))-(($BE137-AVERAGE($BE$3:$BE$206))/STDEV($BE$3:$BE$206))-(($BB137-AVERAGE($BB$3:$BB$206))/STDEV($BB$3:$BB$206))-(($Z137-AVERAGE($Z$3:$Z$206))/STDEV($Z$3:$Z$206))-(($BC137-AVERAGE($BC$3:$BC$206))/STDEV($BC$3:$BC$206)),"")</f>
      </c>
      <c r="BG137">
        <f>IF(OR($C137="",$C137="TOPX",$BA137="",$BF137=""),0,IF(AND($BK$10=1,$BA137&lt;=$BK$2,$BB137&lt;=$BK$3,$BC137&lt;=$BK$4,$Z137&lt;=$BK$5,$Z137&gt;=$BK$6,$BD137&gt;=$BK$7,$BE137&lt;=$BK$8),1,0))</f>
      </c>
      <c r="BH137">
        <f>IF($C137="","",IF($BG137=1,"○ゲート通過",IF($BK$10&lt;&gt;1,"― この方向は停止中",IF($BA137&gt;$BK$2,"×値動きが荒い",IF($BB137&gt;$BK$3,"×レンジが広い",IF($BC137&gt;$BK$4,"×窓を開けて上昇",IF($Z137&gt;$BK$5,"×前日に急騰",IF($Z137&lt;$BK$6,"×前日に急落",IF($BD137&lt;$BK$7,"×高値から離れすぎ",IF($BE137&gt;$BK$8,"×当日の値幅が大きい","×")))))))))</f>
      </c>
    </row>
    <row r="138" spans="1:60"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IF(AND(E138&lt;&gt;"",K138&lt;&gt;"",K138&lt;&gt;0),(E138-K138)/K138*100,"")</f>
        <v>-32.967289719626166</v>
      </c>
      <c r="M138" s="166">
        <f>IF(C138&lt;&gt;"",IFERROR(AVERAGE(出来高!E179:I179),""),"")</f>
        <v>126620</v>
      </c>
      <c r="N138" s="166">
        <f>IF(C138&lt;&gt;"",IFERROR(AVERAGE(出来高!E179:AC179),""),"")</f>
        <v>104852</v>
      </c>
      <c r="O138" s="168">
        <f>IF(AND(J138&lt;&gt;"",M138&lt;&gt;"",M138&lt;&gt;0),J138/M138,"")</f>
        <v>0.86637182119728318</v>
      </c>
      <c r="P138" s="163" t="str">
        <f>IF(O138="","",IF(O138&gt;=2,"急増↑↑",IF(O138&gt;=1.5,"増加↑",IF(O138&gt;=1,"普通→","減少↓"))))</f>
        <v>減少↓</v>
      </c>
      <c r="Q138" s="163" t="str">
        <f>IF(E138="","",IF(AND(E138&gt;G138,O138&gt;=1.5),"買い▲",IF(E138&lt;G138,"様子見▼","中立→")))</f>
        <v>中立→</v>
      </c>
      <c r="R138" s="166">
        <f>IF(E138&lt;&gt;"",ROUND(E138*1.08,0),"")</f>
        <v>3099</v>
      </c>
      <c r="S138" s="166">
        <f>IF(E138&lt;&gt;"",ROUND(E138*0.96,0),"")</f>
        <v>2754</v>
      </c>
      <c r="T138" s="163">
        <f>IF(C138="","",IFERROR(IF(O138&gt;=2,3,IF(O138&gt;=1.5,2,IF(O138&gt;=1,1,0)))+IF(E138&gt;G138,1,0)+IF(L138&gt;=-5,1,0)+IF(Q138="買い▲",2,0)+IF(W138&lt;=30,3,IF(W138&lt;=40,2,IF(AND(W138&gt;=40,W138&lt;=60),1,0)))+IF(X138&gt;0,1,0)+IF(V138="年初来高値更新●",3,IF(V138="高値圏",2,0))+IF(AD138="パーフェクト▲",3,IF(AD138="上昇トレンド▲",2,0))+IF(AE138="25日線押し目●",2,IF(AE138="5日線押し目○",1,0))+IF(P138="急増↑↑",2,IF(P138="増加↑",1,0))+N(AI138),0))</f>
        <v>8</v>
      </c>
      <c r="U138" s="163" t="str">
        <f>IF(T138="","",IF(AND(T138&gt;=3,O138&gt;=1.5),"有効",IF(T138&gt;=3,"要確認","除外")))</f>
        <v>要確認</v>
      </c>
      <c r="V138" s="163" t="str">
        <f>IF(AND(H138&lt;&gt;"",K138&lt;&gt;""),IF(H138&gt;=K138,"年初来高値更新●",IF(H138&gt;=K138*0.95,"高値圏","通常")),"")</f>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IF(AND(E138&lt;&gt;"",G138&lt;&gt;"",G138&lt;&gt;0),(E138-G138)/G138*100,"")</f>
        <v>1.2707377338510413</v>
      </c>
      <c r="AA138" s="163" t="str">
        <f>IF(OR(C138="",E138="",E138=0),"",IF(E138&gt;G138,"上昇▲",IF(E138&lt;G138,"下落▼","横ばい→")))</f>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IF(OR(C138="",AB138="",AC138=""),"",IF(AND(E138&gt;AB138,AB138&gt;AC138),"パーフェクト▲",IF(E138&gt;AC138,"上昇トレンド▲",IF(AND(E138&lt;AB138,AB138&lt;AC138),"下降トレンド▼","もみ合い→"))))</f>
        <v>パーフェクト▲</v>
      </c>
      <c r="AE138" s="404" t="str">
        <f>IF(OR(C138="",AB138="",AC138=""),"",IF(AND(ABS(E138-AC138)/AC138&lt;=0.02,E138&gt;AC138),"25日押し目★",IF(AND(ABS(E138-AB138)/AB138&lt;=0.01,E138&gt;AB138),"5日押し目○","なし")))</f>
        <v>なし</v>
      </c>
      <c r="AF138" s="365">
        <f t="array" ref="AF138">IF(C138="","",IFERROR((INDEX(終値!$E:$E,MATCH(TEXT(C138,"0"),終値!$A:$A,0))-INDEX(終値!$E:$CZ,MATCH(TEXT(C138,"0"),終値!$A:$A,0),$AL$2))/INDEX(終値!$E:$CZ,MATCH(TEXT(C138,"0"),終値!$A:$A,0),$AL$2)*100,""))</f>
        <v>12.730844793713164</v>
      </c>
      <c r="AG138" s="365">
        <f t="array" ref="AG138">IFERROR((終値!$E$5-INDEX(終値!$E$5:$IT$5,1,$AL$2))/INDEX(終値!$E$5:$IT$5,1,$AL$2)*100,"")</f>
        <v>1.0179378228534113</v>
      </c>
      <c r="AH138" s="366">
        <f>IF(OR(AF138="",AG138=""),"",AF138-AG138)</f>
        <v>11.712906970859752</v>
      </c>
      <c r="AI138" s="364">
        <f>IF(AH138="","",IF(AH138&gt;5,3,IF(AH138&gt;0,1,IF(AH138&gt;-3,-1,-2))))</f>
        <v>3</v>
      </c>
      <c r="BA138">
        <f>IFERROR((SUM(OFFSET(高値!$E$6,IFERROR(MATCH($C138,銘柄管理!$B$6:$B$305,0),MATCH(TEXT($C138,"0"),銘柄管理!$B$6:$B$305,0))-1,0,1,14))-SUM(OFFSET(安値!$E$6,IFERROR(MATCH($C138,銘柄管理!$B$6:$B$305,0),MATCH(TEXT($C138,"0"),銘柄管理!$B$6:$B$305,0))-1,0,1,14)))/SUM(OFFSET(終値!$E$6,IFERROR(MATCH($C138,銘柄管理!$B$6:$B$305,0),MATCH(TEXT($C138,"0"),銘柄管理!$B$6:$B$305,0))-1,0,1,14))*100,"")</f>
      </c>
      <c r="BB138">
        <f>IFERROR((MAX(OFFSET(高値!$E$6,IFERROR(MATCH($C138,銘柄管理!$B$6:$B$305,0),MATCH(TEXT($C138,"0"),銘柄管理!$B$6:$B$305,0))-1,0,1,25))-MIN(OFFSET(安値!$E$6,IFERROR(MATCH($C138,銘柄管理!$B$6:$B$305,0),MATCH(TEXT($C138,"0"),銘柄管理!$B$6:$B$305,0))-1,0,1,25)))/$E138*100,"")</f>
      </c>
      <c r="BC138">
        <f>IFERROR(($F138-$G138)/$G138*100,"")</f>
      </c>
      <c r="BD138">
        <f>IFERROR(($E138-MAX(OFFSET(高値!$E$6,IFERROR(MATCH($C138,銘柄管理!$B$6:$B$305,0),MATCH(TEXT($C138,"0"),銘柄管理!$B$6:$B$305,0))-1,0,1,25)))/MAX(OFFSET(高値!$E$6,IFERROR(MATCH($C138,銘柄管理!$B$6:$B$305,0),MATCH(TEXT($C138,"0"),銘柄管理!$B$6:$B$305,0))-1,0,1,25))*100,"")</f>
      </c>
      <c r="BE138">
        <f>IFERROR(($H138-$I138)/$F138*100,"")</f>
      </c>
      <c r="BF138">
        <f>IFERROR(-(($BA138-AVERAGE($BA$3:$BA$206))/STDEV($BA$3:$BA$206))-(($BE138-AVERAGE($BE$3:$BE$206))/STDEV($BE$3:$BE$206))-(($BB138-AVERAGE($BB$3:$BB$206))/STDEV($BB$3:$BB$206))-(($Z138-AVERAGE($Z$3:$Z$206))/STDEV($Z$3:$Z$206))-(($BC138-AVERAGE($BC$3:$BC$206))/STDEV($BC$3:$BC$206)),"")</f>
      </c>
      <c r="BG138">
        <f>IF(OR($C138="",$C138="TOPX",$BA138="",$BF138=""),0,IF(AND($BK$10=1,$BA138&lt;=$BK$2,$BB138&lt;=$BK$3,$BC138&lt;=$BK$4,$Z138&lt;=$BK$5,$Z138&gt;=$BK$6,$BD138&gt;=$BK$7,$BE138&lt;=$BK$8),1,0))</f>
      </c>
      <c r="BH138">
        <f>IF($C138="","",IF($BG138=1,"○ゲート通過",IF($BK$10&lt;&gt;1,"― この方向は停止中",IF($BA138&gt;$BK$2,"×値動きが荒い",IF($BB138&gt;$BK$3,"×レンジが広い",IF($BC138&gt;$BK$4,"×窓を開けて上昇",IF($Z138&gt;$BK$5,"×前日に急騰",IF($Z138&lt;$BK$6,"×前日に急落",IF($BD138&lt;$BK$7,"×高値から離れすぎ",IF($BE138&gt;$BK$8,"×当日の値幅が大きい","×")))))))))</f>
      </c>
    </row>
    <row r="139" spans="1:60"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IF(AND(E139&lt;&gt;"",K139&lt;&gt;"",K139&lt;&gt;0),(E139-K139)/K139*100,"")</f>
        <v>-15.255305736499263</v>
      </c>
      <c r="M139" s="166">
        <f>IF(C139&lt;&gt;"",IFERROR(AVERAGE(出来高!E38:I38),""),"")</f>
        <v>3407660</v>
      </c>
      <c r="N139" s="166">
        <f>IF(C139&lt;&gt;"",IFERROR(AVERAGE(出来高!E38:AC38),""),"")</f>
        <v>2411612</v>
      </c>
      <c r="O139" s="168">
        <f>IF(AND(J139&lt;&gt;"",M139&lt;&gt;"",M139&lt;&gt;0),J139/M139,"")</f>
        <v>0.87881420094727758</v>
      </c>
      <c r="P139" s="163" t="str">
        <f>IF(O139="","",IF(O139&gt;=2,"急増↑↑",IF(O139&gt;=1.5,"増加↑",IF(O139&gt;=1,"普通→","減少↓"))))</f>
        <v>減少↓</v>
      </c>
      <c r="Q139" s="163" t="str">
        <f>IF(E139="","",IF(AND(E139&gt;G139,O139&gt;=1.5),"買い▲",IF(E139&lt;G139,"様子見▼","中立→")))</f>
        <v>中立→</v>
      </c>
      <c r="R139" s="166">
        <f>IF(E139&lt;&gt;"",ROUND(E139*1.08,0),"")</f>
        <v>2178</v>
      </c>
      <c r="S139" s="166">
        <f>IF(E139&lt;&gt;"",ROUND(E139*0.96,0),"")</f>
        <v>1936</v>
      </c>
      <c r="T139" s="163">
        <f>IF(C139="","",IFERROR(IF(O139&gt;=2,3,IF(O139&gt;=1.5,2,IF(O139&gt;=1,1,0)))+IF(E139&gt;G139,1,0)+IF(L139&gt;=-5,1,0)+IF(Q139="買い▲",2,0)+IF(W139&lt;=30,3,IF(W139&lt;=40,2,IF(AND(W139&gt;=40,W139&lt;=60),1,0)))+IF(X139&gt;0,1,0)+IF(V139="年初来高値更新●",3,IF(V139="高値圏",2,0))+IF(AD139="パーフェクト▲",3,IF(AD139="上昇トレンド▲",2,0))+IF(AE139="25日線押し目●",2,IF(AE139="5日線押し目○",1,0))+IF(P139="急増↑↑",2,IF(P139="増加↑",1,0))+N(AI139),0))</f>
        <v>8</v>
      </c>
      <c r="U139" s="163" t="str">
        <f>IF(T139="","",IF(AND(T139&gt;=3,O139&gt;=1.5),"有効",IF(T139&gt;=3,"要確認","除外")))</f>
        <v>要確認</v>
      </c>
      <c r="V139" s="163" t="str">
        <f>IF(AND(H139&lt;&gt;"",K139&lt;&gt;""),IF(H139&gt;=K139,"年初来高値更新●",IF(H139&gt;=K139*0.95,"高値圏","通常")),"")</f>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IF(AND(E139&lt;&gt;"",G139&lt;&gt;"",G139&lt;&gt;0),(E139-G139)/G139*100,"")</f>
        <v>2.2565922920892496</v>
      </c>
      <c r="AA139" s="163" t="str">
        <f>IF(OR(C139="",E139="",E139=0),"",IF(E139&gt;G139,"上昇▲",IF(E139&lt;G139,"下落▼","横ばい→")))</f>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IF(OR(C139="",AB139="",AC139=""),"",IF(AND(E139&gt;AB139,AB139&gt;AC139),"パーフェクト▲",IF(E139&gt;AC139,"上昇トレンド▲",IF(AND(E139&lt;AB139,AB139&lt;AC139),"下降トレンド▼","もみ合い→"))))</f>
        <v>上昇トレンド▲</v>
      </c>
      <c r="AE139" s="406" t="str">
        <f>IF(OR(C139="",AB139="",AC139=""),"",IF(AND(ABS(E139-AC139)/AC139&lt;=0.02,E139&gt;AC139),"25日押し目★",IF(AND(ABS(E139-AB139)/AB139&lt;=0.01,E139&gt;AB139),"5日押し目○","なし")))</f>
        <v>なし</v>
      </c>
      <c r="AF139" s="365">
        <f t="array" ref="AF139">IF(C139="","",IFERROR((INDEX(終値!$E:$E,MATCH(TEXT(C139,"0"),終値!$A:$A,0))-INDEX(終値!$E:$CZ,MATCH(TEXT(C139,"0"),終値!$A:$A,0),$AL$2))/INDEX(終値!$E:$CZ,MATCH(TEXT(C139,"0"),終値!$A:$A,0),$AL$2)*100,""))</f>
        <v>9.0589507842076795</v>
      </c>
      <c r="AG139" s="365">
        <f t="array" ref="AG139">IFERROR((終値!$E$5-INDEX(終値!$E$5:$IT$5,1,$AL$2))/INDEX(終値!$E$5:$IT$5,1,$AL$2)*100,"")</f>
        <v>1.0179378228534113</v>
      </c>
      <c r="AH139" s="366">
        <f>IF(OR(AF139="",AG139=""),"",AF139-AG139)</f>
        <v>8.0410129613542676</v>
      </c>
      <c r="AI139" s="364">
        <f>IF(AH139="","",IF(AH139&gt;5,3,IF(AH139&gt;0,1,IF(AH139&gt;-3,-1,-2))))</f>
        <v>3</v>
      </c>
      <c r="BA139">
        <f>IFERROR((SUM(OFFSET(高値!$E$6,IFERROR(MATCH($C139,銘柄管理!$B$6:$B$305,0),MATCH(TEXT($C139,"0"),銘柄管理!$B$6:$B$305,0))-1,0,1,14))-SUM(OFFSET(安値!$E$6,IFERROR(MATCH($C139,銘柄管理!$B$6:$B$305,0),MATCH(TEXT($C139,"0"),銘柄管理!$B$6:$B$305,0))-1,0,1,14)))/SUM(OFFSET(終値!$E$6,IFERROR(MATCH($C139,銘柄管理!$B$6:$B$305,0),MATCH(TEXT($C139,"0"),銘柄管理!$B$6:$B$305,0))-1,0,1,14))*100,"")</f>
      </c>
      <c r="BB139">
        <f>IFERROR((MAX(OFFSET(高値!$E$6,IFERROR(MATCH($C139,銘柄管理!$B$6:$B$305,0),MATCH(TEXT($C139,"0"),銘柄管理!$B$6:$B$305,0))-1,0,1,25))-MIN(OFFSET(安値!$E$6,IFERROR(MATCH($C139,銘柄管理!$B$6:$B$305,0),MATCH(TEXT($C139,"0"),銘柄管理!$B$6:$B$305,0))-1,0,1,25)))/$E139*100,"")</f>
      </c>
      <c r="BC139">
        <f>IFERROR(($F139-$G139)/$G139*100,"")</f>
      </c>
      <c r="BD139">
        <f>IFERROR(($E139-MAX(OFFSET(高値!$E$6,IFERROR(MATCH($C139,銘柄管理!$B$6:$B$305,0),MATCH(TEXT($C139,"0"),銘柄管理!$B$6:$B$305,0))-1,0,1,25)))/MAX(OFFSET(高値!$E$6,IFERROR(MATCH($C139,銘柄管理!$B$6:$B$305,0),MATCH(TEXT($C139,"0"),銘柄管理!$B$6:$B$305,0))-1,0,1,25))*100,"")</f>
      </c>
      <c r="BE139">
        <f>IFERROR(($H139-$I139)/$F139*100,"")</f>
      </c>
      <c r="BF139">
        <f>IFERROR(-(($BA139-AVERAGE($BA$3:$BA$206))/STDEV($BA$3:$BA$206))-(($BE139-AVERAGE($BE$3:$BE$206))/STDEV($BE$3:$BE$206))-(($BB139-AVERAGE($BB$3:$BB$206))/STDEV($BB$3:$BB$206))-(($Z139-AVERAGE($Z$3:$Z$206))/STDEV($Z$3:$Z$206))-(($BC139-AVERAGE($BC$3:$BC$206))/STDEV($BC$3:$BC$206)),"")</f>
      </c>
      <c r="BG139">
        <f>IF(OR($C139="",$C139="TOPX",$BA139="",$BF139=""),0,IF(AND($BK$10=1,$BA139&lt;=$BK$2,$BB139&lt;=$BK$3,$BC139&lt;=$BK$4,$Z139&lt;=$BK$5,$Z139&gt;=$BK$6,$BD139&gt;=$BK$7,$BE139&lt;=$BK$8),1,0))</f>
      </c>
      <c r="BH139">
        <f>IF($C139="","",IF($BG139=1,"○ゲート通過",IF($BK$10&lt;&gt;1,"― この方向は停止中",IF($BA139&gt;$BK$2,"×値動きが荒い",IF($BB139&gt;$BK$3,"×レンジが広い",IF($BC139&gt;$BK$4,"×窓を開けて上昇",IF($Z139&gt;$BK$5,"×前日に急騰",IF($Z139&lt;$BK$6,"×前日に急落",IF($BD139&lt;$BK$7,"×高値から離れすぎ",IF($BE139&gt;$BK$8,"×当日の値幅が大きい","×")))))))))</f>
      </c>
    </row>
    <row r="140" spans="1:60"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IF(AND(E140&lt;&gt;"",K140&lt;&gt;"",K140&lt;&gt;0),(E140-K140)/K140*100,"")</f>
        <v>-2.3292369248356608</v>
      </c>
      <c r="M140" s="166">
        <f>IF(C140&lt;&gt;"",IFERROR(AVERAGE(出来高!E46:I46),""),"")</f>
        <v>53198400</v>
      </c>
      <c r="N140" s="166">
        <f>IF(C140&lt;&gt;"",IFERROR(AVERAGE(出来高!E46:AC46),""),"")</f>
        <v>42637258.333333336</v>
      </c>
      <c r="O140" s="168">
        <f>IF(AND(J140&lt;&gt;"",M140&lt;&gt;"",M140&lt;&gt;0),J140/M140,"")</f>
        <v>0.99883643117086229</v>
      </c>
      <c r="P140" s="163" t="str">
        <f>IF(O140="","",IF(O140&gt;=2,"急増↑↑",IF(O140&gt;=1.5,"増加↑",IF(O140&gt;=1,"普通→","減少↓"))))</f>
        <v>減少↓</v>
      </c>
      <c r="Q140" s="163" t="str">
        <f>IF(E140="","",IF(AND(E140&gt;G140,O140&gt;=1.5),"買い▲",IF(E140&lt;G140,"様子見▼","中立→")))</f>
        <v>中立→</v>
      </c>
      <c r="R140" s="166">
        <f>IF(E140&lt;&gt;"",ROUND(E140*1.08,0),"")</f>
        <v>738</v>
      </c>
      <c r="S140" s="166">
        <f>IF(E140&lt;&gt;"",ROUND(E140*0.96,0),"")</f>
        <v>656</v>
      </c>
      <c r="T140" s="163">
        <f>IF(C140="","",IFERROR(IF(O140&gt;=2,3,IF(O140&gt;=1.5,2,IF(O140&gt;=1,1,0)))+IF(E140&gt;G140,1,0)+IF(L140&gt;=-5,1,0)+IF(Q140="買い▲",2,0)+IF(W140&lt;=30,3,IF(W140&lt;=40,2,IF(AND(W140&gt;=40,W140&lt;=60),1,0)))+IF(X140&gt;0,1,0)+IF(V140="年初来高値更新●",3,IF(V140="高値圏",2,0))+IF(AD140="パーフェクト▲",3,IF(AD140="上昇トレンド▲",2,0))+IF(AE140="25日線押し目●",2,IF(AE140="5日線押し目○",1,0))+IF(P140="急増↑↑",2,IF(P140="増加↑",1,0))+N(AI140),0))</f>
        <v>9</v>
      </c>
      <c r="U140" s="163" t="str">
        <f>IF(T140="","",IF(AND(T140&gt;=3,O140&gt;=1.5),"有効",IF(T140&gt;=3,"要確認","除外")))</f>
        <v>要確認</v>
      </c>
      <c r="V140" s="163" t="str">
        <f>IF(AND(H140&lt;&gt;"",K140&lt;&gt;""),IF(H140&gt;=K140,"年初来高値更新●",IF(H140&gt;=K140*0.95,"高値圏","通常")),"")</f>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IF(AND(E140&lt;&gt;"",G140&lt;&gt;"",G140&lt;&gt;0),(E140-G140)/G140*100,"")</f>
        <v>1.7113095238095239</v>
      </c>
      <c r="AA140" s="163" t="str">
        <f>IF(OR(C140="",E140="",E140=0),"",IF(E140&gt;G140,"上昇▲",IF(E140&lt;G140,"下落▼","横ばい→")))</f>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IF(OR(C140="",AB140="",AC140=""),"",IF(AND(E140&gt;AB140,AB140&gt;AC140),"パーフェクト▲",IF(E140&gt;AC140,"上昇トレンド▲",IF(AND(E140&lt;AB140,AB140&lt;AC140),"下降トレンド▼","もみ合い→"))))</f>
        <v>下降トレンド▼</v>
      </c>
      <c r="AE140" s="404" t="str">
        <f>IF(OR(C140="",AB140="",AC140=""),"",IF(AND(ABS(E140-AC140)/AC140&lt;=0.02,E140&gt;AC140),"25日押し目★",IF(AND(ABS(E140-AB140)/AB140&lt;=0.01,E140&gt;AB140),"5日押し目○","なし")))</f>
        <v>なし</v>
      </c>
      <c r="AF140" s="365">
        <f t="array" ref="AF140">IF(C140="","",IFERROR((INDEX(終値!$E:$E,MATCH(TEXT(C140,"0"),終値!$A:$A,0))-INDEX(終値!$E:$CZ,MATCH(TEXT(C140,"0"),終値!$A:$A,0),$AL$2))/INDEX(終値!$E:$CZ,MATCH(TEXT(C140,"0"),終値!$A:$A,0),$AL$2)*100,""))</f>
        <v>28.719397363465159</v>
      </c>
      <c r="AG140" s="365">
        <f t="array" ref="AG140">IFERROR((終値!$E$5-INDEX(終値!$E$5:$IT$5,1,$AL$2))/INDEX(終値!$E$5:$IT$5,1,$AL$2)*100,"")</f>
        <v>1.0179378228534113</v>
      </c>
      <c r="AH140" s="366">
        <f>IF(OR(AF140="",AG140=""),"",AF140-AG140)</f>
        <v>27.701459540611747</v>
      </c>
      <c r="AI140" s="364">
        <f>IF(AH140="","",IF(AH140&gt;5,3,IF(AH140&gt;0,1,IF(AH140&gt;-3,-1,-2))))</f>
        <v>3</v>
      </c>
      <c r="BA140">
        <f>IFERROR((SUM(OFFSET(高値!$E$6,IFERROR(MATCH($C140,銘柄管理!$B$6:$B$305,0),MATCH(TEXT($C140,"0"),銘柄管理!$B$6:$B$305,0))-1,0,1,14))-SUM(OFFSET(安値!$E$6,IFERROR(MATCH($C140,銘柄管理!$B$6:$B$305,0),MATCH(TEXT($C140,"0"),銘柄管理!$B$6:$B$305,0))-1,0,1,14)))/SUM(OFFSET(終値!$E$6,IFERROR(MATCH($C140,銘柄管理!$B$6:$B$305,0),MATCH(TEXT($C140,"0"),銘柄管理!$B$6:$B$305,0))-1,0,1,14))*100,"")</f>
      </c>
      <c r="BB140">
        <f>IFERROR((MAX(OFFSET(高値!$E$6,IFERROR(MATCH($C140,銘柄管理!$B$6:$B$305,0),MATCH(TEXT($C140,"0"),銘柄管理!$B$6:$B$305,0))-1,0,1,25))-MIN(OFFSET(安値!$E$6,IFERROR(MATCH($C140,銘柄管理!$B$6:$B$305,0),MATCH(TEXT($C140,"0"),銘柄管理!$B$6:$B$305,0))-1,0,1,25)))/$E140*100,"")</f>
      </c>
      <c r="BC140">
        <f>IFERROR(($F140-$G140)/$G140*100,"")</f>
      </c>
      <c r="BD140">
        <f>IFERROR(($E140-MAX(OFFSET(高値!$E$6,IFERROR(MATCH($C140,銘柄管理!$B$6:$B$305,0),MATCH(TEXT($C140,"0"),銘柄管理!$B$6:$B$305,0))-1,0,1,25)))/MAX(OFFSET(高値!$E$6,IFERROR(MATCH($C140,銘柄管理!$B$6:$B$305,0),MATCH(TEXT($C140,"0"),銘柄管理!$B$6:$B$305,0))-1,0,1,25))*100,"")</f>
      </c>
      <c r="BE140">
        <f>IFERROR(($H140-$I140)/$F140*100,"")</f>
      </c>
      <c r="BF140">
        <f>IFERROR(-(($BA140-AVERAGE($BA$3:$BA$206))/STDEV($BA$3:$BA$206))-(($BE140-AVERAGE($BE$3:$BE$206))/STDEV($BE$3:$BE$206))-(($BB140-AVERAGE($BB$3:$BB$206))/STDEV($BB$3:$BB$206))-(($Z140-AVERAGE($Z$3:$Z$206))/STDEV($Z$3:$Z$206))-(($BC140-AVERAGE($BC$3:$BC$206))/STDEV($BC$3:$BC$206)),"")</f>
      </c>
      <c r="BG140">
        <f>IF(OR($C140="",$C140="TOPX",$BA140="",$BF140=""),0,IF(AND($BK$10=1,$BA140&lt;=$BK$2,$BB140&lt;=$BK$3,$BC140&lt;=$BK$4,$Z140&lt;=$BK$5,$Z140&gt;=$BK$6,$BD140&gt;=$BK$7,$BE140&lt;=$BK$8),1,0))</f>
      </c>
      <c r="BH140">
        <f>IF($C140="","",IF($BG140=1,"○ゲート通過",IF($BK$10&lt;&gt;1,"― この方向は停止中",IF($BA140&gt;$BK$2,"×値動きが荒い",IF($BB140&gt;$BK$3,"×レンジが広い",IF($BC140&gt;$BK$4,"×窓を開けて上昇",IF($Z140&gt;$BK$5,"×前日に急騰",IF($Z140&lt;$BK$6,"×前日に急落",IF($BD140&lt;$BK$7,"×高値から離れすぎ",IF($BE140&gt;$BK$8,"×当日の値幅が大きい","×")))))))))</f>
      </c>
    </row>
    <row r="141" spans="1:60"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IF(AND(E141&lt;&gt;"",K141&lt;&gt;"",K141&lt;&gt;0),(E141-K141)/K141*100,"")</f>
        <v>-26.881175576387129</v>
      </c>
      <c r="M141" s="166">
        <f>IF(C141&lt;&gt;"",IFERROR(AVERAGE(出来高!E17:I17),""),"")</f>
        <v>2227420</v>
      </c>
      <c r="N141" s="166">
        <f>IF(C141&lt;&gt;"",IFERROR(AVERAGE(出来高!E17:AC17),""),"")</f>
        <v>1910688</v>
      </c>
      <c r="O141" s="168">
        <f>IF(AND(J141&lt;&gt;"",M141&lt;&gt;"",M141&lt;&gt;0),J141/M141,"")</f>
        <v>0.74301209471047225</v>
      </c>
      <c r="P141" s="163" t="str">
        <f>IF(O141="","",IF(O141&gt;=2,"急増↑↑",IF(O141&gt;=1.5,"増加↑",IF(O141&gt;=1,"普通→","減少↓"))))</f>
        <v>減少↓</v>
      </c>
      <c r="Q141" s="163" t="str">
        <f>IF(E141="","",IF(AND(E141&gt;G141,O141&gt;=1.5),"買い▲",IF(E141&lt;G141,"様子見▼","中立→")))</f>
        <v>様子見▼</v>
      </c>
      <c r="R141" s="166">
        <f>IF(E141&lt;&gt;"",ROUND(E141*1.08,0),"")</f>
        <v>6234</v>
      </c>
      <c r="S141" s="166">
        <f>IF(E141&lt;&gt;"",ROUND(E141*0.96,0),"")</f>
        <v>5541</v>
      </c>
      <c r="T141" s="163">
        <f>IF(C141="","",IFERROR(IF(O141&gt;=2,3,IF(O141&gt;=1.5,2,IF(O141&gt;=1,1,0)))+IF(E141&gt;G141,1,0)+IF(L141&gt;=-5,1,0)+IF(Q141="買い▲",2,0)+IF(W141&lt;=30,3,IF(W141&lt;=40,2,IF(AND(W141&gt;=40,W141&lt;=60),1,0)))+IF(X141&gt;0,1,0)+IF(V141="年初来高値更新●",3,IF(V141="高値圏",2,0))+IF(AD141="パーフェクト▲",3,IF(AD141="上昇トレンド▲",2,0))+IF(AE141="25日線押し目●",2,IF(AE141="5日線押し目○",1,0))+IF(P141="急増↑↑",2,IF(P141="増加↑",1,0))+N(AI141),0))</f>
        <v>2</v>
      </c>
      <c r="U141" s="163" t="str">
        <f>IF(T141="","",IF(AND(T141&gt;=3,O141&gt;=1.5),"有効",IF(T141&gt;=3,"要確認","除外")))</f>
        <v>除外</v>
      </c>
      <c r="V141" s="163" t="str">
        <f>IF(AND(H141&lt;&gt;"",K141&lt;&gt;""),IF(H141&gt;=K141,"年初来高値更新●",IF(H141&gt;=K141*0.95,"高値圏","通常")),"")</f>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IF(AND(E141&lt;&gt;"",G141&lt;&gt;"",G141&lt;&gt;0),(E141-G141)/G141*100,"")</f>
        <v>-2.6315789473684208</v>
      </c>
      <c r="AA141" s="163" t="str">
        <f>IF(OR(C141="",E141="",E141=0),"",IF(E141&gt;G141,"上昇▲",IF(E141&lt;G141,"下落▼","横ばい→")))</f>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IF(OR(C141="",AB141="",AC141=""),"",IF(AND(E141&gt;AB141,AB141&gt;AC141),"パーフェクト▲",IF(E141&gt;AC141,"上昇トレンド▲",IF(AND(E141&lt;AB141,AB141&lt;AC141),"下降トレンド▼","もみ合い→"))))</f>
        <v>上昇トレンド▲</v>
      </c>
      <c r="AE141" s="406" t="str">
        <f>IF(OR(C141="",AB141="",AC141=""),"",IF(AND(ABS(E141-AC141)/AC141&lt;=0.02,E141&gt;AC141),"25日押し目★",IF(AND(ABS(E141-AB141)/AB141&lt;=0.01,E141&gt;AB141),"5日押し目○","なし")))</f>
        <v>なし</v>
      </c>
      <c r="AF141" s="365">
        <f t="array" ref="AF141">IF(C141="","",IFERROR((INDEX(終値!$E:$E,MATCH(TEXT(C141,"0"),終値!$A:$A,0))-INDEX(終値!$E:$CZ,MATCH(TEXT(C141,"0"),終値!$A:$A,0),$AL$2))/INDEX(終値!$E:$CZ,MATCH(TEXT(C141,"0"),終値!$A:$A,0),$AL$2)*100,""))</f>
        <v>-24.64751958224543</v>
      </c>
      <c r="AG141" s="365">
        <f t="array" ref="AG141">IFERROR((終値!$E$5-INDEX(終値!$E$5:$IT$5,1,$AL$2))/INDEX(終値!$E$5:$IT$5,1,$AL$2)*100,"")</f>
        <v>1.0179378228534113</v>
      </c>
      <c r="AH141" s="366">
        <f>IF(OR(AF141="",AG141=""),"",AF141-AG141)</f>
        <v>-25.665457405098842</v>
      </c>
      <c r="AI141" s="364">
        <f>IF(AH141="","",IF(AH141&gt;5,3,IF(AH141&gt;0,1,IF(AH141&gt;-3,-1,-2))))</f>
        <v>-2</v>
      </c>
      <c r="BA141">
        <f>IFERROR((SUM(OFFSET(高値!$E$6,IFERROR(MATCH($C141,銘柄管理!$B$6:$B$305,0),MATCH(TEXT($C141,"0"),銘柄管理!$B$6:$B$305,0))-1,0,1,14))-SUM(OFFSET(安値!$E$6,IFERROR(MATCH($C141,銘柄管理!$B$6:$B$305,0),MATCH(TEXT($C141,"0"),銘柄管理!$B$6:$B$305,0))-1,0,1,14)))/SUM(OFFSET(終値!$E$6,IFERROR(MATCH($C141,銘柄管理!$B$6:$B$305,0),MATCH(TEXT($C141,"0"),銘柄管理!$B$6:$B$305,0))-1,0,1,14))*100,"")</f>
      </c>
      <c r="BB141">
        <f>IFERROR((MAX(OFFSET(高値!$E$6,IFERROR(MATCH($C141,銘柄管理!$B$6:$B$305,0),MATCH(TEXT($C141,"0"),銘柄管理!$B$6:$B$305,0))-1,0,1,25))-MIN(OFFSET(安値!$E$6,IFERROR(MATCH($C141,銘柄管理!$B$6:$B$305,0),MATCH(TEXT($C141,"0"),銘柄管理!$B$6:$B$305,0))-1,0,1,25)))/$E141*100,"")</f>
      </c>
      <c r="BC141">
        <f>IFERROR(($F141-$G141)/$G141*100,"")</f>
      </c>
      <c r="BD141">
        <f>IFERROR(($E141-MAX(OFFSET(高値!$E$6,IFERROR(MATCH($C141,銘柄管理!$B$6:$B$305,0),MATCH(TEXT($C141,"0"),銘柄管理!$B$6:$B$305,0))-1,0,1,25)))/MAX(OFFSET(高値!$E$6,IFERROR(MATCH($C141,銘柄管理!$B$6:$B$305,0),MATCH(TEXT($C141,"0"),銘柄管理!$B$6:$B$305,0))-1,0,1,25))*100,"")</f>
      </c>
      <c r="BE141">
        <f>IFERROR(($H141-$I141)/$F141*100,"")</f>
      </c>
      <c r="BF141">
        <f>IFERROR(-(($BA141-AVERAGE($BA$3:$BA$206))/STDEV($BA$3:$BA$206))-(($BE141-AVERAGE($BE$3:$BE$206))/STDEV($BE$3:$BE$206))-(($BB141-AVERAGE($BB$3:$BB$206))/STDEV($BB$3:$BB$206))-(($Z141-AVERAGE($Z$3:$Z$206))/STDEV($Z$3:$Z$206))-(($BC141-AVERAGE($BC$3:$BC$206))/STDEV($BC$3:$BC$206)),"")</f>
      </c>
      <c r="BG141">
        <f>IF(OR($C141="",$C141="TOPX",$BA141="",$BF141=""),0,IF(AND($BK$10=1,$BA141&lt;=$BK$2,$BB141&lt;=$BK$3,$BC141&lt;=$BK$4,$Z141&lt;=$BK$5,$Z141&gt;=$BK$6,$BD141&gt;=$BK$7,$BE141&lt;=$BK$8),1,0))</f>
      </c>
      <c r="BH141">
        <f>IF($C141="","",IF($BG141=1,"○ゲート通過",IF($BK$10&lt;&gt;1,"― この方向は停止中",IF($BA141&gt;$BK$2,"×値動きが荒い",IF($BB141&gt;$BK$3,"×レンジが広い",IF($BC141&gt;$BK$4,"×窓を開けて上昇",IF($Z141&gt;$BK$5,"×前日に急騰",IF($Z141&lt;$BK$6,"×前日に急落",IF($BD141&lt;$BK$7,"×高値から離れすぎ",IF($BE141&gt;$BK$8,"×当日の値幅が大きい","×")))))))))</f>
      </c>
    </row>
    <row r="142" spans="1:60"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IF(AND(E142&lt;&gt;"",K142&lt;&gt;"",K142&lt;&gt;0),(E142-K142)/K142*100,"")</f>
        <v>-31.284210526315793</v>
      </c>
      <c r="M142" s="166">
        <f>IF(C142&lt;&gt;"",IFERROR(AVERAGE(出来高!E21:I21),""),"")</f>
        <v>2113280</v>
      </c>
      <c r="N142" s="166">
        <f>IF(C142&lt;&gt;"",IFERROR(AVERAGE(出来高!E21:AC21),""),"")</f>
        <v>1391454.1666666667</v>
      </c>
      <c r="O142" s="168">
        <f>IF(AND(J142&lt;&gt;"",M142&lt;&gt;"",M142&lt;&gt;0),J142/M142,"")</f>
        <v>0.72148508479709272</v>
      </c>
      <c r="P142" s="163" t="str">
        <f>IF(O142="","",IF(O142&gt;=2,"急増↑↑",IF(O142&gt;=1.5,"増加↑",IF(O142&gt;=1,"普通→","減少↓"))))</f>
        <v>減少↓</v>
      </c>
      <c r="Q142" s="163" t="str">
        <f>IF(E142="","",IF(AND(E142&gt;G142,O142&gt;=1.5),"買い▲",IF(E142&lt;G142,"様子見▼","中立→")))</f>
        <v>様子見▼</v>
      </c>
      <c r="R142" s="166">
        <f>IF(E142&lt;&gt;"",ROUND(E142*1.08,0),"")</f>
        <v>7050</v>
      </c>
      <c r="S142" s="166">
        <f>IF(E142&lt;&gt;"",ROUND(E142*0.96,0),"")</f>
        <v>6267</v>
      </c>
      <c r="T142" s="163">
        <f>IF(C142="","",IFERROR(IF(O142&gt;=2,3,IF(O142&gt;=1.5,2,IF(O142&gt;=1,1,0)))+IF(E142&gt;G142,1,0)+IF(L142&gt;=-5,1,0)+IF(Q142="買い▲",2,0)+IF(W142&lt;=30,3,IF(W142&lt;=40,2,IF(AND(W142&gt;=40,W142&lt;=60),1,0)))+IF(X142&gt;0,1,0)+IF(V142="年初来高値更新●",3,IF(V142="高値圏",2,0))+IF(AD142="パーフェクト▲",3,IF(AD142="上昇トレンド▲",2,0))+IF(AE142="25日線押し目●",2,IF(AE142="5日線押し目○",1,0))+IF(P142="急増↑↑",2,IF(P142="増加↑",1,0))+N(AI142),0))</f>
        <v>-1</v>
      </c>
      <c r="U142" s="163" t="str">
        <f>IF(T142="","",IF(AND(T142&gt;=3,O142&gt;=1.5),"有効",IF(T142&gt;=3,"要確認","除外")))</f>
        <v>除外</v>
      </c>
      <c r="V142" s="163" t="str">
        <f>IF(AND(H142&lt;&gt;"",K142&lt;&gt;""),IF(H142&gt;=K142,"年初来高値更新●",IF(H142&gt;=K142*0.95,"高値圏","通常")),"")</f>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IF(AND(E142&lt;&gt;"",G142&lt;&gt;"",G142&lt;&gt;0),(E142-G142)/G142*100,"")</f>
        <v>-1.7459361830222759</v>
      </c>
      <c r="AA142" s="163" t="str">
        <f>IF(OR(C142="",E142="",E142=0),"",IF(E142&gt;G142,"上昇▲",IF(E142&lt;G142,"下落▼","横ばい→")))</f>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IF(OR(C142="",AB142="",AC142=""),"",IF(AND(E142&gt;AB142,AB142&gt;AC142),"パーフェクト▲",IF(E142&gt;AC142,"上昇トレンド▲",IF(AND(E142&lt;AB142,AB142&lt;AC142),"下降トレンド▼","もみ合い→"))))</f>
        <v>もみ合い→</v>
      </c>
      <c r="AE142" s="404" t="str">
        <f>IF(OR(C142="",AB142="",AC142=""),"",IF(AND(ABS(E142-AC142)/AC142&lt;=0.02,E142&gt;AC142),"25日押し目★",IF(AND(ABS(E142-AB142)/AB142&lt;=0.01,E142&gt;AB142),"5日押し目○","なし")))</f>
        <v>なし</v>
      </c>
      <c r="AF142" s="365">
        <f t="array" ref="AF142">IF(C142="","",IFERROR((INDEX(終値!$E:$E,MATCH(TEXT(C142,"0"),終値!$A:$A,0))-INDEX(終値!$E:$CZ,MATCH(TEXT(C142,"0"),終値!$A:$A,0),$AL$2))/INDEX(終値!$E:$CZ,MATCH(TEXT(C142,"0"),終値!$A:$A,0),$AL$2)*100,""))</f>
        <v>-20.997216507321795</v>
      </c>
      <c r="AG142" s="365">
        <f t="array" ref="AG142">IFERROR((終値!$E$5-INDEX(終値!$E$5:$IT$5,1,$AL$2))/INDEX(終値!$E$5:$IT$5,1,$AL$2)*100,"")</f>
        <v>1.0179378228534113</v>
      </c>
      <c r="AH142" s="366">
        <f>IF(OR(AF142="",AG142=""),"",AF142-AG142)</f>
        <v>-22.015154330175207</v>
      </c>
      <c r="AI142" s="364">
        <f>IF(AH142="","",IF(AH142&gt;5,3,IF(AH142&gt;0,1,IF(AH142&gt;-3,-1,-2))))</f>
        <v>-2</v>
      </c>
      <c r="BA142">
        <f>IFERROR((SUM(OFFSET(高値!$E$6,IFERROR(MATCH($C142,銘柄管理!$B$6:$B$305,0),MATCH(TEXT($C142,"0"),銘柄管理!$B$6:$B$305,0))-1,0,1,14))-SUM(OFFSET(安値!$E$6,IFERROR(MATCH($C142,銘柄管理!$B$6:$B$305,0),MATCH(TEXT($C142,"0"),銘柄管理!$B$6:$B$305,0))-1,0,1,14)))/SUM(OFFSET(終値!$E$6,IFERROR(MATCH($C142,銘柄管理!$B$6:$B$305,0),MATCH(TEXT($C142,"0"),銘柄管理!$B$6:$B$305,0))-1,0,1,14))*100,"")</f>
      </c>
      <c r="BB142">
        <f>IFERROR((MAX(OFFSET(高値!$E$6,IFERROR(MATCH($C142,銘柄管理!$B$6:$B$305,0),MATCH(TEXT($C142,"0"),銘柄管理!$B$6:$B$305,0))-1,0,1,25))-MIN(OFFSET(安値!$E$6,IFERROR(MATCH($C142,銘柄管理!$B$6:$B$305,0),MATCH(TEXT($C142,"0"),銘柄管理!$B$6:$B$305,0))-1,0,1,25)))/$E142*100,"")</f>
      </c>
      <c r="BC142">
        <f>IFERROR(($F142-$G142)/$G142*100,"")</f>
      </c>
      <c r="BD142">
        <f>IFERROR(($E142-MAX(OFFSET(高値!$E$6,IFERROR(MATCH($C142,銘柄管理!$B$6:$B$305,0),MATCH(TEXT($C142,"0"),銘柄管理!$B$6:$B$305,0))-1,0,1,25)))/MAX(OFFSET(高値!$E$6,IFERROR(MATCH($C142,銘柄管理!$B$6:$B$305,0),MATCH(TEXT($C142,"0"),銘柄管理!$B$6:$B$305,0))-1,0,1,25))*100,"")</f>
      </c>
      <c r="BE142">
        <f>IFERROR(($H142-$I142)/$F142*100,"")</f>
      </c>
      <c r="BF142">
        <f>IFERROR(-(($BA142-AVERAGE($BA$3:$BA$206))/STDEV($BA$3:$BA$206))-(($BE142-AVERAGE($BE$3:$BE$206))/STDEV($BE$3:$BE$206))-(($BB142-AVERAGE($BB$3:$BB$206))/STDEV($BB$3:$BB$206))-(($Z142-AVERAGE($Z$3:$Z$206))/STDEV($Z$3:$Z$206))-(($BC142-AVERAGE($BC$3:$BC$206))/STDEV($BC$3:$BC$206)),"")</f>
      </c>
      <c r="BG142">
        <f>IF(OR($C142="",$C142="TOPX",$BA142="",$BF142=""),0,IF(AND($BK$10=1,$BA142&lt;=$BK$2,$BB142&lt;=$BK$3,$BC142&lt;=$BK$4,$Z142&lt;=$BK$5,$Z142&gt;=$BK$6,$BD142&gt;=$BK$7,$BE142&lt;=$BK$8),1,0))</f>
      </c>
      <c r="BH142">
        <f>IF($C142="","",IF($BG142=1,"○ゲート通過",IF($BK$10&lt;&gt;1,"― この方向は停止中",IF($BA142&gt;$BK$2,"×値動きが荒い",IF($BB142&gt;$BK$3,"×レンジが広い",IF($BC142&gt;$BK$4,"×窓を開けて上昇",IF($Z142&gt;$BK$5,"×前日に急騰",IF($Z142&lt;$BK$6,"×前日に急落",IF($BD142&lt;$BK$7,"×高値から離れすぎ",IF($BE142&gt;$BK$8,"×当日の値幅が大きい","×")))))))))</f>
      </c>
    </row>
    <row r="143" spans="1:60"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IF(AND(E143&lt;&gt;"",K143&lt;&gt;"",K143&lt;&gt;0),(E143-K143)/K143*100,"")</f>
        <v>-32.041116005873718</v>
      </c>
      <c r="M143" s="166">
        <f>IF(C143&lt;&gt;"",IFERROR(AVERAGE(出来高!E193:I193),""),"")</f>
        <v>418560</v>
      </c>
      <c r="N143" s="166">
        <f>IF(C143&lt;&gt;"",IFERROR(AVERAGE(出来高!E193:AC193),""),"")</f>
        <v>619792</v>
      </c>
      <c r="O143" s="168">
        <f>IF(AND(J143&lt;&gt;"",M143&lt;&gt;"",M143&lt;&gt;0),J143/M143,"")</f>
        <v>1.177131116207951</v>
      </c>
      <c r="P143" s="163" t="str">
        <f>IF(O143="","",IF(O143&gt;=2,"急増↑↑",IF(O143&gt;=1.5,"増加↑",IF(O143&gt;=1,"普通→","減少↓"))))</f>
        <v>普通→</v>
      </c>
      <c r="Q143" s="163" t="str">
        <f>IF(E143="","",IF(AND(E143&gt;G143,O143&gt;=1.5),"買い▲",IF(E143&lt;G143,"様子見▼","中立→")))</f>
        <v>中立→</v>
      </c>
      <c r="R143" s="166">
        <f>IF(E143&lt;&gt;"",ROUND(E143*1.08,0),"")</f>
        <v>2499</v>
      </c>
      <c r="S143" s="166">
        <f>IF(E143&lt;&gt;"",ROUND(E143*0.96,0),"")</f>
        <v>2221</v>
      </c>
      <c r="T143" s="163">
        <f>IF(C143="","",IFERROR(IF(O143&gt;=2,3,IF(O143&gt;=1.5,2,IF(O143&gt;=1,1,0)))+IF(E143&gt;G143,1,0)+IF(L143&gt;=-5,1,0)+IF(Q143="買い▲",2,0)+IF(W143&lt;=30,3,IF(W143&lt;=40,2,IF(AND(W143&gt;=40,W143&lt;=60),1,0)))+IF(X143&gt;0,1,0)+IF(V143="年初来高値更新●",3,IF(V143="高値圏",2,0))+IF(AD143="パーフェクト▲",3,IF(AD143="上昇トレンド▲",2,0))+IF(AE143="25日線押し目●",2,IF(AE143="5日線押し目○",1,0))+IF(P143="急増↑↑",2,IF(P143="増加↑",1,0))+N(AI143),0))</f>
        <v>7</v>
      </c>
      <c r="U143" s="163" t="str">
        <f>IF(T143="","",IF(AND(T143&gt;=3,O143&gt;=1.5),"有効",IF(T143&gt;=3,"要確認","除外")))</f>
        <v>要確認</v>
      </c>
      <c r="V143" s="163" t="str">
        <f>IF(AND(H143&lt;&gt;"",K143&lt;&gt;""),IF(H143&gt;=K143,"年初来高値更新●",IF(H143&gt;=K143*0.95,"高値圏","通常")),"")</f>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IF(AND(E143&lt;&gt;"",G143&lt;&gt;"",G143&lt;&gt;0),(E143-G143)/G143*100,"")</f>
        <v>1.1363636363636365</v>
      </c>
      <c r="AA143" s="163" t="str">
        <f>IF(OR(C143="",E143="",E143=0),"",IF(E143&gt;G143,"上昇▲",IF(E143&lt;G143,"下落▼","横ばい→")))</f>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IF(OR(C143="",AB143="",AC143=""),"",IF(AND(E143&gt;AB143,AB143&gt;AC143),"パーフェクト▲",IF(E143&gt;AC143,"上昇トレンド▲",IF(AND(E143&lt;AB143,AB143&lt;AC143),"下降トレンド▼","もみ合い→"))))</f>
        <v>下降トレンド▼</v>
      </c>
      <c r="AE143" s="406" t="str">
        <f>IF(OR(C143="",AB143="",AC143=""),"",IF(AND(ABS(E143-AC143)/AC143&lt;=0.02,E143&gt;AC143),"25日押し目★",IF(AND(ABS(E143-AB143)/AB143&lt;=0.01,E143&gt;AB143),"5日押し目○","なし")))</f>
        <v>なし</v>
      </c>
      <c r="AF143" s="365">
        <f t="array" ref="AF143">IF(C143="","",IFERROR((INDEX(終値!$E:$E,MATCH(TEXT(C143,"0"),終値!$A:$A,0))-INDEX(終値!$E:$CZ,MATCH(TEXT(C143,"0"),終値!$A:$A,0),$AL$2))/INDEX(終値!$E:$CZ,MATCH(TEXT(C143,"0"),終値!$A:$A,0),$AL$2)*100,""))</f>
        <v>20.520833333333332</v>
      </c>
      <c r="AG143" s="365">
        <f t="array" ref="AG143">IFERROR((終値!$E$5-INDEX(終値!$E$5:$IT$5,1,$AL$2))/INDEX(終値!$E$5:$IT$5,1,$AL$2)*100,"")</f>
        <v>1.0179378228534113</v>
      </c>
      <c r="AH143" s="366">
        <f>IF(OR(AF143="",AG143=""),"",AF143-AG143)</f>
        <v>19.50289551047992</v>
      </c>
      <c r="AI143" s="364">
        <f>IF(AH143="","",IF(AH143&gt;5,3,IF(AH143&gt;0,1,IF(AH143&gt;-3,-1,-2))))</f>
        <v>3</v>
      </c>
      <c r="BA143">
        <f>IFERROR((SUM(OFFSET(高値!$E$6,IFERROR(MATCH($C143,銘柄管理!$B$6:$B$305,0),MATCH(TEXT($C143,"0"),銘柄管理!$B$6:$B$305,0))-1,0,1,14))-SUM(OFFSET(安値!$E$6,IFERROR(MATCH($C143,銘柄管理!$B$6:$B$305,0),MATCH(TEXT($C143,"0"),銘柄管理!$B$6:$B$305,0))-1,0,1,14)))/SUM(OFFSET(終値!$E$6,IFERROR(MATCH($C143,銘柄管理!$B$6:$B$305,0),MATCH(TEXT($C143,"0"),銘柄管理!$B$6:$B$305,0))-1,0,1,14))*100,"")</f>
      </c>
      <c r="BB143">
        <f>IFERROR((MAX(OFFSET(高値!$E$6,IFERROR(MATCH($C143,銘柄管理!$B$6:$B$305,0),MATCH(TEXT($C143,"0"),銘柄管理!$B$6:$B$305,0))-1,0,1,25))-MIN(OFFSET(安値!$E$6,IFERROR(MATCH($C143,銘柄管理!$B$6:$B$305,0),MATCH(TEXT($C143,"0"),銘柄管理!$B$6:$B$305,0))-1,0,1,25)))/$E143*100,"")</f>
      </c>
      <c r="BC143">
        <f>IFERROR(($F143-$G143)/$G143*100,"")</f>
      </c>
      <c r="BD143">
        <f>IFERROR(($E143-MAX(OFFSET(高値!$E$6,IFERROR(MATCH($C143,銘柄管理!$B$6:$B$305,0),MATCH(TEXT($C143,"0"),銘柄管理!$B$6:$B$305,0))-1,0,1,25)))/MAX(OFFSET(高値!$E$6,IFERROR(MATCH($C143,銘柄管理!$B$6:$B$305,0),MATCH(TEXT($C143,"0"),銘柄管理!$B$6:$B$305,0))-1,0,1,25))*100,"")</f>
      </c>
      <c r="BE143">
        <f>IFERROR(($H143-$I143)/$F143*100,"")</f>
      </c>
      <c r="BF143">
        <f>IFERROR(-(($BA143-AVERAGE($BA$3:$BA$206))/STDEV($BA$3:$BA$206))-(($BE143-AVERAGE($BE$3:$BE$206))/STDEV($BE$3:$BE$206))-(($BB143-AVERAGE($BB$3:$BB$206))/STDEV($BB$3:$BB$206))-(($Z143-AVERAGE($Z$3:$Z$206))/STDEV($Z$3:$Z$206))-(($BC143-AVERAGE($BC$3:$BC$206))/STDEV($BC$3:$BC$206)),"")</f>
      </c>
      <c r="BG143">
        <f>IF(OR($C143="",$C143="TOPX",$BA143="",$BF143=""),0,IF(AND($BK$10=1,$BA143&lt;=$BK$2,$BB143&lt;=$BK$3,$BC143&lt;=$BK$4,$Z143&lt;=$BK$5,$Z143&gt;=$BK$6,$BD143&gt;=$BK$7,$BE143&lt;=$BK$8),1,0))</f>
      </c>
      <c r="BH143">
        <f>IF($C143="","",IF($BG143=1,"○ゲート通過",IF($BK$10&lt;&gt;1,"― この方向は停止中",IF($BA143&gt;$BK$2,"×値動きが荒い",IF($BB143&gt;$BK$3,"×レンジが広い",IF($BC143&gt;$BK$4,"×窓を開けて上昇",IF($Z143&gt;$BK$5,"×前日に急騰",IF($Z143&lt;$BK$6,"×前日に急落",IF($BD143&lt;$BK$7,"×高値から離れすぎ",IF($BE143&gt;$BK$8,"×当日の値幅が大きい","×")))))))))</f>
      </c>
    </row>
    <row r="144" spans="1:60"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IF(AND(E144&lt;&gt;"",K144&lt;&gt;"",K144&lt;&gt;0),(E144-K144)/K144*100,"")</f>
        <v>-12.78180354267311</v>
      </c>
      <c r="M144" s="166">
        <f>IF(C144&lt;&gt;"",IFERROR(AVERAGE(出来高!E34:I34),""),"")</f>
        <v>705860</v>
      </c>
      <c r="N144" s="166">
        <f>IF(C144&lt;&gt;"",IFERROR(AVERAGE(出来高!E34:AC34),""),"")</f>
        <v>607492</v>
      </c>
      <c r="O144" s="168">
        <f>IF(AND(J144&lt;&gt;"",M144&lt;&gt;"",M144&lt;&gt;0),J144/M144,"")</f>
        <v>1.6370101719887797</v>
      </c>
      <c r="P144" s="163" t="str">
        <f>IF(O144="","",IF(O144&gt;=2,"急増↑↑",IF(O144&gt;=1.5,"増加↑",IF(O144&gt;=1,"普通→","減少↓"))))</f>
        <v>増加↑</v>
      </c>
      <c r="Q144" s="163" t="str">
        <f>IF(E144="","",IF(AND(E144&gt;G144,O144&gt;=1.5),"買い▲",IF(E144&lt;G144,"様子見▼","中立→")))</f>
        <v>買い▲</v>
      </c>
      <c r="R144" s="166">
        <f>IF(E144&lt;&gt;"",ROUND(E144*1.08,0),"")</f>
        <v>4680</v>
      </c>
      <c r="S144" s="166">
        <f>IF(E144&lt;&gt;"",ROUND(E144*0.96,0),"")</f>
        <v>4160</v>
      </c>
      <c r="T144" s="163">
        <f>IF(C144="","",IFERROR(IF(O144&gt;=2,3,IF(O144&gt;=1.5,2,IF(O144&gt;=1,1,0)))+IF(E144&gt;G144,1,0)+IF(L144&gt;=-5,1,0)+IF(Q144="買い▲",2,0)+IF(W144&lt;=30,3,IF(W144&lt;=40,2,IF(AND(W144&gt;=40,W144&lt;=60),1,0)))+IF(X144&gt;0,1,0)+IF(V144="年初来高値更新●",3,IF(V144="高値圏",2,0))+IF(AD144="パーフェクト▲",3,IF(AD144="上昇トレンド▲",2,0))+IF(AE144="25日線押し目●",2,IF(AE144="5日線押し目○",1,0))+IF(P144="急増↑↑",2,IF(P144="増加↑",1,0))+N(AI144),0))</f>
        <v>14</v>
      </c>
      <c r="U144" s="163" t="str">
        <f>IF(T144="","",IF(AND(T144&gt;=3,O144&gt;=1.5),"有効",IF(T144&gt;=3,"要確認","除外")))</f>
        <v>有効</v>
      </c>
      <c r="V144" s="163" t="str">
        <f>IF(AND(H144&lt;&gt;"",K144&lt;&gt;""),IF(H144&gt;=K144,"年初来高値更新●",IF(H144&gt;=K144*0.95,"高値圏","通常")),"")</f>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IF(AND(E144&lt;&gt;"",G144&lt;&gt;"",G144&lt;&gt;0),(E144-G144)/G144*100,"")</f>
        <v>5.9413202933985332</v>
      </c>
      <c r="AA144" s="163" t="str">
        <f>IF(OR(C144="",E144="",E144=0),"",IF(E144&gt;G144,"上昇▲",IF(E144&lt;G144,"下落▼","横ばい→")))</f>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IF(OR(C144="",AB144="",AC144=""),"",IF(AND(E144&gt;AB144,AB144&gt;AC144),"パーフェクト▲",IF(E144&gt;AC144,"上昇トレンド▲",IF(AND(E144&lt;AB144,AB144&lt;AC144),"下降トレンド▼","もみ合い→"))))</f>
        <v>パーフェクト▲</v>
      </c>
      <c r="AE144" s="404" t="str">
        <f>IF(OR(C144="",AB144="",AC144=""),"",IF(AND(ABS(E144-AC144)/AC144&lt;=0.02,E144&gt;AC144),"25日押し目★",IF(AND(ABS(E144-AB144)/AB144&lt;=0.01,E144&gt;AB144),"5日押し目○","なし")))</f>
        <v>なし</v>
      </c>
      <c r="AF144" s="365">
        <f t="array" ref="AF144">IF(C144="","",IFERROR((INDEX(終値!$E:$E,MATCH(TEXT(C144,"0"),終値!$A:$A,0))-INDEX(終値!$E:$CZ,MATCH(TEXT(C144,"0"),終値!$A:$A,0),$AL$2))/INDEX(終値!$E:$CZ,MATCH(TEXT(C144,"0"),終値!$A:$A,0),$AL$2)*100,""))</f>
        <v>11.359547674119764</v>
      </c>
      <c r="AG144" s="365">
        <f t="array" ref="AG144">IFERROR((終値!$E$5-INDEX(終値!$E$5:$IT$5,1,$AL$2))/INDEX(終値!$E$5:$IT$5,1,$AL$2)*100,"")</f>
        <v>1.0179378228534113</v>
      </c>
      <c r="AH144" s="366">
        <f>IF(OR(AF144="",AG144=""),"",AF144-AG144)</f>
        <v>10.341609851266352</v>
      </c>
      <c r="AI144" s="364">
        <f>IF(AH144="","",IF(AH144&gt;5,3,IF(AH144&gt;0,1,IF(AH144&gt;-3,-1,-2))))</f>
        <v>3</v>
      </c>
      <c r="BA144">
        <f>IFERROR((SUM(OFFSET(高値!$E$6,IFERROR(MATCH($C144,銘柄管理!$B$6:$B$305,0),MATCH(TEXT($C144,"0"),銘柄管理!$B$6:$B$305,0))-1,0,1,14))-SUM(OFFSET(安値!$E$6,IFERROR(MATCH($C144,銘柄管理!$B$6:$B$305,0),MATCH(TEXT($C144,"0"),銘柄管理!$B$6:$B$305,0))-1,0,1,14)))/SUM(OFFSET(終値!$E$6,IFERROR(MATCH($C144,銘柄管理!$B$6:$B$305,0),MATCH(TEXT($C144,"0"),銘柄管理!$B$6:$B$305,0))-1,0,1,14))*100,"")</f>
      </c>
      <c r="BB144">
        <f>IFERROR((MAX(OFFSET(高値!$E$6,IFERROR(MATCH($C144,銘柄管理!$B$6:$B$305,0),MATCH(TEXT($C144,"0"),銘柄管理!$B$6:$B$305,0))-1,0,1,25))-MIN(OFFSET(安値!$E$6,IFERROR(MATCH($C144,銘柄管理!$B$6:$B$305,0),MATCH(TEXT($C144,"0"),銘柄管理!$B$6:$B$305,0))-1,0,1,25)))/$E144*100,"")</f>
      </c>
      <c r="BC144">
        <f>IFERROR(($F144-$G144)/$G144*100,"")</f>
      </c>
      <c r="BD144">
        <f>IFERROR(($E144-MAX(OFFSET(高値!$E$6,IFERROR(MATCH($C144,銘柄管理!$B$6:$B$305,0),MATCH(TEXT($C144,"0"),銘柄管理!$B$6:$B$305,0))-1,0,1,25)))/MAX(OFFSET(高値!$E$6,IFERROR(MATCH($C144,銘柄管理!$B$6:$B$305,0),MATCH(TEXT($C144,"0"),銘柄管理!$B$6:$B$305,0))-1,0,1,25))*100,"")</f>
      </c>
      <c r="BE144">
        <f>IFERROR(($H144-$I144)/$F144*100,"")</f>
      </c>
      <c r="BF144">
        <f>IFERROR(-(($BA144-AVERAGE($BA$3:$BA$206))/STDEV($BA$3:$BA$206))-(($BE144-AVERAGE($BE$3:$BE$206))/STDEV($BE$3:$BE$206))-(($BB144-AVERAGE($BB$3:$BB$206))/STDEV($BB$3:$BB$206))-(($Z144-AVERAGE($Z$3:$Z$206))/STDEV($Z$3:$Z$206))-(($BC144-AVERAGE($BC$3:$BC$206))/STDEV($BC$3:$BC$206)),"")</f>
      </c>
      <c r="BG144">
        <f>IF(OR($C144="",$C144="TOPX",$BA144="",$BF144=""),0,IF(AND($BK$10=1,$BA144&lt;=$BK$2,$BB144&lt;=$BK$3,$BC144&lt;=$BK$4,$Z144&lt;=$BK$5,$Z144&gt;=$BK$6,$BD144&gt;=$BK$7,$BE144&lt;=$BK$8),1,0))</f>
      </c>
      <c r="BH144">
        <f>IF($C144="","",IF($BG144=1,"○ゲート通過",IF($BK$10&lt;&gt;1,"― この方向は停止中",IF($BA144&gt;$BK$2,"×値動きが荒い",IF($BB144&gt;$BK$3,"×レンジが広い",IF($BC144&gt;$BK$4,"×窓を開けて上昇",IF($Z144&gt;$BK$5,"×前日に急騰",IF($Z144&lt;$BK$6,"×前日に急落",IF($BD144&lt;$BK$7,"×高値から離れすぎ",IF($BE144&gt;$BK$8,"×当日の値幅が大きい","×")))))))))</f>
      </c>
    </row>
    <row r="145" spans="1:60"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IF(AND(E145&lt;&gt;"",K145&lt;&gt;"",K145&lt;&gt;0),(E145-K145)/K145*100,"")</f>
        <v>-30.414912808177991</v>
      </c>
      <c r="M145" s="166">
        <f>IF(C145&lt;&gt;"",IFERROR(AVERAGE(出来高!E53:I53),""),"")</f>
        <v>2739840</v>
      </c>
      <c r="N145" s="166">
        <f>IF(C145&lt;&gt;"",IFERROR(AVERAGE(出来高!E53:AC53),""),"")</f>
        <v>1577064</v>
      </c>
      <c r="O145" s="168">
        <f>IF(AND(J145&lt;&gt;"",M145&lt;&gt;"",M145&lt;&gt;0),J145/M145,"")</f>
        <v>0.59350181032469052</v>
      </c>
      <c r="P145" s="163" t="str">
        <f>IF(O145="","",IF(O145&gt;=2,"急増↑↑",IF(O145&gt;=1.5,"増加↑",IF(O145&gt;=1,"普通→","減少↓"))))</f>
        <v>減少↓</v>
      </c>
      <c r="Q145" s="163" t="str">
        <f>IF(E145="","",IF(AND(E145&gt;G145,O145&gt;=1.5),"買い▲",IF(E145&lt;G145,"様子見▼","中立→")))</f>
        <v>中立→</v>
      </c>
      <c r="R145" s="166">
        <f>IF(E145&lt;&gt;"",ROUND(E145*1.08,0),"")</f>
        <v>6249</v>
      </c>
      <c r="S145" s="166">
        <f>IF(E145&lt;&gt;"",ROUND(E145*0.96,0),"")</f>
        <v>5555</v>
      </c>
      <c r="T145" s="163">
        <f>IF(C145="","",IFERROR(IF(O145&gt;=2,3,IF(O145&gt;=1.5,2,IF(O145&gt;=1,1,0)))+IF(E145&gt;G145,1,0)+IF(L145&gt;=-5,1,0)+IF(Q145="買い▲",2,0)+IF(W145&lt;=30,3,IF(W145&lt;=40,2,IF(AND(W145&gt;=40,W145&lt;=60),1,0)))+IF(X145&gt;0,1,0)+IF(V145="年初来高値更新●",3,IF(V145="高値圏",2,0))+IF(AD145="パーフェクト▲",3,IF(AD145="上昇トレンド▲",2,0))+IF(AE145="25日線押し目●",2,IF(AE145="5日線押し目○",1,0))+IF(P145="急増↑↑",2,IF(P145="増加↑",1,0))+N(AI145),0))</f>
        <v>1</v>
      </c>
      <c r="U145" s="163" t="str">
        <f>IF(T145="","",IF(AND(T145&gt;=3,O145&gt;=1.5),"有効",IF(T145&gt;=3,"要確認","除外")))</f>
        <v>除外</v>
      </c>
      <c r="V145" s="163" t="str">
        <f>IF(AND(H145&lt;&gt;"",K145&lt;&gt;""),IF(H145&gt;=K145,"年初来高値更新●",IF(H145&gt;=K145*0.95,"高値圏","通常")),"")</f>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IF(AND(E145&lt;&gt;"",G145&lt;&gt;"",G145&lt;&gt;0),(E145-G145)/G145*100,"")</f>
        <v>0.36426712922810062</v>
      </c>
      <c r="AA145" s="163" t="str">
        <f>IF(OR(C145="",E145="",E145=0),"",IF(E145&gt;G145,"上昇▲",IF(E145&lt;G145,"下落▼","横ばい→")))</f>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IF(OR(C145="",AB145="",AC145=""),"",IF(AND(E145&gt;AB145,AB145&gt;AC145),"パーフェクト▲",IF(E145&gt;AC145,"上昇トレンド▲",IF(AND(E145&lt;AB145,AB145&lt;AC145),"下降トレンド▼","もみ合い→"))))</f>
        <v>下降トレンド▼</v>
      </c>
      <c r="AE145" s="406" t="str">
        <f>IF(OR(C145="",AB145="",AC145=""),"",IF(AND(ABS(E145-AC145)/AC145&lt;=0.02,E145&gt;AC145),"25日押し目★",IF(AND(ABS(E145-AB145)/AB145&lt;=0.01,E145&gt;AB145),"5日押し目○","なし")))</f>
        <v>なし</v>
      </c>
      <c r="AF145" s="365">
        <f t="array" ref="AF145">IF(C145="","",IFERROR((INDEX(終値!$E:$E,MATCH(TEXT(C145,"0"),終値!$A:$A,0))-INDEX(終値!$E:$CZ,MATCH(TEXT(C145,"0"),終値!$A:$A,0),$AL$2))/INDEX(終値!$E:$CZ,MATCH(TEXT(C145,"0"),終値!$A:$A,0),$AL$2)*100,""))</f>
        <v>-16.831967802213597</v>
      </c>
      <c r="AG145" s="365">
        <f t="array" ref="AG145">IFERROR((終値!$E$5-INDEX(終値!$E$5:$IT$5,1,$AL$2))/INDEX(終値!$E$5:$IT$5,1,$AL$2)*100,"")</f>
        <v>1.0179378228534113</v>
      </c>
      <c r="AH145" s="366">
        <f>IF(OR(AF145="",AG145=""),"",AF145-AG145)</f>
        <v>-17.849905625067009</v>
      </c>
      <c r="AI145" s="364">
        <f>IF(AH145="","",IF(AH145&gt;5,3,IF(AH145&gt;0,1,IF(AH145&gt;-3,-1,-2))))</f>
        <v>-2</v>
      </c>
      <c r="BA145">
        <f>IFERROR((SUM(OFFSET(高値!$E$6,IFERROR(MATCH($C145,銘柄管理!$B$6:$B$305,0),MATCH(TEXT($C145,"0"),銘柄管理!$B$6:$B$305,0))-1,0,1,14))-SUM(OFFSET(安値!$E$6,IFERROR(MATCH($C145,銘柄管理!$B$6:$B$305,0),MATCH(TEXT($C145,"0"),銘柄管理!$B$6:$B$305,0))-1,0,1,14)))/SUM(OFFSET(終値!$E$6,IFERROR(MATCH($C145,銘柄管理!$B$6:$B$305,0),MATCH(TEXT($C145,"0"),銘柄管理!$B$6:$B$305,0))-1,0,1,14))*100,"")</f>
      </c>
      <c r="BB145">
        <f>IFERROR((MAX(OFFSET(高値!$E$6,IFERROR(MATCH($C145,銘柄管理!$B$6:$B$305,0),MATCH(TEXT($C145,"0"),銘柄管理!$B$6:$B$305,0))-1,0,1,25))-MIN(OFFSET(安値!$E$6,IFERROR(MATCH($C145,銘柄管理!$B$6:$B$305,0),MATCH(TEXT($C145,"0"),銘柄管理!$B$6:$B$305,0))-1,0,1,25)))/$E145*100,"")</f>
      </c>
      <c r="BC145">
        <f>IFERROR(($F145-$G145)/$G145*100,"")</f>
      </c>
      <c r="BD145">
        <f>IFERROR(($E145-MAX(OFFSET(高値!$E$6,IFERROR(MATCH($C145,銘柄管理!$B$6:$B$305,0),MATCH(TEXT($C145,"0"),銘柄管理!$B$6:$B$305,0))-1,0,1,25)))/MAX(OFFSET(高値!$E$6,IFERROR(MATCH($C145,銘柄管理!$B$6:$B$305,0),MATCH(TEXT($C145,"0"),銘柄管理!$B$6:$B$305,0))-1,0,1,25))*100,"")</f>
      </c>
      <c r="BE145">
        <f>IFERROR(($H145-$I145)/$F145*100,"")</f>
      </c>
      <c r="BF145">
        <f>IFERROR(-(($BA145-AVERAGE($BA$3:$BA$206))/STDEV($BA$3:$BA$206))-(($BE145-AVERAGE($BE$3:$BE$206))/STDEV($BE$3:$BE$206))-(($BB145-AVERAGE($BB$3:$BB$206))/STDEV($BB$3:$BB$206))-(($Z145-AVERAGE($Z$3:$Z$206))/STDEV($Z$3:$Z$206))-(($BC145-AVERAGE($BC$3:$BC$206))/STDEV($BC$3:$BC$206)),"")</f>
      </c>
      <c r="BG145">
        <f>IF(OR($C145="",$C145="TOPX",$BA145="",$BF145=""),0,IF(AND($BK$10=1,$BA145&lt;=$BK$2,$BB145&lt;=$BK$3,$BC145&lt;=$BK$4,$Z145&lt;=$BK$5,$Z145&gt;=$BK$6,$BD145&gt;=$BK$7,$BE145&lt;=$BK$8),1,0))</f>
      </c>
      <c r="BH145">
        <f>IF($C145="","",IF($BG145=1,"○ゲート通過",IF($BK$10&lt;&gt;1,"― この方向は停止中",IF($BA145&gt;$BK$2,"×値動きが荒い",IF($BB145&gt;$BK$3,"×レンジが広い",IF($BC145&gt;$BK$4,"×窓を開けて上昇",IF($Z145&gt;$BK$5,"×前日に急騰",IF($Z145&lt;$BK$6,"×前日に急落",IF($BD145&lt;$BK$7,"×高値から離れすぎ",IF($BE145&gt;$BK$8,"×当日の値幅が大きい","×")))))))))</f>
      </c>
    </row>
    <row r="146" spans="1:60"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IF(AND(E146&lt;&gt;"",K146&lt;&gt;"",K146&lt;&gt;0),(E146-K146)/K146*100,"")</f>
        <v>-24.294795391338894</v>
      </c>
      <c r="M146" s="166">
        <f>IF(C146&lt;&gt;"",IFERROR(AVERAGE(出来高!E15:I15),""),"")</f>
        <v>555480</v>
      </c>
      <c r="N146" s="166">
        <f>IF(C146&lt;&gt;"",IFERROR(AVERAGE(出来高!E15:AC15),""),"")</f>
        <v>581216</v>
      </c>
      <c r="O146" s="168">
        <f>IF(AND(J146&lt;&gt;"",M146&lt;&gt;"",M146&lt;&gt;0),J146/M146,"")</f>
        <v>0.76096349103478078</v>
      </c>
      <c r="P146" s="163" t="str">
        <f>IF(O146="","",IF(O146&gt;=2,"急増↑↑",IF(O146&gt;=1.5,"増加↑",IF(O146&gt;=1,"普通→","減少↓"))))</f>
        <v>減少↓</v>
      </c>
      <c r="Q146" s="163" t="str">
        <f>IF(E146="","",IF(AND(E146&gt;G146,O146&gt;=1.5),"買い▲",IF(E146&lt;G146,"様子見▼","中立→")))</f>
        <v>中立→</v>
      </c>
      <c r="R146" s="166">
        <f>IF(E146&lt;&gt;"",ROUND(E146*1.08,0),"")</f>
        <v>4116</v>
      </c>
      <c r="S146" s="166">
        <f>IF(E146&lt;&gt;"",ROUND(E146*0.96,0),"")</f>
        <v>3659</v>
      </c>
      <c r="T146" s="163">
        <f>IF(C146="","",IFERROR(IF(O146&gt;=2,3,IF(O146&gt;=1.5,2,IF(O146&gt;=1,1,0)))+IF(E146&gt;G146,1,0)+IF(L146&gt;=-5,1,0)+IF(Q146="買い▲",2,0)+IF(W146&lt;=30,3,IF(W146&lt;=40,2,IF(AND(W146&gt;=40,W146&lt;=60),1,0)))+IF(X146&gt;0,1,0)+IF(V146="年初来高値更新●",3,IF(V146="高値圏",2,0))+IF(AD146="パーフェクト▲",3,IF(AD146="上昇トレンド▲",2,0))+IF(AE146="25日線押し目●",2,IF(AE146="5日線押し目○",1,0))+IF(P146="急増↑↑",2,IF(P146="増加↑",1,0))+N(AI146),0))</f>
        <v>4</v>
      </c>
      <c r="U146" s="163" t="str">
        <f>IF(T146="","",IF(AND(T146&gt;=3,O146&gt;=1.5),"有効",IF(T146&gt;=3,"要確認","除外")))</f>
        <v>要確認</v>
      </c>
      <c r="V146" s="163" t="str">
        <f>IF(AND(H146&lt;&gt;"",K146&lt;&gt;""),IF(H146&gt;=K146,"年初来高値更新●",IF(H146&gt;=K146*0.95,"高値圏","通常")),"")</f>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IF(AND(E146&lt;&gt;"",G146&lt;&gt;"",G146&lt;&gt;0),(E146-G146)/G146*100,"")</f>
        <v>1.5454303224087398</v>
      </c>
      <c r="AA146" s="163" t="str">
        <f>IF(OR(C146="",E146="",E146=0),"",IF(E146&gt;G146,"上昇▲",IF(E146&lt;G146,"下落▼","横ばい→")))</f>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IF(OR(C146="",AB146="",AC146=""),"",IF(AND(E146&gt;AB146,AB146&gt;AC146),"パーフェクト▲",IF(E146&gt;AC146,"上昇トレンド▲",IF(AND(E146&lt;AB146,AB146&lt;AC146),"下降トレンド▼","もみ合い→"))))</f>
        <v>パーフェクト▲</v>
      </c>
      <c r="AE146" s="404" t="str">
        <f>IF(OR(C146="",AB146="",AC146=""),"",IF(AND(ABS(E146-AC146)/AC146&lt;=0.02,E146&gt;AC146),"25日押し目★",IF(AND(ABS(E146-AB146)/AB146&lt;=0.01,E146&gt;AB146),"5日押し目○","なし")))</f>
        <v>なし</v>
      </c>
      <c r="AF146" s="365">
        <f t="array" ref="AF146">IF(C146="","",IFERROR((INDEX(終値!$E:$E,MATCH(TEXT(C146,"0"),終値!$A:$A,0))-INDEX(終値!$E:$CZ,MATCH(TEXT(C146,"0"),終値!$A:$A,0),$AL$2))/INDEX(終値!$E:$CZ,MATCH(TEXT(C146,"0"),終値!$A:$A,0),$AL$2)*100,""))</f>
        <v>-5.2452137424600052E-2</v>
      </c>
      <c r="AG146" s="365">
        <f t="array" ref="AG146">IFERROR((終値!$E$5-INDEX(終値!$E$5:$IT$5,1,$AL$2))/INDEX(終値!$E$5:$IT$5,1,$AL$2)*100,"")</f>
        <v>1.0179378228534113</v>
      </c>
      <c r="AH146" s="366">
        <f>IF(OR(AF146="",AG146=""),"",AF146-AG146)</f>
        <v>-1.0703899602780114</v>
      </c>
      <c r="AI146" s="364">
        <f>IF(AH146="","",IF(AH146&gt;5,3,IF(AH146&gt;0,1,IF(AH146&gt;-3,-1,-2))))</f>
        <v>-1</v>
      </c>
      <c r="BA146">
        <f>IFERROR((SUM(OFFSET(高値!$E$6,IFERROR(MATCH($C146,銘柄管理!$B$6:$B$305,0),MATCH(TEXT($C146,"0"),銘柄管理!$B$6:$B$305,0))-1,0,1,14))-SUM(OFFSET(安値!$E$6,IFERROR(MATCH($C146,銘柄管理!$B$6:$B$305,0),MATCH(TEXT($C146,"0"),銘柄管理!$B$6:$B$305,0))-1,0,1,14)))/SUM(OFFSET(終値!$E$6,IFERROR(MATCH($C146,銘柄管理!$B$6:$B$305,0),MATCH(TEXT($C146,"0"),銘柄管理!$B$6:$B$305,0))-1,0,1,14))*100,"")</f>
      </c>
      <c r="BB146">
        <f>IFERROR((MAX(OFFSET(高値!$E$6,IFERROR(MATCH($C146,銘柄管理!$B$6:$B$305,0),MATCH(TEXT($C146,"0"),銘柄管理!$B$6:$B$305,0))-1,0,1,25))-MIN(OFFSET(安値!$E$6,IFERROR(MATCH($C146,銘柄管理!$B$6:$B$305,0),MATCH(TEXT($C146,"0"),銘柄管理!$B$6:$B$305,0))-1,0,1,25)))/$E146*100,"")</f>
      </c>
      <c r="BC146">
        <f>IFERROR(($F146-$G146)/$G146*100,"")</f>
      </c>
      <c r="BD146">
        <f>IFERROR(($E146-MAX(OFFSET(高値!$E$6,IFERROR(MATCH($C146,銘柄管理!$B$6:$B$305,0),MATCH(TEXT($C146,"0"),銘柄管理!$B$6:$B$305,0))-1,0,1,25)))/MAX(OFFSET(高値!$E$6,IFERROR(MATCH($C146,銘柄管理!$B$6:$B$305,0),MATCH(TEXT($C146,"0"),銘柄管理!$B$6:$B$305,0))-1,0,1,25))*100,"")</f>
      </c>
      <c r="BE146">
        <f>IFERROR(($H146-$I146)/$F146*100,"")</f>
      </c>
      <c r="BF146">
        <f>IFERROR(-(($BA146-AVERAGE($BA$3:$BA$206))/STDEV($BA$3:$BA$206))-(($BE146-AVERAGE($BE$3:$BE$206))/STDEV($BE$3:$BE$206))-(($BB146-AVERAGE($BB$3:$BB$206))/STDEV($BB$3:$BB$206))-(($Z146-AVERAGE($Z$3:$Z$206))/STDEV($Z$3:$Z$206))-(($BC146-AVERAGE($BC$3:$BC$206))/STDEV($BC$3:$BC$206)),"")</f>
      </c>
      <c r="BG146">
        <f>IF(OR($C146="",$C146="TOPX",$BA146="",$BF146=""),0,IF(AND($BK$10=1,$BA146&lt;=$BK$2,$BB146&lt;=$BK$3,$BC146&lt;=$BK$4,$Z146&lt;=$BK$5,$Z146&gt;=$BK$6,$BD146&gt;=$BK$7,$BE146&lt;=$BK$8),1,0))</f>
      </c>
      <c r="BH146">
        <f>IF($C146="","",IF($BG146=1,"○ゲート通過",IF($BK$10&lt;&gt;1,"― この方向は停止中",IF($BA146&gt;$BK$2,"×値動きが荒い",IF($BB146&gt;$BK$3,"×レンジが広い",IF($BC146&gt;$BK$4,"×窓を開けて上昇",IF($Z146&gt;$BK$5,"×前日に急騰",IF($Z146&lt;$BK$6,"×前日に急落",IF($BD146&lt;$BK$7,"×高値から離れすぎ",IF($BE146&gt;$BK$8,"×当日の値幅が大きい","×")))))))))</f>
      </c>
    </row>
    <row r="147" spans="1:60"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IF(AND(E147&lt;&gt;"",K147&lt;&gt;"",K147&lt;&gt;0),(E147-K147)/K147*100,"")</f>
        <v>-16.264090177133657</v>
      </c>
      <c r="M147" s="166">
        <f>IF(C147&lt;&gt;"",IFERROR(AVERAGE(出来高!E29:I29),""),"")</f>
        <v>7169920</v>
      </c>
      <c r="N147" s="166">
        <f>IF(C147&lt;&gt;"",IFERROR(AVERAGE(出来高!E29:AC29),""),"")</f>
        <v>6764208</v>
      </c>
      <c r="O147" s="168">
        <f>IF(AND(J147&lt;&gt;"",M147&lt;&gt;"",M147&lt;&gt;0),J147/M147,"")</f>
        <v>0.90285526198339727</v>
      </c>
      <c r="P147" s="163" t="str">
        <f>IF(O147="","",IF(O147&gt;=2,"急増↑↑",IF(O147&gt;=1.5,"増加↑",IF(O147&gt;=1,"普通→","減少↓"))))</f>
        <v>減少↓</v>
      </c>
      <c r="Q147" s="163" t="str">
        <f>IF(E147="","",IF(AND(E147&gt;G147,O147&gt;=1.5),"買い▲",IF(E147&lt;G147,"様子見▼","中立→")))</f>
        <v>中立→</v>
      </c>
      <c r="R147" s="166">
        <f>IF(E147&lt;&gt;"",ROUND(E147*1.08,0),"")</f>
        <v>1404</v>
      </c>
      <c r="S147" s="166">
        <f>IF(E147&lt;&gt;"",ROUND(E147*0.96,0),"")</f>
        <v>1248</v>
      </c>
      <c r="T147" s="163">
        <f>IF(C147="","",IFERROR(IF(O147&gt;=2,3,IF(O147&gt;=1.5,2,IF(O147&gt;=1,1,0)))+IF(E147&gt;G147,1,0)+IF(L147&gt;=-5,1,0)+IF(Q147="買い▲",2,0)+IF(W147&lt;=30,3,IF(W147&lt;=40,2,IF(AND(W147&gt;=40,W147&lt;=60),1,0)))+IF(X147&gt;0,1,0)+IF(V147="年初来高値更新●",3,IF(V147="高値圏",2,0))+IF(AD147="パーフェクト▲",3,IF(AD147="上昇トレンド▲",2,0))+IF(AE147="25日線押し目●",2,IF(AE147="5日線押し目○",1,0))+IF(P147="急増↑↑",2,IF(P147="増加↑",1,0))+N(AI147),0))</f>
        <v>9</v>
      </c>
      <c r="U147" s="163" t="str">
        <f>IF(T147="","",IF(AND(T147&gt;=3,O147&gt;=1.5),"有効",IF(T147&gt;=3,"要確認","除外")))</f>
        <v>要確認</v>
      </c>
      <c r="V147" s="163" t="str">
        <f>IF(AND(H147&lt;&gt;"",K147&lt;&gt;""),IF(H147&gt;=K147,"年初来高値更新●",IF(H147&gt;=K147*0.95,"高値圏","通常")),"")</f>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IF(AND(E147&lt;&gt;"",G147&lt;&gt;"",G147&lt;&gt;0),(E147-G147)/G147*100,"")</f>
        <v>1.3250194855806703</v>
      </c>
      <c r="AA147" s="163" t="str">
        <f>IF(OR(C147="",E147="",E147=0),"",IF(E147&gt;G147,"上昇▲",IF(E147&lt;G147,"下落▼","横ばい→")))</f>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IF(OR(C147="",AB147="",AC147=""),"",IF(AND(E147&gt;AB147,AB147&gt;AC147),"パーフェクト▲",IF(E147&gt;AC147,"上昇トレンド▲",IF(AND(E147&lt;AB147,AB147&lt;AC147),"下降トレンド▼","もみ合い→"))))</f>
        <v>パーフェクト▲</v>
      </c>
      <c r="AE147" s="406" t="str">
        <f>IF(OR(C147="",AB147="",AC147=""),"",IF(AND(ABS(E147-AC147)/AC147&lt;=0.02,E147&gt;AC147),"25日押し目★",IF(AND(ABS(E147-AB147)/AB147&lt;=0.01,E147&gt;AB147),"5日押し目○","なし")))</f>
        <v>なし</v>
      </c>
      <c r="AF147" s="365">
        <f t="array" ref="AF147">IF(C147="","",IFERROR((INDEX(終値!$E:$E,MATCH(TEXT(C147,"0"),終値!$A:$A,0))-INDEX(終値!$E:$CZ,MATCH(TEXT(C147,"0"),終値!$A:$A,0),$AL$2))/INDEX(終値!$E:$CZ,MATCH(TEXT(C147,"0"),終値!$A:$A,0),$AL$2)*100,""))</f>
        <v>7.839070924927416</v>
      </c>
      <c r="AG147" s="365">
        <f t="array" ref="AG147">IFERROR((終値!$E$5-INDEX(終値!$E$5:$IT$5,1,$AL$2))/INDEX(終値!$E$5:$IT$5,1,$AL$2)*100,"")</f>
        <v>1.0179378228534113</v>
      </c>
      <c r="AH147" s="366">
        <f>IF(OR(AF147="",AG147=""),"",AF147-AG147)</f>
        <v>6.8211331020740049</v>
      </c>
      <c r="AI147" s="364">
        <f>IF(AH147="","",IF(AH147&gt;5,3,IF(AH147&gt;0,1,IF(AH147&gt;-3,-1,-2))))</f>
        <v>3</v>
      </c>
      <c r="BA147">
        <f>IFERROR((SUM(OFFSET(高値!$E$6,IFERROR(MATCH($C147,銘柄管理!$B$6:$B$305,0),MATCH(TEXT($C147,"0"),銘柄管理!$B$6:$B$305,0))-1,0,1,14))-SUM(OFFSET(安値!$E$6,IFERROR(MATCH($C147,銘柄管理!$B$6:$B$305,0),MATCH(TEXT($C147,"0"),銘柄管理!$B$6:$B$305,0))-1,0,1,14)))/SUM(OFFSET(終値!$E$6,IFERROR(MATCH($C147,銘柄管理!$B$6:$B$305,0),MATCH(TEXT($C147,"0"),銘柄管理!$B$6:$B$305,0))-1,0,1,14))*100,"")</f>
      </c>
      <c r="BB147">
        <f>IFERROR((MAX(OFFSET(高値!$E$6,IFERROR(MATCH($C147,銘柄管理!$B$6:$B$305,0),MATCH(TEXT($C147,"0"),銘柄管理!$B$6:$B$305,0))-1,0,1,25))-MIN(OFFSET(安値!$E$6,IFERROR(MATCH($C147,銘柄管理!$B$6:$B$305,0),MATCH(TEXT($C147,"0"),銘柄管理!$B$6:$B$305,0))-1,0,1,25)))/$E147*100,"")</f>
      </c>
      <c r="BC147">
        <f>IFERROR(($F147-$G147)/$G147*100,"")</f>
      </c>
      <c r="BD147">
        <f>IFERROR(($E147-MAX(OFFSET(高値!$E$6,IFERROR(MATCH($C147,銘柄管理!$B$6:$B$305,0),MATCH(TEXT($C147,"0"),銘柄管理!$B$6:$B$305,0))-1,0,1,25)))/MAX(OFFSET(高値!$E$6,IFERROR(MATCH($C147,銘柄管理!$B$6:$B$305,0),MATCH(TEXT($C147,"0"),銘柄管理!$B$6:$B$305,0))-1,0,1,25))*100,"")</f>
      </c>
      <c r="BE147">
        <f>IFERROR(($H147-$I147)/$F147*100,"")</f>
      </c>
      <c r="BF147">
        <f>IFERROR(-(($BA147-AVERAGE($BA$3:$BA$206))/STDEV($BA$3:$BA$206))-(($BE147-AVERAGE($BE$3:$BE$206))/STDEV($BE$3:$BE$206))-(($BB147-AVERAGE($BB$3:$BB$206))/STDEV($BB$3:$BB$206))-(($Z147-AVERAGE($Z$3:$Z$206))/STDEV($Z$3:$Z$206))-(($BC147-AVERAGE($BC$3:$BC$206))/STDEV($BC$3:$BC$206)),"")</f>
      </c>
      <c r="BG147">
        <f>IF(OR($C147="",$C147="TOPX",$BA147="",$BF147=""),0,IF(AND($BK$10=1,$BA147&lt;=$BK$2,$BB147&lt;=$BK$3,$BC147&lt;=$BK$4,$Z147&lt;=$BK$5,$Z147&gt;=$BK$6,$BD147&gt;=$BK$7,$BE147&lt;=$BK$8),1,0))</f>
      </c>
      <c r="BH147">
        <f>IF($C147="","",IF($BG147=1,"○ゲート通過",IF($BK$10&lt;&gt;1,"― この方向は停止中",IF($BA147&gt;$BK$2,"×値動きが荒い",IF($BB147&gt;$BK$3,"×レンジが広い",IF($BC147&gt;$BK$4,"×窓を開けて上昇",IF($Z147&gt;$BK$5,"×前日に急騰",IF($Z147&lt;$BK$6,"×前日に急落",IF($BD147&lt;$BK$7,"×高値から離れすぎ",IF($BE147&gt;$BK$8,"×当日の値幅が大きい","×")))))))))</f>
      </c>
    </row>
    <row r="148" spans="1:60"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IF(AND(E148&lt;&gt;"",K148&lt;&gt;"",K148&lt;&gt;0),(E148-K148)/K148*100,"")</f>
        <v>-24.685816876122082</v>
      </c>
      <c r="M148" s="166">
        <f>IF(C148&lt;&gt;"",IFERROR(AVERAGE(出来高!E24:I24),""),"")</f>
        <v>3579260</v>
      </c>
      <c r="N148" s="166">
        <f>IF(C148&lt;&gt;"",IFERROR(AVERAGE(出来高!E24:AC24),""),"")</f>
        <v>3500392</v>
      </c>
      <c r="O148" s="168">
        <f>IF(AND(J148&lt;&gt;"",M148&lt;&gt;"",M148&lt;&gt;0),J148/M148,"")</f>
        <v>0.90135949889083222</v>
      </c>
      <c r="P148" s="163" t="str">
        <f>IF(O148="","",IF(O148&gt;=2,"急増↑↑",IF(O148&gt;=1.5,"増加↑",IF(O148&gt;=1,"普通→","減少↓"))))</f>
        <v>減少↓</v>
      </c>
      <c r="Q148" s="163" t="str">
        <f>IF(E148="","",IF(AND(E148&gt;G148,O148&gt;=1.5),"買い▲",IF(E148&lt;G148,"様子見▼","中立→")))</f>
        <v>中立→</v>
      </c>
      <c r="R148" s="166">
        <f>IF(E148&lt;&gt;"",ROUND(E148*1.08,0),"")</f>
        <v>1359</v>
      </c>
      <c r="S148" s="166">
        <f>IF(E148&lt;&gt;"",ROUND(E148*0.96,0),"")</f>
        <v>1208</v>
      </c>
      <c r="T148" s="163">
        <f>IF(C148="","",IFERROR(IF(O148&gt;=2,3,IF(O148&gt;=1.5,2,IF(O148&gt;=1,1,0)))+IF(E148&gt;G148,1,0)+IF(L148&gt;=-5,1,0)+IF(Q148="買い▲",2,0)+IF(W148&lt;=30,3,IF(W148&lt;=40,2,IF(AND(W148&gt;=40,W148&lt;=60),1,0)))+IF(X148&gt;0,1,0)+IF(V148="年初来高値更新●",3,IF(V148="高値圏",2,0))+IF(AD148="パーフェクト▲",3,IF(AD148="上昇トレンド▲",2,0))+IF(AE148="25日線押し目●",2,IF(AE148="5日線押し目○",1,0))+IF(P148="急増↑↑",2,IF(P148="増加↑",1,0))+N(AI148),0))</f>
        <v>6</v>
      </c>
      <c r="U148" s="163" t="str">
        <f>IF(T148="","",IF(AND(T148&gt;=3,O148&gt;=1.5),"有効",IF(T148&gt;=3,"要確認","除外")))</f>
        <v>要確認</v>
      </c>
      <c r="V148" s="163" t="str">
        <f>IF(AND(H148&lt;&gt;"",K148&lt;&gt;""),IF(H148&gt;=K148,"年初来高値更新●",IF(H148&gt;=K148*0.95,"高値圏","通常")),"")</f>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IF(AND(E148&lt;&gt;"",G148&lt;&gt;"",G148&lt;&gt;0),(E148-G148)/G148*100,"")</f>
        <v>1.4101531023368252</v>
      </c>
      <c r="AA148" s="163" t="str">
        <f>IF(OR(C148="",E148="",E148=0),"",IF(E148&gt;G148,"上昇▲",IF(E148&lt;G148,"下落▼","横ばい→")))</f>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IF(OR(C148="",AB148="",AC148=""),"",IF(AND(E148&gt;AB148,AB148&gt;AC148),"パーフェクト▲",IF(E148&gt;AC148,"上昇トレンド▲",IF(AND(E148&lt;AB148,AB148&lt;AC148),"下降トレンド▼","もみ合い→"))))</f>
        <v>下降トレンド▼</v>
      </c>
      <c r="AE148" s="404" t="str">
        <f>IF(OR(C148="",AB148="",AC148=""),"",IF(AND(ABS(E148-AC148)/AC148&lt;=0.02,E148&gt;AC148),"25日押し目★",IF(AND(ABS(E148-AB148)/AB148&lt;=0.01,E148&gt;AB148),"5日押し目○","なし")))</f>
        <v>なし</v>
      </c>
      <c r="AF148" s="365">
        <f t="array" ref="AF148">IF(C148="","",IFERROR((INDEX(終値!$E:$E,MATCH(TEXT(C148,"0"),終値!$A:$A,0))-INDEX(終値!$E:$CZ,MATCH(TEXT(C148,"0"),終値!$A:$A,0),$AL$2))/INDEX(終値!$E:$CZ,MATCH(TEXT(C148,"0"),終値!$A:$A,0),$AL$2)*100,""))</f>
        <v>6.0682680151706698</v>
      </c>
      <c r="AG148" s="365">
        <f t="array" ref="AG148">IFERROR((終値!$E$5-INDEX(終値!$E$5:$IT$5,1,$AL$2))/INDEX(終値!$E$5:$IT$5,1,$AL$2)*100,"")</f>
        <v>1.0179378228534113</v>
      </c>
      <c r="AH148" s="366">
        <f>IF(OR(AF148="",AG148=""),"",AF148-AG148)</f>
        <v>5.0503301923172588</v>
      </c>
      <c r="AI148" s="364">
        <f>IF(AH148="","",IF(AH148&gt;5,3,IF(AH148&gt;0,1,IF(AH148&gt;-3,-1,-2))))</f>
        <v>3</v>
      </c>
      <c r="BA148">
        <f>IFERROR((SUM(OFFSET(高値!$E$6,IFERROR(MATCH($C148,銘柄管理!$B$6:$B$305,0),MATCH(TEXT($C148,"0"),銘柄管理!$B$6:$B$305,0))-1,0,1,14))-SUM(OFFSET(安値!$E$6,IFERROR(MATCH($C148,銘柄管理!$B$6:$B$305,0),MATCH(TEXT($C148,"0"),銘柄管理!$B$6:$B$305,0))-1,0,1,14)))/SUM(OFFSET(終値!$E$6,IFERROR(MATCH($C148,銘柄管理!$B$6:$B$305,0),MATCH(TEXT($C148,"0"),銘柄管理!$B$6:$B$305,0))-1,0,1,14))*100,"")</f>
      </c>
      <c r="BB148">
        <f>IFERROR((MAX(OFFSET(高値!$E$6,IFERROR(MATCH($C148,銘柄管理!$B$6:$B$305,0),MATCH(TEXT($C148,"0"),銘柄管理!$B$6:$B$305,0))-1,0,1,25))-MIN(OFFSET(安値!$E$6,IFERROR(MATCH($C148,銘柄管理!$B$6:$B$305,0),MATCH(TEXT($C148,"0"),銘柄管理!$B$6:$B$305,0))-1,0,1,25)))/$E148*100,"")</f>
      </c>
      <c r="BC148">
        <f>IFERROR(($F148-$G148)/$G148*100,"")</f>
      </c>
      <c r="BD148">
        <f>IFERROR(($E148-MAX(OFFSET(高値!$E$6,IFERROR(MATCH($C148,銘柄管理!$B$6:$B$305,0),MATCH(TEXT($C148,"0"),銘柄管理!$B$6:$B$305,0))-1,0,1,25)))/MAX(OFFSET(高値!$E$6,IFERROR(MATCH($C148,銘柄管理!$B$6:$B$305,0),MATCH(TEXT($C148,"0"),銘柄管理!$B$6:$B$305,0))-1,0,1,25))*100,"")</f>
      </c>
      <c r="BE148">
        <f>IFERROR(($H148-$I148)/$F148*100,"")</f>
      </c>
      <c r="BF148">
        <f>IFERROR(-(($BA148-AVERAGE($BA$3:$BA$206))/STDEV($BA$3:$BA$206))-(($BE148-AVERAGE($BE$3:$BE$206))/STDEV($BE$3:$BE$206))-(($BB148-AVERAGE($BB$3:$BB$206))/STDEV($BB$3:$BB$206))-(($Z148-AVERAGE($Z$3:$Z$206))/STDEV($Z$3:$Z$206))-(($BC148-AVERAGE($BC$3:$BC$206))/STDEV($BC$3:$BC$206)),"")</f>
      </c>
      <c r="BG148">
        <f>IF(OR($C148="",$C148="TOPX",$BA148="",$BF148=""),0,IF(AND($BK$10=1,$BA148&lt;=$BK$2,$BB148&lt;=$BK$3,$BC148&lt;=$BK$4,$Z148&lt;=$BK$5,$Z148&gt;=$BK$6,$BD148&gt;=$BK$7,$BE148&lt;=$BK$8),1,0))</f>
      </c>
      <c r="BH148">
        <f>IF($C148="","",IF($BG148=1,"○ゲート通過",IF($BK$10&lt;&gt;1,"― この方向は停止中",IF($BA148&gt;$BK$2,"×値動きが荒い",IF($BB148&gt;$BK$3,"×レンジが広い",IF($BC148&gt;$BK$4,"×窓を開けて上昇",IF($Z148&gt;$BK$5,"×前日に急騰",IF($Z148&lt;$BK$6,"×前日に急落",IF($BD148&lt;$BK$7,"×高値から離れすぎ",IF($BE148&gt;$BK$8,"×当日の値幅が大きい","×")))))))))</f>
      </c>
    </row>
    <row r="149" spans="1:60"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IF(AND(E149&lt;&gt;"",K149&lt;&gt;"",K149&lt;&gt;0),(E149-K149)/K149*100,"")</f>
        <v>-40.780413159908186</v>
      </c>
      <c r="M149" s="166">
        <f>IF(C149&lt;&gt;"",IFERROR(AVERAGE(出来高!E69:I69),""),"")</f>
        <v>2912260</v>
      </c>
      <c r="N149" s="166">
        <f>IF(C149&lt;&gt;"",IFERROR(AVERAGE(出来高!E69:AC69),""),"")</f>
        <v>1896376</v>
      </c>
      <c r="O149" s="168">
        <f>IF(AND(J149&lt;&gt;"",M149&lt;&gt;"",M149&lt;&gt;0),J149/M149,"")</f>
        <v>1.0803980413836676</v>
      </c>
      <c r="P149" s="163" t="str">
        <f>IF(O149="","",IF(O149&gt;=2,"急増↑↑",IF(O149&gt;=1.5,"増加↑",IF(O149&gt;=1,"普通→","減少↓"))))</f>
        <v>普通→</v>
      </c>
      <c r="Q149" s="163" t="str">
        <f>IF(E149="","",IF(AND(E149&gt;G149,O149&gt;=1.5),"買い▲",IF(E149&lt;G149,"様子見▼","中立→")))</f>
        <v>様子見▼</v>
      </c>
      <c r="R149" s="166">
        <f>IF(E149&lt;&gt;"",ROUND(E149*1.08,0),"")</f>
        <v>3344</v>
      </c>
      <c r="S149" s="166">
        <f>IF(E149&lt;&gt;"",ROUND(E149*0.96,0),"")</f>
        <v>2972</v>
      </c>
      <c r="T149" s="163">
        <f>IF(C149="","",IFERROR(IF(O149&gt;=2,3,IF(O149&gt;=1.5,2,IF(O149&gt;=1,1,0)))+IF(E149&gt;G149,1,0)+IF(L149&gt;=-5,1,0)+IF(Q149="買い▲",2,0)+IF(W149&lt;=30,3,IF(W149&lt;=40,2,IF(AND(W149&gt;=40,W149&lt;=60),1,0)))+IF(X149&gt;0,1,0)+IF(V149="年初来高値更新●",3,IF(V149="高値圏",2,0))+IF(AD149="パーフェクト▲",3,IF(AD149="上昇トレンド▲",2,0))+IF(AE149="25日線押し目●",2,IF(AE149="5日線押し目○",1,0))+IF(P149="急増↑↑",2,IF(P149="増加↑",1,0))+N(AI149),0))</f>
        <v>1</v>
      </c>
      <c r="U149" s="163" t="str">
        <f>IF(T149="","",IF(AND(T149&gt;=3,O149&gt;=1.5),"有効",IF(T149&gt;=3,"要確認","除外")))</f>
        <v>除外</v>
      </c>
      <c r="V149" s="163" t="str">
        <f>IF(AND(H149&lt;&gt;"",K149&lt;&gt;""),IF(H149&gt;=K149,"年初来高値更新●",IF(H149&gt;=K149*0.95,"高値圏","通常")),"")</f>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IF(AND(E149&lt;&gt;"",G149&lt;&gt;"",G149&lt;&gt;0),(E149-G149)/G149*100,"")</f>
        <v>-5.9252506836827719</v>
      </c>
      <c r="AA149" s="163" t="str">
        <f>IF(OR(C149="",E149="",E149=0),"",IF(E149&gt;G149,"上昇▲",IF(E149&lt;G149,"下落▼","横ばい→")))</f>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IF(OR(C149="",AB149="",AC149=""),"",IF(AND(E149&gt;AB149,AB149&gt;AC149),"パーフェクト▲",IF(E149&gt;AC149,"上昇トレンド▲",IF(AND(E149&lt;AB149,AB149&lt;AC149),"下降トレンド▼","もみ合い→"))))</f>
        <v>もみ合い→</v>
      </c>
      <c r="AE149" s="406" t="str">
        <f>IF(OR(C149="",AB149="",AC149=""),"",IF(AND(ABS(E149-AC149)/AC149&lt;=0.02,E149&gt;AC149),"25日押し目★",IF(AND(ABS(E149-AB149)/AB149&lt;=0.01,E149&gt;AB149),"5日押し目○","なし")))</f>
        <v>なし</v>
      </c>
      <c r="AF149" s="365">
        <f t="array" ref="AF149">IF(C149="","",IFERROR((INDEX(終値!$E:$E,MATCH(TEXT(C149,"0"),終値!$A:$A,0))-INDEX(終値!$E:$CZ,MATCH(TEXT(C149,"0"),終値!$A:$A,0),$AL$2))/INDEX(終値!$E:$CZ,MATCH(TEXT(C149,"0"),終値!$A:$A,0),$AL$2)*100,""))</f>
        <v>-26.33832976445396</v>
      </c>
      <c r="AG149" s="365">
        <f t="array" ref="AG149">IFERROR((終値!$E$5-INDEX(終値!$E$5:$IT$5,1,$AL$2))/INDEX(終値!$E$5:$IT$5,1,$AL$2)*100,"")</f>
        <v>1.0179378228534113</v>
      </c>
      <c r="AH149" s="366">
        <f>IF(OR(AF149="",AG149=""),"",AF149-AG149)</f>
        <v>-27.356267587307372</v>
      </c>
      <c r="AI149" s="364">
        <f>IF(AH149="","",IF(AH149&gt;5,3,IF(AH149&gt;0,1,IF(AH149&gt;-3,-1,-2))))</f>
        <v>-2</v>
      </c>
      <c r="BA149">
        <f>IFERROR((SUM(OFFSET(高値!$E$6,IFERROR(MATCH($C149,銘柄管理!$B$6:$B$305,0),MATCH(TEXT($C149,"0"),銘柄管理!$B$6:$B$305,0))-1,0,1,14))-SUM(OFFSET(安値!$E$6,IFERROR(MATCH($C149,銘柄管理!$B$6:$B$305,0),MATCH(TEXT($C149,"0"),銘柄管理!$B$6:$B$305,0))-1,0,1,14)))/SUM(OFFSET(終値!$E$6,IFERROR(MATCH($C149,銘柄管理!$B$6:$B$305,0),MATCH(TEXT($C149,"0"),銘柄管理!$B$6:$B$305,0))-1,0,1,14))*100,"")</f>
      </c>
      <c r="BB149">
        <f>IFERROR((MAX(OFFSET(高値!$E$6,IFERROR(MATCH($C149,銘柄管理!$B$6:$B$305,0),MATCH(TEXT($C149,"0"),銘柄管理!$B$6:$B$305,0))-1,0,1,25))-MIN(OFFSET(安値!$E$6,IFERROR(MATCH($C149,銘柄管理!$B$6:$B$305,0),MATCH(TEXT($C149,"0"),銘柄管理!$B$6:$B$305,0))-1,0,1,25)))/$E149*100,"")</f>
      </c>
      <c r="BC149">
        <f>IFERROR(($F149-$G149)/$G149*100,"")</f>
      </c>
      <c r="BD149">
        <f>IFERROR(($E149-MAX(OFFSET(高値!$E$6,IFERROR(MATCH($C149,銘柄管理!$B$6:$B$305,0),MATCH(TEXT($C149,"0"),銘柄管理!$B$6:$B$305,0))-1,0,1,25)))/MAX(OFFSET(高値!$E$6,IFERROR(MATCH($C149,銘柄管理!$B$6:$B$305,0),MATCH(TEXT($C149,"0"),銘柄管理!$B$6:$B$305,0))-1,0,1,25))*100,"")</f>
      </c>
      <c r="BE149">
        <f>IFERROR(($H149-$I149)/$F149*100,"")</f>
      </c>
      <c r="BF149">
        <f>IFERROR(-(($BA149-AVERAGE($BA$3:$BA$206))/STDEV($BA$3:$BA$206))-(($BE149-AVERAGE($BE$3:$BE$206))/STDEV($BE$3:$BE$206))-(($BB149-AVERAGE($BB$3:$BB$206))/STDEV($BB$3:$BB$206))-(($Z149-AVERAGE($Z$3:$Z$206))/STDEV($Z$3:$Z$206))-(($BC149-AVERAGE($BC$3:$BC$206))/STDEV($BC$3:$BC$206)),"")</f>
      </c>
      <c r="BG149">
        <f>IF(OR($C149="",$C149="TOPX",$BA149="",$BF149=""),0,IF(AND($BK$10=1,$BA149&lt;=$BK$2,$BB149&lt;=$BK$3,$BC149&lt;=$BK$4,$Z149&lt;=$BK$5,$Z149&gt;=$BK$6,$BD149&gt;=$BK$7,$BE149&lt;=$BK$8),1,0))</f>
      </c>
      <c r="BH149">
        <f>IF($C149="","",IF($BG149=1,"○ゲート通過",IF($BK$10&lt;&gt;1,"― この方向は停止中",IF($BA149&gt;$BK$2,"×値動きが荒い",IF($BB149&gt;$BK$3,"×レンジが広い",IF($BC149&gt;$BK$4,"×窓を開けて上昇",IF($Z149&gt;$BK$5,"×前日に急騰",IF($Z149&lt;$BK$6,"×前日に急落",IF($BD149&lt;$BK$7,"×高値から離れすぎ",IF($BE149&gt;$BK$8,"×当日の値幅が大きい","×")))))))))</f>
      </c>
    </row>
    <row r="150" spans="1:60"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IF(AND(E150&lt;&gt;"",K150&lt;&gt;"",K150&lt;&gt;0),(E150-K150)/K150*100,"")</f>
        <v>-14.456559971860711</v>
      </c>
      <c r="M150" s="166">
        <f>IF(C150&lt;&gt;"",IFERROR(AVERAGE(出来高!E196:I196),""),"")</f>
        <v>102540</v>
      </c>
      <c r="N150" s="166">
        <f>IF(C150&lt;&gt;"",IFERROR(AVERAGE(出来高!E196:AC196),""),"")</f>
        <v>85104</v>
      </c>
      <c r="O150" s="168">
        <f>IF(AND(J150&lt;&gt;"",M150&lt;&gt;"",M150&lt;&gt;0),J150/M150,"")</f>
        <v>1.0386190754827385</v>
      </c>
      <c r="P150" s="163" t="str">
        <f>IF(O150="","",IF(O150&gt;=2,"急増↑↑",IF(O150&gt;=1.5,"増加↑",IF(O150&gt;=1,"普通→","減少↓"))))</f>
        <v>普通→</v>
      </c>
      <c r="Q150" s="163" t="str">
        <f>IF(E150="","",IF(AND(E150&gt;G150,O150&gt;=1.5),"買い▲",IF(E150&lt;G150,"様子見▼","中立→")))</f>
        <v>様子見▼</v>
      </c>
      <c r="R150" s="166">
        <f>IF(E150&lt;&gt;"",ROUND(E150*1.08,0),"")</f>
        <v>26266</v>
      </c>
      <c r="S150" s="166">
        <f>IF(E150&lt;&gt;"",ROUND(E150*0.96,0),"")</f>
        <v>23347</v>
      </c>
      <c r="T150" s="163">
        <f>IF(C150="","",IFERROR(IF(O150&gt;=2,3,IF(O150&gt;=1.5,2,IF(O150&gt;=1,1,0)))+IF(E150&gt;G150,1,0)+IF(L150&gt;=-5,1,0)+IF(Q150="買い▲",2,0)+IF(W150&lt;=30,3,IF(W150&lt;=40,2,IF(AND(W150&gt;=40,W150&lt;=60),1,0)))+IF(X150&gt;0,1,0)+IF(V150="年初来高値更新●",3,IF(V150="高値圏",2,0))+IF(AD150="パーフェクト▲",3,IF(AD150="上昇トレンド▲",2,0))+IF(AE150="25日線押し目●",2,IF(AE150="5日線押し目○",1,0))+IF(P150="急増↑↑",2,IF(P150="増加↑",1,0))+N(AI150),0))</f>
        <v>3</v>
      </c>
      <c r="U150" s="163" t="str">
        <f>IF(T150="","",IF(AND(T150&gt;=3,O150&gt;=1.5),"有効",IF(T150&gt;=3,"要確認","除外")))</f>
        <v>要確認</v>
      </c>
      <c r="V150" s="163" t="str">
        <f>IF(AND(H150&lt;&gt;"",K150&lt;&gt;""),IF(H150&gt;=K150,"年初来高値更新●",IF(H150&gt;=K150*0.95,"高値圏","通常")),"")</f>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IF(AND(E150&lt;&gt;"",G150&lt;&gt;"",G150&lt;&gt;0),(E150-G150)/G150*100,"")</f>
        <v>-4.6274509803921564</v>
      </c>
      <c r="AA150" s="163" t="str">
        <f>IF(OR(C150="",E150="",E150=0),"",IF(E150&gt;G150,"上昇▲",IF(E150&lt;G150,"下落▼","横ばい→")))</f>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IF(OR(C150="",AB150="",AC150=""),"",IF(AND(E150&gt;AB150,AB150&gt;AC150),"パーフェクト▲",IF(E150&gt;AC150,"上昇トレンド▲",IF(AND(E150&lt;AB150,AB150&lt;AC150),"下降トレンド▼","もみ合い→"))))</f>
        <v>パーフェクト▲</v>
      </c>
      <c r="AE150" s="404" t="str">
        <f>IF(OR(C150="",AB150="",AC150=""),"",IF(AND(ABS(E150-AC150)/AC150&lt;=0.02,E150&gt;AC150),"25日押し目★",IF(AND(ABS(E150-AB150)/AB150&lt;=0.01,E150&gt;AB150),"5日押し目○","なし")))</f>
        <v>なし</v>
      </c>
      <c r="AF150" s="365">
        <f t="array" ref="AF150">IF(C150="","",IFERROR((INDEX(終値!$E:$E,MATCH(TEXT(C150,"0"),終値!$A:$A,0))-INDEX(終値!$E:$CZ,MATCH(TEXT(C150,"0"),終値!$A:$A,0),$AL$2))/INDEX(終値!$E:$CZ,MATCH(TEXT(C150,"0"),終値!$A:$A,0),$AL$2)*100,""))</f>
        <v>-11.915972473741398</v>
      </c>
      <c r="AG150" s="365">
        <f t="array" ref="AG150">IFERROR((終値!$E$5-INDEX(終値!$E$5:$IT$5,1,$AL$2))/INDEX(終値!$E$5:$IT$5,1,$AL$2)*100,"")</f>
        <v>1.0179378228534113</v>
      </c>
      <c r="AH150" s="366">
        <f>IF(OR(AF150="",AG150=""),"",AF150-AG150)</f>
        <v>-12.93391029659481</v>
      </c>
      <c r="AI150" s="364">
        <f>IF(AH150="","",IF(AH150&gt;5,3,IF(AH150&gt;0,1,IF(AH150&gt;-3,-1,-2))))</f>
        <v>-2</v>
      </c>
      <c r="BA150">
        <f>IFERROR((SUM(OFFSET(高値!$E$6,IFERROR(MATCH($C150,銘柄管理!$B$6:$B$305,0),MATCH(TEXT($C150,"0"),銘柄管理!$B$6:$B$305,0))-1,0,1,14))-SUM(OFFSET(安値!$E$6,IFERROR(MATCH($C150,銘柄管理!$B$6:$B$305,0),MATCH(TEXT($C150,"0"),銘柄管理!$B$6:$B$305,0))-1,0,1,14)))/SUM(OFFSET(終値!$E$6,IFERROR(MATCH($C150,銘柄管理!$B$6:$B$305,0),MATCH(TEXT($C150,"0"),銘柄管理!$B$6:$B$305,0))-1,0,1,14))*100,"")</f>
      </c>
      <c r="BB150">
        <f>IFERROR((MAX(OFFSET(高値!$E$6,IFERROR(MATCH($C150,銘柄管理!$B$6:$B$305,0),MATCH(TEXT($C150,"0"),銘柄管理!$B$6:$B$305,0))-1,0,1,25))-MIN(OFFSET(安値!$E$6,IFERROR(MATCH($C150,銘柄管理!$B$6:$B$305,0),MATCH(TEXT($C150,"0"),銘柄管理!$B$6:$B$305,0))-1,0,1,25)))/$E150*100,"")</f>
      </c>
      <c r="BC150">
        <f>IFERROR(($F150-$G150)/$G150*100,"")</f>
      </c>
      <c r="BD150">
        <f>IFERROR(($E150-MAX(OFFSET(高値!$E$6,IFERROR(MATCH($C150,銘柄管理!$B$6:$B$305,0),MATCH(TEXT($C150,"0"),銘柄管理!$B$6:$B$305,0))-1,0,1,25)))/MAX(OFFSET(高値!$E$6,IFERROR(MATCH($C150,銘柄管理!$B$6:$B$305,0),MATCH(TEXT($C150,"0"),銘柄管理!$B$6:$B$305,0))-1,0,1,25))*100,"")</f>
      </c>
      <c r="BE150">
        <f>IFERROR(($H150-$I150)/$F150*100,"")</f>
      </c>
      <c r="BF150">
        <f>IFERROR(-(($BA150-AVERAGE($BA$3:$BA$206))/STDEV($BA$3:$BA$206))-(($BE150-AVERAGE($BE$3:$BE$206))/STDEV($BE$3:$BE$206))-(($BB150-AVERAGE($BB$3:$BB$206))/STDEV($BB$3:$BB$206))-(($Z150-AVERAGE($Z$3:$Z$206))/STDEV($Z$3:$Z$206))-(($BC150-AVERAGE($BC$3:$BC$206))/STDEV($BC$3:$BC$206)),"")</f>
      </c>
      <c r="BG150">
        <f>IF(OR($C150="",$C150="TOPX",$BA150="",$BF150=""),0,IF(AND($BK$10=1,$BA150&lt;=$BK$2,$BB150&lt;=$BK$3,$BC150&lt;=$BK$4,$Z150&lt;=$BK$5,$Z150&gt;=$BK$6,$BD150&gt;=$BK$7,$BE150&lt;=$BK$8),1,0))</f>
      </c>
      <c r="BH150">
        <f>IF($C150="","",IF($BG150=1,"○ゲート通過",IF($BK$10&lt;&gt;1,"― この方向は停止中",IF($BA150&gt;$BK$2,"×値動きが荒い",IF($BB150&gt;$BK$3,"×レンジが広い",IF($BC150&gt;$BK$4,"×窓を開けて上昇",IF($Z150&gt;$BK$5,"×前日に急騰",IF($Z150&lt;$BK$6,"×前日に急落",IF($BD150&lt;$BK$7,"×高値から離れすぎ",IF($BE150&gt;$BK$8,"×当日の値幅が大きい","×")))))))))</f>
      </c>
    </row>
    <row r="151" spans="1:60"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IF(AND(E151&lt;&gt;"",K151&lt;&gt;"",K151&lt;&gt;0),(E151-K151)/K151*100,"")</f>
        <v>-68.542713567839201</v>
      </c>
      <c r="M151" s="166">
        <f>IF(C151&lt;&gt;"",IFERROR(AVERAGE(出来高!E146:I146),""),"")</f>
        <v>162220</v>
      </c>
      <c r="N151" s="166">
        <f>IF(C151&lt;&gt;"",IFERROR(AVERAGE(出来高!E146:AC146),""),"")</f>
        <v>220876</v>
      </c>
      <c r="O151" s="168">
        <f>IF(AND(J151&lt;&gt;"",M151&lt;&gt;"",M151&lt;&gt;0),J151/M151,"")</f>
        <v>0.49870546171865365</v>
      </c>
      <c r="P151" s="163" t="str">
        <f>IF(O151="","",IF(O151&gt;=2,"急増↑↑",IF(O151&gt;=1.5,"増加↑",IF(O151&gt;=1,"普通→","減少↓"))))</f>
        <v>減少↓</v>
      </c>
      <c r="Q151" s="163" t="str">
        <f>IF(E151="","",IF(AND(E151&gt;G151,O151&gt;=1.5),"買い▲",IF(E151&lt;G151,"様子見▼","中立→")))</f>
        <v>様子見▼</v>
      </c>
      <c r="R151" s="166">
        <f>IF(E151&lt;&gt;"",ROUND(E151*1.08,0),"")</f>
        <v>338</v>
      </c>
      <c r="S151" s="166">
        <f>IF(E151&lt;&gt;"",ROUND(E151*0.96,0),"")</f>
        <v>300</v>
      </c>
      <c r="T151" s="163">
        <f>IF(C151="","",IFERROR(IF(O151&gt;=2,3,IF(O151&gt;=1.5,2,IF(O151&gt;=1,1,0)))+IF(E151&gt;G151,1,0)+IF(L151&gt;=-5,1,0)+IF(Q151="買い▲",2,0)+IF(W151&lt;=30,3,IF(W151&lt;=40,2,IF(AND(W151&gt;=40,W151&lt;=60),1,0)))+IF(X151&gt;0,1,0)+IF(V151="年初来高値更新●",3,IF(V151="高値圏",2,0))+IF(AD151="パーフェクト▲",3,IF(AD151="上昇トレンド▲",2,0))+IF(AE151="25日線押し目●",2,IF(AE151="5日線押し目○",1,0))+IF(P151="急増↑↑",2,IF(P151="増加↑",1,0))+N(AI151),0))</f>
        <v>3</v>
      </c>
      <c r="U151" s="163" t="str">
        <f>IF(T151="","",IF(AND(T151&gt;=3,O151&gt;=1.5),"有効",IF(T151&gt;=3,"要確認","除外")))</f>
        <v>要確認</v>
      </c>
      <c r="V151" s="163" t="str">
        <f>IF(AND(H151&lt;&gt;"",K151&lt;&gt;""),IF(H151&gt;=K151,"年初来高値更新●",IF(H151&gt;=K151*0.95,"高値圏","通常")),"")</f>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IF(AND(E151&lt;&gt;"",G151&lt;&gt;"",G151&lt;&gt;0),(E151-G151)/G151*100,"")</f>
        <v>-0.63492063492063489</v>
      </c>
      <c r="AA151" s="163" t="str">
        <f>IF(OR(C151="",E151="",E151=0),"",IF(E151&gt;G151,"上昇▲",IF(E151&lt;G151,"下落▼","横ばい→")))</f>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IF(OR(C151="",AB151="",AC151=""),"",IF(AND(E151&gt;AB151,AB151&gt;AC151),"パーフェクト▲",IF(E151&gt;AC151,"上昇トレンド▲",IF(AND(E151&lt;AB151,AB151&lt;AC151),"下降トレンド▼","もみ合い→"))))</f>
        <v>もみ合い→</v>
      </c>
      <c r="AE151" s="406" t="str">
        <f>IF(OR(C151="",AB151="",AC151=""),"",IF(AND(ABS(E151-AC151)/AC151&lt;=0.02,E151&gt;AC151),"25日押し目★",IF(AND(ABS(E151-AB151)/AB151&lt;=0.01,E151&gt;AB151),"5日押し目○","なし")))</f>
        <v>なし</v>
      </c>
      <c r="AF151" s="365">
        <f t="array" ref="AF151">IF(C151="","",IFERROR((INDEX(終値!$E:$E,MATCH(TEXT(C151,"0"),終値!$A:$A,0))-INDEX(終値!$E:$CZ,MATCH(TEXT(C151,"0"),終値!$A:$A,0),$AL$2))/INDEX(終値!$E:$CZ,MATCH(TEXT(C151,"0"),終値!$A:$A,0),$AL$2)*100,""))</f>
        <v>1.9543973941368076</v>
      </c>
      <c r="AG151" s="365">
        <f t="array" ref="AG151">IFERROR((終値!$E$5-INDEX(終値!$E$5:$IT$5,1,$AL$2))/INDEX(終値!$E$5:$IT$5,1,$AL$2)*100,"")</f>
        <v>1.0179378228534113</v>
      </c>
      <c r="AH151" s="366">
        <f>IF(OR(AF151="",AG151=""),"",AF151-AG151)</f>
        <v>0.9364595712833963</v>
      </c>
      <c r="AI151" s="364">
        <f>IF(AH151="","",IF(AH151&gt;5,3,IF(AH151&gt;0,1,IF(AH151&gt;-3,-1,-2))))</f>
        <v>1</v>
      </c>
      <c r="BA151">
        <f>IFERROR((SUM(OFFSET(高値!$E$6,IFERROR(MATCH($C151,銘柄管理!$B$6:$B$305,0),MATCH(TEXT($C151,"0"),銘柄管理!$B$6:$B$305,0))-1,0,1,14))-SUM(OFFSET(安値!$E$6,IFERROR(MATCH($C151,銘柄管理!$B$6:$B$305,0),MATCH(TEXT($C151,"0"),銘柄管理!$B$6:$B$305,0))-1,0,1,14)))/SUM(OFFSET(終値!$E$6,IFERROR(MATCH($C151,銘柄管理!$B$6:$B$305,0),MATCH(TEXT($C151,"0"),銘柄管理!$B$6:$B$305,0))-1,0,1,14))*100,"")</f>
      </c>
      <c r="BB151">
        <f>IFERROR((MAX(OFFSET(高値!$E$6,IFERROR(MATCH($C151,銘柄管理!$B$6:$B$305,0),MATCH(TEXT($C151,"0"),銘柄管理!$B$6:$B$305,0))-1,0,1,25))-MIN(OFFSET(安値!$E$6,IFERROR(MATCH($C151,銘柄管理!$B$6:$B$305,0),MATCH(TEXT($C151,"0"),銘柄管理!$B$6:$B$305,0))-1,0,1,25)))/$E151*100,"")</f>
      </c>
      <c r="BC151">
        <f>IFERROR(($F151-$G151)/$G151*100,"")</f>
      </c>
      <c r="BD151">
        <f>IFERROR(($E151-MAX(OFFSET(高値!$E$6,IFERROR(MATCH($C151,銘柄管理!$B$6:$B$305,0),MATCH(TEXT($C151,"0"),銘柄管理!$B$6:$B$305,0))-1,0,1,25)))/MAX(OFFSET(高値!$E$6,IFERROR(MATCH($C151,銘柄管理!$B$6:$B$305,0),MATCH(TEXT($C151,"0"),銘柄管理!$B$6:$B$305,0))-1,0,1,25))*100,"")</f>
      </c>
      <c r="BE151">
        <f>IFERROR(($H151-$I151)/$F151*100,"")</f>
      </c>
      <c r="BF151">
        <f>IFERROR(-(($BA151-AVERAGE($BA$3:$BA$206))/STDEV($BA$3:$BA$206))-(($BE151-AVERAGE($BE$3:$BE$206))/STDEV($BE$3:$BE$206))-(($BB151-AVERAGE($BB$3:$BB$206))/STDEV($BB$3:$BB$206))-(($Z151-AVERAGE($Z$3:$Z$206))/STDEV($Z$3:$Z$206))-(($BC151-AVERAGE($BC$3:$BC$206))/STDEV($BC$3:$BC$206)),"")</f>
      </c>
      <c r="BG151">
        <f>IF(OR($C151="",$C151="TOPX",$BA151="",$BF151=""),0,IF(AND($BK$10=1,$BA151&lt;=$BK$2,$BB151&lt;=$BK$3,$BC151&lt;=$BK$4,$Z151&lt;=$BK$5,$Z151&gt;=$BK$6,$BD151&gt;=$BK$7,$BE151&lt;=$BK$8),1,0))</f>
      </c>
      <c r="BH151">
        <f>IF($C151="","",IF($BG151=1,"○ゲート通過",IF($BK$10&lt;&gt;1,"― この方向は停止中",IF($BA151&gt;$BK$2,"×値動きが荒い",IF($BB151&gt;$BK$3,"×レンジが広い",IF($BC151&gt;$BK$4,"×窓を開けて上昇",IF($Z151&gt;$BK$5,"×前日に急騰",IF($Z151&lt;$BK$6,"×前日に急落",IF($BD151&lt;$BK$7,"×高値から離れすぎ",IF($BE151&gt;$BK$8,"×当日の値幅が大きい","×")))))))))</f>
      </c>
    </row>
    <row r="152" spans="1:60"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IF(AND(E152&lt;&gt;"",K152&lt;&gt;"",K152&lt;&gt;0),(E152-K152)/K152*100,"")</f>
        <v>-33.633020024519823</v>
      </c>
      <c r="M152" s="166">
        <f>IF(C152&lt;&gt;"",IFERROR(AVERAGE(出来高!E192:I192),""),"")</f>
        <v>483740</v>
      </c>
      <c r="N152" s="166">
        <f>IF(C152&lt;&gt;"",IFERROR(AVERAGE(出来高!E192:AC192),""),"")</f>
        <v>425448</v>
      </c>
      <c r="O152" s="168">
        <f>IF(AND(J152&lt;&gt;"",M152&lt;&gt;"",M152&lt;&gt;0),J152/M152,"")</f>
        <v>0.80725182949518337</v>
      </c>
      <c r="P152" s="163" t="str">
        <f>IF(O152="","",IF(O152&gt;=2,"急増↑↑",IF(O152&gt;=1.5,"増加↑",IF(O152&gt;=1,"普通→","減少↓"))))</f>
        <v>減少↓</v>
      </c>
      <c r="Q152" s="163" t="str">
        <f>IF(E152="","",IF(AND(E152&gt;G152,O152&gt;=1.5),"買い▲",IF(E152&lt;G152,"様子見▼","中立→")))</f>
        <v>中立→</v>
      </c>
      <c r="R152" s="166">
        <f>IF(E152&lt;&gt;"",ROUND(E152*1.08,0),"")</f>
        <v>1754</v>
      </c>
      <c r="S152" s="166">
        <f>IF(E152&lt;&gt;"",ROUND(E152*0.96,0),"")</f>
        <v>1559</v>
      </c>
      <c r="T152" s="163">
        <f>IF(C152="","",IFERROR(IF(O152&gt;=2,3,IF(O152&gt;=1.5,2,IF(O152&gt;=1,1,0)))+IF(E152&gt;G152,1,0)+IF(L152&gt;=-5,1,0)+IF(Q152="買い▲",2,0)+IF(W152&lt;=30,3,IF(W152&lt;=40,2,IF(AND(W152&gt;=40,W152&lt;=60),1,0)))+IF(X152&gt;0,1,0)+IF(V152="年初来高値更新●",3,IF(V152="高値圏",2,0))+IF(AD152="パーフェクト▲",3,IF(AD152="上昇トレンド▲",2,0))+IF(AE152="25日線押し目●",2,IF(AE152="5日線押し目○",1,0))+IF(P152="急増↑↑",2,IF(P152="増加↑",1,0))+N(AI152),0))</f>
        <v>2</v>
      </c>
      <c r="U152" s="163" t="str">
        <f>IF(T152="","",IF(AND(T152&gt;=3,O152&gt;=1.5),"有効",IF(T152&gt;=3,"要確認","除外")))</f>
        <v>除外</v>
      </c>
      <c r="V152" s="163" t="str">
        <f>IF(AND(H152&lt;&gt;"",K152&lt;&gt;""),IF(H152&gt;=K152,"年初来高値更新●",IF(H152&gt;=K152*0.95,"高値圏","通常")),"")</f>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IF(AND(E152&lt;&gt;"",G152&lt;&gt;"",G152&lt;&gt;0),(E152-G152)/G152*100,"")</f>
        <v>1.5634771732332706</v>
      </c>
      <c r="AA152" s="163" t="str">
        <f>IF(OR(C152="",E152="",E152=0),"",IF(E152&gt;G152,"上昇▲",IF(E152&lt;G152,"下落▼","横ばい→")))</f>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IF(OR(C152="",AB152="",AC152=""),"",IF(AND(E152&gt;AB152,AB152&gt;AC152),"パーフェクト▲",IF(E152&gt;AC152,"上昇トレンド▲",IF(AND(E152&lt;AB152,AB152&lt;AC152),"下降トレンド▼","もみ合い→"))))</f>
        <v>下降トレンド▼</v>
      </c>
      <c r="AE152" s="404" t="str">
        <f>IF(OR(C152="",AB152="",AC152=""),"",IF(AND(ABS(E152-AC152)/AC152&lt;=0.02,E152&gt;AC152),"25日押し目★",IF(AND(ABS(E152-AB152)/AB152&lt;=0.01,E152&gt;AB152),"5日押し目○","なし")))</f>
        <v>なし</v>
      </c>
      <c r="AF152" s="365">
        <f t="array" ref="AF152">IF(C152="","",IFERROR((INDEX(終値!$E:$E,MATCH(TEXT(C152,"0"),終値!$A:$A,0))-INDEX(終値!$E:$CZ,MATCH(TEXT(C152,"0"),終値!$A:$A,0),$AL$2))/INDEX(終値!$E:$CZ,MATCH(TEXT(C152,"0"),終値!$A:$A,0),$AL$2)*100,""))</f>
        <v>-3.044776119402985</v>
      </c>
      <c r="AG152" s="365">
        <f t="array" ref="AG152">IFERROR((終値!$E$5-INDEX(終値!$E$5:$IT$5,1,$AL$2))/INDEX(終値!$E$5:$IT$5,1,$AL$2)*100,"")</f>
        <v>1.0179378228534113</v>
      </c>
      <c r="AH152" s="366">
        <f>IF(OR(AF152="",AG152=""),"",AF152-AG152)</f>
        <v>-4.062713942256396</v>
      </c>
      <c r="AI152" s="364">
        <f>IF(AH152="","",IF(AH152&gt;5,3,IF(AH152&gt;0,1,IF(AH152&gt;-3,-1,-2))))</f>
        <v>-2</v>
      </c>
      <c r="BA152">
        <f>IFERROR((SUM(OFFSET(高値!$E$6,IFERROR(MATCH($C152,銘柄管理!$B$6:$B$305,0),MATCH(TEXT($C152,"0"),銘柄管理!$B$6:$B$305,0))-1,0,1,14))-SUM(OFFSET(安値!$E$6,IFERROR(MATCH($C152,銘柄管理!$B$6:$B$305,0),MATCH(TEXT($C152,"0"),銘柄管理!$B$6:$B$305,0))-1,0,1,14)))/SUM(OFFSET(終値!$E$6,IFERROR(MATCH($C152,銘柄管理!$B$6:$B$305,0),MATCH(TEXT($C152,"0"),銘柄管理!$B$6:$B$305,0))-1,0,1,14))*100,"")</f>
      </c>
      <c r="BB152">
        <f>IFERROR((MAX(OFFSET(高値!$E$6,IFERROR(MATCH($C152,銘柄管理!$B$6:$B$305,0),MATCH(TEXT($C152,"0"),銘柄管理!$B$6:$B$305,0))-1,0,1,25))-MIN(OFFSET(安値!$E$6,IFERROR(MATCH($C152,銘柄管理!$B$6:$B$305,0),MATCH(TEXT($C152,"0"),銘柄管理!$B$6:$B$305,0))-1,0,1,25)))/$E152*100,"")</f>
      </c>
      <c r="BC152">
        <f>IFERROR(($F152-$G152)/$G152*100,"")</f>
      </c>
      <c r="BD152">
        <f>IFERROR(($E152-MAX(OFFSET(高値!$E$6,IFERROR(MATCH($C152,銘柄管理!$B$6:$B$305,0),MATCH(TEXT($C152,"0"),銘柄管理!$B$6:$B$305,0))-1,0,1,25)))/MAX(OFFSET(高値!$E$6,IFERROR(MATCH($C152,銘柄管理!$B$6:$B$305,0),MATCH(TEXT($C152,"0"),銘柄管理!$B$6:$B$305,0))-1,0,1,25))*100,"")</f>
      </c>
      <c r="BE152">
        <f>IFERROR(($H152-$I152)/$F152*100,"")</f>
      </c>
      <c r="BF152">
        <f>IFERROR(-(($BA152-AVERAGE($BA$3:$BA$206))/STDEV($BA$3:$BA$206))-(($BE152-AVERAGE($BE$3:$BE$206))/STDEV($BE$3:$BE$206))-(($BB152-AVERAGE($BB$3:$BB$206))/STDEV($BB$3:$BB$206))-(($Z152-AVERAGE($Z$3:$Z$206))/STDEV($Z$3:$Z$206))-(($BC152-AVERAGE($BC$3:$BC$206))/STDEV($BC$3:$BC$206)),"")</f>
      </c>
      <c r="BG152">
        <f>IF(OR($C152="",$C152="TOPX",$BA152="",$BF152=""),0,IF(AND($BK$10=1,$BA152&lt;=$BK$2,$BB152&lt;=$BK$3,$BC152&lt;=$BK$4,$Z152&lt;=$BK$5,$Z152&gt;=$BK$6,$BD152&gt;=$BK$7,$BE152&lt;=$BK$8),1,0))</f>
      </c>
      <c r="BH152">
        <f>IF($C152="","",IF($BG152=1,"○ゲート通過",IF($BK$10&lt;&gt;1,"― この方向は停止中",IF($BA152&gt;$BK$2,"×値動きが荒い",IF($BB152&gt;$BK$3,"×レンジが広い",IF($BC152&gt;$BK$4,"×窓を開けて上昇",IF($Z152&gt;$BK$5,"×前日に急騰",IF($Z152&lt;$BK$6,"×前日に急落",IF($BD152&lt;$BK$7,"×高値から離れすぎ",IF($BE152&gt;$BK$8,"×当日の値幅が大きい","×")))))))))</f>
      </c>
    </row>
    <row r="153" spans="1:60"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IF(AND(E153&lt;&gt;"",K153&lt;&gt;"",K153&lt;&gt;0),(E153-K153)/K153*100,"")</f>
        <v>-8.268493787016606</v>
      </c>
      <c r="M153" s="166">
        <f>IF(C153&lt;&gt;"",IFERROR(AVERAGE(出来高!E165:I165),""),"")</f>
        <v>239600</v>
      </c>
      <c r="N153" s="166">
        <f>IF(C153&lt;&gt;"",IFERROR(AVERAGE(出来高!E165:AC165),""),"")</f>
        <v>338028</v>
      </c>
      <c r="O153" s="168">
        <f>IF(AND(J153&lt;&gt;"",M153&lt;&gt;"",M153&lt;&gt;0),J153/M153,"")</f>
        <v>0.70701168614357257</v>
      </c>
      <c r="P153" s="163" t="str">
        <f>IF(O153="","",IF(O153&gt;=2,"急増↑↑",IF(O153&gt;=1.5,"増加↑",IF(O153&gt;=1,"普通→","減少↓"))))</f>
        <v>減少↓</v>
      </c>
      <c r="Q153" s="163" t="str">
        <f>IF(E153="","",IF(AND(E153&gt;G153,O153&gt;=1.5),"買い▲",IF(E153&lt;G153,"様子見▼","中立→")))</f>
        <v>中立→</v>
      </c>
      <c r="R153" s="166">
        <f>IF(E153&lt;&gt;"",ROUND(E153*1.08,0),"")</f>
        <v>8531</v>
      </c>
      <c r="S153" s="166">
        <f>IF(E153&lt;&gt;"",ROUND(E153*0.96,0),"")</f>
        <v>7583</v>
      </c>
      <c r="T153" s="163">
        <f>IF(C153="","",IFERROR(IF(O153&gt;=2,3,IF(O153&gt;=1.5,2,IF(O153&gt;=1,1,0)))+IF(E153&gt;G153,1,0)+IF(L153&gt;=-5,1,0)+IF(Q153="買い▲",2,0)+IF(W153&lt;=30,3,IF(W153&lt;=40,2,IF(AND(W153&gt;=40,W153&lt;=60),1,0)))+IF(X153&gt;0,1,0)+IF(V153="年初来高値更新●",3,IF(V153="高値圏",2,0))+IF(AD153="パーフェクト▲",3,IF(AD153="上昇トレンド▲",2,0))+IF(AE153="25日線押し目●",2,IF(AE153="5日線押し目○",1,0))+IF(P153="急増↑↑",2,IF(P153="増加↑",1,0))+N(AI153),0))</f>
        <v>7</v>
      </c>
      <c r="U153" s="163" t="str">
        <f>IF(T153="","",IF(AND(T153&gt;=3,O153&gt;=1.5),"有効",IF(T153&gt;=3,"要確認","除外")))</f>
        <v>要確認</v>
      </c>
      <c r="V153" s="163" t="str">
        <f>IF(AND(H153&lt;&gt;"",K153&lt;&gt;""),IF(H153&gt;=K153,"年初来高値更新●",IF(H153&gt;=K153*0.95,"高値圏","通常")),"")</f>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IF(AND(E153&lt;&gt;"",G153&lt;&gt;"",G153&lt;&gt;0),(E153-G153)/G153*100,"")</f>
        <v>1.9752130131680867</v>
      </c>
      <c r="AA153" s="163" t="str">
        <f>IF(OR(C153="",E153="",E153=0),"",IF(E153&gt;G153,"上昇▲",IF(E153&lt;G153,"下落▼","横ばい→")))</f>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IF(OR(C153="",AB153="",AC153=""),"",IF(AND(E153&gt;AB153,AB153&gt;AC153),"パーフェクト▲",IF(E153&gt;AC153,"上昇トレンド▲",IF(AND(E153&lt;AB153,AB153&lt;AC153),"下降トレンド▼","もみ合い→"))))</f>
        <v>上昇トレンド▲</v>
      </c>
      <c r="AE153" s="406" t="str">
        <f>IF(OR(C153="",AB153="",AC153=""),"",IF(AND(ABS(E153-AC153)/AC153&lt;=0.02,E153&gt;AC153),"25日押し目★",IF(AND(ABS(E153-AB153)/AB153&lt;=0.01,E153&gt;AB153),"5日押し目○","なし")))</f>
        <v>なし</v>
      </c>
      <c r="AF153" s="365">
        <f t="array" ref="AF153">IF(C153="","",IFERROR((INDEX(終値!$E:$E,MATCH(TEXT(C153,"0"),終値!$A:$A,0))-INDEX(終値!$E:$CZ,MATCH(TEXT(C153,"0"),終値!$A:$A,0),$AL$2))/INDEX(終値!$E:$CZ,MATCH(TEXT(C153,"0"),終値!$A:$A,0),$AL$2)*100,""))</f>
        <v>30.389567514031036</v>
      </c>
      <c r="AG153" s="365">
        <f t="array" ref="AG153">IFERROR((終値!$E$5-INDEX(終値!$E$5:$IT$5,1,$AL$2))/INDEX(終値!$E$5:$IT$5,1,$AL$2)*100,"")</f>
        <v>1.0179378228534113</v>
      </c>
      <c r="AH153" s="366">
        <f>IF(OR(AF153="",AG153=""),"",AF153-AG153)</f>
        <v>29.371629691177624</v>
      </c>
      <c r="AI153" s="364">
        <f>IF(AH153="","",IF(AH153&gt;5,3,IF(AH153&gt;0,1,IF(AH153&gt;-3,-1,-2))))</f>
        <v>3</v>
      </c>
      <c r="BA153">
        <f>IFERROR((SUM(OFFSET(高値!$E$6,IFERROR(MATCH($C153,銘柄管理!$B$6:$B$305,0),MATCH(TEXT($C153,"0"),銘柄管理!$B$6:$B$305,0))-1,0,1,14))-SUM(OFFSET(安値!$E$6,IFERROR(MATCH($C153,銘柄管理!$B$6:$B$305,0),MATCH(TEXT($C153,"0"),銘柄管理!$B$6:$B$305,0))-1,0,1,14)))/SUM(OFFSET(終値!$E$6,IFERROR(MATCH($C153,銘柄管理!$B$6:$B$305,0),MATCH(TEXT($C153,"0"),銘柄管理!$B$6:$B$305,0))-1,0,1,14))*100,"")</f>
      </c>
      <c r="BB153">
        <f>IFERROR((MAX(OFFSET(高値!$E$6,IFERROR(MATCH($C153,銘柄管理!$B$6:$B$305,0),MATCH(TEXT($C153,"0"),銘柄管理!$B$6:$B$305,0))-1,0,1,25))-MIN(OFFSET(安値!$E$6,IFERROR(MATCH($C153,銘柄管理!$B$6:$B$305,0),MATCH(TEXT($C153,"0"),銘柄管理!$B$6:$B$305,0))-1,0,1,25)))/$E153*100,"")</f>
      </c>
      <c r="BC153">
        <f>IFERROR(($F153-$G153)/$G153*100,"")</f>
      </c>
      <c r="BD153">
        <f>IFERROR(($E153-MAX(OFFSET(高値!$E$6,IFERROR(MATCH($C153,銘柄管理!$B$6:$B$305,0),MATCH(TEXT($C153,"0"),銘柄管理!$B$6:$B$305,0))-1,0,1,25)))/MAX(OFFSET(高値!$E$6,IFERROR(MATCH($C153,銘柄管理!$B$6:$B$305,0),MATCH(TEXT($C153,"0"),銘柄管理!$B$6:$B$305,0))-1,0,1,25))*100,"")</f>
      </c>
      <c r="BE153">
        <f>IFERROR(($H153-$I153)/$F153*100,"")</f>
      </c>
      <c r="BF153">
        <f>IFERROR(-(($BA153-AVERAGE($BA$3:$BA$206))/STDEV($BA$3:$BA$206))-(($BE153-AVERAGE($BE$3:$BE$206))/STDEV($BE$3:$BE$206))-(($BB153-AVERAGE($BB$3:$BB$206))/STDEV($BB$3:$BB$206))-(($Z153-AVERAGE($Z$3:$Z$206))/STDEV($Z$3:$Z$206))-(($BC153-AVERAGE($BC$3:$BC$206))/STDEV($BC$3:$BC$206)),"")</f>
      </c>
      <c r="BG153">
        <f>IF(OR($C153="",$C153="TOPX",$BA153="",$BF153=""),0,IF(AND($BK$10=1,$BA153&lt;=$BK$2,$BB153&lt;=$BK$3,$BC153&lt;=$BK$4,$Z153&lt;=$BK$5,$Z153&gt;=$BK$6,$BD153&gt;=$BK$7,$BE153&lt;=$BK$8),1,0))</f>
      </c>
      <c r="BH153">
        <f>IF($C153="","",IF($BG153=1,"○ゲート通過",IF($BK$10&lt;&gt;1,"― この方向は停止中",IF($BA153&gt;$BK$2,"×値動きが荒い",IF($BB153&gt;$BK$3,"×レンジが広い",IF($BC153&gt;$BK$4,"×窓を開けて上昇",IF($Z153&gt;$BK$5,"×前日に急騰",IF($Z153&lt;$BK$6,"×前日に急落",IF($BD153&lt;$BK$7,"×高値から離れすぎ",IF($BE153&gt;$BK$8,"×当日の値幅が大きい","×")))))))))</f>
      </c>
    </row>
    <row r="154" spans="1:60"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IF(AND(E154&lt;&gt;"",K154&lt;&gt;"",K154&lt;&gt;0),(E154-K154)/K154*100,"")</f>
        <v>-12.316968130921619</v>
      </c>
      <c r="M154" s="166">
        <f>IF(C154&lt;&gt;"",IFERROR(AVERAGE(出来高!E170:I170),""),"")</f>
        <v>121420</v>
      </c>
      <c r="N154" s="166">
        <f>IF(C154&lt;&gt;"",IFERROR(AVERAGE(出来高!E170:AC170),""),"")</f>
        <v>69660</v>
      </c>
      <c r="O154" s="168">
        <f>IF(AND(J154&lt;&gt;"",M154&lt;&gt;"",M154&lt;&gt;0),J154/M154,"")</f>
        <v>0.38461538461538464</v>
      </c>
      <c r="P154" s="163" t="str">
        <f>IF(O154="","",IF(O154&gt;=2,"急増↑↑",IF(O154&gt;=1.5,"増加↑",IF(O154&gt;=1,"普通→","減少↓"))))</f>
        <v>減少↓</v>
      </c>
      <c r="Q154" s="163" t="str">
        <f>IF(E154="","",IF(AND(E154&gt;G154,O154&gt;=1.5),"買い▲",IF(E154&lt;G154,"様子見▼","中立→")))</f>
        <v>中立→</v>
      </c>
      <c r="R154" s="166">
        <f>IF(E154&lt;&gt;"",ROUND(E154*1.08,0),"")</f>
        <v>1099</v>
      </c>
      <c r="S154" s="166">
        <f>IF(E154&lt;&gt;"",ROUND(E154*0.96,0),"")</f>
        <v>977</v>
      </c>
      <c r="T154" s="163">
        <f>IF(C154="","",IFERROR(IF(O154&gt;=2,3,IF(O154&gt;=1.5,2,IF(O154&gt;=1,1,0)))+IF(E154&gt;G154,1,0)+IF(L154&gt;=-5,1,0)+IF(Q154="買い▲",2,0)+IF(W154&lt;=30,3,IF(W154&lt;=40,2,IF(AND(W154&gt;=40,W154&lt;=60),1,0)))+IF(X154&gt;0,1,0)+IF(V154="年初来高値更新●",3,IF(V154="高値圏",2,0))+IF(AD154="パーフェクト▲",3,IF(AD154="上昇トレンド▲",2,0))+IF(AE154="25日線押し目●",2,IF(AE154="5日線押し目○",1,0))+IF(P154="急増↑↑",2,IF(P154="増加↑",1,0))+N(AI154),0))</f>
        <v>2</v>
      </c>
      <c r="U154" s="163" t="str">
        <f>IF(T154="","",IF(AND(T154&gt;=3,O154&gt;=1.5),"有効",IF(T154&gt;=3,"要確認","除外")))</f>
        <v>除外</v>
      </c>
      <c r="V154" s="163" t="str">
        <f>IF(AND(H154&lt;&gt;"",K154&lt;&gt;""),IF(H154&gt;=K154,"年初来高値更新●",IF(H154&gt;=K154*0.95,"高値圏","通常")),"")</f>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IF(AND(E154&lt;&gt;"",G154&lt;&gt;"",G154&lt;&gt;0),(E154-G154)/G154*100,"")</f>
        <v>0.6923837784371909</v>
      </c>
      <c r="AA154" s="163" t="str">
        <f>IF(OR(C154="",E154="",E154=0),"",IF(E154&gt;G154,"上昇▲",IF(E154&lt;G154,"下落▼","横ばい→")))</f>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IF(OR(C154="",AB154="",AC154=""),"",IF(AND(E154&gt;AB154,AB154&gt;AC154),"パーフェクト▲",IF(E154&gt;AC154,"上昇トレンド▲",IF(AND(E154&lt;AB154,AB154&lt;AC154),"下降トレンド▼","もみ合い→"))))</f>
        <v>下降トレンド▼</v>
      </c>
      <c r="AE154" s="404" t="str">
        <f>IF(OR(C154="",AB154="",AC154=""),"",IF(AND(ABS(E154-AC154)/AC154&lt;=0.02,E154&gt;AC154),"25日押し目★",IF(AND(ABS(E154-AB154)/AB154&lt;=0.01,E154&gt;AB154),"5日押し目○","なし")))</f>
        <v>なし</v>
      </c>
      <c r="AF154" s="365">
        <f t="array" ref="AF154">IF(C154="","",IFERROR((INDEX(終値!$E:$E,MATCH(TEXT(C154,"0"),終値!$A:$A,0))-INDEX(終値!$E:$CZ,MATCH(TEXT(C154,"0"),終値!$A:$A,0),$AL$2))/INDEX(終値!$E:$CZ,MATCH(TEXT(C154,"0"),終値!$A:$A,0),$AL$2)*100,""))</f>
        <v>-3.5071090047393367</v>
      </c>
      <c r="AG154" s="365">
        <f t="array" ref="AG154">IFERROR((終値!$E$5-INDEX(終値!$E$5:$IT$5,1,$AL$2))/INDEX(終値!$E$5:$IT$5,1,$AL$2)*100,"")</f>
        <v>1.0179378228534113</v>
      </c>
      <c r="AH154" s="366">
        <f>IF(OR(AF154="",AG154=""),"",AF154-AG154)</f>
        <v>-4.5250468275927478</v>
      </c>
      <c r="AI154" s="364">
        <f>IF(AH154="","",IF(AH154&gt;5,3,IF(AH154&gt;0,1,IF(AH154&gt;-3,-1,-2))))</f>
        <v>-2</v>
      </c>
      <c r="BA154">
        <f>IFERROR((SUM(OFFSET(高値!$E$6,IFERROR(MATCH($C154,銘柄管理!$B$6:$B$305,0),MATCH(TEXT($C154,"0"),銘柄管理!$B$6:$B$305,0))-1,0,1,14))-SUM(OFFSET(安値!$E$6,IFERROR(MATCH($C154,銘柄管理!$B$6:$B$305,0),MATCH(TEXT($C154,"0"),銘柄管理!$B$6:$B$305,0))-1,0,1,14)))/SUM(OFFSET(終値!$E$6,IFERROR(MATCH($C154,銘柄管理!$B$6:$B$305,0),MATCH(TEXT($C154,"0"),銘柄管理!$B$6:$B$305,0))-1,0,1,14))*100,"")</f>
      </c>
      <c r="BB154">
        <f>IFERROR((MAX(OFFSET(高値!$E$6,IFERROR(MATCH($C154,銘柄管理!$B$6:$B$305,0),MATCH(TEXT($C154,"0"),銘柄管理!$B$6:$B$305,0))-1,0,1,25))-MIN(OFFSET(安値!$E$6,IFERROR(MATCH($C154,銘柄管理!$B$6:$B$305,0),MATCH(TEXT($C154,"0"),銘柄管理!$B$6:$B$305,0))-1,0,1,25)))/$E154*100,"")</f>
      </c>
      <c r="BC154">
        <f>IFERROR(($F154-$G154)/$G154*100,"")</f>
      </c>
      <c r="BD154">
        <f>IFERROR(($E154-MAX(OFFSET(高値!$E$6,IFERROR(MATCH($C154,銘柄管理!$B$6:$B$305,0),MATCH(TEXT($C154,"0"),銘柄管理!$B$6:$B$305,0))-1,0,1,25)))/MAX(OFFSET(高値!$E$6,IFERROR(MATCH($C154,銘柄管理!$B$6:$B$305,0),MATCH(TEXT($C154,"0"),銘柄管理!$B$6:$B$305,0))-1,0,1,25))*100,"")</f>
      </c>
      <c r="BE154">
        <f>IFERROR(($H154-$I154)/$F154*100,"")</f>
      </c>
      <c r="BF154">
        <f>IFERROR(-(($BA154-AVERAGE($BA$3:$BA$206))/STDEV($BA$3:$BA$206))-(($BE154-AVERAGE($BE$3:$BE$206))/STDEV($BE$3:$BE$206))-(($BB154-AVERAGE($BB$3:$BB$206))/STDEV($BB$3:$BB$206))-(($Z154-AVERAGE($Z$3:$Z$206))/STDEV($Z$3:$Z$206))-(($BC154-AVERAGE($BC$3:$BC$206))/STDEV($BC$3:$BC$206)),"")</f>
      </c>
      <c r="BG154">
        <f>IF(OR($C154="",$C154="TOPX",$BA154="",$BF154=""),0,IF(AND($BK$10=1,$BA154&lt;=$BK$2,$BB154&lt;=$BK$3,$BC154&lt;=$BK$4,$Z154&lt;=$BK$5,$Z154&gt;=$BK$6,$BD154&gt;=$BK$7,$BE154&lt;=$BK$8),1,0))</f>
      </c>
      <c r="BH154">
        <f>IF($C154="","",IF($BG154=1,"○ゲート通過",IF($BK$10&lt;&gt;1,"― この方向は停止中",IF($BA154&gt;$BK$2,"×値動きが荒い",IF($BB154&gt;$BK$3,"×レンジが広い",IF($BC154&gt;$BK$4,"×窓を開けて上昇",IF($Z154&gt;$BK$5,"×前日に急騰",IF($Z154&lt;$BK$6,"×前日に急落",IF($BD154&lt;$BK$7,"×高値から離れすぎ",IF($BE154&gt;$BK$8,"×当日の値幅が大きい","×")))))))))</f>
      </c>
    </row>
    <row r="155" spans="1:60"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IF(AND(E155&lt;&gt;"",K155&lt;&gt;"",K155&lt;&gt;0),(E155-K155)/K155*100,"")</f>
        <v>-9.2924317062248107</v>
      </c>
      <c r="M155" s="166">
        <f>IF(C155&lt;&gt;"",IFERROR(AVERAGE(出来高!E58:I58),""),"")</f>
        <v>775400</v>
      </c>
      <c r="N155" s="166">
        <f>IF(C155&lt;&gt;"",IFERROR(AVERAGE(出来高!E58:AC58),""),"")</f>
        <v>580244</v>
      </c>
      <c r="O155" s="168">
        <f>IF(AND(J155&lt;&gt;"",M155&lt;&gt;"",M155&lt;&gt;0),J155/M155,"")</f>
        <v>0.7973948929584731</v>
      </c>
      <c r="P155" s="163" t="str">
        <f>IF(O155="","",IF(O155&gt;=2,"急増↑↑",IF(O155&gt;=1.5,"増加↑",IF(O155&gt;=1,"普通→","減少↓"))))</f>
        <v>減少↓</v>
      </c>
      <c r="Q155" s="163" t="str">
        <f>IF(E155="","",IF(AND(E155&gt;G155,O155&gt;=1.5),"買い▲",IF(E155&lt;G155,"様子見▼","中立→")))</f>
        <v>様子見▼</v>
      </c>
      <c r="R155" s="166">
        <f>IF(E155&lt;&gt;"",ROUND(E155*1.08,0),"")</f>
        <v>4375</v>
      </c>
      <c r="S155" s="166">
        <f>IF(E155&lt;&gt;"",ROUND(E155*0.96,0),"")</f>
        <v>3889</v>
      </c>
      <c r="T155" s="163">
        <f>IF(C155="","",IFERROR(IF(O155&gt;=2,3,IF(O155&gt;=1.5,2,IF(O155&gt;=1,1,0)))+IF(E155&gt;G155,1,0)+IF(L155&gt;=-5,1,0)+IF(Q155="買い▲",2,0)+IF(W155&lt;=30,3,IF(W155&lt;=40,2,IF(AND(W155&gt;=40,W155&lt;=60),1,0)))+IF(X155&gt;0,1,0)+IF(V155="年初来高値更新●",3,IF(V155="高値圏",2,0))+IF(AD155="パーフェクト▲",3,IF(AD155="上昇トレンド▲",2,0))+IF(AE155="25日線押し目●",2,IF(AE155="5日線押し目○",1,0))+IF(P155="急増↑↑",2,IF(P155="増加↑",1,0))+N(AI155),0))</f>
        <v>2</v>
      </c>
      <c r="U155" s="163" t="str">
        <f>IF(T155="","",IF(AND(T155&gt;=3,O155&gt;=1.5),"有効",IF(T155&gt;=3,"要確認","除外")))</f>
        <v>除外</v>
      </c>
      <c r="V155" s="163" t="str">
        <f>IF(AND(H155&lt;&gt;"",K155&lt;&gt;""),IF(H155&gt;=K155,"年初来高値更新●",IF(H155&gt;=K155*0.95,"高値圏","通常")),"")</f>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IF(AND(E155&lt;&gt;"",G155&lt;&gt;"",G155&lt;&gt;0),(E155-G155)/G155*100,"")</f>
        <v>-0.8080313418217433</v>
      </c>
      <c r="AA155" s="163" t="str">
        <f>IF(OR(C155="",E155="",E155=0),"",IF(E155&gt;G155,"上昇▲",IF(E155&lt;G155,"下落▼","横ばい→")))</f>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IF(OR(C155="",AB155="",AC155=""),"",IF(AND(E155&gt;AB155,AB155&gt;AC155),"パーフェクト▲",IF(E155&gt;AC155,"上昇トレンド▲",IF(AND(E155&lt;AB155,AB155&lt;AC155),"下降トレンド▼","もみ合い→"))))</f>
        <v>下降トレンド▼</v>
      </c>
      <c r="AE155" s="406" t="str">
        <f>IF(OR(C155="",AB155="",AC155=""),"",IF(AND(ABS(E155-AC155)/AC155&lt;=0.02,E155&gt;AC155),"25日押し目★",IF(AND(ABS(E155-AB155)/AB155&lt;=0.01,E155&gt;AB155),"5日押し目○","なし")))</f>
        <v>なし</v>
      </c>
      <c r="AF155" s="365">
        <f t="array" ref="AF155">IF(C155="","",IFERROR((INDEX(終値!$E:$E,MATCH(TEXT(C155,"0"),終値!$A:$A,0))-INDEX(終値!$E:$CZ,MATCH(TEXT(C155,"0"),終値!$A:$A,0),$AL$2))/INDEX(終値!$E:$CZ,MATCH(TEXT(C155,"0"),終値!$A:$A,0),$AL$2)*100,""))</f>
        <v>3.0002542588354943</v>
      </c>
      <c r="AG155" s="365">
        <f t="array" ref="AG155">IFERROR((終値!$E$5-INDEX(終値!$E$5:$IT$5,1,$AL$2))/INDEX(終値!$E$5:$IT$5,1,$AL$2)*100,"")</f>
        <v>1.0179378228534113</v>
      </c>
      <c r="AH155" s="366">
        <f>IF(OR(AF155="",AG155=""),"",AF155-AG155)</f>
        <v>1.9823164359820831</v>
      </c>
      <c r="AI155" s="364">
        <f>IF(AH155="","",IF(AH155&gt;5,3,IF(AH155&gt;0,1,IF(AH155&gt;-3,-1,-2))))</f>
        <v>1</v>
      </c>
      <c r="BA155">
        <f>IFERROR((SUM(OFFSET(高値!$E$6,IFERROR(MATCH($C155,銘柄管理!$B$6:$B$305,0),MATCH(TEXT($C155,"0"),銘柄管理!$B$6:$B$305,0))-1,0,1,14))-SUM(OFFSET(安値!$E$6,IFERROR(MATCH($C155,銘柄管理!$B$6:$B$305,0),MATCH(TEXT($C155,"0"),銘柄管理!$B$6:$B$305,0))-1,0,1,14)))/SUM(OFFSET(終値!$E$6,IFERROR(MATCH($C155,銘柄管理!$B$6:$B$305,0),MATCH(TEXT($C155,"0"),銘柄管理!$B$6:$B$305,0))-1,0,1,14))*100,"")</f>
      </c>
      <c r="BB155">
        <f>IFERROR((MAX(OFFSET(高値!$E$6,IFERROR(MATCH($C155,銘柄管理!$B$6:$B$305,0),MATCH(TEXT($C155,"0"),銘柄管理!$B$6:$B$305,0))-1,0,1,25))-MIN(OFFSET(安値!$E$6,IFERROR(MATCH($C155,銘柄管理!$B$6:$B$305,0),MATCH(TEXT($C155,"0"),銘柄管理!$B$6:$B$305,0))-1,0,1,25)))/$E155*100,"")</f>
      </c>
      <c r="BC155">
        <f>IFERROR(($F155-$G155)/$G155*100,"")</f>
      </c>
      <c r="BD155">
        <f>IFERROR(($E155-MAX(OFFSET(高値!$E$6,IFERROR(MATCH($C155,銘柄管理!$B$6:$B$305,0),MATCH(TEXT($C155,"0"),銘柄管理!$B$6:$B$305,0))-1,0,1,25)))/MAX(OFFSET(高値!$E$6,IFERROR(MATCH($C155,銘柄管理!$B$6:$B$305,0),MATCH(TEXT($C155,"0"),銘柄管理!$B$6:$B$305,0))-1,0,1,25))*100,"")</f>
      </c>
      <c r="BE155">
        <f>IFERROR(($H155-$I155)/$F155*100,"")</f>
      </c>
      <c r="BF155">
        <f>IFERROR(-(($BA155-AVERAGE($BA$3:$BA$206))/STDEV($BA$3:$BA$206))-(($BE155-AVERAGE($BE$3:$BE$206))/STDEV($BE$3:$BE$206))-(($BB155-AVERAGE($BB$3:$BB$206))/STDEV($BB$3:$BB$206))-(($Z155-AVERAGE($Z$3:$Z$206))/STDEV($Z$3:$Z$206))-(($BC155-AVERAGE($BC$3:$BC$206))/STDEV($BC$3:$BC$206)),"")</f>
      </c>
      <c r="BG155">
        <f>IF(OR($C155="",$C155="TOPX",$BA155="",$BF155=""),0,IF(AND($BK$10=1,$BA155&lt;=$BK$2,$BB155&lt;=$BK$3,$BC155&lt;=$BK$4,$Z155&lt;=$BK$5,$Z155&gt;=$BK$6,$BD155&gt;=$BK$7,$BE155&lt;=$BK$8),1,0))</f>
      </c>
      <c r="BH155">
        <f>IF($C155="","",IF($BG155=1,"○ゲート通過",IF($BK$10&lt;&gt;1,"― この方向は停止中",IF($BA155&gt;$BK$2,"×値動きが荒い",IF($BB155&gt;$BK$3,"×レンジが広い",IF($BC155&gt;$BK$4,"×窓を開けて上昇",IF($Z155&gt;$BK$5,"×前日に急騰",IF($Z155&lt;$BK$6,"×前日に急落",IF($BD155&lt;$BK$7,"×高値から離れすぎ",IF($BE155&gt;$BK$8,"×当日の値幅が大きい","×")))))))))</f>
      </c>
    </row>
    <row r="156" spans="1:60"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IF(AND(E156&lt;&gt;"",K156&lt;&gt;"",K156&lt;&gt;0),(E156-K156)/K156*100,"")</f>
        <v>-6.7256078307546572</v>
      </c>
      <c r="M156" s="166">
        <f>IF(C156&lt;&gt;"",IFERROR(AVERAGE(出来高!E101:I101),""),"")</f>
        <v>10430280</v>
      </c>
      <c r="N156" s="166">
        <f>IF(C156&lt;&gt;"",IFERROR(AVERAGE(出来高!E101:AC101),""),"")</f>
        <v>7507054.166666667</v>
      </c>
      <c r="O156" s="168">
        <f>IF(AND(J156&lt;&gt;"",M156&lt;&gt;"",M156&lt;&gt;0),J156/M156,"")</f>
        <v>0.59995513063887063</v>
      </c>
      <c r="P156" s="163" t="str">
        <f>IF(O156="","",IF(O156&gt;=2,"急増↑↑",IF(O156&gt;=1.5,"増加↑",IF(O156&gt;=1,"普通→","減少↓"))))</f>
        <v>減少↓</v>
      </c>
      <c r="Q156" s="163" t="str">
        <f>IF(E156="","",IF(AND(E156&gt;G156,O156&gt;=1.5),"買い▲",IF(E156&lt;G156,"様子見▼","中立→")))</f>
        <v>中立→</v>
      </c>
      <c r="R156" s="166">
        <f>IF(E156&lt;&gt;"",ROUND(E156*1.08,0),"")</f>
        <v>3190</v>
      </c>
      <c r="S156" s="166">
        <f>IF(E156&lt;&gt;"",ROUND(E156*0.96,0),"")</f>
        <v>2836</v>
      </c>
      <c r="T156" s="163">
        <f>IF(C156="","",IFERROR(IF(O156&gt;=2,3,IF(O156&gt;=1.5,2,IF(O156&gt;=1,1,0)))+IF(E156&gt;G156,1,0)+IF(L156&gt;=-5,1,0)+IF(Q156="買い▲",2,0)+IF(W156&lt;=30,3,IF(W156&lt;=40,2,IF(AND(W156&gt;=40,W156&lt;=60),1,0)))+IF(X156&gt;0,1,0)+IF(V156="年初来高値更新●",3,IF(V156="高値圏",2,0))+IF(AD156="パーフェクト▲",3,IF(AD156="上昇トレンド▲",2,0))+IF(AE156="25日線押し目●",2,IF(AE156="5日線押し目○",1,0))+IF(P156="急増↑↑",2,IF(P156="増加↑",1,0))+N(AI156),0))</f>
        <v>6</v>
      </c>
      <c r="U156" s="163" t="str">
        <f>IF(T156="","",IF(AND(T156&gt;=3,O156&gt;=1.5),"有効",IF(T156&gt;=3,"要確認","除外")))</f>
        <v>要確認</v>
      </c>
      <c r="V156" s="163" t="str">
        <f>IF(AND(H156&lt;&gt;"",K156&lt;&gt;""),IF(H156&gt;=K156,"年初来高値更新●",IF(H156&gt;=K156*0.95,"高値圏","通常")),"")</f>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IF(AND(E156&lt;&gt;"",G156&lt;&gt;"",G156&lt;&gt;0),(E156-G156)/G156*100,"")</f>
        <v>3.2686593252927811</v>
      </c>
      <c r="AA156" s="163" t="str">
        <f>IF(OR(C156="",E156="",E156=0),"",IF(E156&gt;G156,"上昇▲",IF(E156&lt;G156,"下落▼","横ばい→")))</f>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IF(OR(C156="",AB156="",AC156=""),"",IF(AND(E156&gt;AB156,AB156&gt;AC156),"パーフェクト▲",IF(E156&gt;AC156,"上昇トレンド▲",IF(AND(E156&lt;AB156,AB156&lt;AC156),"下降トレンド▼","もみ合い→"))))</f>
        <v>もみ合い→</v>
      </c>
      <c r="AE156" s="404" t="str">
        <f>IF(OR(C156="",AB156="",AC156=""),"",IF(AND(ABS(E156-AC156)/AC156&lt;=0.02,E156&gt;AC156),"25日押し目★",IF(AND(ABS(E156-AB156)/AB156&lt;=0.01,E156&gt;AB156),"5日押し目○","なし")))</f>
        <v>なし</v>
      </c>
      <c r="AF156" s="365">
        <f t="array" ref="AF156">IF(C156="","",IFERROR((INDEX(終値!$E:$E,MATCH(TEXT(C156,"0"),終値!$A:$A,0))-INDEX(終値!$E:$CZ,MATCH(TEXT(C156,"0"),終値!$A:$A,0),$AL$2))/INDEX(終値!$E:$CZ,MATCH(TEXT(C156,"0"),終値!$A:$A,0),$AL$2)*100,""))</f>
        <v>22.470978441127695</v>
      </c>
      <c r="AG156" s="365">
        <f t="array" ref="AG156">IFERROR((終値!$E$5-INDEX(終値!$E$5:$IT$5,1,$AL$2))/INDEX(終値!$E$5:$IT$5,1,$AL$2)*100,"")</f>
        <v>1.0179378228534113</v>
      </c>
      <c r="AH156" s="366">
        <f>IF(OR(AF156="",AG156=""),"",AF156-AG156)</f>
        <v>21.453040618274283</v>
      </c>
      <c r="AI156" s="364">
        <f>IF(AH156="","",IF(AH156&gt;5,3,IF(AH156&gt;0,1,IF(AH156&gt;-3,-1,-2))))</f>
        <v>3</v>
      </c>
      <c r="BA156">
        <f>IFERROR((SUM(OFFSET(高値!$E$6,IFERROR(MATCH($C156,銘柄管理!$B$6:$B$305,0),MATCH(TEXT($C156,"0"),銘柄管理!$B$6:$B$305,0))-1,0,1,14))-SUM(OFFSET(安値!$E$6,IFERROR(MATCH($C156,銘柄管理!$B$6:$B$305,0),MATCH(TEXT($C156,"0"),銘柄管理!$B$6:$B$305,0))-1,0,1,14)))/SUM(OFFSET(終値!$E$6,IFERROR(MATCH($C156,銘柄管理!$B$6:$B$305,0),MATCH(TEXT($C156,"0"),銘柄管理!$B$6:$B$305,0))-1,0,1,14))*100,"")</f>
      </c>
      <c r="BB156">
        <f>IFERROR((MAX(OFFSET(高値!$E$6,IFERROR(MATCH($C156,銘柄管理!$B$6:$B$305,0),MATCH(TEXT($C156,"0"),銘柄管理!$B$6:$B$305,0))-1,0,1,25))-MIN(OFFSET(安値!$E$6,IFERROR(MATCH($C156,銘柄管理!$B$6:$B$305,0),MATCH(TEXT($C156,"0"),銘柄管理!$B$6:$B$305,0))-1,0,1,25)))/$E156*100,"")</f>
      </c>
      <c r="BC156">
        <f>IFERROR(($F156-$G156)/$G156*100,"")</f>
      </c>
      <c r="BD156">
        <f>IFERROR(($E156-MAX(OFFSET(高値!$E$6,IFERROR(MATCH($C156,銘柄管理!$B$6:$B$305,0),MATCH(TEXT($C156,"0"),銘柄管理!$B$6:$B$305,0))-1,0,1,25)))/MAX(OFFSET(高値!$E$6,IFERROR(MATCH($C156,銘柄管理!$B$6:$B$305,0),MATCH(TEXT($C156,"0"),銘柄管理!$B$6:$B$305,0))-1,0,1,25))*100,"")</f>
      </c>
      <c r="BE156">
        <f>IFERROR(($H156-$I156)/$F156*100,"")</f>
      </c>
      <c r="BF156">
        <f>IFERROR(-(($BA156-AVERAGE($BA$3:$BA$206))/STDEV($BA$3:$BA$206))-(($BE156-AVERAGE($BE$3:$BE$206))/STDEV($BE$3:$BE$206))-(($BB156-AVERAGE($BB$3:$BB$206))/STDEV($BB$3:$BB$206))-(($Z156-AVERAGE($Z$3:$Z$206))/STDEV($Z$3:$Z$206))-(($BC156-AVERAGE($BC$3:$BC$206))/STDEV($BC$3:$BC$206)),"")</f>
      </c>
      <c r="BG156">
        <f>IF(OR($C156="",$C156="TOPX",$BA156="",$BF156=""),0,IF(AND($BK$10=1,$BA156&lt;=$BK$2,$BB156&lt;=$BK$3,$BC156&lt;=$BK$4,$Z156&lt;=$BK$5,$Z156&gt;=$BK$6,$BD156&gt;=$BK$7,$BE156&lt;=$BK$8),1,0))</f>
      </c>
      <c r="BH156">
        <f>IF($C156="","",IF($BG156=1,"○ゲート通過",IF($BK$10&lt;&gt;1,"― この方向は停止中",IF($BA156&gt;$BK$2,"×値動きが荒い",IF($BB156&gt;$BK$3,"×レンジが広い",IF($BC156&gt;$BK$4,"×窓を開けて上昇",IF($Z156&gt;$BK$5,"×前日に急騰",IF($Z156&lt;$BK$6,"×前日に急落",IF($BD156&lt;$BK$7,"×高値から離れすぎ",IF($BE156&gt;$BK$8,"×当日の値幅が大きい","×")))))))))</f>
      </c>
    </row>
    <row r="157" spans="1:60"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IF(AND(E157&lt;&gt;"",K157&lt;&gt;"",K157&lt;&gt;0),(E157-K157)/K157*100,"")</f>
        <v>-14.535543947308655</v>
      </c>
      <c r="M157" s="166">
        <f>IF(C157&lt;&gt;"",IFERROR(AVERAGE(出来高!E64:I64),""),"")</f>
        <v>437000</v>
      </c>
      <c r="N157" s="166">
        <f>IF(C157&lt;&gt;"",IFERROR(AVERAGE(出来高!E64:AC64),""),"")</f>
        <v>366056</v>
      </c>
      <c r="O157" s="168">
        <f>IF(AND(J157&lt;&gt;"",M157&lt;&gt;"",M157&lt;&gt;0),J157/M157,"")</f>
        <v>1.1933638443935928</v>
      </c>
      <c r="P157" s="163" t="str">
        <f>IF(O157="","",IF(O157&gt;=2,"急増↑↑",IF(O157&gt;=1.5,"増加↑",IF(O157&gt;=1,"普通→","減少↓"))))</f>
        <v>普通→</v>
      </c>
      <c r="Q157" s="163" t="str">
        <f>IF(E157="","",IF(AND(E157&gt;G157,O157&gt;=1.5),"買い▲",IF(E157&lt;G157,"様子見▼","中立→")))</f>
        <v>中立→</v>
      </c>
      <c r="R157" s="166">
        <f>IF(E157&lt;&gt;"",ROUND(E157*1.08,0),"")</f>
        <v>4064</v>
      </c>
      <c r="S157" s="166">
        <f>IF(E157&lt;&gt;"",ROUND(E157*0.96,0),"")</f>
        <v>3612</v>
      </c>
      <c r="T157" s="163">
        <f>IF(C157="","",IFERROR(IF(O157&gt;=2,3,IF(O157&gt;=1.5,2,IF(O157&gt;=1,1,0)))+IF(E157&gt;G157,1,0)+IF(L157&gt;=-5,1,0)+IF(Q157="買い▲",2,0)+IF(W157&lt;=30,3,IF(W157&lt;=40,2,IF(AND(W157&gt;=40,W157&lt;=60),1,0)))+IF(X157&gt;0,1,0)+IF(V157="年初来高値更新●",3,IF(V157="高値圏",2,0))+IF(AD157="パーフェクト▲",3,IF(AD157="上昇トレンド▲",2,0))+IF(AE157="25日線押し目●",2,IF(AE157="5日線押し目○",1,0))+IF(P157="急増↑↑",2,IF(P157="増加↑",1,0))+N(AI157),0))</f>
        <v>4</v>
      </c>
      <c r="U157" s="163" t="str">
        <f>IF(T157="","",IF(AND(T157&gt;=3,O157&gt;=1.5),"有効",IF(T157&gt;=3,"要確認","除外")))</f>
        <v>要確認</v>
      </c>
      <c r="V157" s="163" t="str">
        <f>IF(AND(H157&lt;&gt;"",K157&lt;&gt;""),IF(H157&gt;=K157,"年初来高値更新●",IF(H157&gt;=K157*0.95,"高値圏","通常")),"")</f>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IF(AND(E157&lt;&gt;"",G157&lt;&gt;"",G157&lt;&gt;0),(E157-G157)/G157*100,"")</f>
        <v>1.3193322563274097</v>
      </c>
      <c r="AA157" s="163" t="str">
        <f>IF(OR(C157="",E157="",E157=0),"",IF(E157&gt;G157,"上昇▲",IF(E157&lt;G157,"下落▼","横ばい→")))</f>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IF(OR(C157="",AB157="",AC157=""),"",IF(AND(E157&gt;AB157,AB157&gt;AC157),"パーフェクト▲",IF(E157&gt;AC157,"上昇トレンド▲",IF(AND(E157&lt;AB157,AB157&lt;AC157),"下降トレンド▼","もみ合い→"))))</f>
        <v>下降トレンド▼</v>
      </c>
      <c r="AE157" s="406" t="str">
        <f>IF(OR(C157="",AB157="",AC157=""),"",IF(AND(ABS(E157-AC157)/AC157&lt;=0.02,E157&gt;AC157),"25日押し目★",IF(AND(ABS(E157-AB157)/AB157&lt;=0.01,E157&gt;AB157),"5日押し目○","なし")))</f>
        <v>なし</v>
      </c>
      <c r="AF157" s="365">
        <f t="array" ref="AF157">IF(C157="","",IFERROR((INDEX(終値!$E:$E,MATCH(TEXT(C157,"0"),終値!$A:$A,0))-INDEX(終値!$E:$CZ,MATCH(TEXT(C157,"0"),終値!$A:$A,0),$AL$2))/INDEX(終値!$E:$CZ,MATCH(TEXT(C157,"0"),終値!$A:$A,0),$AL$2)*100,""))</f>
        <v>1.7577068685776096</v>
      </c>
      <c r="AG157" s="365">
        <f t="array" ref="AG157">IFERROR((終値!$E$5-INDEX(終値!$E$5:$IT$5,1,$AL$2))/INDEX(終値!$E$5:$IT$5,1,$AL$2)*100,"")</f>
        <v>1.0179378228534113</v>
      </c>
      <c r="AH157" s="366">
        <f>IF(OR(AF157="",AG157=""),"",AF157-AG157)</f>
        <v>0.73976904572419833</v>
      </c>
      <c r="AI157" s="364">
        <f>IF(AH157="","",IF(AH157&gt;5,3,IF(AH157&gt;0,1,IF(AH157&gt;-3,-1,-2))))</f>
        <v>1</v>
      </c>
      <c r="BA157">
        <f>IFERROR((SUM(OFFSET(高値!$E$6,IFERROR(MATCH($C157,銘柄管理!$B$6:$B$305,0),MATCH(TEXT($C157,"0"),銘柄管理!$B$6:$B$305,0))-1,0,1,14))-SUM(OFFSET(安値!$E$6,IFERROR(MATCH($C157,銘柄管理!$B$6:$B$305,0),MATCH(TEXT($C157,"0"),銘柄管理!$B$6:$B$305,0))-1,0,1,14)))/SUM(OFFSET(終値!$E$6,IFERROR(MATCH($C157,銘柄管理!$B$6:$B$305,0),MATCH(TEXT($C157,"0"),銘柄管理!$B$6:$B$305,0))-1,0,1,14))*100,"")</f>
      </c>
      <c r="BB157">
        <f>IFERROR((MAX(OFFSET(高値!$E$6,IFERROR(MATCH($C157,銘柄管理!$B$6:$B$305,0),MATCH(TEXT($C157,"0"),銘柄管理!$B$6:$B$305,0))-1,0,1,25))-MIN(OFFSET(安値!$E$6,IFERROR(MATCH($C157,銘柄管理!$B$6:$B$305,0),MATCH(TEXT($C157,"0"),銘柄管理!$B$6:$B$305,0))-1,0,1,25)))/$E157*100,"")</f>
      </c>
      <c r="BC157">
        <f>IFERROR(($F157-$G157)/$G157*100,"")</f>
      </c>
      <c r="BD157">
        <f>IFERROR(($E157-MAX(OFFSET(高値!$E$6,IFERROR(MATCH($C157,銘柄管理!$B$6:$B$305,0),MATCH(TEXT($C157,"0"),銘柄管理!$B$6:$B$305,0))-1,0,1,25)))/MAX(OFFSET(高値!$E$6,IFERROR(MATCH($C157,銘柄管理!$B$6:$B$305,0),MATCH(TEXT($C157,"0"),銘柄管理!$B$6:$B$305,0))-1,0,1,25))*100,"")</f>
      </c>
      <c r="BE157">
        <f>IFERROR(($H157-$I157)/$F157*100,"")</f>
      </c>
      <c r="BF157">
        <f>IFERROR(-(($BA157-AVERAGE($BA$3:$BA$206))/STDEV($BA$3:$BA$206))-(($BE157-AVERAGE($BE$3:$BE$206))/STDEV($BE$3:$BE$206))-(($BB157-AVERAGE($BB$3:$BB$206))/STDEV($BB$3:$BB$206))-(($Z157-AVERAGE($Z$3:$Z$206))/STDEV($Z$3:$Z$206))-(($BC157-AVERAGE($BC$3:$BC$206))/STDEV($BC$3:$BC$206)),"")</f>
      </c>
      <c r="BG157">
        <f>IF(OR($C157="",$C157="TOPX",$BA157="",$BF157=""),0,IF(AND($BK$10=1,$BA157&lt;=$BK$2,$BB157&lt;=$BK$3,$BC157&lt;=$BK$4,$Z157&lt;=$BK$5,$Z157&gt;=$BK$6,$BD157&gt;=$BK$7,$BE157&lt;=$BK$8),1,0))</f>
      </c>
      <c r="BH157">
        <f>IF($C157="","",IF($BG157=1,"○ゲート通過",IF($BK$10&lt;&gt;1,"― この方向は停止中",IF($BA157&gt;$BK$2,"×値動きが荒い",IF($BB157&gt;$BK$3,"×レンジが広い",IF($BC157&gt;$BK$4,"×窓を開けて上昇",IF($Z157&gt;$BK$5,"×前日に急騰",IF($Z157&lt;$BK$6,"×前日に急落",IF($BD157&lt;$BK$7,"×高値から離れすぎ",IF($BE157&gt;$BK$8,"×当日の値幅が大きい","×")))))))))</f>
      </c>
    </row>
    <row r="158" spans="1:60"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IF(AND(E158&lt;&gt;"",K158&lt;&gt;"",K158&lt;&gt;0),(E158-K158)/K158*100,"")</f>
        <v>-16.770186335403729</v>
      </c>
      <c r="M158" s="166">
        <f>IF(C158&lt;&gt;"",IFERROR(AVERAGE(出来高!E67:I67),""),"")</f>
        <v>1009340</v>
      </c>
      <c r="N158" s="166">
        <f>IF(C158&lt;&gt;"",IFERROR(AVERAGE(出来高!E67:AC67),""),"")</f>
        <v>1166095.8333333333</v>
      </c>
      <c r="O158" s="168">
        <f>IF(AND(J158&lt;&gt;"",M158&lt;&gt;"",M158&lt;&gt;0),J158/M158,"")</f>
        <v>0.89513939802247011</v>
      </c>
      <c r="P158" s="163" t="str">
        <f>IF(O158="","",IF(O158&gt;=2,"急増↑↑",IF(O158&gt;=1.5,"増加↑",IF(O158&gt;=1,"普通→","減少↓"))))</f>
        <v>減少↓</v>
      </c>
      <c r="Q158" s="163" t="str">
        <f>IF(E158="","",IF(AND(E158&gt;G158,O158&gt;=1.5),"買い▲",IF(E158&lt;G158,"様子見▼","中立→")))</f>
        <v>中立→</v>
      </c>
      <c r="R158" s="166">
        <f>IF(E158&lt;&gt;"",ROUND(E158*1.08,0),"")</f>
        <v>2026</v>
      </c>
      <c r="S158" s="166">
        <f>IF(E158&lt;&gt;"",ROUND(E158*0.96,0),"")</f>
        <v>1801</v>
      </c>
      <c r="T158" s="163">
        <f>IF(C158="","",IFERROR(IF(O158&gt;=2,3,IF(O158&gt;=1.5,2,IF(O158&gt;=1,1,0)))+IF(E158&gt;G158,1,0)+IF(L158&gt;=-5,1,0)+IF(Q158="買い▲",2,0)+IF(W158&lt;=30,3,IF(W158&lt;=40,2,IF(AND(W158&gt;=40,W158&lt;=60),1,0)))+IF(X158&gt;0,1,0)+IF(V158="年初来高値更新●",3,IF(V158="高値圏",2,0))+IF(AD158="パーフェクト▲",3,IF(AD158="上昇トレンド▲",2,0))+IF(AE158="25日線押し目●",2,IF(AE158="5日線押し目○",1,0))+IF(P158="急増↑↑",2,IF(P158="増加↑",1,0))+N(AI158),0))</f>
        <v>3</v>
      </c>
      <c r="U158" s="163" t="str">
        <f>IF(T158="","",IF(AND(T158&gt;=3,O158&gt;=1.5),"有効",IF(T158&gt;=3,"要確認","除外")))</f>
        <v>要確認</v>
      </c>
      <c r="V158" s="163" t="str">
        <f>IF(AND(H158&lt;&gt;"",K158&lt;&gt;""),IF(H158&gt;=K158,"年初来高値更新●",IF(H158&gt;=K158*0.95,"高値圏","通常")),"")</f>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IF(AND(E158&lt;&gt;"",G158&lt;&gt;"",G158&lt;&gt;0),(E158-G158)/G158*100,"")</f>
        <v>1.1048234977095122</v>
      </c>
      <c r="AA158" s="163" t="str">
        <f>IF(OR(C158="",E158="",E158=0),"",IF(E158&gt;G158,"上昇▲",IF(E158&lt;G158,"下落▼","横ばい→")))</f>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IF(OR(C158="",AB158="",AC158=""),"",IF(AND(E158&gt;AB158,AB158&gt;AC158),"パーフェクト▲",IF(E158&gt;AC158,"上昇トレンド▲",IF(AND(E158&lt;AB158,AB158&lt;AC158),"下降トレンド▼","もみ合い→"))))</f>
        <v>パーフェクト▲</v>
      </c>
      <c r="AE158" s="404" t="str">
        <f>IF(OR(C158="",AB158="",AC158=""),"",IF(AND(ABS(E158-AC158)/AC158&lt;=0.02,E158&gt;AC158),"25日押し目★",IF(AND(ABS(E158-AB158)/AB158&lt;=0.01,E158&gt;AB158),"5日押し目○","なし")))</f>
        <v>なし</v>
      </c>
      <c r="AF158" s="365">
        <f t="array" ref="AF158">IF(C158="","",IFERROR((INDEX(終値!$E:$E,MATCH(TEXT(C158,"0"),終値!$A:$A,0))-INDEX(終値!$E:$CZ,MATCH(TEXT(C158,"0"),終値!$A:$A,0),$AL$2))/INDEX(終値!$E:$CZ,MATCH(TEXT(C158,"0"),終値!$A:$A,0),$AL$2)*100,""))</f>
        <v>-12.110564535019911</v>
      </c>
      <c r="AG158" s="365">
        <f t="array" ref="AG158">IFERROR((終値!$E$5-INDEX(終値!$E$5:$IT$5,1,$AL$2))/INDEX(終値!$E$5:$IT$5,1,$AL$2)*100,"")</f>
        <v>1.0179378228534113</v>
      </c>
      <c r="AH158" s="366">
        <f>IF(OR(AF158="",AG158=""),"",AF158-AG158)</f>
        <v>-13.128502357873323</v>
      </c>
      <c r="AI158" s="364">
        <f>IF(AH158="","",IF(AH158&gt;5,3,IF(AH158&gt;0,1,IF(AH158&gt;-3,-1,-2))))</f>
        <v>-2</v>
      </c>
      <c r="BA158">
        <f>IFERROR((SUM(OFFSET(高値!$E$6,IFERROR(MATCH($C158,銘柄管理!$B$6:$B$305,0),MATCH(TEXT($C158,"0"),銘柄管理!$B$6:$B$305,0))-1,0,1,14))-SUM(OFFSET(安値!$E$6,IFERROR(MATCH($C158,銘柄管理!$B$6:$B$305,0),MATCH(TEXT($C158,"0"),銘柄管理!$B$6:$B$305,0))-1,0,1,14)))/SUM(OFFSET(終値!$E$6,IFERROR(MATCH($C158,銘柄管理!$B$6:$B$305,0),MATCH(TEXT($C158,"0"),銘柄管理!$B$6:$B$305,0))-1,0,1,14))*100,"")</f>
      </c>
      <c r="BB158">
        <f>IFERROR((MAX(OFFSET(高値!$E$6,IFERROR(MATCH($C158,銘柄管理!$B$6:$B$305,0),MATCH(TEXT($C158,"0"),銘柄管理!$B$6:$B$305,0))-1,0,1,25))-MIN(OFFSET(安値!$E$6,IFERROR(MATCH($C158,銘柄管理!$B$6:$B$305,0),MATCH(TEXT($C158,"0"),銘柄管理!$B$6:$B$305,0))-1,0,1,25)))/$E158*100,"")</f>
      </c>
      <c r="BC158">
        <f>IFERROR(($F158-$G158)/$G158*100,"")</f>
      </c>
      <c r="BD158">
        <f>IFERROR(($E158-MAX(OFFSET(高値!$E$6,IFERROR(MATCH($C158,銘柄管理!$B$6:$B$305,0),MATCH(TEXT($C158,"0"),銘柄管理!$B$6:$B$305,0))-1,0,1,25)))/MAX(OFFSET(高値!$E$6,IFERROR(MATCH($C158,銘柄管理!$B$6:$B$305,0),MATCH(TEXT($C158,"0"),銘柄管理!$B$6:$B$305,0))-1,0,1,25))*100,"")</f>
      </c>
      <c r="BE158">
        <f>IFERROR(($H158-$I158)/$F158*100,"")</f>
      </c>
      <c r="BF158">
        <f>IFERROR(-(($BA158-AVERAGE($BA$3:$BA$206))/STDEV($BA$3:$BA$206))-(($BE158-AVERAGE($BE$3:$BE$206))/STDEV($BE$3:$BE$206))-(($BB158-AVERAGE($BB$3:$BB$206))/STDEV($BB$3:$BB$206))-(($Z158-AVERAGE($Z$3:$Z$206))/STDEV($Z$3:$Z$206))-(($BC158-AVERAGE($BC$3:$BC$206))/STDEV($BC$3:$BC$206)),"")</f>
      </c>
      <c r="BG158">
        <f>IF(OR($C158="",$C158="TOPX",$BA158="",$BF158=""),0,IF(AND($BK$10=1,$BA158&lt;=$BK$2,$BB158&lt;=$BK$3,$BC158&lt;=$BK$4,$Z158&lt;=$BK$5,$Z158&gt;=$BK$6,$BD158&gt;=$BK$7,$BE158&lt;=$BK$8),1,0))</f>
      </c>
      <c r="BH158">
        <f>IF($C158="","",IF($BG158=1,"○ゲート通過",IF($BK$10&lt;&gt;1,"― この方向は停止中",IF($BA158&gt;$BK$2,"×値動きが荒い",IF($BB158&gt;$BK$3,"×レンジが広い",IF($BC158&gt;$BK$4,"×窓を開けて上昇",IF($Z158&gt;$BK$5,"×前日に急騰",IF($Z158&lt;$BK$6,"×前日に急落",IF($BD158&lt;$BK$7,"×高値から離れすぎ",IF($BE158&gt;$BK$8,"×当日の値幅が大きい","×")))))))))</f>
      </c>
    </row>
    <row r="159" spans="1:60"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IF(AND(E159&lt;&gt;"",K159&lt;&gt;"",K159&lt;&gt;0),(E159-K159)/K159*100,"")</f>
        <v>-12.581790988969901</v>
      </c>
      <c r="M159" s="166">
        <f>IF(C159&lt;&gt;"",IFERROR(AVERAGE(出来高!E100:I100),""),"")</f>
        <v>2049380</v>
      </c>
      <c r="N159" s="166">
        <f>IF(C159&lt;&gt;"",IFERROR(AVERAGE(出来高!E100:AC100),""),"")</f>
        <v>1574395.8333333333</v>
      </c>
      <c r="O159" s="168">
        <f>IF(AND(J159&lt;&gt;"",M159&lt;&gt;"",M159&lt;&gt;0),J159/M159,"")</f>
        <v>0.73836965326098625</v>
      </c>
      <c r="P159" s="163" t="str">
        <f>IF(O159="","",IF(O159&gt;=2,"急増↑↑",IF(O159&gt;=1.5,"増加↑",IF(O159&gt;=1,"普通→","減少↓"))))</f>
        <v>減少↓</v>
      </c>
      <c r="Q159" s="163" t="str">
        <f>IF(E159="","",IF(AND(E159&gt;G159,O159&gt;=1.5),"買い▲",IF(E159&lt;G159,"様子見▼","中立→")))</f>
        <v>中立→</v>
      </c>
      <c r="R159" s="166">
        <f>IF(E159&lt;&gt;"",ROUND(E159*1.08,0),"")</f>
        <v>2525</v>
      </c>
      <c r="S159" s="166">
        <f>IF(E159&lt;&gt;"",ROUND(E159*0.96,0),"")</f>
        <v>2244</v>
      </c>
      <c r="T159" s="163">
        <f>IF(C159="","",IFERROR(IF(O159&gt;=2,3,IF(O159&gt;=1.5,2,IF(O159&gt;=1,1,0)))+IF(E159&gt;G159,1,0)+IF(L159&gt;=-5,1,0)+IF(Q159="買い▲",2,0)+IF(W159&lt;=30,3,IF(W159&lt;=40,2,IF(AND(W159&gt;=40,W159&lt;=60),1,0)))+IF(X159&gt;0,1,0)+IF(V159="年初来高値更新●",3,IF(V159="高値圏",2,0))+IF(AD159="パーフェクト▲",3,IF(AD159="上昇トレンド▲",2,0))+IF(AE159="25日線押し目●",2,IF(AE159="5日線押し目○",1,0))+IF(P159="急増↑↑",2,IF(P159="増加↑",1,0))+N(AI159),0))</f>
        <v>4</v>
      </c>
      <c r="U159" s="163" t="str">
        <f>IF(T159="","",IF(AND(T159&gt;=3,O159&gt;=1.5),"有効",IF(T159&gt;=3,"要確認","除外")))</f>
        <v>要確認</v>
      </c>
      <c r="V159" s="163" t="str">
        <f>IF(AND(H159&lt;&gt;"",K159&lt;&gt;""),IF(H159&gt;=K159,"年初来高値更新●",IF(H159&gt;=K159*0.95,"高値圏","通常")),"")</f>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IF(AND(E159&lt;&gt;"",G159&lt;&gt;"",G159&lt;&gt;0),(E159-G159)/G159*100,"")</f>
        <v>1.6079965232507605</v>
      </c>
      <c r="AA159" s="163" t="str">
        <f>IF(OR(C159="",E159="",E159=0),"",IF(E159&gt;G159,"上昇▲",IF(E159&lt;G159,"下落▼","横ばい→")))</f>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IF(OR(C159="",AB159="",AC159=""),"",IF(AND(E159&gt;AB159,AB159&gt;AC159),"パーフェクト▲",IF(E159&gt;AC159,"上昇トレンド▲",IF(AND(E159&lt;AB159,AB159&lt;AC159),"下降トレンド▼","もみ合い→"))))</f>
        <v>パーフェクト▲</v>
      </c>
      <c r="AE159" s="406" t="str">
        <f>IF(OR(C159="",AB159="",AC159=""),"",IF(AND(ABS(E159-AC159)/AC159&lt;=0.02,E159&gt;AC159),"25日押し目★",IF(AND(ABS(E159-AB159)/AB159&lt;=0.01,E159&gt;AB159),"5日押し目○","なし")))</f>
        <v>なし</v>
      </c>
      <c r="AF159" s="365">
        <f t="array" ref="AF159">IF(C159="","",IFERROR((INDEX(終値!$E:$E,MATCH(TEXT(C159,"0"),終値!$A:$A,0))-INDEX(終値!$E:$CZ,MATCH(TEXT(C159,"0"),終値!$A:$A,0),$AL$2))/INDEX(終値!$E:$CZ,MATCH(TEXT(C159,"0"),終値!$A:$A,0),$AL$2)*100,""))</f>
        <v>-1.2668918918918919</v>
      </c>
      <c r="AG159" s="365">
        <f t="array" ref="AG159">IFERROR((終値!$E$5-INDEX(終値!$E$5:$IT$5,1,$AL$2))/INDEX(終値!$E$5:$IT$5,1,$AL$2)*100,"")</f>
        <v>1.0179378228534113</v>
      </c>
      <c r="AH159" s="366">
        <f>IF(OR(AF159="",AG159=""),"",AF159-AG159)</f>
        <v>-2.2848297147453032</v>
      </c>
      <c r="AI159" s="364">
        <f>IF(AH159="","",IF(AH159&gt;5,3,IF(AH159&gt;0,1,IF(AH159&gt;-3,-1,-2))))</f>
        <v>-1</v>
      </c>
      <c r="BA159">
        <f>IFERROR((SUM(OFFSET(高値!$E$6,IFERROR(MATCH($C159,銘柄管理!$B$6:$B$305,0),MATCH(TEXT($C159,"0"),銘柄管理!$B$6:$B$305,0))-1,0,1,14))-SUM(OFFSET(安値!$E$6,IFERROR(MATCH($C159,銘柄管理!$B$6:$B$305,0),MATCH(TEXT($C159,"0"),銘柄管理!$B$6:$B$305,0))-1,0,1,14)))/SUM(OFFSET(終値!$E$6,IFERROR(MATCH($C159,銘柄管理!$B$6:$B$305,0),MATCH(TEXT($C159,"0"),銘柄管理!$B$6:$B$305,0))-1,0,1,14))*100,"")</f>
      </c>
      <c r="BB159">
        <f>IFERROR((MAX(OFFSET(高値!$E$6,IFERROR(MATCH($C159,銘柄管理!$B$6:$B$305,0),MATCH(TEXT($C159,"0"),銘柄管理!$B$6:$B$305,0))-1,0,1,25))-MIN(OFFSET(安値!$E$6,IFERROR(MATCH($C159,銘柄管理!$B$6:$B$305,0),MATCH(TEXT($C159,"0"),銘柄管理!$B$6:$B$305,0))-1,0,1,25)))/$E159*100,"")</f>
      </c>
      <c r="BC159">
        <f>IFERROR(($F159-$G159)/$G159*100,"")</f>
      </c>
      <c r="BD159">
        <f>IFERROR(($E159-MAX(OFFSET(高値!$E$6,IFERROR(MATCH($C159,銘柄管理!$B$6:$B$305,0),MATCH(TEXT($C159,"0"),銘柄管理!$B$6:$B$305,0))-1,0,1,25)))/MAX(OFFSET(高値!$E$6,IFERROR(MATCH($C159,銘柄管理!$B$6:$B$305,0),MATCH(TEXT($C159,"0"),銘柄管理!$B$6:$B$305,0))-1,0,1,25))*100,"")</f>
      </c>
      <c r="BE159">
        <f>IFERROR(($H159-$I159)/$F159*100,"")</f>
      </c>
      <c r="BF159">
        <f>IFERROR(-(($BA159-AVERAGE($BA$3:$BA$206))/STDEV($BA$3:$BA$206))-(($BE159-AVERAGE($BE$3:$BE$206))/STDEV($BE$3:$BE$206))-(($BB159-AVERAGE($BB$3:$BB$206))/STDEV($BB$3:$BB$206))-(($Z159-AVERAGE($Z$3:$Z$206))/STDEV($Z$3:$Z$206))-(($BC159-AVERAGE($BC$3:$BC$206))/STDEV($BC$3:$BC$206)),"")</f>
      </c>
      <c r="BG159">
        <f>IF(OR($C159="",$C159="TOPX",$BA159="",$BF159=""),0,IF(AND($BK$10=1,$BA159&lt;=$BK$2,$BB159&lt;=$BK$3,$BC159&lt;=$BK$4,$Z159&lt;=$BK$5,$Z159&gt;=$BK$6,$BD159&gt;=$BK$7,$BE159&lt;=$BK$8),1,0))</f>
      </c>
      <c r="BH159">
        <f>IF($C159="","",IF($BG159=1,"○ゲート通過",IF($BK$10&lt;&gt;1,"― この方向は停止中",IF($BA159&gt;$BK$2,"×値動きが荒い",IF($BB159&gt;$BK$3,"×レンジが広い",IF($BC159&gt;$BK$4,"×窓を開けて上昇",IF($Z159&gt;$BK$5,"×前日に急騰",IF($Z159&lt;$BK$6,"×前日に急落",IF($BD159&lt;$BK$7,"×高値から離れすぎ",IF($BE159&gt;$BK$8,"×当日の値幅が大きい","×")))))))))</f>
      </c>
    </row>
    <row r="160" spans="1:60"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IF(AND(E160&lt;&gt;"",K160&lt;&gt;"",K160&lt;&gt;0),(E160-K160)/K160*100,"")</f>
        <v>-10.52832347892428</v>
      </c>
      <c r="M160" s="166">
        <f>IF(C160&lt;&gt;"",IFERROR(AVERAGE(出来高!E99:I99),""),"")</f>
        <v>1949820</v>
      </c>
      <c r="N160" s="166">
        <f>IF(C160&lt;&gt;"",IFERROR(AVERAGE(出来高!E99:AC99),""),"")</f>
        <v>1798724</v>
      </c>
      <c r="O160" s="168">
        <f>IF(AND(J160&lt;&gt;"",M160&lt;&gt;"",M160&lt;&gt;0),J160/M160,"")</f>
        <v>0.72909294191258678</v>
      </c>
      <c r="P160" s="163" t="str">
        <f>IF(O160="","",IF(O160&gt;=2,"急増↑↑",IF(O160&gt;=1.5,"増加↑",IF(O160&gt;=1,"普通→","減少↓"))))</f>
        <v>減少↓</v>
      </c>
      <c r="Q160" s="163" t="str">
        <f>IF(E160="","",IF(AND(E160&gt;G160,O160&gt;=1.5),"買い▲",IF(E160&lt;G160,"様子見▼","中立→")))</f>
        <v>中立→</v>
      </c>
      <c r="R160" s="166">
        <f>IF(E160&lt;&gt;"",ROUND(E160*1.08,0),"")</f>
        <v>5066</v>
      </c>
      <c r="S160" s="166">
        <f>IF(E160&lt;&gt;"",ROUND(E160*0.96,0),"")</f>
        <v>4503</v>
      </c>
      <c r="T160" s="163">
        <f>IF(C160="","",IFERROR(IF(O160&gt;=2,3,IF(O160&gt;=1.5,2,IF(O160&gt;=1,1,0)))+IF(E160&gt;G160,1,0)+IF(L160&gt;=-5,1,0)+IF(Q160="買い▲",2,0)+IF(W160&lt;=30,3,IF(W160&lt;=40,2,IF(AND(W160&gt;=40,W160&lt;=60),1,0)))+IF(X160&gt;0,1,0)+IF(V160="年初来高値更新●",3,IF(V160="高値圏",2,0))+IF(AD160="パーフェクト▲",3,IF(AD160="上昇トレンド▲",2,0))+IF(AE160="25日線押し目●",2,IF(AE160="5日線押し目○",1,0))+IF(P160="急増↑↑",2,IF(P160="増加↑",1,0))+N(AI160),0))</f>
        <v>9</v>
      </c>
      <c r="U160" s="163" t="str">
        <f>IF(T160="","",IF(AND(T160&gt;=3,O160&gt;=1.5),"有効",IF(T160&gt;=3,"要確認","除外")))</f>
        <v>要確認</v>
      </c>
      <c r="V160" s="163" t="str">
        <f>IF(AND(H160&lt;&gt;"",K160&lt;&gt;""),IF(H160&gt;=K160,"年初来高値更新●",IF(H160&gt;=K160*0.95,"高値圏","通常")),"")</f>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IF(AND(E160&lt;&gt;"",G160&lt;&gt;"",G160&lt;&gt;0),(E160-G160)/G160*100,"")</f>
        <v>3.7831858407079642</v>
      </c>
      <c r="AA160" s="163" t="str">
        <f>IF(OR(C160="",E160="",E160=0),"",IF(E160&gt;G160,"上昇▲",IF(E160&lt;G160,"下落▼","横ばい→")))</f>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IF(OR(C160="",AB160="",AC160=""),"",IF(AND(E160&gt;AB160,AB160&gt;AC160),"パーフェクト▲",IF(E160&gt;AC160,"上昇トレンド▲",IF(AND(E160&lt;AB160,AB160&lt;AC160),"下降トレンド▼","もみ合い→"))))</f>
        <v>パーフェクト▲</v>
      </c>
      <c r="AE160" s="404" t="str">
        <f>IF(OR(C160="",AB160="",AC160=""),"",IF(AND(ABS(E160-AC160)/AC160&lt;=0.02,E160&gt;AC160),"25日押し目★",IF(AND(ABS(E160-AB160)/AB160&lt;=0.01,E160&gt;AB160),"5日押し目○","なし")))</f>
        <v>なし</v>
      </c>
      <c r="AF160" s="365">
        <f t="array" ref="AF160">IF(C160="","",IFERROR((INDEX(終値!$E:$E,MATCH(TEXT(C160,"0"),終値!$A:$A,0))-INDEX(終値!$E:$CZ,MATCH(TEXT(C160,"0"),終値!$A:$A,0),$AL$2))/INDEX(終値!$E:$CZ,MATCH(TEXT(C160,"0"),終値!$A:$A,0),$AL$2)*100,""))</f>
        <v>14.164030177658798</v>
      </c>
      <c r="AG160" s="365">
        <f t="array" ref="AG160">IFERROR((終値!$E$5-INDEX(終値!$E$5:$IT$5,1,$AL$2))/INDEX(終値!$E$5:$IT$5,1,$AL$2)*100,"")</f>
        <v>1.0179378228534113</v>
      </c>
      <c r="AH160" s="366">
        <f>IF(OR(AF160="",AG160=""),"",AF160-AG160)</f>
        <v>13.146092354805386</v>
      </c>
      <c r="AI160" s="364">
        <f>IF(AH160="","",IF(AH160&gt;5,3,IF(AH160&gt;0,1,IF(AH160&gt;-3,-1,-2))))</f>
        <v>3</v>
      </c>
      <c r="BA160">
        <f>IFERROR((SUM(OFFSET(高値!$E$6,IFERROR(MATCH($C160,銘柄管理!$B$6:$B$305,0),MATCH(TEXT($C160,"0"),銘柄管理!$B$6:$B$305,0))-1,0,1,14))-SUM(OFFSET(安値!$E$6,IFERROR(MATCH($C160,銘柄管理!$B$6:$B$305,0),MATCH(TEXT($C160,"0"),銘柄管理!$B$6:$B$305,0))-1,0,1,14)))/SUM(OFFSET(終値!$E$6,IFERROR(MATCH($C160,銘柄管理!$B$6:$B$305,0),MATCH(TEXT($C160,"0"),銘柄管理!$B$6:$B$305,0))-1,0,1,14))*100,"")</f>
      </c>
      <c r="BB160">
        <f>IFERROR((MAX(OFFSET(高値!$E$6,IFERROR(MATCH($C160,銘柄管理!$B$6:$B$305,0),MATCH(TEXT($C160,"0"),銘柄管理!$B$6:$B$305,0))-1,0,1,25))-MIN(OFFSET(安値!$E$6,IFERROR(MATCH($C160,銘柄管理!$B$6:$B$305,0),MATCH(TEXT($C160,"0"),銘柄管理!$B$6:$B$305,0))-1,0,1,25)))/$E160*100,"")</f>
      </c>
      <c r="BC160">
        <f>IFERROR(($F160-$G160)/$G160*100,"")</f>
      </c>
      <c r="BD160">
        <f>IFERROR(($E160-MAX(OFFSET(高値!$E$6,IFERROR(MATCH($C160,銘柄管理!$B$6:$B$305,0),MATCH(TEXT($C160,"0"),銘柄管理!$B$6:$B$305,0))-1,0,1,25)))/MAX(OFFSET(高値!$E$6,IFERROR(MATCH($C160,銘柄管理!$B$6:$B$305,0),MATCH(TEXT($C160,"0"),銘柄管理!$B$6:$B$305,0))-1,0,1,25))*100,"")</f>
      </c>
      <c r="BE160">
        <f>IFERROR(($H160-$I160)/$F160*100,"")</f>
      </c>
      <c r="BF160">
        <f>IFERROR(-(($BA160-AVERAGE($BA$3:$BA$206))/STDEV($BA$3:$BA$206))-(($BE160-AVERAGE($BE$3:$BE$206))/STDEV($BE$3:$BE$206))-(($BB160-AVERAGE($BB$3:$BB$206))/STDEV($BB$3:$BB$206))-(($Z160-AVERAGE($Z$3:$Z$206))/STDEV($Z$3:$Z$206))-(($BC160-AVERAGE($BC$3:$BC$206))/STDEV($BC$3:$BC$206)),"")</f>
      </c>
      <c r="BG160">
        <f>IF(OR($C160="",$C160="TOPX",$BA160="",$BF160=""),0,IF(AND($BK$10=1,$BA160&lt;=$BK$2,$BB160&lt;=$BK$3,$BC160&lt;=$BK$4,$Z160&lt;=$BK$5,$Z160&gt;=$BK$6,$BD160&gt;=$BK$7,$BE160&lt;=$BK$8),1,0))</f>
      </c>
      <c r="BH160">
        <f>IF($C160="","",IF($BG160=1,"○ゲート通過",IF($BK$10&lt;&gt;1,"― この方向は停止中",IF($BA160&gt;$BK$2,"×値動きが荒い",IF($BB160&gt;$BK$3,"×レンジが広い",IF($BC160&gt;$BK$4,"×窓を開けて上昇",IF($Z160&gt;$BK$5,"×前日に急騰",IF($Z160&lt;$BK$6,"×前日に急落",IF($BD160&lt;$BK$7,"×高値から離れすぎ",IF($BE160&gt;$BK$8,"×当日の値幅が大きい","×")))))))))</f>
      </c>
    </row>
    <row r="161" spans="1:60"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IF(AND(E161&lt;&gt;"",K161&lt;&gt;"",K161&lt;&gt;0),(E161-K161)/K161*100,"")</f>
        <v>-36.785046728971963</v>
      </c>
      <c r="M161" s="166">
        <f>IF(C161&lt;&gt;"",IFERROR(AVERAGE(出来高!E130:I130),""),"")</f>
        <v>3070460</v>
      </c>
      <c r="N161" s="166">
        <f>IF(C161&lt;&gt;"",IFERROR(AVERAGE(出来高!E130:AC130),""),"")</f>
        <v>2849779.1666666665</v>
      </c>
      <c r="O161" s="168">
        <f>IF(AND(J161&lt;&gt;"",M161&lt;&gt;"",M161&lt;&gt;0),J161/M161,"")</f>
        <v>1.0250255662018068</v>
      </c>
      <c r="P161" s="163" t="str">
        <f>IF(O161="","",IF(O161&gt;=2,"急増↑↑",IF(O161&gt;=1.5,"増加↑",IF(O161&gt;=1,"普通→","減少↓"))))</f>
        <v>普通→</v>
      </c>
      <c r="Q161" s="163" t="str">
        <f>IF(E161="","",IF(AND(E161&gt;G161,O161&gt;=1.5),"買い▲",IF(E161&lt;G161,"様子見▼","中立→")))</f>
        <v>中立→</v>
      </c>
      <c r="R161" s="166">
        <f>IF(E161&lt;&gt;"",ROUND(E161*1.08,0),"")</f>
        <v>7305</v>
      </c>
      <c r="S161" s="166">
        <f>IF(E161&lt;&gt;"",ROUND(E161*0.96,0),"")</f>
        <v>6493</v>
      </c>
      <c r="T161" s="163">
        <f>IF(C161="","",IFERROR(IF(O161&gt;=2,3,IF(O161&gt;=1.5,2,IF(O161&gt;=1,1,0)))+IF(E161&gt;G161,1,0)+IF(L161&gt;=-5,1,0)+IF(Q161="買い▲",2,0)+IF(W161&lt;=30,3,IF(W161&lt;=40,2,IF(AND(W161&gt;=40,W161&lt;=60),1,0)))+IF(X161&gt;0,1,0)+IF(V161="年初来高値更新●",3,IF(V161="高値圏",2,0))+IF(AD161="パーフェクト▲",3,IF(AD161="上昇トレンド▲",2,0))+IF(AE161="25日線押し目●",2,IF(AE161="5日線押し目○",1,0))+IF(P161="急増↑↑",2,IF(P161="増加↑",1,0))+N(AI161),0))</f>
        <v>3</v>
      </c>
      <c r="U161" s="163" t="str">
        <f>IF(T161="","",IF(AND(T161&gt;=3,O161&gt;=1.5),"有効",IF(T161&gt;=3,"要確認","除外")))</f>
        <v>要確認</v>
      </c>
      <c r="V161" s="163" t="str">
        <f>IF(AND(H161&lt;&gt;"",K161&lt;&gt;""),IF(H161&gt;=K161,"年初来高値更新●",IF(H161&gt;=K161*0.95,"高値圏","通常")),"")</f>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IF(AND(E161&lt;&gt;"",G161&lt;&gt;"",G161&lt;&gt;0),(E161-G161)/G161*100,"")</f>
        <v>1.1363636363636365</v>
      </c>
      <c r="AA161" s="163" t="str">
        <f>IF(OR(C161="",E161="",E161=0),"",IF(E161&gt;G161,"上昇▲",IF(E161&lt;G161,"下落▼","横ばい→")))</f>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IF(OR(C161="",AB161="",AC161=""),"",IF(AND(E161&gt;AB161,AB161&gt;AC161),"パーフェクト▲",IF(E161&gt;AC161,"上昇トレンド▲",IF(AND(E161&lt;AB161,AB161&lt;AC161),"下降トレンド▼","もみ合い→"))))</f>
        <v>上昇トレンド▲</v>
      </c>
      <c r="AE161" s="406" t="str">
        <f>IF(OR(C161="",AB161="",AC161=""),"",IF(AND(ABS(E161-AC161)/AC161&lt;=0.02,E161&gt;AC161),"25日押し目★",IF(AND(ABS(E161-AB161)/AB161&lt;=0.01,E161&gt;AB161),"5日押し目○","なし")))</f>
        <v>なし</v>
      </c>
      <c r="AF161" s="365">
        <f t="array" ref="AF161">IF(C161="","",IFERROR((INDEX(終値!$E:$E,MATCH(TEXT(C161,"0"),終値!$A:$A,0))-INDEX(終値!$E:$CZ,MATCH(TEXT(C161,"0"),終値!$A:$A,0),$AL$2))/INDEX(終値!$E:$CZ,MATCH(TEXT(C161,"0"),終値!$A:$A,0),$AL$2)*100,""))</f>
        <v>-7.1006729844801537</v>
      </c>
      <c r="AG161" s="365">
        <f t="array" ref="AG161">IFERROR((終値!$E$5-INDEX(終値!$E$5:$IT$5,1,$AL$2))/INDEX(終値!$E$5:$IT$5,1,$AL$2)*100,"")</f>
        <v>1.0179378228534113</v>
      </c>
      <c r="AH161" s="366">
        <f>IF(OR(AF161="",AG161=""),"",AF161-AG161)</f>
        <v>-8.1186108073335657</v>
      </c>
      <c r="AI161" s="364">
        <f>IF(AH161="","",IF(AH161&gt;5,3,IF(AH161&gt;0,1,IF(AH161&gt;-3,-1,-2))))</f>
        <v>-2</v>
      </c>
      <c r="BA161">
        <f>IFERROR((SUM(OFFSET(高値!$E$6,IFERROR(MATCH($C161,銘柄管理!$B$6:$B$305,0),MATCH(TEXT($C161,"0"),銘柄管理!$B$6:$B$305,0))-1,0,1,14))-SUM(OFFSET(安値!$E$6,IFERROR(MATCH($C161,銘柄管理!$B$6:$B$305,0),MATCH(TEXT($C161,"0"),銘柄管理!$B$6:$B$305,0))-1,0,1,14)))/SUM(OFFSET(終値!$E$6,IFERROR(MATCH($C161,銘柄管理!$B$6:$B$305,0),MATCH(TEXT($C161,"0"),銘柄管理!$B$6:$B$305,0))-1,0,1,14))*100,"")</f>
      </c>
      <c r="BB161">
        <f>IFERROR((MAX(OFFSET(高値!$E$6,IFERROR(MATCH($C161,銘柄管理!$B$6:$B$305,0),MATCH(TEXT($C161,"0"),銘柄管理!$B$6:$B$305,0))-1,0,1,25))-MIN(OFFSET(安値!$E$6,IFERROR(MATCH($C161,銘柄管理!$B$6:$B$305,0),MATCH(TEXT($C161,"0"),銘柄管理!$B$6:$B$305,0))-1,0,1,25)))/$E161*100,"")</f>
      </c>
      <c r="BC161">
        <f>IFERROR(($F161-$G161)/$G161*100,"")</f>
      </c>
      <c r="BD161">
        <f>IFERROR(($E161-MAX(OFFSET(高値!$E$6,IFERROR(MATCH($C161,銘柄管理!$B$6:$B$305,0),MATCH(TEXT($C161,"0"),銘柄管理!$B$6:$B$305,0))-1,0,1,25)))/MAX(OFFSET(高値!$E$6,IFERROR(MATCH($C161,銘柄管理!$B$6:$B$305,0),MATCH(TEXT($C161,"0"),銘柄管理!$B$6:$B$305,0))-1,0,1,25))*100,"")</f>
      </c>
      <c r="BE161">
        <f>IFERROR(($H161-$I161)/$F161*100,"")</f>
      </c>
      <c r="BF161">
        <f>IFERROR(-(($BA161-AVERAGE($BA$3:$BA$206))/STDEV($BA$3:$BA$206))-(($BE161-AVERAGE($BE$3:$BE$206))/STDEV($BE$3:$BE$206))-(($BB161-AVERAGE($BB$3:$BB$206))/STDEV($BB$3:$BB$206))-(($Z161-AVERAGE($Z$3:$Z$206))/STDEV($Z$3:$Z$206))-(($BC161-AVERAGE($BC$3:$BC$206))/STDEV($BC$3:$BC$206)),"")</f>
      </c>
      <c r="BG161">
        <f>IF(OR($C161="",$C161="TOPX",$BA161="",$BF161=""),0,IF(AND($BK$10=1,$BA161&lt;=$BK$2,$BB161&lt;=$BK$3,$BC161&lt;=$BK$4,$Z161&lt;=$BK$5,$Z161&gt;=$BK$6,$BD161&gt;=$BK$7,$BE161&lt;=$BK$8),1,0))</f>
      </c>
      <c r="BH161">
        <f>IF($C161="","",IF($BG161=1,"○ゲート通過",IF($BK$10&lt;&gt;1,"― この方向は停止中",IF($BA161&gt;$BK$2,"×値動きが荒い",IF($BB161&gt;$BK$3,"×レンジが広い",IF($BC161&gt;$BK$4,"×窓を開けて上昇",IF($Z161&gt;$BK$5,"×前日に急騰",IF($Z161&lt;$BK$6,"×前日に急落",IF($BD161&lt;$BK$7,"×高値から離れすぎ",IF($BE161&gt;$BK$8,"×当日の値幅が大きい","×")))))))))</f>
      </c>
    </row>
    <row r="162" spans="1:60"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IF(AND(E162&lt;&gt;"",K162&lt;&gt;"",K162&lt;&gt;0),(E162-K162)/K162*100,"")</f>
        <v>-66.196319018404907</v>
      </c>
      <c r="M162" s="166">
        <f>IF(C162&lt;&gt;"",IFERROR(AVERAGE(出来高!E139:I139),""),"")</f>
        <v>58120</v>
      </c>
      <c r="N162" s="166">
        <f>IF(C162&lt;&gt;"",IFERROR(AVERAGE(出来高!E139:AC139),""),"")</f>
        <v>67176</v>
      </c>
      <c r="O162" s="168">
        <f>IF(AND(J162&lt;&gt;"",M162&lt;&gt;"",M162&lt;&gt;0),J162/M162,"")</f>
        <v>0.35443909153475567</v>
      </c>
      <c r="P162" s="163" t="str">
        <f>IF(O162="","",IF(O162&gt;=2,"急増↑↑",IF(O162&gt;=1.5,"増加↑",IF(O162&gt;=1,"普通→","減少↓"))))</f>
        <v>減少↓</v>
      </c>
      <c r="Q162" s="163" t="str">
        <f>IF(E162="","",IF(AND(E162&gt;G162,O162&gt;=1.5),"買い▲",IF(E162&lt;G162,"様子見▼","中立→")))</f>
        <v>様子見▼</v>
      </c>
      <c r="R162" s="166">
        <f>IF(E162&lt;&gt;"",ROUND(E162*1.08,0),"")</f>
        <v>595</v>
      </c>
      <c r="S162" s="166">
        <f>IF(E162&lt;&gt;"",ROUND(E162*0.96,0),"")</f>
        <v>529</v>
      </c>
      <c r="T162" s="163">
        <f>IF(C162="","",IFERROR(IF(O162&gt;=2,3,IF(O162&gt;=1.5,2,IF(O162&gt;=1,1,0)))+IF(E162&gt;G162,1,0)+IF(L162&gt;=-5,1,0)+IF(Q162="買い▲",2,0)+IF(W162&lt;=30,3,IF(W162&lt;=40,2,IF(AND(W162&gt;=40,W162&lt;=60),1,0)))+IF(X162&gt;0,1,0)+IF(V162="年初来高値更新●",3,IF(V162="高値圏",2,0))+IF(AD162="パーフェクト▲",3,IF(AD162="上昇トレンド▲",2,0))+IF(AE162="25日線押し目●",2,IF(AE162="5日線押し目○",1,0))+IF(P162="急増↑↑",2,IF(P162="増加↑",1,0))+N(AI162),0))</f>
        <v>0</v>
      </c>
      <c r="U162" s="163" t="str">
        <f>IF(T162="","",IF(AND(T162&gt;=3,O162&gt;=1.5),"有効",IF(T162&gt;=3,"要確認","除外")))</f>
        <v>除外</v>
      </c>
      <c r="V162" s="163" t="str">
        <f>IF(AND(H162&lt;&gt;"",K162&lt;&gt;""),IF(H162&gt;=K162,"年初来高値更新●",IF(H162&gt;=K162*0.95,"高値圏","通常")),"")</f>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IF(AND(E162&lt;&gt;"",G162&lt;&gt;"",G162&lt;&gt;0),(E162-G162)/G162*100,"")</f>
        <v>-0.72072072072072069</v>
      </c>
      <c r="AA162" s="163" t="str">
        <f>IF(OR(C162="",E162="",E162=0),"",IF(E162&gt;G162,"上昇▲",IF(E162&lt;G162,"下落▼","横ばい→")))</f>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IF(OR(C162="",AB162="",AC162=""),"",IF(AND(E162&gt;AB162,AB162&gt;AC162),"パーフェクト▲",IF(E162&gt;AC162,"上昇トレンド▲",IF(AND(E162&lt;AB162,AB162&lt;AC162),"下降トレンド▼","もみ合い→"))))</f>
        <v>もみ合い→</v>
      </c>
      <c r="AE162" s="404" t="str">
        <f>IF(OR(C162="",AB162="",AC162=""),"",IF(AND(ABS(E162-AC162)/AC162&lt;=0.02,E162&gt;AC162),"25日押し目★",IF(AND(ABS(E162-AB162)/AB162&lt;=0.01,E162&gt;AB162),"5日押し目○","なし")))</f>
        <v>なし</v>
      </c>
      <c r="AF162" s="365">
        <f t="array" ref="AF162">IF(C162="","",IFERROR((INDEX(終値!$E:$E,MATCH(TEXT(C162,"0"),終値!$A:$A,0))-INDEX(終値!$E:$CZ,MATCH(TEXT(C162,"0"),終値!$A:$A,0),$AL$2))/INDEX(終値!$E:$CZ,MATCH(TEXT(C162,"0"),終値!$A:$A,0),$AL$2)*100,""))</f>
        <v>-0.54151624548736454</v>
      </c>
      <c r="AG162" s="365">
        <f t="array" ref="AG162">IFERROR((終値!$E$5-INDEX(終値!$E$5:$IT$5,1,$AL$2))/INDEX(終値!$E$5:$IT$5,1,$AL$2)*100,"")</f>
        <v>1.0179378228534113</v>
      </c>
      <c r="AH162" s="366">
        <f>IF(OR(AF162="",AG162=""),"",AF162-AG162)</f>
        <v>-1.5594540683407758</v>
      </c>
      <c r="AI162" s="364">
        <f>IF(AH162="","",IF(AH162&gt;5,3,IF(AH162&gt;0,1,IF(AH162&gt;-3,-1,-2))))</f>
        <v>-1</v>
      </c>
      <c r="BA162">
        <f>IFERROR((SUM(OFFSET(高値!$E$6,IFERROR(MATCH($C162,銘柄管理!$B$6:$B$305,0),MATCH(TEXT($C162,"0"),銘柄管理!$B$6:$B$305,0))-1,0,1,14))-SUM(OFFSET(安値!$E$6,IFERROR(MATCH($C162,銘柄管理!$B$6:$B$305,0),MATCH(TEXT($C162,"0"),銘柄管理!$B$6:$B$305,0))-1,0,1,14)))/SUM(OFFSET(終値!$E$6,IFERROR(MATCH($C162,銘柄管理!$B$6:$B$305,0),MATCH(TEXT($C162,"0"),銘柄管理!$B$6:$B$305,0))-1,0,1,14))*100,"")</f>
      </c>
      <c r="BB162">
        <f>IFERROR((MAX(OFFSET(高値!$E$6,IFERROR(MATCH($C162,銘柄管理!$B$6:$B$305,0),MATCH(TEXT($C162,"0"),銘柄管理!$B$6:$B$305,0))-1,0,1,25))-MIN(OFFSET(安値!$E$6,IFERROR(MATCH($C162,銘柄管理!$B$6:$B$305,0),MATCH(TEXT($C162,"0"),銘柄管理!$B$6:$B$305,0))-1,0,1,25)))/$E162*100,"")</f>
      </c>
      <c r="BC162">
        <f>IFERROR(($F162-$G162)/$G162*100,"")</f>
      </c>
      <c r="BD162">
        <f>IFERROR(($E162-MAX(OFFSET(高値!$E$6,IFERROR(MATCH($C162,銘柄管理!$B$6:$B$305,0),MATCH(TEXT($C162,"0"),銘柄管理!$B$6:$B$305,0))-1,0,1,25)))/MAX(OFFSET(高値!$E$6,IFERROR(MATCH($C162,銘柄管理!$B$6:$B$305,0),MATCH(TEXT($C162,"0"),銘柄管理!$B$6:$B$305,0))-1,0,1,25))*100,"")</f>
      </c>
      <c r="BE162">
        <f>IFERROR(($H162-$I162)/$F162*100,"")</f>
      </c>
      <c r="BF162">
        <f>IFERROR(-(($BA162-AVERAGE($BA$3:$BA$206))/STDEV($BA$3:$BA$206))-(($BE162-AVERAGE($BE$3:$BE$206))/STDEV($BE$3:$BE$206))-(($BB162-AVERAGE($BB$3:$BB$206))/STDEV($BB$3:$BB$206))-(($Z162-AVERAGE($Z$3:$Z$206))/STDEV($Z$3:$Z$206))-(($BC162-AVERAGE($BC$3:$BC$206))/STDEV($BC$3:$BC$206)),"")</f>
      </c>
      <c r="BG162">
        <f>IF(OR($C162="",$C162="TOPX",$BA162="",$BF162=""),0,IF(AND($BK$10=1,$BA162&lt;=$BK$2,$BB162&lt;=$BK$3,$BC162&lt;=$BK$4,$Z162&lt;=$BK$5,$Z162&gt;=$BK$6,$BD162&gt;=$BK$7,$BE162&lt;=$BK$8),1,0))</f>
      </c>
      <c r="BH162">
        <f>IF($C162="","",IF($BG162=1,"○ゲート通過",IF($BK$10&lt;&gt;1,"― この方向は停止中",IF($BA162&gt;$BK$2,"×値動きが荒い",IF($BB162&gt;$BK$3,"×レンジが広い",IF($BC162&gt;$BK$4,"×窓を開けて上昇",IF($Z162&gt;$BK$5,"×前日に急騰",IF($Z162&lt;$BK$6,"×前日に急落",IF($BD162&lt;$BK$7,"×高値から離れすぎ",IF($BE162&gt;$BK$8,"×当日の値幅が大きい","×")))))))))</f>
      </c>
    </row>
    <row r="163" spans="1:60"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IF(AND(E163&lt;&gt;"",K163&lt;&gt;"",K163&lt;&gt;0),(E163-K163)/K163*100,"")</f>
        <v>-2.1276595744680851</v>
      </c>
      <c r="M163" s="166">
        <f>IF(C163&lt;&gt;"",IFERROR(AVERAGE(出来高!E153:I153),""),"")</f>
        <v>70000</v>
      </c>
      <c r="N163" s="166">
        <f>IF(C163&lt;&gt;"",IFERROR(AVERAGE(出来高!E153:AC153),""),"")</f>
        <v>70080</v>
      </c>
      <c r="O163" s="168">
        <f>IF(AND(J163&lt;&gt;"",M163&lt;&gt;"",M163&lt;&gt;0),J163/M163,"")</f>
        <v>0.81857142857142862</v>
      </c>
      <c r="P163" s="163" t="str">
        <f>IF(O163="","",IF(O163&gt;=2,"急増↑↑",IF(O163&gt;=1.5,"増加↑",IF(O163&gt;=1,"普通→","減少↓"))))</f>
        <v>減少↓</v>
      </c>
      <c r="Q163" s="163" t="str">
        <f>IF(E163="","",IF(AND(E163&gt;G163,O163&gt;=1.5),"買い▲",IF(E163&lt;G163,"様子見▼","中立→")))</f>
        <v>中立→</v>
      </c>
      <c r="R163" s="166">
        <f>IF(E163&lt;&gt;"",ROUND(E163*1.08,0),"")</f>
        <v>4968</v>
      </c>
      <c r="S163" s="166">
        <f>IF(E163&lt;&gt;"",ROUND(E163*0.96,0),"")</f>
        <v>4416</v>
      </c>
      <c r="T163" s="163">
        <f>IF(C163="","",IFERROR(IF(O163&gt;=2,3,IF(O163&gt;=1.5,2,IF(O163&gt;=1,1,0)))+IF(E163&gt;G163,1,0)+IF(L163&gt;=-5,1,0)+IF(Q163="買い▲",2,0)+IF(W163&lt;=30,3,IF(W163&lt;=40,2,IF(AND(W163&gt;=40,W163&lt;=60),1,0)))+IF(X163&gt;0,1,0)+IF(V163="年初来高値更新●",3,IF(V163="高値圏",2,0))+IF(AD163="パーフェクト▲",3,IF(AD163="上昇トレンド▲",2,0))+IF(AE163="25日線押し目●",2,IF(AE163="5日線押し目○",1,0))+IF(P163="急増↑↑",2,IF(P163="増加↑",1,0))+N(AI163),0))</f>
        <v>9</v>
      </c>
      <c r="U163" s="163" t="str">
        <f>IF(T163="","",IF(AND(T163&gt;=3,O163&gt;=1.5),"有効",IF(T163&gt;=3,"要確認","除外")))</f>
        <v>要確認</v>
      </c>
      <c r="V163" s="163" t="str">
        <f>IF(AND(H163&lt;&gt;"",K163&lt;&gt;""),IF(H163&gt;=K163,"年初来高値更新●",IF(H163&gt;=K163*0.95,"高値圏","通常")),"")</f>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IF(AND(E163&lt;&gt;"",G163&lt;&gt;"",G163&lt;&gt;0),(E163-G163)/G163*100,"")</f>
        <v>5.3837342497136316</v>
      </c>
      <c r="AA163" s="163" t="str">
        <f>IF(OR(C163="",E163="",E163=0),"",IF(E163&gt;G163,"上昇▲",IF(E163&lt;G163,"下落▼","横ばい→")))</f>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IF(OR(C163="",AB163="",AC163=""),"",IF(AND(E163&gt;AB163,AB163&gt;AC163),"パーフェクト▲",IF(E163&gt;AC163,"上昇トレンド▲",IF(AND(E163&lt;AB163,AB163&lt;AC163),"下降トレンド▼","もみ合い→"))))</f>
        <v>もみ合い→</v>
      </c>
      <c r="AE163" s="406" t="str">
        <f>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IFERROR((終値!$E$5-INDEX(終値!$E$5:$IT$5,1,$AL$2))/INDEX(終値!$E$5:$IT$5,1,$AL$2)*100,"")</f>
        <v>1.0179378228534113</v>
      </c>
      <c r="AH163" s="366">
        <f>IF(OR(AF163="",AG163=""),"",AF163-AG163)</f>
        <v>19.716970313629528</v>
      </c>
      <c r="AI163" s="364">
        <f>IF(AH163="","",IF(AH163&gt;5,3,IF(AH163&gt;0,1,IF(AH163&gt;-3,-1,-2))))</f>
        <v>3</v>
      </c>
      <c r="BA163">
        <f>IFERROR((SUM(OFFSET(高値!$E$6,IFERROR(MATCH($C163,銘柄管理!$B$6:$B$305,0),MATCH(TEXT($C163,"0"),銘柄管理!$B$6:$B$305,0))-1,0,1,14))-SUM(OFFSET(安値!$E$6,IFERROR(MATCH($C163,銘柄管理!$B$6:$B$305,0),MATCH(TEXT($C163,"0"),銘柄管理!$B$6:$B$305,0))-1,0,1,14)))/SUM(OFFSET(終値!$E$6,IFERROR(MATCH($C163,銘柄管理!$B$6:$B$305,0),MATCH(TEXT($C163,"0"),銘柄管理!$B$6:$B$305,0))-1,0,1,14))*100,"")</f>
      </c>
      <c r="BB163">
        <f>IFERROR((MAX(OFFSET(高値!$E$6,IFERROR(MATCH($C163,銘柄管理!$B$6:$B$305,0),MATCH(TEXT($C163,"0"),銘柄管理!$B$6:$B$305,0))-1,0,1,25))-MIN(OFFSET(安値!$E$6,IFERROR(MATCH($C163,銘柄管理!$B$6:$B$305,0),MATCH(TEXT($C163,"0"),銘柄管理!$B$6:$B$305,0))-1,0,1,25)))/$E163*100,"")</f>
      </c>
      <c r="BC163">
        <f>IFERROR(($F163-$G163)/$G163*100,"")</f>
      </c>
      <c r="BD163">
        <f>IFERROR(($E163-MAX(OFFSET(高値!$E$6,IFERROR(MATCH($C163,銘柄管理!$B$6:$B$305,0),MATCH(TEXT($C163,"0"),銘柄管理!$B$6:$B$305,0))-1,0,1,25)))/MAX(OFFSET(高値!$E$6,IFERROR(MATCH($C163,銘柄管理!$B$6:$B$305,0),MATCH(TEXT($C163,"0"),銘柄管理!$B$6:$B$305,0))-1,0,1,25))*100,"")</f>
      </c>
      <c r="BE163">
        <f>IFERROR(($H163-$I163)/$F163*100,"")</f>
      </c>
      <c r="BF163">
        <f>IFERROR(-(($BA163-AVERAGE($BA$3:$BA$206))/STDEV($BA$3:$BA$206))-(($BE163-AVERAGE($BE$3:$BE$206))/STDEV($BE$3:$BE$206))-(($BB163-AVERAGE($BB$3:$BB$206))/STDEV($BB$3:$BB$206))-(($Z163-AVERAGE($Z$3:$Z$206))/STDEV($Z$3:$Z$206))-(($BC163-AVERAGE($BC$3:$BC$206))/STDEV($BC$3:$BC$206)),"")</f>
      </c>
      <c r="BG163">
        <f>IF(OR($C163="",$C163="TOPX",$BA163="",$BF163=""),0,IF(AND($BK$10=1,$BA163&lt;=$BK$2,$BB163&lt;=$BK$3,$BC163&lt;=$BK$4,$Z163&lt;=$BK$5,$Z163&gt;=$BK$6,$BD163&gt;=$BK$7,$BE163&lt;=$BK$8),1,0))</f>
      </c>
      <c r="BH163">
        <f>IF($C163="","",IF($BG163=1,"○ゲート通過",IF($BK$10&lt;&gt;1,"― この方向は停止中",IF($BA163&gt;$BK$2,"×値動きが荒い",IF($BB163&gt;$BK$3,"×レンジが広い",IF($BC163&gt;$BK$4,"×窓を開けて上昇",IF($Z163&gt;$BK$5,"×前日に急騰",IF($Z163&lt;$BK$6,"×前日に急落",IF($BD163&lt;$BK$7,"×高値から離れすぎ",IF($BE163&gt;$BK$8,"×当日の値幅が大きい","×")))))))))</f>
      </c>
    </row>
    <row r="164" spans="1:60"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IF(AND(E164&lt;&gt;"",K164&lt;&gt;"",K164&lt;&gt;0),(E164-K164)/K164*100,"")</f>
        <v>-27.236180904522612</v>
      </c>
      <c r="M164" s="166">
        <f>IF(C164&lt;&gt;"",IFERROR(AVERAGE(出来高!E173:I173),""),"")</f>
        <v>37320</v>
      </c>
      <c r="N164" s="166">
        <f>IF(C164&lt;&gt;"",IFERROR(AVERAGE(出来高!E173:AC173),""),"")</f>
        <v>51466.666666666664</v>
      </c>
      <c r="O164" s="168">
        <f>IF(AND(J164&lt;&gt;"",M164&lt;&gt;"",M164&lt;&gt;0),J164/M164,"")</f>
        <v>0.969989281886388</v>
      </c>
      <c r="P164" s="163" t="str">
        <f>IF(O164="","",IF(O164&gt;=2,"急増↑↑",IF(O164&gt;=1.5,"増加↑",IF(O164&gt;=1,"普通→","減少↓"))))</f>
        <v>減少↓</v>
      </c>
      <c r="Q164" s="163" t="str">
        <f>IF(E164="","",IF(AND(E164&gt;G164,O164&gt;=1.5),"買い▲",IF(E164&lt;G164,"様子見▼","中立→")))</f>
        <v>中立→</v>
      </c>
      <c r="R164" s="166">
        <f>IF(E164&lt;&gt;"",ROUND(E164*1.08,0),"")</f>
        <v>782</v>
      </c>
      <c r="S164" s="166">
        <f>IF(E164&lt;&gt;"",ROUND(E164*0.96,0),"")</f>
        <v>695</v>
      </c>
      <c r="T164" s="163">
        <f>IF(C164="","",IFERROR(IF(O164&gt;=2,3,IF(O164&gt;=1.5,2,IF(O164&gt;=1,1,0)))+IF(E164&gt;G164,1,0)+IF(L164&gt;=-5,1,0)+IF(Q164="買い▲",2,0)+IF(W164&lt;=30,3,IF(W164&lt;=40,2,IF(AND(W164&gt;=40,W164&lt;=60),1,0)))+IF(X164&gt;0,1,0)+IF(V164="年初来高値更新●",3,IF(V164="高値圏",2,0))+IF(AD164="パーフェクト▲",3,IF(AD164="上昇トレンド▲",2,0))+IF(AE164="25日線押し目●",2,IF(AE164="5日線押し目○",1,0))+IF(P164="急増↑↑",2,IF(P164="増加↑",1,0))+N(AI164),0))</f>
        <v>1</v>
      </c>
      <c r="U164" s="163" t="str">
        <f>IF(T164="","",IF(AND(T164&gt;=3,O164&gt;=1.5),"有効",IF(T164&gt;=3,"要確認","除外")))</f>
        <v>除外</v>
      </c>
      <c r="V164" s="163" t="str">
        <f>IF(AND(H164&lt;&gt;"",K164&lt;&gt;""),IF(H164&gt;=K164,"年初来高値更新●",IF(H164&gt;=K164*0.95,"高値圏","通常")),"")</f>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IF(AND(E164&lt;&gt;"",G164&lt;&gt;"",G164&lt;&gt;0),(E164-G164)/G164*100,"")</f>
        <v>1.5427769985974753</v>
      </c>
      <c r="AA164" s="163" t="str">
        <f>IF(OR(C164="",E164="",E164=0),"",IF(E164&gt;G164,"上昇▲",IF(E164&lt;G164,"下落▼","横ばい→")))</f>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IF(OR(C164="",AB164="",AC164=""),"",IF(AND(E164&gt;AB164,AB164&gt;AC164),"パーフェクト▲",IF(E164&gt;AC164,"上昇トレンド▲",IF(AND(E164&lt;AB164,AB164&lt;AC164),"下降トレンド▼","もみ合い→"))))</f>
        <v>下降トレンド▼</v>
      </c>
      <c r="AE164" s="404" t="str">
        <f>IF(OR(C164="",AB164="",AC164=""),"",IF(AND(ABS(E164-AC164)/AC164&lt;=0.02,E164&gt;AC164),"25日押し目★",IF(AND(ABS(E164-AB164)/AB164&lt;=0.01,E164&gt;AB164),"5日押し目○","なし")))</f>
        <v>なし</v>
      </c>
      <c r="AF164" s="365">
        <f t="array" ref="AF164">IF(C164="","",IFERROR((INDEX(終値!$E:$E,MATCH(TEXT(C164,"0"),終値!$A:$A,0))-INDEX(終値!$E:$CZ,MATCH(TEXT(C164,"0"),終値!$A:$A,0),$AL$2))/INDEX(終値!$E:$CZ,MATCH(TEXT(C164,"0"),終値!$A:$A,0),$AL$2)*100,""))</f>
        <v>0.83565459610027859</v>
      </c>
      <c r="AG164" s="365">
        <f t="array" ref="AG164">IFERROR((終値!$E$5-INDEX(終値!$E$5:$IT$5,1,$AL$2))/INDEX(終値!$E$5:$IT$5,1,$AL$2)*100,"")</f>
        <v>1.0179378228534113</v>
      </c>
      <c r="AH164" s="366">
        <f>IF(OR(AF164="",AG164=""),"",AF164-AG164)</f>
        <v>-0.18228322675313269</v>
      </c>
      <c r="AI164" s="364">
        <f>IF(AH164="","",IF(AH164&gt;5,3,IF(AH164&gt;0,1,IF(AH164&gt;-3,-1,-2))))</f>
        <v>-1</v>
      </c>
      <c r="BA164">
        <f>IFERROR((SUM(OFFSET(高値!$E$6,IFERROR(MATCH($C164,銘柄管理!$B$6:$B$305,0),MATCH(TEXT($C164,"0"),銘柄管理!$B$6:$B$305,0))-1,0,1,14))-SUM(OFFSET(安値!$E$6,IFERROR(MATCH($C164,銘柄管理!$B$6:$B$305,0),MATCH(TEXT($C164,"0"),銘柄管理!$B$6:$B$305,0))-1,0,1,14)))/SUM(OFFSET(終値!$E$6,IFERROR(MATCH($C164,銘柄管理!$B$6:$B$305,0),MATCH(TEXT($C164,"0"),銘柄管理!$B$6:$B$305,0))-1,0,1,14))*100,"")</f>
      </c>
      <c r="BB164">
        <f>IFERROR((MAX(OFFSET(高値!$E$6,IFERROR(MATCH($C164,銘柄管理!$B$6:$B$305,0),MATCH(TEXT($C164,"0"),銘柄管理!$B$6:$B$305,0))-1,0,1,25))-MIN(OFFSET(安値!$E$6,IFERROR(MATCH($C164,銘柄管理!$B$6:$B$305,0),MATCH(TEXT($C164,"0"),銘柄管理!$B$6:$B$305,0))-1,0,1,25)))/$E164*100,"")</f>
      </c>
      <c r="BC164">
        <f>IFERROR(($F164-$G164)/$G164*100,"")</f>
      </c>
      <c r="BD164">
        <f>IFERROR(($E164-MAX(OFFSET(高値!$E$6,IFERROR(MATCH($C164,銘柄管理!$B$6:$B$305,0),MATCH(TEXT($C164,"0"),銘柄管理!$B$6:$B$305,0))-1,0,1,25)))/MAX(OFFSET(高値!$E$6,IFERROR(MATCH($C164,銘柄管理!$B$6:$B$305,0),MATCH(TEXT($C164,"0"),銘柄管理!$B$6:$B$305,0))-1,0,1,25))*100,"")</f>
      </c>
      <c r="BE164">
        <f>IFERROR(($H164-$I164)/$F164*100,"")</f>
      </c>
      <c r="BF164">
        <f>IFERROR(-(($BA164-AVERAGE($BA$3:$BA$206))/STDEV($BA$3:$BA$206))-(($BE164-AVERAGE($BE$3:$BE$206))/STDEV($BE$3:$BE$206))-(($BB164-AVERAGE($BB$3:$BB$206))/STDEV($BB$3:$BB$206))-(($Z164-AVERAGE($Z$3:$Z$206))/STDEV($Z$3:$Z$206))-(($BC164-AVERAGE($BC$3:$BC$206))/STDEV($BC$3:$BC$206)),"")</f>
      </c>
      <c r="BG164">
        <f>IF(OR($C164="",$C164="TOPX",$BA164="",$BF164=""),0,IF(AND($BK$10=1,$BA164&lt;=$BK$2,$BB164&lt;=$BK$3,$BC164&lt;=$BK$4,$Z164&lt;=$BK$5,$Z164&gt;=$BK$6,$BD164&gt;=$BK$7,$BE164&lt;=$BK$8),1,0))</f>
      </c>
      <c r="BH164">
        <f>IF($C164="","",IF($BG164=1,"○ゲート通過",IF($BK$10&lt;&gt;1,"― この方向は停止中",IF($BA164&gt;$BK$2,"×値動きが荒い",IF($BB164&gt;$BK$3,"×レンジが広い",IF($BC164&gt;$BK$4,"×窓を開けて上昇",IF($Z164&gt;$BK$5,"×前日に急騰",IF($Z164&lt;$BK$6,"×前日に急落",IF($BD164&lt;$BK$7,"×高値から離れすぎ",IF($BE164&gt;$BK$8,"×当日の値幅が大きい","×")))))))))</f>
      </c>
    </row>
    <row r="165" spans="1:60"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IF(AND(E165&lt;&gt;"",K165&lt;&gt;"",K165&lt;&gt;0),(E165-K165)/K165*100,"")</f>
        <v>-10.643564356435643</v>
      </c>
      <c r="M165" s="166">
        <f>IF(C165&lt;&gt;"",IFERROR(AVERAGE(出来高!E160:I160),""),"")</f>
        <v>1175520</v>
      </c>
      <c r="N165" s="166">
        <f>IF(C165&lt;&gt;"",IFERROR(AVERAGE(出来高!E160:AC160),""),"")</f>
        <v>1149560</v>
      </c>
      <c r="O165" s="168">
        <f>IF(AND(J165&lt;&gt;"",M165&lt;&gt;"",M165&lt;&gt;0),J165/M165,"")</f>
        <v>0.95608751871512176</v>
      </c>
      <c r="P165" s="163" t="str">
        <f>IF(O165="","",IF(O165&gt;=2,"急増↑↑",IF(O165&gt;=1.5,"増加↑",IF(O165&gt;=1,"普通→","減少↓"))))</f>
        <v>減少↓</v>
      </c>
      <c r="Q165" s="163" t="str">
        <f>IF(E165="","",IF(AND(E165&gt;G165,O165&gt;=1.5),"買い▲",IF(E165&lt;G165,"様子見▼","中立→")))</f>
        <v>中立→</v>
      </c>
      <c r="R165" s="166">
        <f>IF(E165&lt;&gt;"",ROUND(E165*1.08,0),"")</f>
        <v>1170</v>
      </c>
      <c r="S165" s="166">
        <f>IF(E165&lt;&gt;"",ROUND(E165*0.96,0),"")</f>
        <v>1040</v>
      </c>
      <c r="T165" s="163">
        <f>IF(C165="","",IFERROR(IF(O165&gt;=2,3,IF(O165&gt;=1.5,2,IF(O165&gt;=1,1,0)))+IF(E165&gt;G165,1,0)+IF(L165&gt;=-5,1,0)+IF(Q165="買い▲",2,0)+IF(W165&lt;=30,3,IF(W165&lt;=40,2,IF(AND(W165&gt;=40,W165&lt;=60),1,0)))+IF(X165&gt;0,1,0)+IF(V165="年初来高値更新●",3,IF(V165="高値圏",2,0))+IF(AD165="パーフェクト▲",3,IF(AD165="上昇トレンド▲",2,0))+IF(AE165="25日線押し目●",2,IF(AE165="5日線押し目○",1,0))+IF(P165="急増↑↑",2,IF(P165="増加↑",1,0))+N(AI165),0))</f>
        <v>6</v>
      </c>
      <c r="U165" s="163" t="str">
        <f>IF(T165="","",IF(AND(T165&gt;=3,O165&gt;=1.5),"有効",IF(T165&gt;=3,"要確認","除外")))</f>
        <v>要確認</v>
      </c>
      <c r="V165" s="163" t="str">
        <f>IF(AND(H165&lt;&gt;"",K165&lt;&gt;""),IF(H165&gt;=K165,"年初来高値更新●",IF(H165&gt;=K165*0.95,"高値圏","通常")),"")</f>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IF(AND(E165&lt;&gt;"",G165&lt;&gt;"",G165&lt;&gt;0),(E165-G165)/G165*100,"")</f>
        <v>1.3096351730589337</v>
      </c>
      <c r="AA165" s="163" t="str">
        <f>IF(OR(C165="",E165="",E165=0),"",IF(E165&gt;G165,"上昇▲",IF(E165&lt;G165,"下落▼","横ばい→")))</f>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IF(OR(C165="",AB165="",AC165=""),"",IF(AND(E165&gt;AB165,AB165&gt;AC165),"パーフェクト▲",IF(E165&gt;AC165,"上昇トレンド▲",IF(AND(E165&lt;AB165,AB165&lt;AC165),"下降トレンド▼","もみ合い→"))))</f>
        <v>もみ合い→</v>
      </c>
      <c r="AE165" s="406" t="str">
        <f>IF(OR(C165="",AB165="",AC165=""),"",IF(AND(ABS(E165-AC165)/AC165&lt;=0.02,E165&gt;AC165),"25日押し目★",IF(AND(ABS(E165-AB165)/AB165&lt;=0.01,E165&gt;AB165),"5日押し目○","なし")))</f>
        <v>なし</v>
      </c>
      <c r="AF165" s="365">
        <f t="array" ref="AF165">IF(C165="","",IFERROR((INDEX(終値!$E:$E,MATCH(TEXT(C165,"0"),終値!$A:$A,0))-INDEX(終値!$E:$CZ,MATCH(TEXT(C165,"0"),終値!$A:$A,0),$AL$2))/INDEX(終値!$E:$CZ,MATCH(TEXT(C165,"0"),終値!$A:$A,0),$AL$2)*100,""))</f>
        <v>14.603174603174605</v>
      </c>
      <c r="AG165" s="365">
        <f t="array" ref="AG165">IFERROR((終値!$E$5-INDEX(終値!$E$5:$IT$5,1,$AL$2))/INDEX(終値!$E$5:$IT$5,1,$AL$2)*100,"")</f>
        <v>1.0179378228534113</v>
      </c>
      <c r="AH165" s="366">
        <f>IF(OR(AF165="",AG165=""),"",AF165-AG165)</f>
        <v>13.585236780321193</v>
      </c>
      <c r="AI165" s="364">
        <f>IF(AH165="","",IF(AH165&gt;5,3,IF(AH165&gt;0,1,IF(AH165&gt;-3,-1,-2))))</f>
        <v>3</v>
      </c>
      <c r="BA165">
        <f>IFERROR((SUM(OFFSET(高値!$E$6,IFERROR(MATCH($C165,銘柄管理!$B$6:$B$305,0),MATCH(TEXT($C165,"0"),銘柄管理!$B$6:$B$305,0))-1,0,1,14))-SUM(OFFSET(安値!$E$6,IFERROR(MATCH($C165,銘柄管理!$B$6:$B$305,0),MATCH(TEXT($C165,"0"),銘柄管理!$B$6:$B$305,0))-1,0,1,14)))/SUM(OFFSET(終値!$E$6,IFERROR(MATCH($C165,銘柄管理!$B$6:$B$305,0),MATCH(TEXT($C165,"0"),銘柄管理!$B$6:$B$305,0))-1,0,1,14))*100,"")</f>
      </c>
      <c r="BB165">
        <f>IFERROR((MAX(OFFSET(高値!$E$6,IFERROR(MATCH($C165,銘柄管理!$B$6:$B$305,0),MATCH(TEXT($C165,"0"),銘柄管理!$B$6:$B$305,0))-1,0,1,25))-MIN(OFFSET(安値!$E$6,IFERROR(MATCH($C165,銘柄管理!$B$6:$B$305,0),MATCH(TEXT($C165,"0"),銘柄管理!$B$6:$B$305,0))-1,0,1,25)))/$E165*100,"")</f>
      </c>
      <c r="BC165">
        <f>IFERROR(($F165-$G165)/$G165*100,"")</f>
      </c>
      <c r="BD165">
        <f>IFERROR(($E165-MAX(OFFSET(高値!$E$6,IFERROR(MATCH($C165,銘柄管理!$B$6:$B$305,0),MATCH(TEXT($C165,"0"),銘柄管理!$B$6:$B$305,0))-1,0,1,25)))/MAX(OFFSET(高値!$E$6,IFERROR(MATCH($C165,銘柄管理!$B$6:$B$305,0),MATCH(TEXT($C165,"0"),銘柄管理!$B$6:$B$305,0))-1,0,1,25))*100,"")</f>
      </c>
      <c r="BE165">
        <f>IFERROR(($H165-$I165)/$F165*100,"")</f>
      </c>
      <c r="BF165">
        <f>IFERROR(-(($BA165-AVERAGE($BA$3:$BA$206))/STDEV($BA$3:$BA$206))-(($BE165-AVERAGE($BE$3:$BE$206))/STDEV($BE$3:$BE$206))-(($BB165-AVERAGE($BB$3:$BB$206))/STDEV($BB$3:$BB$206))-(($Z165-AVERAGE($Z$3:$Z$206))/STDEV($Z$3:$Z$206))-(($BC165-AVERAGE($BC$3:$BC$206))/STDEV($BC$3:$BC$206)),"")</f>
      </c>
      <c r="BG165">
        <f>IF(OR($C165="",$C165="TOPX",$BA165="",$BF165=""),0,IF(AND($BK$10=1,$BA165&lt;=$BK$2,$BB165&lt;=$BK$3,$BC165&lt;=$BK$4,$Z165&lt;=$BK$5,$Z165&gt;=$BK$6,$BD165&gt;=$BK$7,$BE165&lt;=$BK$8),1,0))</f>
      </c>
      <c r="BH165">
        <f>IF($C165="","",IF($BG165=1,"○ゲート通過",IF($BK$10&lt;&gt;1,"― この方向は停止中",IF($BA165&gt;$BK$2,"×値動きが荒い",IF($BB165&gt;$BK$3,"×レンジが広い",IF($BC165&gt;$BK$4,"×窓を開けて上昇",IF($Z165&gt;$BK$5,"×前日に急騰",IF($Z165&lt;$BK$6,"×前日に急落",IF($BD165&lt;$BK$7,"×高値から離れすぎ",IF($BE165&gt;$BK$8,"×当日の値幅が大きい","×")))))))))</f>
      </c>
    </row>
    <row r="166" spans="1:60"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IF(AND(E166&lt;&gt;"",K166&lt;&gt;"",K166&lt;&gt;0),(E166-K166)/K166*100,"")</f>
        <v>-24.793650793650794</v>
      </c>
      <c r="M166" s="166">
        <f>IF(C166&lt;&gt;"",IFERROR(AVERAGE(出来高!E150:I150),""),"")</f>
        <v>4527780</v>
      </c>
      <c r="N166" s="166">
        <f>IF(C166&lt;&gt;"",IFERROR(AVERAGE(出来高!E150:AC150),""),"")</f>
        <v>3053824</v>
      </c>
      <c r="O166" s="168">
        <f>IF(AND(J166&lt;&gt;"",M166&lt;&gt;"",M166&lt;&gt;0),J166/M166,"")</f>
        <v>0.69064751379263123</v>
      </c>
      <c r="P166" s="163" t="str">
        <f>IF(O166="","",IF(O166&gt;=2,"急増↑↑",IF(O166&gt;=1.5,"増加↑",IF(O166&gt;=1,"普通→","減少↓"))))</f>
        <v>減少↓</v>
      </c>
      <c r="Q166" s="163" t="str">
        <f>IF(E166="","",IF(AND(E166&gt;G166,O166&gt;=1.5),"買い▲",IF(E166&lt;G166,"様子見▼","中立→")))</f>
        <v>中立→</v>
      </c>
      <c r="R166" s="166">
        <f>IF(E166&lt;&gt;"",ROUND(E166*1.08,0),"")</f>
        <v>5117</v>
      </c>
      <c r="S166" s="166">
        <f>IF(E166&lt;&gt;"",ROUND(E166*0.96,0),"")</f>
        <v>4548</v>
      </c>
      <c r="T166" s="163">
        <f>IF(C166="","",IFERROR(IF(O166&gt;=2,3,IF(O166&gt;=1.5,2,IF(O166&gt;=1,1,0)))+IF(E166&gt;G166,1,0)+IF(L166&gt;=-5,1,0)+IF(Q166="買い▲",2,0)+IF(W166&lt;=30,3,IF(W166&lt;=40,2,IF(AND(W166&gt;=40,W166&lt;=60),1,0)))+IF(X166&gt;0,1,0)+IF(V166="年初来高値更新●",3,IF(V166="高値圏",2,0))+IF(AD166="パーフェクト▲",3,IF(AD166="上昇トレンド▲",2,0))+IF(AE166="25日線押し目●",2,IF(AE166="5日線押し目○",1,0))+IF(P166="急増↑↑",2,IF(P166="増加↑",1,0))+N(AI166),0))</f>
        <v>6</v>
      </c>
      <c r="U166" s="163" t="str">
        <f>IF(T166="","",IF(AND(T166&gt;=3,O166&gt;=1.5),"有効",IF(T166&gt;=3,"要確認","除外")))</f>
        <v>要確認</v>
      </c>
      <c r="V166" s="163" t="str">
        <f>IF(AND(H166&lt;&gt;"",K166&lt;&gt;""),IF(H166&gt;=K166,"年初来高値更新●",IF(H166&gt;=K166*0.95,"高値圏","通常")),"")</f>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IF(AND(E166&lt;&gt;"",G166&lt;&gt;"",G166&lt;&gt;0),(E166-G166)/G166*100,"")</f>
        <v>3.6761487964989055</v>
      </c>
      <c r="AA166" s="163" t="str">
        <f>IF(OR(C166="",E166="",E166=0),"",IF(E166&gt;G166,"上昇▲",IF(E166&lt;G166,"下落▼","横ばい→")))</f>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IF(OR(C166="",AB166="",AC166=""),"",IF(AND(E166&gt;AB166,AB166&gt;AC166),"パーフェクト▲",IF(E166&gt;AC166,"上昇トレンド▲",IF(AND(E166&lt;AB166,AB166&lt;AC166),"下降トレンド▼","もみ合い→"))))</f>
        <v>パーフェクト▲</v>
      </c>
      <c r="AE166" s="404" t="str">
        <f>IF(OR(C166="",AB166="",AC166=""),"",IF(AND(ABS(E166-AC166)/AC166&lt;=0.02,E166&gt;AC166),"25日押し目★",IF(AND(ABS(E166-AB166)/AB166&lt;=0.01,E166&gt;AB166),"5日押し目○","なし")))</f>
        <v>なし</v>
      </c>
      <c r="AF166" s="365">
        <f t="array" ref="AF166">IF(C166="","",IFERROR((INDEX(終値!$E:$E,MATCH(TEXT(C166,"0"),終値!$A:$A,0))-INDEX(終値!$E:$CZ,MATCH(TEXT(C166,"0"),終値!$A:$A,0),$AL$2))/INDEX(終値!$E:$CZ,MATCH(TEXT(C166,"0"),終値!$A:$A,0),$AL$2)*100,""))</f>
        <v>4.1089870358163045</v>
      </c>
      <c r="AG166" s="365">
        <f t="array" ref="AG166">IFERROR((終値!$E$5-INDEX(終値!$E$5:$IT$5,1,$AL$2))/INDEX(終値!$E$5:$IT$5,1,$AL$2)*100,"")</f>
        <v>1.0179378228534113</v>
      </c>
      <c r="AH166" s="366">
        <f>IF(OR(AF166="",AG166=""),"",AF166-AG166)</f>
        <v>3.0910492129628935</v>
      </c>
      <c r="AI166" s="364">
        <f>IF(AH166="","",IF(AH166&gt;5,3,IF(AH166&gt;0,1,IF(AH166&gt;-3,-1,-2))))</f>
        <v>1</v>
      </c>
      <c r="BA166">
        <f>IFERROR((SUM(OFFSET(高値!$E$6,IFERROR(MATCH($C166,銘柄管理!$B$6:$B$305,0),MATCH(TEXT($C166,"0"),銘柄管理!$B$6:$B$305,0))-1,0,1,14))-SUM(OFFSET(安値!$E$6,IFERROR(MATCH($C166,銘柄管理!$B$6:$B$305,0),MATCH(TEXT($C166,"0"),銘柄管理!$B$6:$B$305,0))-1,0,1,14)))/SUM(OFFSET(終値!$E$6,IFERROR(MATCH($C166,銘柄管理!$B$6:$B$305,0),MATCH(TEXT($C166,"0"),銘柄管理!$B$6:$B$305,0))-1,0,1,14))*100,"")</f>
      </c>
      <c r="BB166">
        <f>IFERROR((MAX(OFFSET(高値!$E$6,IFERROR(MATCH($C166,銘柄管理!$B$6:$B$305,0),MATCH(TEXT($C166,"0"),銘柄管理!$B$6:$B$305,0))-1,0,1,25))-MIN(OFFSET(安値!$E$6,IFERROR(MATCH($C166,銘柄管理!$B$6:$B$305,0),MATCH(TEXT($C166,"0"),銘柄管理!$B$6:$B$305,0))-1,0,1,25)))/$E166*100,"")</f>
      </c>
      <c r="BC166">
        <f>IFERROR(($F166-$G166)/$G166*100,"")</f>
      </c>
      <c r="BD166">
        <f>IFERROR(($E166-MAX(OFFSET(高値!$E$6,IFERROR(MATCH($C166,銘柄管理!$B$6:$B$305,0),MATCH(TEXT($C166,"0"),銘柄管理!$B$6:$B$305,0))-1,0,1,25)))/MAX(OFFSET(高値!$E$6,IFERROR(MATCH($C166,銘柄管理!$B$6:$B$305,0),MATCH(TEXT($C166,"0"),銘柄管理!$B$6:$B$305,0))-1,0,1,25))*100,"")</f>
      </c>
      <c r="BE166">
        <f>IFERROR(($H166-$I166)/$F166*100,"")</f>
      </c>
      <c r="BF166">
        <f>IFERROR(-(($BA166-AVERAGE($BA$3:$BA$206))/STDEV($BA$3:$BA$206))-(($BE166-AVERAGE($BE$3:$BE$206))/STDEV($BE$3:$BE$206))-(($BB166-AVERAGE($BB$3:$BB$206))/STDEV($BB$3:$BB$206))-(($Z166-AVERAGE($Z$3:$Z$206))/STDEV($Z$3:$Z$206))-(($BC166-AVERAGE($BC$3:$BC$206))/STDEV($BC$3:$BC$206)),"")</f>
      </c>
      <c r="BG166">
        <f>IF(OR($C166="",$C166="TOPX",$BA166="",$BF166=""),0,IF(AND($BK$10=1,$BA166&lt;=$BK$2,$BB166&lt;=$BK$3,$BC166&lt;=$BK$4,$Z166&lt;=$BK$5,$Z166&gt;=$BK$6,$BD166&gt;=$BK$7,$BE166&lt;=$BK$8),1,0))</f>
      </c>
      <c r="BH166">
        <f>IF($C166="","",IF($BG166=1,"○ゲート通過",IF($BK$10&lt;&gt;1,"― この方向は停止中",IF($BA166&gt;$BK$2,"×値動きが荒い",IF($BB166&gt;$BK$3,"×レンジが広い",IF($BC166&gt;$BK$4,"×窓を開けて上昇",IF($Z166&gt;$BK$5,"×前日に急騰",IF($Z166&lt;$BK$6,"×前日に急落",IF($BD166&lt;$BK$7,"×高値から離れすぎ",IF($BE166&gt;$BK$8,"×当日の値幅が大きい","×")))))))))</f>
      </c>
    </row>
    <row r="167" spans="1:60"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IF(AND(E167&lt;&gt;"",K167&lt;&gt;"",K167&lt;&gt;0),(E167-K167)/K167*100,"")</f>
        <v>-3.8945233265720081</v>
      </c>
      <c r="M167" s="166">
        <f>IF(C167&lt;&gt;"",IFERROR(AVERAGE(出来高!E98:I98),""),"")</f>
        <v>8540860</v>
      </c>
      <c r="N167" s="166">
        <f>IF(C167&lt;&gt;"",IFERROR(AVERAGE(出来高!E98:AC98),""),"")</f>
        <v>6489016.666666667</v>
      </c>
      <c r="O167" s="168">
        <f>IF(AND(J167&lt;&gt;"",M167&lt;&gt;"",M167&lt;&gt;0),J167/M167,"")</f>
        <v>0.57582023355961809</v>
      </c>
      <c r="P167" s="163" t="str">
        <f>IF(O167="","",IF(O167&gt;=2,"急増↑↑",IF(O167&gt;=1.5,"増加↑",IF(O167&gt;=1,"普通→","減少↓"))))</f>
        <v>減少↓</v>
      </c>
      <c r="Q167" s="163" t="str">
        <f>IF(E167="","",IF(AND(E167&gt;G167,O167&gt;=1.5),"買い▲",IF(E167&lt;G167,"様子見▼","中立→")))</f>
        <v>中立→</v>
      </c>
      <c r="R167" s="166">
        <f>IF(E167&lt;&gt;"",ROUND(E167*1.08,0),"")</f>
        <v>1279</v>
      </c>
      <c r="S167" s="166">
        <f>IF(E167&lt;&gt;"",ROUND(E167*0.96,0),"")</f>
        <v>1137</v>
      </c>
      <c r="T167" s="163">
        <f>IF(C167="","",IFERROR(IF(O167&gt;=2,3,IF(O167&gt;=1.5,2,IF(O167&gt;=1,1,0)))+IF(E167&gt;G167,1,0)+IF(L167&gt;=-5,1,0)+IF(Q167="買い▲",2,0)+IF(W167&lt;=30,3,IF(W167&lt;=40,2,IF(AND(W167&gt;=40,W167&lt;=60),1,0)))+IF(X167&gt;0,1,0)+IF(V167="年初来高値更新●",3,IF(V167="高値圏",2,0))+IF(AD167="パーフェクト▲",3,IF(AD167="上昇トレンド▲",2,0))+IF(AE167="25日線押し目●",2,IF(AE167="5日線押し目○",1,0))+IF(P167="急増↑↑",2,IF(P167="増加↑",1,0))+N(AI167),0))</f>
        <v>10</v>
      </c>
      <c r="U167" s="163" t="str">
        <f>IF(T167="","",IF(AND(T167&gt;=3,O167&gt;=1.5),"有効",IF(T167&gt;=3,"要確認","除外")))</f>
        <v>要確認</v>
      </c>
      <c r="V167" s="163" t="str">
        <f>IF(AND(H167&lt;&gt;"",K167&lt;&gt;""),IF(H167&gt;=K167,"年初来高値更新●",IF(H167&gt;=K167*0.95,"高値圏","通常")),"")</f>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IF(AND(E167&lt;&gt;"",G167&lt;&gt;"",G167&lt;&gt;0),(E167-G167)/G167*100,"")</f>
        <v>2.59852750108272</v>
      </c>
      <c r="AA167" s="163" t="str">
        <f>IF(OR(C167="",E167="",E167=0),"",IF(E167&gt;G167,"上昇▲",IF(E167&lt;G167,"下落▼","横ばい→")))</f>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IF(OR(C167="",AB167="",AC167=""),"",IF(AND(E167&gt;AB167,AB167&gt;AC167),"パーフェクト▲",IF(E167&gt;AC167,"上昇トレンド▲",IF(AND(E167&lt;AB167,AB167&lt;AC167),"下降トレンド▼","もみ合い→"))))</f>
        <v>上昇トレンド▲</v>
      </c>
      <c r="AE167" s="406" t="str">
        <f>IF(OR(C167="",AB167="",AC167=""),"",IF(AND(ABS(E167-AC167)/AC167&lt;=0.02,E167&gt;AC167),"25日押し目★",IF(AND(ABS(E167-AB167)/AB167&lt;=0.01,E167&gt;AB167),"5日押し目○","なし")))</f>
        <v>なし</v>
      </c>
      <c r="AF167" s="365">
        <f t="array" ref="AF167">IF(C167="","",IFERROR((INDEX(終値!$E:$E,MATCH(TEXT(C167,"0"),終値!$A:$A,0))-INDEX(終値!$E:$CZ,MATCH(TEXT(C167,"0"),終値!$A:$A,0),$AL$2))/INDEX(終値!$E:$CZ,MATCH(TEXT(C167,"0"),終値!$A:$A,0),$AL$2)*100,""))</f>
        <v>6.2331838565022419</v>
      </c>
      <c r="AG167" s="365">
        <f t="array" ref="AG167">IFERROR((終値!$E$5-INDEX(終値!$E$5:$IT$5,1,$AL$2))/INDEX(終値!$E$5:$IT$5,1,$AL$2)*100,"")</f>
        <v>1.0179378228534113</v>
      </c>
      <c r="AH167" s="366">
        <f>IF(OR(AF167="",AG167=""),"",AF167-AG167)</f>
        <v>5.2152460336488309</v>
      </c>
      <c r="AI167" s="364">
        <f>IF(AH167="","",IF(AH167&gt;5,3,IF(AH167&gt;0,1,IF(AH167&gt;-3,-1,-2))))</f>
        <v>3</v>
      </c>
      <c r="BA167">
        <f>IFERROR((SUM(OFFSET(高値!$E$6,IFERROR(MATCH($C167,銘柄管理!$B$6:$B$305,0),MATCH(TEXT($C167,"0"),銘柄管理!$B$6:$B$305,0))-1,0,1,14))-SUM(OFFSET(安値!$E$6,IFERROR(MATCH($C167,銘柄管理!$B$6:$B$305,0),MATCH(TEXT($C167,"0"),銘柄管理!$B$6:$B$305,0))-1,0,1,14)))/SUM(OFFSET(終値!$E$6,IFERROR(MATCH($C167,銘柄管理!$B$6:$B$305,0),MATCH(TEXT($C167,"0"),銘柄管理!$B$6:$B$305,0))-1,0,1,14))*100,"")</f>
      </c>
      <c r="BB167">
        <f>IFERROR((MAX(OFFSET(高値!$E$6,IFERROR(MATCH($C167,銘柄管理!$B$6:$B$305,0),MATCH(TEXT($C167,"0"),銘柄管理!$B$6:$B$305,0))-1,0,1,25))-MIN(OFFSET(安値!$E$6,IFERROR(MATCH($C167,銘柄管理!$B$6:$B$305,0),MATCH(TEXT($C167,"0"),銘柄管理!$B$6:$B$305,0))-1,0,1,25)))/$E167*100,"")</f>
      </c>
      <c r="BC167">
        <f>IFERROR(($F167-$G167)/$G167*100,"")</f>
      </c>
      <c r="BD167">
        <f>IFERROR(($E167-MAX(OFFSET(高値!$E$6,IFERROR(MATCH($C167,銘柄管理!$B$6:$B$305,0),MATCH(TEXT($C167,"0"),銘柄管理!$B$6:$B$305,0))-1,0,1,25)))/MAX(OFFSET(高値!$E$6,IFERROR(MATCH($C167,銘柄管理!$B$6:$B$305,0),MATCH(TEXT($C167,"0"),銘柄管理!$B$6:$B$305,0))-1,0,1,25))*100,"")</f>
      </c>
      <c r="BE167">
        <f>IFERROR(($H167-$I167)/$F167*100,"")</f>
      </c>
      <c r="BF167">
        <f>IFERROR(-(($BA167-AVERAGE($BA$3:$BA$206))/STDEV($BA$3:$BA$206))-(($BE167-AVERAGE($BE$3:$BE$206))/STDEV($BE$3:$BE$206))-(($BB167-AVERAGE($BB$3:$BB$206))/STDEV($BB$3:$BB$206))-(($Z167-AVERAGE($Z$3:$Z$206))/STDEV($Z$3:$Z$206))-(($BC167-AVERAGE($BC$3:$BC$206))/STDEV($BC$3:$BC$206)),"")</f>
      </c>
      <c r="BG167">
        <f>IF(OR($C167="",$C167="TOPX",$BA167="",$BF167=""),0,IF(AND($BK$10=1,$BA167&lt;=$BK$2,$BB167&lt;=$BK$3,$BC167&lt;=$BK$4,$Z167&lt;=$BK$5,$Z167&gt;=$BK$6,$BD167&gt;=$BK$7,$BE167&lt;=$BK$8),1,0))</f>
      </c>
      <c r="BH167">
        <f>IF($C167="","",IF($BG167=1,"○ゲート通過",IF($BK$10&lt;&gt;1,"― この方向は停止中",IF($BA167&gt;$BK$2,"×値動きが荒い",IF($BB167&gt;$BK$3,"×レンジが広い",IF($BC167&gt;$BK$4,"×窓を開けて上昇",IF($Z167&gt;$BK$5,"×前日に急騰",IF($Z167&lt;$BK$6,"×前日に急落",IF($BD167&lt;$BK$7,"×高値から離れすぎ",IF($BE167&gt;$BK$8,"×当日の値幅が大きい","×")))))))))</f>
      </c>
    </row>
    <row r="168" spans="1:60"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IF(AND(E168&lt;&gt;"",K168&lt;&gt;"",K168&lt;&gt;0),(E168-K168)/K168*100,"")</f>
        <v>-21.610317183687698</v>
      </c>
      <c r="M168" s="166">
        <f>IF(C168&lt;&gt;"",IFERROR(AVERAGE(出来高!E97:I97),""),"")</f>
        <v>1463180</v>
      </c>
      <c r="N168" s="166">
        <f>IF(C168&lt;&gt;"",IFERROR(AVERAGE(出来高!E97:AC97),""),"")</f>
        <v>1115108</v>
      </c>
      <c r="O168" s="168">
        <f>IF(AND(J168&lt;&gt;"",M168&lt;&gt;"",M168&lt;&gt;0),J168/M168,"")</f>
        <v>0.71788843477904296</v>
      </c>
      <c r="P168" s="163" t="str">
        <f>IF(O168="","",IF(O168&gt;=2,"急増↑↑",IF(O168&gt;=1.5,"増加↑",IF(O168&gt;=1,"普通→","減少↓"))))</f>
        <v>減少↓</v>
      </c>
      <c r="Q168" s="163" t="str">
        <f>IF(E168="","",IF(AND(E168&gt;G168,O168&gt;=1.5),"買い▲",IF(E168&lt;G168,"様子見▼","中立→")))</f>
        <v>様子見▼</v>
      </c>
      <c r="R168" s="166">
        <f>IF(E168&lt;&gt;"",ROUND(E168*1.08,0),"")</f>
        <v>4858</v>
      </c>
      <c r="S168" s="166">
        <f>IF(E168&lt;&gt;"",ROUND(E168*0.96,0),"")</f>
        <v>4318</v>
      </c>
      <c r="T168" s="163">
        <f>IF(C168="","",IFERROR(IF(O168&gt;=2,3,IF(O168&gt;=1.5,2,IF(O168&gt;=1,1,0)))+IF(E168&gt;G168,1,0)+IF(L168&gt;=-5,1,0)+IF(Q168="買い▲",2,0)+IF(W168&lt;=30,3,IF(W168&lt;=40,2,IF(AND(W168&gt;=40,W168&lt;=60),1,0)))+IF(X168&gt;0,1,0)+IF(V168="年初来高値更新●",3,IF(V168="高値圏",2,0))+IF(AD168="パーフェクト▲",3,IF(AD168="上昇トレンド▲",2,0))+IF(AE168="25日線押し目●",2,IF(AE168="5日線押し目○",1,0))+IF(P168="急増↑↑",2,IF(P168="増加↑",1,0))+N(AI168),0))</f>
        <v>1</v>
      </c>
      <c r="U168" s="163" t="str">
        <f>IF(T168="","",IF(AND(T168&gt;=3,O168&gt;=1.5),"有効",IF(T168&gt;=3,"要確認","除外")))</f>
        <v>除外</v>
      </c>
      <c r="V168" s="163" t="str">
        <f>IF(AND(H168&lt;&gt;"",K168&lt;&gt;""),IF(H168&gt;=K168,"年初来高値更新●",IF(H168&gt;=K168*0.95,"高値圏","通常")),"")</f>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IF(AND(E168&lt;&gt;"",G168&lt;&gt;"",G168&lt;&gt;0),(E168-G168)/G168*100,"")</f>
        <v>-4.1142613515241955</v>
      </c>
      <c r="AA168" s="163" t="str">
        <f>IF(OR(C168="",E168="",E168=0),"",IF(E168&gt;G168,"上昇▲",IF(E168&lt;G168,"下落▼","横ばい→")))</f>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IF(OR(C168="",AB168="",AC168=""),"",IF(AND(E168&gt;AB168,AB168&gt;AC168),"パーフェクト▲",IF(E168&gt;AC168,"上昇トレンド▲",IF(AND(E168&lt;AB168,AB168&lt;AC168),"下降トレンド▼","もみ合い→"))))</f>
        <v>上昇トレンド▲</v>
      </c>
      <c r="AE168" s="404" t="str">
        <f>IF(OR(C168="",AB168="",AC168=""),"",IF(AND(ABS(E168-AC168)/AC168&lt;=0.02,E168&gt;AC168),"25日押し目★",IF(AND(ABS(E168-AB168)/AB168&lt;=0.01,E168&gt;AB168),"5日押し目○","なし")))</f>
        <v>なし</v>
      </c>
      <c r="AF168" s="365">
        <f t="array" ref="AF168">IF(C168="","",IFERROR((INDEX(終値!$E:$E,MATCH(TEXT(C168,"0"),終値!$A:$A,0))-INDEX(終値!$E:$CZ,MATCH(TEXT(C168,"0"),終値!$A:$A,0),$AL$2))/INDEX(終値!$E:$CZ,MATCH(TEXT(C168,"0"),終値!$A:$A,0),$AL$2)*100,""))</f>
        <v>-12.795657231485071</v>
      </c>
      <c r="AG168" s="365">
        <f t="array" ref="AG168">IFERROR((終値!$E$5-INDEX(終値!$E$5:$IT$5,1,$AL$2))/INDEX(終値!$E$5:$IT$5,1,$AL$2)*100,"")</f>
        <v>1.0179378228534113</v>
      </c>
      <c r="AH168" s="366">
        <f>IF(OR(AF168="",AG168=""),"",AF168-AG168)</f>
        <v>-13.813595054338483</v>
      </c>
      <c r="AI168" s="364">
        <f>IF(AH168="","",IF(AH168&gt;5,3,IF(AH168&gt;0,1,IF(AH168&gt;-3,-1,-2))))</f>
        <v>-2</v>
      </c>
      <c r="BA168">
        <f>IFERROR((SUM(OFFSET(高値!$E$6,IFERROR(MATCH($C168,銘柄管理!$B$6:$B$305,0),MATCH(TEXT($C168,"0"),銘柄管理!$B$6:$B$305,0))-1,0,1,14))-SUM(OFFSET(安値!$E$6,IFERROR(MATCH($C168,銘柄管理!$B$6:$B$305,0),MATCH(TEXT($C168,"0"),銘柄管理!$B$6:$B$305,0))-1,0,1,14)))/SUM(OFFSET(終値!$E$6,IFERROR(MATCH($C168,銘柄管理!$B$6:$B$305,0),MATCH(TEXT($C168,"0"),銘柄管理!$B$6:$B$305,0))-1,0,1,14))*100,"")</f>
      </c>
      <c r="BB168">
        <f>IFERROR((MAX(OFFSET(高値!$E$6,IFERROR(MATCH($C168,銘柄管理!$B$6:$B$305,0),MATCH(TEXT($C168,"0"),銘柄管理!$B$6:$B$305,0))-1,0,1,25))-MIN(OFFSET(安値!$E$6,IFERROR(MATCH($C168,銘柄管理!$B$6:$B$305,0),MATCH(TEXT($C168,"0"),銘柄管理!$B$6:$B$305,0))-1,0,1,25)))/$E168*100,"")</f>
      </c>
      <c r="BC168">
        <f>IFERROR(($F168-$G168)/$G168*100,"")</f>
      </c>
      <c r="BD168">
        <f>IFERROR(($E168-MAX(OFFSET(高値!$E$6,IFERROR(MATCH($C168,銘柄管理!$B$6:$B$305,0),MATCH(TEXT($C168,"0"),銘柄管理!$B$6:$B$305,0))-1,0,1,25)))/MAX(OFFSET(高値!$E$6,IFERROR(MATCH($C168,銘柄管理!$B$6:$B$305,0),MATCH(TEXT($C168,"0"),銘柄管理!$B$6:$B$305,0))-1,0,1,25))*100,"")</f>
      </c>
      <c r="BE168">
        <f>IFERROR(($H168-$I168)/$F168*100,"")</f>
      </c>
      <c r="BF168">
        <f>IFERROR(-(($BA168-AVERAGE($BA$3:$BA$206))/STDEV($BA$3:$BA$206))-(($BE168-AVERAGE($BE$3:$BE$206))/STDEV($BE$3:$BE$206))-(($BB168-AVERAGE($BB$3:$BB$206))/STDEV($BB$3:$BB$206))-(($Z168-AVERAGE($Z$3:$Z$206))/STDEV($Z$3:$Z$206))-(($BC168-AVERAGE($BC$3:$BC$206))/STDEV($BC$3:$BC$206)),"")</f>
      </c>
      <c r="BG168">
        <f>IF(OR($C168="",$C168="TOPX",$BA168="",$BF168=""),0,IF(AND($BK$10=1,$BA168&lt;=$BK$2,$BB168&lt;=$BK$3,$BC168&lt;=$BK$4,$Z168&lt;=$BK$5,$Z168&gt;=$BK$6,$BD168&gt;=$BK$7,$BE168&lt;=$BK$8),1,0))</f>
      </c>
      <c r="BH168">
        <f>IF($C168="","",IF($BG168=1,"○ゲート通過",IF($BK$10&lt;&gt;1,"― この方向は停止中",IF($BA168&gt;$BK$2,"×値動きが荒い",IF($BB168&gt;$BK$3,"×レンジが広い",IF($BC168&gt;$BK$4,"×窓を開けて上昇",IF($Z168&gt;$BK$5,"×前日に急騰",IF($Z168&lt;$BK$6,"×前日に急落",IF($BD168&lt;$BK$7,"×高値から離れすぎ",IF($BE168&gt;$BK$8,"×当日の値幅が大きい","×")))))))))</f>
      </c>
    </row>
    <row r="169" spans="1:60"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IF(AND(E169&lt;&gt;"",K169&lt;&gt;"",K169&lt;&gt;0),(E169-K169)/K169*100,"")</f>
        <v>-7.2975879551390381</v>
      </c>
      <c r="M169" s="166">
        <f>IF(C169&lt;&gt;"",IFERROR(AVERAGE(出来高!E157:I157),""),"")</f>
        <v>570620</v>
      </c>
      <c r="N169" s="166">
        <f>IF(C169&lt;&gt;"",IFERROR(AVERAGE(出来高!E157:AC157),""),"")</f>
        <v>537636</v>
      </c>
      <c r="O169" s="168">
        <f>IF(AND(J169&lt;&gt;"",M169&lt;&gt;"",M169&lt;&gt;0),J169/M169,"")</f>
        <v>0.77249307770495246</v>
      </c>
      <c r="P169" s="163" t="str">
        <f>IF(O169="","",IF(O169&gt;=2,"急増↑↑",IF(O169&gt;=1.5,"増加↑",IF(O169&gt;=1,"普通→","減少↓"))))</f>
        <v>減少↓</v>
      </c>
      <c r="Q169" s="163" t="str">
        <f>IF(E169="","",IF(AND(E169&gt;G169,O169&gt;=1.5),"買い▲",IF(E169&lt;G169,"様子見▼","中立→")))</f>
        <v>中立→</v>
      </c>
      <c r="R169" s="166">
        <f>IF(E169&lt;&gt;"",ROUND(E169*1.08,0),"")</f>
        <v>6517</v>
      </c>
      <c r="S169" s="166">
        <f>IF(E169&lt;&gt;"",ROUND(E169*0.96,0),"")</f>
        <v>5793</v>
      </c>
      <c r="T169" s="163">
        <f>IF(C169="","",IFERROR(IF(O169&gt;=2,3,IF(O169&gt;=1.5,2,IF(O169&gt;=1,1,0)))+IF(E169&gt;G169,1,0)+IF(L169&gt;=-5,1,0)+IF(Q169="買い▲",2,0)+IF(W169&lt;=30,3,IF(W169&lt;=40,2,IF(AND(W169&gt;=40,W169&lt;=60),1,0)))+IF(X169&gt;0,1,0)+IF(V169="年初来高値更新●",3,IF(V169="高値圏",2,0))+IF(AD169="パーフェクト▲",3,IF(AD169="上昇トレンド▲",2,0))+IF(AE169="25日線押し目●",2,IF(AE169="5日線押し目○",1,0))+IF(P169="急増↑↑",2,IF(P169="増加↑",1,0))+N(AI169),0))</f>
        <v>3</v>
      </c>
      <c r="U169" s="163" t="str">
        <f>IF(T169="","",IF(AND(T169&gt;=3,O169&gt;=1.5),"有効",IF(T169&gt;=3,"要確認","除外")))</f>
        <v>要確認</v>
      </c>
      <c r="V169" s="163" t="str">
        <f>IF(AND(H169&lt;&gt;"",K169&lt;&gt;""),IF(H169&gt;=K169,"年初来高値更新●",IF(H169&gt;=K169*0.95,"高値圏","通常")),"")</f>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IF(AND(E169&lt;&gt;"",G169&lt;&gt;"",G169&lt;&gt;0),(E169-G169)/G169*100,"")</f>
        <v>1.6509433962264151</v>
      </c>
      <c r="AA169" s="163" t="str">
        <f>IF(OR(C169="",E169="",E169=0),"",IF(E169&gt;G169,"上昇▲",IF(E169&lt;G169,"下落▼","横ばい→")))</f>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IF(OR(C169="",AB169="",AC169=""),"",IF(AND(E169&gt;AB169,AB169&gt;AC169),"パーフェクト▲",IF(E169&gt;AC169,"上昇トレンド▲",IF(AND(E169&lt;AB169,AB169&lt;AC169),"下降トレンド▼","もみ合い→"))))</f>
        <v>上昇トレンド▲</v>
      </c>
      <c r="AE169" s="406" t="str">
        <f>IF(OR(C169="",AB169="",AC169=""),"",IF(AND(ABS(E169-AC169)/AC169&lt;=0.02,E169&gt;AC169),"25日押し目★",IF(AND(ABS(E169-AB169)/AB169&lt;=0.01,E169&gt;AB169),"5日押し目○","なし")))</f>
        <v>なし</v>
      </c>
      <c r="AF169" s="365">
        <f t="array" ref="AF169">IF(C169="","",IFERROR((INDEX(終値!$E:$E,MATCH(TEXT(C169,"0"),終値!$A:$A,0))-INDEX(終値!$E:$CZ,MATCH(TEXT(C169,"0"),終値!$A:$A,0),$AL$2))/INDEX(終値!$E:$CZ,MATCH(TEXT(C169,"0"),終値!$A:$A,0),$AL$2)*100,""))</f>
        <v>0.23255813953488372</v>
      </c>
      <c r="AG169" s="365">
        <f t="array" ref="AG169">IFERROR((終値!$E$5-INDEX(終値!$E$5:$IT$5,1,$AL$2))/INDEX(終値!$E$5:$IT$5,1,$AL$2)*100,"")</f>
        <v>1.0179378228534113</v>
      </c>
      <c r="AH169" s="366">
        <f>IF(OR(AF169="",AG169=""),"",AF169-AG169)</f>
        <v>-0.78537968331852759</v>
      </c>
      <c r="AI169" s="364">
        <f>IF(AH169="","",IF(AH169&gt;5,3,IF(AH169&gt;0,1,IF(AH169&gt;-3,-1,-2))))</f>
        <v>-1</v>
      </c>
      <c r="BA169">
        <f>IFERROR((SUM(OFFSET(高値!$E$6,IFERROR(MATCH($C169,銘柄管理!$B$6:$B$305,0),MATCH(TEXT($C169,"0"),銘柄管理!$B$6:$B$305,0))-1,0,1,14))-SUM(OFFSET(安値!$E$6,IFERROR(MATCH($C169,銘柄管理!$B$6:$B$305,0),MATCH(TEXT($C169,"0"),銘柄管理!$B$6:$B$305,0))-1,0,1,14)))/SUM(OFFSET(終値!$E$6,IFERROR(MATCH($C169,銘柄管理!$B$6:$B$305,0),MATCH(TEXT($C169,"0"),銘柄管理!$B$6:$B$305,0))-1,0,1,14))*100,"")</f>
      </c>
      <c r="BB169">
        <f>IFERROR((MAX(OFFSET(高値!$E$6,IFERROR(MATCH($C169,銘柄管理!$B$6:$B$305,0),MATCH(TEXT($C169,"0"),銘柄管理!$B$6:$B$305,0))-1,0,1,25))-MIN(OFFSET(安値!$E$6,IFERROR(MATCH($C169,銘柄管理!$B$6:$B$305,0),MATCH(TEXT($C169,"0"),銘柄管理!$B$6:$B$305,0))-1,0,1,25)))/$E169*100,"")</f>
      </c>
      <c r="BC169">
        <f>IFERROR(($F169-$G169)/$G169*100,"")</f>
      </c>
      <c r="BD169">
        <f>IFERROR(($E169-MAX(OFFSET(高値!$E$6,IFERROR(MATCH($C169,銘柄管理!$B$6:$B$305,0),MATCH(TEXT($C169,"0"),銘柄管理!$B$6:$B$305,0))-1,0,1,25)))/MAX(OFFSET(高値!$E$6,IFERROR(MATCH($C169,銘柄管理!$B$6:$B$305,0),MATCH(TEXT($C169,"0"),銘柄管理!$B$6:$B$305,0))-1,0,1,25))*100,"")</f>
      </c>
      <c r="BE169">
        <f>IFERROR(($H169-$I169)/$F169*100,"")</f>
      </c>
      <c r="BF169">
        <f>IFERROR(-(($BA169-AVERAGE($BA$3:$BA$206))/STDEV($BA$3:$BA$206))-(($BE169-AVERAGE($BE$3:$BE$206))/STDEV($BE$3:$BE$206))-(($BB169-AVERAGE($BB$3:$BB$206))/STDEV($BB$3:$BB$206))-(($Z169-AVERAGE($Z$3:$Z$206))/STDEV($Z$3:$Z$206))-(($BC169-AVERAGE($BC$3:$BC$206))/STDEV($BC$3:$BC$206)),"")</f>
      </c>
      <c r="BG169">
        <f>IF(OR($C169="",$C169="TOPX",$BA169="",$BF169=""),0,IF(AND($BK$10=1,$BA169&lt;=$BK$2,$BB169&lt;=$BK$3,$BC169&lt;=$BK$4,$Z169&lt;=$BK$5,$Z169&gt;=$BK$6,$BD169&gt;=$BK$7,$BE169&lt;=$BK$8),1,0))</f>
      </c>
      <c r="BH169">
        <f>IF($C169="","",IF($BG169=1,"○ゲート通過",IF($BK$10&lt;&gt;1,"― この方向は停止中",IF($BA169&gt;$BK$2,"×値動きが荒い",IF($BB169&gt;$BK$3,"×レンジが広い",IF($BC169&gt;$BK$4,"×窓を開けて上昇",IF($Z169&gt;$BK$5,"×前日に急騰",IF($Z169&lt;$BK$6,"×前日に急落",IF($BD169&lt;$BK$7,"×高値から離れすぎ",IF($BE169&gt;$BK$8,"×当日の値幅が大きい","×")))))))))</f>
      </c>
    </row>
    <row r="170" spans="1:60"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IF(AND(E170&lt;&gt;"",K170&lt;&gt;"",K170&lt;&gt;0),(E170-K170)/K170*100,"")</f>
        <v>-11.359782977280435</v>
      </c>
      <c r="M170" s="166">
        <f>IF(C170&lt;&gt;"",IFERROR(AVERAGE(出来高!E156:I156),""),"")</f>
        <v>1458900</v>
      </c>
      <c r="N170" s="166">
        <f>IF(C170&lt;&gt;"",IFERROR(AVERAGE(出来高!E156:AC156),""),"")</f>
        <v>980244</v>
      </c>
      <c r="O170" s="168">
        <f>IF(AND(J170&lt;&gt;"",M170&lt;&gt;"",M170&lt;&gt;0),J170/M170,"")</f>
        <v>0.98725066831174169</v>
      </c>
      <c r="P170" s="163" t="str">
        <f>IF(O170="","",IF(O170&gt;=2,"急増↑↑",IF(O170&gt;=1.5,"増加↑",IF(O170&gt;=1,"普通→","減少↓"))))</f>
        <v>減少↓</v>
      </c>
      <c r="Q170" s="163" t="str">
        <f>IF(E170="","",IF(AND(E170&gt;G170,O170&gt;=1.5),"買い▲",IF(E170&lt;G170,"様子見▼","中立→")))</f>
        <v>中立→</v>
      </c>
      <c r="R170" s="166">
        <f>IF(E170&lt;&gt;"",ROUND(E170*1.08,0),"")</f>
        <v>2823</v>
      </c>
      <c r="S170" s="166">
        <f>IF(E170&lt;&gt;"",ROUND(E170*0.96,0),"")</f>
        <v>2509</v>
      </c>
      <c r="T170" s="163">
        <f>IF(C170="","",IFERROR(IF(O170&gt;=2,3,IF(O170&gt;=1.5,2,IF(O170&gt;=1,1,0)))+IF(E170&gt;G170,1,0)+IF(L170&gt;=-5,1,0)+IF(Q170="買い▲",2,0)+IF(W170&lt;=30,3,IF(W170&lt;=40,2,IF(AND(W170&gt;=40,W170&lt;=60),1,0)))+IF(X170&gt;0,1,0)+IF(V170="年初来高値更新●",3,IF(V170="高値圏",2,0))+IF(AD170="パーフェクト▲",3,IF(AD170="上昇トレンド▲",2,0))+IF(AE170="25日線押し目●",2,IF(AE170="5日線押し目○",1,0))+IF(P170="急増↑↑",2,IF(P170="増加↑",1,0))+N(AI170),0))</f>
        <v>3</v>
      </c>
      <c r="U170" s="163" t="str">
        <f>IF(T170="","",IF(AND(T170&gt;=3,O170&gt;=1.5),"有効",IF(T170&gt;=3,"要確認","除外")))</f>
        <v>要確認</v>
      </c>
      <c r="V170" s="163" t="str">
        <f>IF(AND(H170&lt;&gt;"",K170&lt;&gt;""),IF(H170&gt;=K170,"年初来高値更新●",IF(H170&gt;=K170*0.95,"高値圏","通常")),"")</f>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IF(AND(E170&lt;&gt;"",G170&lt;&gt;"",G170&lt;&gt;0),(E170-G170)/G170*100,"")</f>
        <v>2.5902668759811616</v>
      </c>
      <c r="AA170" s="163" t="str">
        <f>IF(OR(C170="",E170="",E170=0),"",IF(E170&gt;G170,"上昇▲",IF(E170&lt;G170,"下落▼","横ばい→")))</f>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IF(OR(C170="",AB170="",AC170=""),"",IF(AND(E170&gt;AB170,AB170&gt;AC170),"パーフェクト▲",IF(E170&gt;AC170,"上昇トレンド▲",IF(AND(E170&lt;AB170,AB170&lt;AC170),"下降トレンド▼","もみ合い→"))))</f>
        <v>パーフェクト▲</v>
      </c>
      <c r="AE170" s="404" t="str">
        <f>IF(OR(C170="",AB170="",AC170=""),"",IF(AND(ABS(E170-AC170)/AC170&lt;=0.02,E170&gt;AC170),"25日押し目★",IF(AND(ABS(E170-AB170)/AB170&lt;=0.01,E170&gt;AB170),"5日押し目○","なし")))</f>
        <v>なし</v>
      </c>
      <c r="AF170" s="365">
        <f t="array" ref="AF170">IF(C170="","",IFERROR((INDEX(終値!$E:$E,MATCH(TEXT(C170,"0"),終値!$A:$A,0))-INDEX(終値!$E:$CZ,MATCH(TEXT(C170,"0"),終値!$A:$A,0),$AL$2))/INDEX(終値!$E:$CZ,MATCH(TEXT(C170,"0"),終値!$A:$A,0),$AL$2)*100,""))</f>
        <v>-5.1523947750362842</v>
      </c>
      <c r="AG170" s="365">
        <f t="array" ref="AG170">IFERROR((終値!$E$5-INDEX(終値!$E$5:$IT$5,1,$AL$2))/INDEX(終値!$E$5:$IT$5,1,$AL$2)*100,"")</f>
        <v>1.0179378228534113</v>
      </c>
      <c r="AH170" s="366">
        <f>IF(OR(AF170="",AG170=""),"",AF170-AG170)</f>
        <v>-6.1703325978896952</v>
      </c>
      <c r="AI170" s="364">
        <f>IF(AH170="","",IF(AH170&gt;5,3,IF(AH170&gt;0,1,IF(AH170&gt;-3,-1,-2))))</f>
        <v>-2</v>
      </c>
      <c r="BA170">
        <f>IFERROR((SUM(OFFSET(高値!$E$6,IFERROR(MATCH($C170,銘柄管理!$B$6:$B$305,0),MATCH(TEXT($C170,"0"),銘柄管理!$B$6:$B$305,0))-1,0,1,14))-SUM(OFFSET(安値!$E$6,IFERROR(MATCH($C170,銘柄管理!$B$6:$B$305,0),MATCH(TEXT($C170,"0"),銘柄管理!$B$6:$B$305,0))-1,0,1,14)))/SUM(OFFSET(終値!$E$6,IFERROR(MATCH($C170,銘柄管理!$B$6:$B$305,0),MATCH(TEXT($C170,"0"),銘柄管理!$B$6:$B$305,0))-1,0,1,14))*100,"")</f>
      </c>
      <c r="BB170">
        <f>IFERROR((MAX(OFFSET(高値!$E$6,IFERROR(MATCH($C170,銘柄管理!$B$6:$B$305,0),MATCH(TEXT($C170,"0"),銘柄管理!$B$6:$B$305,0))-1,0,1,25))-MIN(OFFSET(安値!$E$6,IFERROR(MATCH($C170,銘柄管理!$B$6:$B$305,0),MATCH(TEXT($C170,"0"),銘柄管理!$B$6:$B$305,0))-1,0,1,25)))/$E170*100,"")</f>
      </c>
      <c r="BC170">
        <f>IFERROR(($F170-$G170)/$G170*100,"")</f>
      </c>
      <c r="BD170">
        <f>IFERROR(($E170-MAX(OFFSET(高値!$E$6,IFERROR(MATCH($C170,銘柄管理!$B$6:$B$305,0),MATCH(TEXT($C170,"0"),銘柄管理!$B$6:$B$305,0))-1,0,1,25)))/MAX(OFFSET(高値!$E$6,IFERROR(MATCH($C170,銘柄管理!$B$6:$B$305,0),MATCH(TEXT($C170,"0"),銘柄管理!$B$6:$B$305,0))-1,0,1,25))*100,"")</f>
      </c>
      <c r="BE170">
        <f>IFERROR(($H170-$I170)/$F170*100,"")</f>
      </c>
      <c r="BF170">
        <f>IFERROR(-(($BA170-AVERAGE($BA$3:$BA$206))/STDEV($BA$3:$BA$206))-(($BE170-AVERAGE($BE$3:$BE$206))/STDEV($BE$3:$BE$206))-(($BB170-AVERAGE($BB$3:$BB$206))/STDEV($BB$3:$BB$206))-(($Z170-AVERAGE($Z$3:$Z$206))/STDEV($Z$3:$Z$206))-(($BC170-AVERAGE($BC$3:$BC$206))/STDEV($BC$3:$BC$206)),"")</f>
      </c>
      <c r="BG170">
        <f>IF(OR($C170="",$C170="TOPX",$BA170="",$BF170=""),0,IF(AND($BK$10=1,$BA170&lt;=$BK$2,$BB170&lt;=$BK$3,$BC170&lt;=$BK$4,$Z170&lt;=$BK$5,$Z170&gt;=$BK$6,$BD170&gt;=$BK$7,$BE170&lt;=$BK$8),1,0))</f>
      </c>
      <c r="BH170">
        <f>IF($C170="","",IF($BG170=1,"○ゲート通過",IF($BK$10&lt;&gt;1,"― この方向は停止中",IF($BA170&gt;$BK$2,"×値動きが荒い",IF($BB170&gt;$BK$3,"×レンジが広い",IF($BC170&gt;$BK$4,"×窓を開けて上昇",IF($Z170&gt;$BK$5,"×前日に急騰",IF($Z170&lt;$BK$6,"×前日に急落",IF($BD170&lt;$BK$7,"×高値から離れすぎ",IF($BE170&gt;$BK$8,"×当日の値幅が大きい","×")))))))))</f>
      </c>
    </row>
    <row r="171" spans="1:60"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IF(AND(E171&lt;&gt;"",K171&lt;&gt;"",K171&lt;&gt;0),(E171-K171)/K171*100,"")</f>
        <v>-56.340909090909086</v>
      </c>
      <c r="M171" s="166">
        <f>IF(C171&lt;&gt;"",IFERROR(AVERAGE(出来高!E129:I129),""),"")</f>
        <v>202440</v>
      </c>
      <c r="N171" s="166">
        <f>IF(C171&lt;&gt;"",IFERROR(AVERAGE(出来高!E129:AC129),""),"")</f>
        <v>179728</v>
      </c>
      <c r="O171" s="168">
        <f>IF(AND(J171&lt;&gt;"",M171&lt;&gt;"",M171&lt;&gt;0),J171/M171,"")</f>
        <v>0.80073108081406841</v>
      </c>
      <c r="P171" s="163" t="str">
        <f>IF(O171="","",IF(O171&gt;=2,"急増↑↑",IF(O171&gt;=1.5,"増加↑",IF(O171&gt;=1,"普通→","減少↓"))))</f>
        <v>減少↓</v>
      </c>
      <c r="Q171" s="163" t="str">
        <f>IF(E171="","",IF(AND(E171&gt;G171,O171&gt;=1.5),"買い▲",IF(E171&lt;G171,"様子見▼","中立→")))</f>
        <v>様子見▼</v>
      </c>
      <c r="R171" s="166">
        <f>IF(E171&lt;&gt;"",ROUND(E171*1.08,0),"")</f>
        <v>2075</v>
      </c>
      <c r="S171" s="166">
        <f>IF(E171&lt;&gt;"",ROUND(E171*0.96,0),"")</f>
        <v>1844</v>
      </c>
      <c r="T171" s="163">
        <f>IF(C171="","",IFERROR(IF(O171&gt;=2,3,IF(O171&gt;=1.5,2,IF(O171&gt;=1,1,0)))+IF(E171&gt;G171,1,0)+IF(L171&gt;=-5,1,0)+IF(Q171="買い▲",2,0)+IF(W171&lt;=30,3,IF(W171&lt;=40,2,IF(AND(W171&gt;=40,W171&lt;=60),1,0)))+IF(X171&gt;0,1,0)+IF(V171="年初来高値更新●",3,IF(V171="高値圏",2,0))+IF(AD171="パーフェクト▲",3,IF(AD171="上昇トレンド▲",2,0))+IF(AE171="25日線押し目●",2,IF(AE171="5日線押し目○",1,0))+IF(P171="急増↑↑",2,IF(P171="増加↑",1,0))+N(AI171),0))</f>
        <v>2</v>
      </c>
      <c r="U171" s="163" t="str">
        <f>IF(T171="","",IF(AND(T171&gt;=3,O171&gt;=1.5),"有効",IF(T171&gt;=3,"要確認","除外")))</f>
        <v>除外</v>
      </c>
      <c r="V171" s="163" t="str">
        <f>IF(AND(H171&lt;&gt;"",K171&lt;&gt;""),IF(H171&gt;=K171,"年初来高値更新●",IF(H171&gt;=K171*0.95,"高値圏","通常")),"")</f>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IF(AND(E171&lt;&gt;"",G171&lt;&gt;"",G171&lt;&gt;0),(E171-G171)/G171*100,"")</f>
        <v>-1.4366341713699333</v>
      </c>
      <c r="AA171" s="163" t="str">
        <f>IF(OR(C171="",E171="",E171=0),"",IF(E171&gt;G171,"上昇▲",IF(E171&lt;G171,"下落▼","横ばい→")))</f>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IF(OR(C171="",AB171="",AC171=""),"",IF(AND(E171&gt;AB171,AB171&gt;AC171),"パーフェクト▲",IF(E171&gt;AC171,"上昇トレンド▲",IF(AND(E171&lt;AB171,AB171&lt;AC171),"下降トレンド▼","もみ合い→"))))</f>
        <v>パーフェクト▲</v>
      </c>
      <c r="AE171" s="406" t="str">
        <f>IF(OR(C171="",AB171="",AC171=""),"",IF(AND(ABS(E171-AC171)/AC171&lt;=0.02,E171&gt;AC171),"25日押し目★",IF(AND(ABS(E171-AB171)/AB171&lt;=0.01,E171&gt;AB171),"5日押し目○","なし")))</f>
        <v>なし</v>
      </c>
      <c r="AF171" s="365">
        <f t="array" ref="AF171">IF(C171="","",IFERROR((INDEX(終値!$E:$E,MATCH(TEXT(C171,"0"),終値!$A:$A,0))-INDEX(終値!$E:$CZ,MATCH(TEXT(C171,"0"),終値!$A:$A,0),$AL$2))/INDEX(終値!$E:$CZ,MATCH(TEXT(C171,"0"),終値!$A:$A,0),$AL$2)*100,""))</f>
        <v>-5.0889328063241104</v>
      </c>
      <c r="AG171" s="365">
        <f t="array" ref="AG171">IFERROR((終値!$E$5-INDEX(終値!$E$5:$IT$5,1,$AL$2))/INDEX(終値!$E$5:$IT$5,1,$AL$2)*100,"")</f>
        <v>1.0179378228534113</v>
      </c>
      <c r="AH171" s="366">
        <f>IF(OR(AF171="",AG171=""),"",AF171-AG171)</f>
        <v>-6.1068706291775214</v>
      </c>
      <c r="AI171" s="364">
        <f>IF(AH171="","",IF(AH171&gt;5,3,IF(AH171&gt;0,1,IF(AH171&gt;-3,-1,-2))))</f>
        <v>-2</v>
      </c>
      <c r="BA171">
        <f>IFERROR((SUM(OFFSET(高値!$E$6,IFERROR(MATCH($C171,銘柄管理!$B$6:$B$305,0),MATCH(TEXT($C171,"0"),銘柄管理!$B$6:$B$305,0))-1,0,1,14))-SUM(OFFSET(安値!$E$6,IFERROR(MATCH($C171,銘柄管理!$B$6:$B$305,0),MATCH(TEXT($C171,"0"),銘柄管理!$B$6:$B$305,0))-1,0,1,14)))/SUM(OFFSET(終値!$E$6,IFERROR(MATCH($C171,銘柄管理!$B$6:$B$305,0),MATCH(TEXT($C171,"0"),銘柄管理!$B$6:$B$305,0))-1,0,1,14))*100,"")</f>
      </c>
      <c r="BB171">
        <f>IFERROR((MAX(OFFSET(高値!$E$6,IFERROR(MATCH($C171,銘柄管理!$B$6:$B$305,0),MATCH(TEXT($C171,"0"),銘柄管理!$B$6:$B$305,0))-1,0,1,25))-MIN(OFFSET(安値!$E$6,IFERROR(MATCH($C171,銘柄管理!$B$6:$B$305,0),MATCH(TEXT($C171,"0"),銘柄管理!$B$6:$B$305,0))-1,0,1,25)))/$E171*100,"")</f>
      </c>
      <c r="BC171">
        <f>IFERROR(($F171-$G171)/$G171*100,"")</f>
      </c>
      <c r="BD171">
        <f>IFERROR(($E171-MAX(OFFSET(高値!$E$6,IFERROR(MATCH($C171,銘柄管理!$B$6:$B$305,0),MATCH(TEXT($C171,"0"),銘柄管理!$B$6:$B$305,0))-1,0,1,25)))/MAX(OFFSET(高値!$E$6,IFERROR(MATCH($C171,銘柄管理!$B$6:$B$305,0),MATCH(TEXT($C171,"0"),銘柄管理!$B$6:$B$305,0))-1,0,1,25))*100,"")</f>
      </c>
      <c r="BE171">
        <f>IFERROR(($H171-$I171)/$F171*100,"")</f>
      </c>
      <c r="BF171">
        <f>IFERROR(-(($BA171-AVERAGE($BA$3:$BA$206))/STDEV($BA$3:$BA$206))-(($BE171-AVERAGE($BE$3:$BE$206))/STDEV($BE$3:$BE$206))-(($BB171-AVERAGE($BB$3:$BB$206))/STDEV($BB$3:$BB$206))-(($Z171-AVERAGE($Z$3:$Z$206))/STDEV($Z$3:$Z$206))-(($BC171-AVERAGE($BC$3:$BC$206))/STDEV($BC$3:$BC$206)),"")</f>
      </c>
      <c r="BG171">
        <f>IF(OR($C171="",$C171="TOPX",$BA171="",$BF171=""),0,IF(AND($BK$10=1,$BA171&lt;=$BK$2,$BB171&lt;=$BK$3,$BC171&lt;=$BK$4,$Z171&lt;=$BK$5,$Z171&gt;=$BK$6,$BD171&gt;=$BK$7,$BE171&lt;=$BK$8),1,0))</f>
      </c>
      <c r="BH171">
        <f>IF($C171="","",IF($BG171=1,"○ゲート通過",IF($BK$10&lt;&gt;1,"― この方向は停止中",IF($BA171&gt;$BK$2,"×値動きが荒い",IF($BB171&gt;$BK$3,"×レンジが広い",IF($BC171&gt;$BK$4,"×窓を開けて上昇",IF($Z171&gt;$BK$5,"×前日に急騰",IF($Z171&lt;$BK$6,"×前日に急落",IF($BD171&lt;$BK$7,"×高値から離れすぎ",IF($BE171&gt;$BK$8,"×当日の値幅が大きい","×")))))))))</f>
      </c>
    </row>
    <row r="172" spans="1:60"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IF(AND(E172&lt;&gt;"",K172&lt;&gt;"",K172&lt;&gt;0),(E172-K172)/K172*100,"")</f>
        <v>-22.232030264817151</v>
      </c>
      <c r="M172" s="166">
        <f>IF(C172&lt;&gt;"",IFERROR(AVERAGE(出来高!E66:I66),""),"")</f>
        <v>10086480</v>
      </c>
      <c r="N172" s="166">
        <f>IF(C172&lt;&gt;"",IFERROR(AVERAGE(出来高!E66:AC66),""),"")</f>
        <v>8889956</v>
      </c>
      <c r="O172" s="168">
        <f>IF(AND(J172&lt;&gt;"",M172&lt;&gt;"",M172&lt;&gt;0),J172/M172,"")</f>
        <v>0.67193907091472937</v>
      </c>
      <c r="P172" s="163" t="str">
        <f>IF(O172="","",IF(O172&gt;=2,"急増↑↑",IF(O172&gt;=1.5,"増加↑",IF(O172&gt;=1,"普通→","減少↓"))))</f>
        <v>減少↓</v>
      </c>
      <c r="Q172" s="163" t="str">
        <f>IF(E172="","",IF(AND(E172&gt;G172,O172&gt;=1.5),"買い▲",IF(E172&lt;G172,"様子見▼","中立→")))</f>
        <v>中立→</v>
      </c>
      <c r="R172" s="166">
        <f>IF(E172&lt;&gt;"",ROUND(E172*1.08,0),"")</f>
        <v>6660</v>
      </c>
      <c r="S172" s="166">
        <f>IF(E172&lt;&gt;"",ROUND(E172*0.96,0),"")</f>
        <v>5920</v>
      </c>
      <c r="T172" s="163">
        <f>IF(C172="","",IFERROR(IF(O172&gt;=2,3,IF(O172&gt;=1.5,2,IF(O172&gt;=1,1,0)))+IF(E172&gt;G172,1,0)+IF(L172&gt;=-5,1,0)+IF(Q172="買い▲",2,0)+IF(W172&lt;=30,3,IF(W172&lt;=40,2,IF(AND(W172&gt;=40,W172&lt;=60),1,0)))+IF(X172&gt;0,1,0)+IF(V172="年初来高値更新●",3,IF(V172="高値圏",2,0))+IF(AD172="パーフェクト▲",3,IF(AD172="上昇トレンド▲",2,0))+IF(AE172="25日線押し目●",2,IF(AE172="5日線押し目○",1,0))+IF(P172="急増↑↑",2,IF(P172="増加↑",1,0))+N(AI172),0))</f>
        <v>4</v>
      </c>
      <c r="U172" s="163" t="str">
        <f>IF(T172="","",IF(AND(T172&gt;=3,O172&gt;=1.5),"有効",IF(T172&gt;=3,"要確認","除外")))</f>
        <v>要確認</v>
      </c>
      <c r="V172" s="163" t="str">
        <f>IF(AND(H172&lt;&gt;"",K172&lt;&gt;""),IF(H172&gt;=K172,"年初来高値更新●",IF(H172&gt;=K172*0.95,"高値圏","通常")),"")</f>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IF(AND(E172&lt;&gt;"",G172&lt;&gt;"",G172&lt;&gt;0),(E172-G172)/G172*100,"")</f>
        <v>6.4903456109037805E-2</v>
      </c>
      <c r="AA172" s="163" t="str">
        <f>IF(OR(C172="",E172="",E172=0),"",IF(E172&gt;G172,"上昇▲",IF(E172&lt;G172,"下落▼","横ばい→")))</f>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IF(OR(C172="",AB172="",AC172=""),"",IF(AND(E172&gt;AB172,AB172&gt;AC172),"パーフェクト▲",IF(E172&gt;AC172,"上昇トレンド▲",IF(AND(E172&lt;AB172,AB172&lt;AC172),"下降トレンド▼","もみ合い→"))))</f>
        <v>上昇トレンド▲</v>
      </c>
      <c r="AE172" s="404" t="str">
        <f>IF(OR(C172="",AB172="",AC172=""),"",IF(AND(ABS(E172-AC172)/AC172&lt;=0.02,E172&gt;AC172),"25日押し目★",IF(AND(ABS(E172-AB172)/AB172&lt;=0.01,E172&gt;AB172),"5日押し目○","なし")))</f>
        <v>なし</v>
      </c>
      <c r="AF172" s="365">
        <f t="array" ref="AF172">IF(C172="","",IFERROR((INDEX(終値!$E:$E,MATCH(TEXT(C172,"0"),終値!$A:$A,0))-INDEX(終値!$E:$CZ,MATCH(TEXT(C172,"0"),終値!$A:$A,0),$AL$2))/INDEX(終値!$E:$CZ,MATCH(TEXT(C172,"0"),終値!$A:$A,0),$AL$2)*100,""))</f>
        <v>-15.043394406943106</v>
      </c>
      <c r="AG172" s="365">
        <f t="array" ref="AG172">IFERROR((終値!$E$5-INDEX(終値!$E$5:$IT$5,1,$AL$2))/INDEX(終値!$E$5:$IT$5,1,$AL$2)*100,"")</f>
        <v>1.0179378228534113</v>
      </c>
      <c r="AH172" s="366">
        <f>IF(OR(AF172="",AG172=""),"",AF172-AG172)</f>
        <v>-16.061332229796516</v>
      </c>
      <c r="AI172" s="364">
        <f>IF(AH172="","",IF(AH172&gt;5,3,IF(AH172&gt;0,1,IF(AH172&gt;-3,-1,-2))))</f>
        <v>-2</v>
      </c>
      <c r="BA172">
        <f>IFERROR((SUM(OFFSET(高値!$E$6,IFERROR(MATCH($C172,銘柄管理!$B$6:$B$305,0),MATCH(TEXT($C172,"0"),銘柄管理!$B$6:$B$305,0))-1,0,1,14))-SUM(OFFSET(安値!$E$6,IFERROR(MATCH($C172,銘柄管理!$B$6:$B$305,0),MATCH(TEXT($C172,"0"),銘柄管理!$B$6:$B$305,0))-1,0,1,14)))/SUM(OFFSET(終値!$E$6,IFERROR(MATCH($C172,銘柄管理!$B$6:$B$305,0),MATCH(TEXT($C172,"0"),銘柄管理!$B$6:$B$305,0))-1,0,1,14))*100,"")</f>
      </c>
      <c r="BB172">
        <f>IFERROR((MAX(OFFSET(高値!$E$6,IFERROR(MATCH($C172,銘柄管理!$B$6:$B$305,0),MATCH(TEXT($C172,"0"),銘柄管理!$B$6:$B$305,0))-1,0,1,25))-MIN(OFFSET(安値!$E$6,IFERROR(MATCH($C172,銘柄管理!$B$6:$B$305,0),MATCH(TEXT($C172,"0"),銘柄管理!$B$6:$B$305,0))-1,0,1,25)))/$E172*100,"")</f>
      </c>
      <c r="BC172">
        <f>IFERROR(($F172-$G172)/$G172*100,"")</f>
      </c>
      <c r="BD172">
        <f>IFERROR(($E172-MAX(OFFSET(高値!$E$6,IFERROR(MATCH($C172,銘柄管理!$B$6:$B$305,0),MATCH(TEXT($C172,"0"),銘柄管理!$B$6:$B$305,0))-1,0,1,25)))/MAX(OFFSET(高値!$E$6,IFERROR(MATCH($C172,銘柄管理!$B$6:$B$305,0),MATCH(TEXT($C172,"0"),銘柄管理!$B$6:$B$305,0))-1,0,1,25))*100,"")</f>
      </c>
      <c r="BE172">
        <f>IFERROR(($H172-$I172)/$F172*100,"")</f>
      </c>
      <c r="BF172">
        <f>IFERROR(-(($BA172-AVERAGE($BA$3:$BA$206))/STDEV($BA$3:$BA$206))-(($BE172-AVERAGE($BE$3:$BE$206))/STDEV($BE$3:$BE$206))-(($BB172-AVERAGE($BB$3:$BB$206))/STDEV($BB$3:$BB$206))-(($Z172-AVERAGE($Z$3:$Z$206))/STDEV($Z$3:$Z$206))-(($BC172-AVERAGE($BC$3:$BC$206))/STDEV($BC$3:$BC$206)),"")</f>
      </c>
      <c r="BG172">
        <f>IF(OR($C172="",$C172="TOPX",$BA172="",$BF172=""),0,IF(AND($BK$10=1,$BA172&lt;=$BK$2,$BB172&lt;=$BK$3,$BC172&lt;=$BK$4,$Z172&lt;=$BK$5,$Z172&gt;=$BK$6,$BD172&gt;=$BK$7,$BE172&lt;=$BK$8),1,0))</f>
      </c>
      <c r="BH172">
        <f>IF($C172="","",IF($BG172=1,"○ゲート通過",IF($BK$10&lt;&gt;1,"― この方向は停止中",IF($BA172&gt;$BK$2,"×値動きが荒い",IF($BB172&gt;$BK$3,"×レンジが広い",IF($BC172&gt;$BK$4,"×窓を開けて上昇",IF($Z172&gt;$BK$5,"×前日に急騰",IF($Z172&lt;$BK$6,"×前日に急落",IF($BD172&lt;$BK$7,"×高値から離れすぎ",IF($BE172&gt;$BK$8,"×当日の値幅が大きい","×")))))))))</f>
      </c>
    </row>
    <row r="173" spans="1:60"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IF(AND(E173&lt;&gt;"",K173&lt;&gt;"",K173&lt;&gt;0),(E173-K173)/K173*100,"")</f>
        <v>-30.822416302765649</v>
      </c>
      <c r="M173" s="166">
        <f>IF(C173&lt;&gt;"",IFERROR(AVERAGE(出来高!E96:I96),""),"")</f>
        <v>8193800</v>
      </c>
      <c r="N173" s="166">
        <f>IF(C173&lt;&gt;"",IFERROR(AVERAGE(出来高!E96:AC96),""),"")</f>
        <v>8632500</v>
      </c>
      <c r="O173" s="168">
        <f>IF(AND(J173&lt;&gt;"",M173&lt;&gt;"",M173&lt;&gt;0),J173/M173,"")</f>
        <v>1.5480973418926505</v>
      </c>
      <c r="P173" s="163" t="str">
        <f>IF(O173="","",IF(O173&gt;=2,"急増↑↑",IF(O173&gt;=1.5,"増加↑",IF(O173&gt;=1,"普通→","減少↓"))))</f>
        <v>増加↑</v>
      </c>
      <c r="Q173" s="163" t="str">
        <f>IF(E173="","",IF(AND(E173&gt;G173,O173&gt;=1.5),"買い▲",IF(E173&lt;G173,"様子見▼","中立→")))</f>
        <v>様子見▼</v>
      </c>
      <c r="R173" s="166">
        <f>IF(E173&lt;&gt;"",ROUND(E173*1.08,0),"")</f>
        <v>20531</v>
      </c>
      <c r="S173" s="166">
        <f>IF(E173&lt;&gt;"",ROUND(E173*0.96,0),"")</f>
        <v>18250</v>
      </c>
      <c r="T173" s="163">
        <f>IF(C173="","",IFERROR(IF(O173&gt;=2,3,IF(O173&gt;=1.5,2,IF(O173&gt;=1,1,0)))+IF(E173&gt;G173,1,0)+IF(L173&gt;=-5,1,0)+IF(Q173="買い▲",2,0)+IF(W173&lt;=30,3,IF(W173&lt;=40,2,IF(AND(W173&gt;=40,W173&lt;=60),1,0)))+IF(X173&gt;0,1,0)+IF(V173="年初来高値更新●",3,IF(V173="高値圏",2,0))+IF(AD173="パーフェクト▲",3,IF(AD173="上昇トレンド▲",2,0))+IF(AE173="25日線押し目●",2,IF(AE173="5日線押し目○",1,0))+IF(P173="急増↑↑",2,IF(P173="増加↑",1,0))+N(AI173),0))</f>
        <v>4</v>
      </c>
      <c r="U173" s="163" t="str">
        <f>IF(T173="","",IF(AND(T173&gt;=3,O173&gt;=1.5),"有効",IF(T173&gt;=3,"要確認","除外")))</f>
        <v>有効</v>
      </c>
      <c r="V173" s="163" t="str">
        <f>IF(AND(H173&lt;&gt;"",K173&lt;&gt;""),IF(H173&gt;=K173,"年初来高値更新●",IF(H173&gt;=K173*0.95,"高値圏","通常")),"")</f>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IF(AND(E173&lt;&gt;"",G173&lt;&gt;"",G173&lt;&gt;0),(E173-G173)/G173*100,"")</f>
        <v>-6.4928676832267582</v>
      </c>
      <c r="AA173" s="163" t="str">
        <f>IF(OR(C173="",E173="",E173=0),"",IF(E173&gt;G173,"上昇▲",IF(E173&lt;G173,"下落▼","横ばい→")))</f>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IF(OR(C173="",AB173="",AC173=""),"",IF(AND(E173&gt;AB173,AB173&gt;AC173),"パーフェクト▲",IF(E173&gt;AC173,"上昇トレンド▲",IF(AND(E173&lt;AB173,AB173&lt;AC173),"下降トレンド▼","もみ合い→"))))</f>
        <v>上昇トレンド▲</v>
      </c>
      <c r="AE173" s="406" t="str">
        <f>IF(OR(C173="",AB173="",AC173=""),"",IF(AND(ABS(E173-AC173)/AC173&lt;=0.02,E173&gt;AC173),"25日押し目★",IF(AND(ABS(E173-AB173)/AB173&lt;=0.01,E173&gt;AB173),"5日押し目○","なし")))</f>
        <v>なし</v>
      </c>
      <c r="AF173" s="365">
        <f t="array" ref="AF173">IF(C173="","",IFERROR((INDEX(終値!$E:$E,MATCH(TEXT(C173,"0"),終値!$A:$A,0))-INDEX(終値!$E:$CZ,MATCH(TEXT(C173,"0"),終値!$A:$A,0),$AL$2))/INDEX(終値!$E:$CZ,MATCH(TEXT(C173,"0"),終値!$A:$A,0),$AL$2)*100,""))</f>
        <v>-26.274966065541982</v>
      </c>
      <c r="AG173" s="365">
        <f t="array" ref="AG173">IFERROR((終値!$E$5-INDEX(終値!$E$5:$IT$5,1,$AL$2))/INDEX(終値!$E$5:$IT$5,1,$AL$2)*100,"")</f>
        <v>1.0179378228534113</v>
      </c>
      <c r="AH173" s="366">
        <f>IF(OR(AF173="",AG173=""),"",AF173-AG173)</f>
        <v>-27.292903888395394</v>
      </c>
      <c r="AI173" s="364">
        <f>IF(AH173="","",IF(AH173&gt;5,3,IF(AH173&gt;0,1,IF(AH173&gt;-3,-1,-2))))</f>
        <v>-2</v>
      </c>
      <c r="BA173">
        <f>IFERROR((SUM(OFFSET(高値!$E$6,IFERROR(MATCH($C173,銘柄管理!$B$6:$B$305,0),MATCH(TEXT($C173,"0"),銘柄管理!$B$6:$B$305,0))-1,0,1,14))-SUM(OFFSET(安値!$E$6,IFERROR(MATCH($C173,銘柄管理!$B$6:$B$305,0),MATCH(TEXT($C173,"0"),銘柄管理!$B$6:$B$305,0))-1,0,1,14)))/SUM(OFFSET(終値!$E$6,IFERROR(MATCH($C173,銘柄管理!$B$6:$B$305,0),MATCH(TEXT($C173,"0"),銘柄管理!$B$6:$B$305,0))-1,0,1,14))*100,"")</f>
      </c>
      <c r="BB173">
        <f>IFERROR((MAX(OFFSET(高値!$E$6,IFERROR(MATCH($C173,銘柄管理!$B$6:$B$305,0),MATCH(TEXT($C173,"0"),銘柄管理!$B$6:$B$305,0))-1,0,1,25))-MIN(OFFSET(安値!$E$6,IFERROR(MATCH($C173,銘柄管理!$B$6:$B$305,0),MATCH(TEXT($C173,"0"),銘柄管理!$B$6:$B$305,0))-1,0,1,25)))/$E173*100,"")</f>
      </c>
      <c r="BC173">
        <f>IFERROR(($F173-$G173)/$G173*100,"")</f>
      </c>
      <c r="BD173">
        <f>IFERROR(($E173-MAX(OFFSET(高値!$E$6,IFERROR(MATCH($C173,銘柄管理!$B$6:$B$305,0),MATCH(TEXT($C173,"0"),銘柄管理!$B$6:$B$305,0))-1,0,1,25)))/MAX(OFFSET(高値!$E$6,IFERROR(MATCH($C173,銘柄管理!$B$6:$B$305,0),MATCH(TEXT($C173,"0"),銘柄管理!$B$6:$B$305,0))-1,0,1,25))*100,"")</f>
      </c>
      <c r="BE173">
        <f>IFERROR(($H173-$I173)/$F173*100,"")</f>
      </c>
      <c r="BF173">
        <f>IFERROR(-(($BA173-AVERAGE($BA$3:$BA$206))/STDEV($BA$3:$BA$206))-(($BE173-AVERAGE($BE$3:$BE$206))/STDEV($BE$3:$BE$206))-(($BB173-AVERAGE($BB$3:$BB$206))/STDEV($BB$3:$BB$206))-(($Z173-AVERAGE($Z$3:$Z$206))/STDEV($Z$3:$Z$206))-(($BC173-AVERAGE($BC$3:$BC$206))/STDEV($BC$3:$BC$206)),"")</f>
      </c>
      <c r="BG173">
        <f>IF(OR($C173="",$C173="TOPX",$BA173="",$BF173=""),0,IF(AND($BK$10=1,$BA173&lt;=$BK$2,$BB173&lt;=$BK$3,$BC173&lt;=$BK$4,$Z173&lt;=$BK$5,$Z173&gt;=$BK$6,$BD173&gt;=$BK$7,$BE173&lt;=$BK$8),1,0))</f>
      </c>
      <c r="BH173">
        <f>IF($C173="","",IF($BG173=1,"○ゲート通過",IF($BK$10&lt;&gt;1,"― この方向は停止中",IF($BA173&gt;$BK$2,"×値動きが荒い",IF($BB173&gt;$BK$3,"×レンジが広い",IF($BC173&gt;$BK$4,"×窓を開けて上昇",IF($Z173&gt;$BK$5,"×前日に急騰",IF($Z173&lt;$BK$6,"×前日に急落",IF($BD173&lt;$BK$7,"×高値から離れすぎ",IF($BE173&gt;$BK$8,"×当日の値幅が大きい","×")))))))))</f>
      </c>
    </row>
    <row r="174" spans="1:60"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IF(AND(E174&lt;&gt;"",K174&lt;&gt;"",K174&lt;&gt;0),(E174-K174)/K174*100,"")</f>
        <v>-3.8751625487646297</v>
      </c>
      <c r="M174" s="166">
        <f>IF(C174&lt;&gt;"",IFERROR(AVERAGE(出来高!E61:I61),""),"")</f>
        <v>362800</v>
      </c>
      <c r="N174" s="166">
        <f>IF(C174&lt;&gt;"",IFERROR(AVERAGE(出来高!E61:AC61),""),"")</f>
        <v>316412</v>
      </c>
      <c r="O174" s="168">
        <f>IF(AND(J174&lt;&gt;"",M174&lt;&gt;"",M174&lt;&gt;0),J174/M174,"")</f>
        <v>0.87183020948180812</v>
      </c>
      <c r="P174" s="163" t="str">
        <f>IF(O174="","",IF(O174&gt;=2,"急増↑↑",IF(O174&gt;=1.5,"増加↑",IF(O174&gt;=1,"普通→","減少↓"))))</f>
        <v>減少↓</v>
      </c>
      <c r="Q174" s="163" t="str">
        <f>IF(E174="","",IF(AND(E174&gt;G174,O174&gt;=1.5),"買い▲",IF(E174&lt;G174,"様子見▼","中立→")))</f>
        <v>中立→</v>
      </c>
      <c r="R174" s="166">
        <f>IF(E174&lt;&gt;"",ROUND(E174*1.08,0),"")</f>
        <v>1996</v>
      </c>
      <c r="S174" s="166">
        <f>IF(E174&lt;&gt;"",ROUND(E174*0.96,0),"")</f>
        <v>1774</v>
      </c>
      <c r="T174" s="163">
        <f>IF(C174="","",IFERROR(IF(O174&gt;=2,3,IF(O174&gt;=1.5,2,IF(O174&gt;=1,1,0)))+IF(E174&gt;G174,1,0)+IF(L174&gt;=-5,1,0)+IF(Q174="買い▲",2,0)+IF(W174&lt;=30,3,IF(W174&lt;=40,2,IF(AND(W174&gt;=40,W174&lt;=60),1,0)))+IF(X174&gt;0,1,0)+IF(V174="年初来高値更新●",3,IF(V174="高値圏",2,0))+IF(AD174="パーフェクト▲",3,IF(AD174="上昇トレンド▲",2,0))+IF(AE174="25日線押し目●",2,IF(AE174="5日線押し目○",1,0))+IF(P174="急増↑↑",2,IF(P174="増加↑",1,0))+N(AI174),0))</f>
        <v>8</v>
      </c>
      <c r="U174" s="163" t="str">
        <f>IF(T174="","",IF(AND(T174&gt;=3,O174&gt;=1.5),"有効",IF(T174&gt;=3,"要確認","除外")))</f>
        <v>要確認</v>
      </c>
      <c r="V174" s="163" t="str">
        <f>IF(AND(H174&lt;&gt;"",K174&lt;&gt;""),IF(H174&gt;=K174,"年初来高値更新●",IF(H174&gt;=K174*0.95,"高値圏","通常")),"")</f>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IF(AND(E174&lt;&gt;"",G174&lt;&gt;"",G174&lt;&gt;0),(E174-G174)/G174*100,"")</f>
        <v>0.38022813688212925</v>
      </c>
      <c r="AA174" s="163" t="str">
        <f>IF(OR(C174="",E174="",E174=0),"",IF(E174&gt;G174,"上昇▲",IF(E174&lt;G174,"下落▼","横ばい→")))</f>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IF(OR(C174="",AB174="",AC174=""),"",IF(AND(E174&gt;AB174,AB174&gt;AC174),"パーフェクト▲",IF(E174&gt;AC174,"上昇トレンド▲",IF(AND(E174&lt;AB174,AB174&lt;AC174),"下降トレンド▼","もみ合い→"))))</f>
        <v>下降トレンド▼</v>
      </c>
      <c r="AE174" s="404" t="str">
        <f>IF(OR(C174="",AB174="",AC174=""),"",IF(AND(ABS(E174-AC174)/AC174&lt;=0.02,E174&gt;AC174),"25日押し目★",IF(AND(ABS(E174-AB174)/AB174&lt;=0.01,E174&gt;AB174),"5日押し目○","なし")))</f>
        <v>なし</v>
      </c>
      <c r="AF174" s="365">
        <f t="array" ref="AF174">IF(C174="","",IFERROR((INDEX(終値!$E:$E,MATCH(TEXT(C174,"0"),終値!$A:$A,0))-INDEX(終値!$E:$CZ,MATCH(TEXT(C174,"0"),終値!$A:$A,0),$AL$2))/INDEX(終値!$E:$CZ,MATCH(TEXT(C174,"0"),終値!$A:$A,0),$AL$2)*100,""))</f>
        <v>6.5436725281060832</v>
      </c>
      <c r="AG174" s="365">
        <f t="array" ref="AG174">IFERROR((終値!$E$5-INDEX(終値!$E$5:$IT$5,1,$AL$2))/INDEX(終値!$E$5:$IT$5,1,$AL$2)*100,"")</f>
        <v>1.0179378228534113</v>
      </c>
      <c r="AH174" s="366">
        <f>IF(OR(AF174="",AG174=""),"",AF174-AG174)</f>
        <v>5.5257347052526722</v>
      </c>
      <c r="AI174" s="364">
        <f>IF(AH174="","",IF(AH174&gt;5,3,IF(AH174&gt;0,1,IF(AH174&gt;-3,-1,-2))))</f>
        <v>3</v>
      </c>
      <c r="BA174">
        <f>IFERROR((SUM(OFFSET(高値!$E$6,IFERROR(MATCH($C174,銘柄管理!$B$6:$B$305,0),MATCH(TEXT($C174,"0"),銘柄管理!$B$6:$B$305,0))-1,0,1,14))-SUM(OFFSET(安値!$E$6,IFERROR(MATCH($C174,銘柄管理!$B$6:$B$305,0),MATCH(TEXT($C174,"0"),銘柄管理!$B$6:$B$305,0))-1,0,1,14)))/SUM(OFFSET(終値!$E$6,IFERROR(MATCH($C174,銘柄管理!$B$6:$B$305,0),MATCH(TEXT($C174,"0"),銘柄管理!$B$6:$B$305,0))-1,0,1,14))*100,"")</f>
      </c>
      <c r="BB174">
        <f>IFERROR((MAX(OFFSET(高値!$E$6,IFERROR(MATCH($C174,銘柄管理!$B$6:$B$305,0),MATCH(TEXT($C174,"0"),銘柄管理!$B$6:$B$305,0))-1,0,1,25))-MIN(OFFSET(安値!$E$6,IFERROR(MATCH($C174,銘柄管理!$B$6:$B$305,0),MATCH(TEXT($C174,"0"),銘柄管理!$B$6:$B$305,0))-1,0,1,25)))/$E174*100,"")</f>
      </c>
      <c r="BC174">
        <f>IFERROR(($F174-$G174)/$G174*100,"")</f>
      </c>
      <c r="BD174">
        <f>IFERROR(($E174-MAX(OFFSET(高値!$E$6,IFERROR(MATCH($C174,銘柄管理!$B$6:$B$305,0),MATCH(TEXT($C174,"0"),銘柄管理!$B$6:$B$305,0))-1,0,1,25)))/MAX(OFFSET(高値!$E$6,IFERROR(MATCH($C174,銘柄管理!$B$6:$B$305,0),MATCH(TEXT($C174,"0"),銘柄管理!$B$6:$B$305,0))-1,0,1,25))*100,"")</f>
      </c>
      <c r="BE174">
        <f>IFERROR(($H174-$I174)/$F174*100,"")</f>
      </c>
      <c r="BF174">
        <f>IFERROR(-(($BA174-AVERAGE($BA$3:$BA$206))/STDEV($BA$3:$BA$206))-(($BE174-AVERAGE($BE$3:$BE$206))/STDEV($BE$3:$BE$206))-(($BB174-AVERAGE($BB$3:$BB$206))/STDEV($BB$3:$BB$206))-(($Z174-AVERAGE($Z$3:$Z$206))/STDEV($Z$3:$Z$206))-(($BC174-AVERAGE($BC$3:$BC$206))/STDEV($BC$3:$BC$206)),"")</f>
      </c>
      <c r="BG174">
        <f>IF(OR($C174="",$C174="TOPX",$BA174="",$BF174=""),0,IF(AND($BK$10=1,$BA174&lt;=$BK$2,$BB174&lt;=$BK$3,$BC174&lt;=$BK$4,$Z174&lt;=$BK$5,$Z174&gt;=$BK$6,$BD174&gt;=$BK$7,$BE174&lt;=$BK$8),1,0))</f>
      </c>
      <c r="BH174">
        <f>IF($C174="","",IF($BG174=1,"○ゲート通過",IF($BK$10&lt;&gt;1,"― この方向は停止中",IF($BA174&gt;$BK$2,"×値動きが荒い",IF($BB174&gt;$BK$3,"×レンジが広い",IF($BC174&gt;$BK$4,"×窓を開けて上昇",IF($Z174&gt;$BK$5,"×前日に急騰",IF($Z174&lt;$BK$6,"×前日に急落",IF($BD174&lt;$BK$7,"×高値から離れすぎ",IF($BE174&gt;$BK$8,"×当日の値幅が大きい","×")))))))))</f>
      </c>
    </row>
    <row r="175" spans="1:60"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IF(AND(E175&lt;&gt;"",K175&lt;&gt;"",K175&lt;&gt;0),(E175-K175)/K175*100,"")</f>
        <v>3.4334763948497855</v>
      </c>
      <c r="M175" s="166">
        <f>IF(C175&lt;&gt;"",IFERROR(AVERAGE(出来高!E95:I95),""),"")</f>
        <v>377220</v>
      </c>
      <c r="N175" s="166">
        <f>IF(C175&lt;&gt;"",IFERROR(AVERAGE(出来高!E95:AC95),""),"")</f>
        <v>212554.16666666666</v>
      </c>
      <c r="O175" s="168">
        <f>IF(AND(J175&lt;&gt;"",M175&lt;&gt;"",M175&lt;&gt;0),J175/M175,"")</f>
        <v>3.1973384232013147</v>
      </c>
      <c r="P175" s="163" t="str">
        <f>IF(O175="","",IF(O175&gt;=2,"急増↑↑",IF(O175&gt;=1.5,"増加↑",IF(O175&gt;=1,"普通→","減少↓"))))</f>
        <v>急増↑↑</v>
      </c>
      <c r="Q175" s="163" t="str">
        <f>IF(E175="","",IF(AND(E175&gt;G175,O175&gt;=1.5),"買い▲",IF(E175&lt;G175,"様子見▼","中立→")))</f>
        <v>買い▲</v>
      </c>
      <c r="R175" s="166">
        <f>IF(E175&lt;&gt;"",ROUND(E175*1.08,0),"")</f>
        <v>1562</v>
      </c>
      <c r="S175" s="166">
        <f>IF(E175&lt;&gt;"",ROUND(E175*0.96,0),"")</f>
        <v>1388</v>
      </c>
      <c r="T175" s="163">
        <f>IF(C175="","",IFERROR(IF(O175&gt;=2,3,IF(O175&gt;=1.5,2,IF(O175&gt;=1,1,0)))+IF(E175&gt;G175,1,0)+IF(L175&gt;=-5,1,0)+IF(Q175="買い▲",2,0)+IF(W175&lt;=30,3,IF(W175&lt;=40,2,IF(AND(W175&gt;=40,W175&lt;=60),1,0)))+IF(X175&gt;0,1,0)+IF(V175="年初来高値更新●",3,IF(V175="高値圏",2,0))+IF(AD175="パーフェクト▲",3,IF(AD175="上昇トレンド▲",2,0))+IF(AE175="25日線押し目●",2,IF(AE175="5日線押し目○",1,0))+IF(P175="急増↑↑",2,IF(P175="増加↑",1,0))+N(AI175),0))</f>
        <v>19</v>
      </c>
      <c r="U175" s="163" t="str">
        <f>IF(T175="","",IF(AND(T175&gt;=3,O175&gt;=1.5),"有効",IF(T175&gt;=3,"要確認","除外")))</f>
        <v>有効</v>
      </c>
      <c r="V175" s="163" t="str">
        <f>IF(AND(H175&lt;&gt;"",K175&lt;&gt;""),IF(H175&gt;=K175,"年初来高値更新●",IF(H175&gt;=K175*0.95,"高値圏","通常")),"")</f>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IF(AND(E175&lt;&gt;"",G175&lt;&gt;"",G175&lt;&gt;0),(E175-G175)/G175*100,"")</f>
        <v>14.853057982525813</v>
      </c>
      <c r="AA175" s="163" t="str">
        <f>IF(OR(C175="",E175="",E175=0),"",IF(E175&gt;G175,"上昇▲",IF(E175&lt;G175,"下落▼","横ばい→")))</f>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IF(OR(C175="",AB175="",AC175=""),"",IF(AND(E175&gt;AB175,AB175&gt;AC175),"パーフェクト▲",IF(E175&gt;AC175,"上昇トレンド▲",IF(AND(E175&lt;AB175,AB175&lt;AC175),"下降トレンド▼","もみ合い→"))))</f>
        <v>パーフェクト▲</v>
      </c>
      <c r="AE175" s="406" t="str">
        <f>IF(OR(C175="",AB175="",AC175=""),"",IF(AND(ABS(E175-AC175)/AC175&lt;=0.02,E175&gt;AC175),"25日押し目★",IF(AND(ABS(E175-AB175)/AB175&lt;=0.01,E175&gt;AB175),"5日押し目○","なし")))</f>
        <v>なし</v>
      </c>
      <c r="AF175" s="365">
        <f t="array" ref="AF175">IF(C175="","",IFERROR((INDEX(終値!$E:$E,MATCH(TEXT(C175,"0"),終値!$A:$A,0))-INDEX(終値!$E:$CZ,MATCH(TEXT(C175,"0"),終値!$A:$A,0),$AL$2))/INDEX(終値!$E:$CZ,MATCH(TEXT(C175,"0"),終値!$A:$A,0),$AL$2)*100,""))</f>
        <v>12.441679626749611</v>
      </c>
      <c r="AG175" s="365">
        <f t="array" ref="AG175">IFERROR((終値!$E$5-INDEX(終値!$E$5:$IT$5,1,$AL$2))/INDEX(終値!$E$5:$IT$5,1,$AL$2)*100,"")</f>
        <v>1.0179378228534113</v>
      </c>
      <c r="AH175" s="366">
        <f>IF(OR(AF175="",AG175=""),"",AF175-AG175)</f>
        <v>11.423741803896199</v>
      </c>
      <c r="AI175" s="364">
        <f>IF(AH175="","",IF(AH175&gt;5,3,IF(AH175&gt;0,1,IF(AH175&gt;-3,-1,-2))))</f>
        <v>3</v>
      </c>
      <c r="BA175">
        <f>IFERROR((SUM(OFFSET(高値!$E$6,IFERROR(MATCH($C175,銘柄管理!$B$6:$B$305,0),MATCH(TEXT($C175,"0"),銘柄管理!$B$6:$B$305,0))-1,0,1,14))-SUM(OFFSET(安値!$E$6,IFERROR(MATCH($C175,銘柄管理!$B$6:$B$305,0),MATCH(TEXT($C175,"0"),銘柄管理!$B$6:$B$305,0))-1,0,1,14)))/SUM(OFFSET(終値!$E$6,IFERROR(MATCH($C175,銘柄管理!$B$6:$B$305,0),MATCH(TEXT($C175,"0"),銘柄管理!$B$6:$B$305,0))-1,0,1,14))*100,"")</f>
      </c>
      <c r="BB175">
        <f>IFERROR((MAX(OFFSET(高値!$E$6,IFERROR(MATCH($C175,銘柄管理!$B$6:$B$305,0),MATCH(TEXT($C175,"0"),銘柄管理!$B$6:$B$305,0))-1,0,1,25))-MIN(OFFSET(安値!$E$6,IFERROR(MATCH($C175,銘柄管理!$B$6:$B$305,0),MATCH(TEXT($C175,"0"),銘柄管理!$B$6:$B$305,0))-1,0,1,25)))/$E175*100,"")</f>
      </c>
      <c r="BC175">
        <f>IFERROR(($F175-$G175)/$G175*100,"")</f>
      </c>
      <c r="BD175">
        <f>IFERROR(($E175-MAX(OFFSET(高値!$E$6,IFERROR(MATCH($C175,銘柄管理!$B$6:$B$305,0),MATCH(TEXT($C175,"0"),銘柄管理!$B$6:$B$305,0))-1,0,1,25)))/MAX(OFFSET(高値!$E$6,IFERROR(MATCH($C175,銘柄管理!$B$6:$B$305,0),MATCH(TEXT($C175,"0"),銘柄管理!$B$6:$B$305,0))-1,0,1,25))*100,"")</f>
      </c>
      <c r="BE175">
        <f>IFERROR(($H175-$I175)/$F175*100,"")</f>
      </c>
      <c r="BF175">
        <f>IFERROR(-(($BA175-AVERAGE($BA$3:$BA$206))/STDEV($BA$3:$BA$206))-(($BE175-AVERAGE($BE$3:$BE$206))/STDEV($BE$3:$BE$206))-(($BB175-AVERAGE($BB$3:$BB$206))/STDEV($BB$3:$BB$206))-(($Z175-AVERAGE($Z$3:$Z$206))/STDEV($Z$3:$Z$206))-(($BC175-AVERAGE($BC$3:$BC$206))/STDEV($BC$3:$BC$206)),"")</f>
      </c>
      <c r="BG175">
        <f>IF(OR($C175="",$C175="TOPX",$BA175="",$BF175=""),0,IF(AND($BK$10=1,$BA175&lt;=$BK$2,$BB175&lt;=$BK$3,$BC175&lt;=$BK$4,$Z175&lt;=$BK$5,$Z175&gt;=$BK$6,$BD175&gt;=$BK$7,$BE175&lt;=$BK$8),1,0))</f>
      </c>
      <c r="BH175">
        <f>IF($C175="","",IF($BG175=1,"○ゲート通過",IF($BK$10&lt;&gt;1,"― この方向は停止中",IF($BA175&gt;$BK$2,"×値動きが荒い",IF($BB175&gt;$BK$3,"×レンジが広い",IF($BC175&gt;$BK$4,"×窓を開けて上昇",IF($Z175&gt;$BK$5,"×前日に急騰",IF($Z175&lt;$BK$6,"×前日に急落",IF($BD175&lt;$BK$7,"×高値から離れすぎ",IF($BE175&gt;$BK$8,"×当日の値幅が大きい","×")))))))))</f>
      </c>
    </row>
    <row r="176" spans="1:60"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IF(AND(E176&lt;&gt;"",K176&lt;&gt;"",K176&lt;&gt;0),(E176-K176)/K176*100,"")</f>
        <v>-1.1768349334159183</v>
      </c>
      <c r="M176" s="166">
        <f>IF(C176&lt;&gt;"",IFERROR(AVERAGE(出来高!E48:I48),""),"")</f>
        <v>1423000</v>
      </c>
      <c r="N176" s="166">
        <f>IF(C176&lt;&gt;"",IFERROR(AVERAGE(出来高!E48:AC48),""),"")</f>
        <v>1069400</v>
      </c>
      <c r="O176" s="168">
        <f>IF(AND(J176&lt;&gt;"",M176&lt;&gt;"",M176&lt;&gt;0),J176/M176,"")</f>
        <v>1.2791286015460295</v>
      </c>
      <c r="P176" s="163" t="str">
        <f>IF(O176="","",IF(O176&gt;=2,"急増↑↑",IF(O176&gt;=1.5,"増加↑",IF(O176&gt;=1,"普通→","減少↓"))))</f>
        <v>普通→</v>
      </c>
      <c r="Q176" s="163" t="str">
        <f>IF(E176="","",IF(AND(E176&gt;G176,O176&gt;=1.5),"買い▲",IF(E176&lt;G176,"様子見▼","中立→")))</f>
        <v>様子見▼</v>
      </c>
      <c r="R176" s="166">
        <f>IF(E176&lt;&gt;"",ROUND(E176*1.08,0),"")</f>
        <v>1723</v>
      </c>
      <c r="S176" s="166">
        <f>IF(E176&lt;&gt;"",ROUND(E176*0.96,0),"")</f>
        <v>1532</v>
      </c>
      <c r="T176" s="163">
        <f>IF(C176="","",IFERROR(IF(O176&gt;=2,3,IF(O176&gt;=1.5,2,IF(O176&gt;=1,1,0)))+IF(E176&gt;G176,1,0)+IF(L176&gt;=-5,1,0)+IF(Q176="買い▲",2,0)+IF(W176&lt;=30,3,IF(W176&lt;=40,2,IF(AND(W176&gt;=40,W176&lt;=60),1,0)))+IF(X176&gt;0,1,0)+IF(V176="年初来高値更新●",3,IF(V176="高値圏",2,0))+IF(AD176="パーフェクト▲",3,IF(AD176="上昇トレンド▲",2,0))+IF(AE176="25日線押し目●",2,IF(AE176="5日線押し目○",1,0))+IF(P176="急増↑↑",2,IF(P176="増加↑",1,0))+N(AI176),0))</f>
        <v>9</v>
      </c>
      <c r="U176" s="163" t="str">
        <f>IF(T176="","",IF(AND(T176&gt;=3,O176&gt;=1.5),"有効",IF(T176&gt;=3,"要確認","除外")))</f>
        <v>要確認</v>
      </c>
      <c r="V176" s="163" t="str">
        <f>IF(AND(H176&lt;&gt;"",K176&lt;&gt;""),IF(H176&gt;=K176,"年初来高値更新●",IF(H176&gt;=K176*0.95,"高値圏","通常")),"")</f>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IF(AND(E176&lt;&gt;"",G176&lt;&gt;"",G176&lt;&gt;0),(E176-G176)/G176*100,"")</f>
        <v>-1.1768349334159183</v>
      </c>
      <c r="AA176" s="163" t="str">
        <f>IF(OR(C176="",E176="",E176=0),"",IF(E176&gt;G176,"上昇▲",IF(E176&lt;G176,"下落▼","横ばい→")))</f>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IF(OR(C176="",AB176="",AC176=""),"",IF(AND(E176&gt;AB176,AB176&gt;AC176),"パーフェクト▲",IF(E176&gt;AC176,"上昇トレンド▲",IF(AND(E176&lt;AB176,AB176&lt;AC176),"下降トレンド▼","もみ合い→"))))</f>
        <v>もみ合い→</v>
      </c>
      <c r="AE176" s="404" t="str">
        <f>IF(OR(C176="",AB176="",AC176=""),"",IF(AND(ABS(E176-AC176)/AC176&lt;=0.02,E176&gt;AC176),"25日押し目★",IF(AND(ABS(E176-AB176)/AB176&lt;=0.01,E176&gt;AB176),"5日押し目○","なし")))</f>
        <v>なし</v>
      </c>
      <c r="AF176" s="365">
        <f t="array" ref="AF176">IF(C176="","",IFERROR((INDEX(終値!$E:$E,MATCH(TEXT(C176,"0"),終値!$A:$A,0))-INDEX(終値!$E:$CZ,MATCH(TEXT(C176,"0"),終値!$A:$A,0),$AL$2))/INDEX(終値!$E:$CZ,MATCH(TEXT(C176,"0"),終値!$A:$A,0),$AL$2)*100,""))</f>
        <v>12.716354645001765</v>
      </c>
      <c r="AG176" s="365">
        <f t="array" ref="AG176">IFERROR((終値!$E$5-INDEX(終値!$E$5:$IT$5,1,$AL$2))/INDEX(終値!$E$5:$IT$5,1,$AL$2)*100,"")</f>
        <v>1.0179378228534113</v>
      </c>
      <c r="AH176" s="366">
        <f>IF(OR(AF176="",AG176=""),"",AF176-AG176)</f>
        <v>11.698416822148353</v>
      </c>
      <c r="AI176" s="364">
        <f>IF(AH176="","",IF(AH176&gt;5,3,IF(AH176&gt;0,1,IF(AH176&gt;-3,-1,-2))))</f>
        <v>3</v>
      </c>
      <c r="BA176">
        <f>IFERROR((SUM(OFFSET(高値!$E$6,IFERROR(MATCH($C176,銘柄管理!$B$6:$B$305,0),MATCH(TEXT($C176,"0"),銘柄管理!$B$6:$B$305,0))-1,0,1,14))-SUM(OFFSET(安値!$E$6,IFERROR(MATCH($C176,銘柄管理!$B$6:$B$305,0),MATCH(TEXT($C176,"0"),銘柄管理!$B$6:$B$305,0))-1,0,1,14)))/SUM(OFFSET(終値!$E$6,IFERROR(MATCH($C176,銘柄管理!$B$6:$B$305,0),MATCH(TEXT($C176,"0"),銘柄管理!$B$6:$B$305,0))-1,0,1,14))*100,"")</f>
      </c>
      <c r="BB176">
        <f>IFERROR((MAX(OFFSET(高値!$E$6,IFERROR(MATCH($C176,銘柄管理!$B$6:$B$305,0),MATCH(TEXT($C176,"0"),銘柄管理!$B$6:$B$305,0))-1,0,1,25))-MIN(OFFSET(安値!$E$6,IFERROR(MATCH($C176,銘柄管理!$B$6:$B$305,0),MATCH(TEXT($C176,"0"),銘柄管理!$B$6:$B$305,0))-1,0,1,25)))/$E176*100,"")</f>
      </c>
      <c r="BC176">
        <f>IFERROR(($F176-$G176)/$G176*100,"")</f>
      </c>
      <c r="BD176">
        <f>IFERROR(($E176-MAX(OFFSET(高値!$E$6,IFERROR(MATCH($C176,銘柄管理!$B$6:$B$305,0),MATCH(TEXT($C176,"0"),銘柄管理!$B$6:$B$305,0))-1,0,1,25)))/MAX(OFFSET(高値!$E$6,IFERROR(MATCH($C176,銘柄管理!$B$6:$B$305,0),MATCH(TEXT($C176,"0"),銘柄管理!$B$6:$B$305,0))-1,0,1,25))*100,"")</f>
      </c>
      <c r="BE176">
        <f>IFERROR(($H176-$I176)/$F176*100,"")</f>
      </c>
      <c r="BF176">
        <f>IFERROR(-(($BA176-AVERAGE($BA$3:$BA$206))/STDEV($BA$3:$BA$206))-(($BE176-AVERAGE($BE$3:$BE$206))/STDEV($BE$3:$BE$206))-(($BB176-AVERAGE($BB$3:$BB$206))/STDEV($BB$3:$BB$206))-(($Z176-AVERAGE($Z$3:$Z$206))/STDEV($Z$3:$Z$206))-(($BC176-AVERAGE($BC$3:$BC$206))/STDEV($BC$3:$BC$206)),"")</f>
      </c>
      <c r="BG176">
        <f>IF(OR($C176="",$C176="TOPX",$BA176="",$BF176=""),0,IF(AND($BK$10=1,$BA176&lt;=$BK$2,$BB176&lt;=$BK$3,$BC176&lt;=$BK$4,$Z176&lt;=$BK$5,$Z176&gt;=$BK$6,$BD176&gt;=$BK$7,$BE176&lt;=$BK$8),1,0))</f>
      </c>
      <c r="BH176">
        <f>IF($C176="","",IF($BG176=1,"○ゲート通過",IF($BK$10&lt;&gt;1,"― この方向は停止中",IF($BA176&gt;$BK$2,"×値動きが荒い",IF($BB176&gt;$BK$3,"×レンジが広い",IF($BC176&gt;$BK$4,"×窓を開けて上昇",IF($Z176&gt;$BK$5,"×前日に急騰",IF($Z176&lt;$BK$6,"×前日に急落",IF($BD176&lt;$BK$7,"×高値から離れすぎ",IF($BE176&gt;$BK$8,"×当日の値幅が大きい","×")))))))))</f>
      </c>
    </row>
    <row r="177" spans="1:60"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IF(AND(E177&lt;&gt;"",K177&lt;&gt;"",K177&lt;&gt;0),(E177-K177)/K177*100,"")</f>
        <v>-35.373537353735372</v>
      </c>
      <c r="M177" s="166">
        <f>IF(C177&lt;&gt;"",IFERROR(AVERAGE(出来高!E159:I159),""),"")</f>
        <v>385740</v>
      </c>
      <c r="N177" s="166">
        <f>IF(C177&lt;&gt;"",IFERROR(AVERAGE(出来高!E159:AC159),""),"")</f>
        <v>221476</v>
      </c>
      <c r="O177" s="168">
        <f>IF(AND(J177&lt;&gt;"",M177&lt;&gt;"",M177&lt;&gt;0),J177/M177,"")</f>
        <v>0.54440815056773995</v>
      </c>
      <c r="P177" s="163" t="str">
        <f>IF(O177="","",IF(O177&gt;=2,"急増↑↑",IF(O177&gt;=1.5,"増加↑",IF(O177&gt;=1,"普通→","減少↓"))))</f>
        <v>減少↓</v>
      </c>
      <c r="Q177" s="163" t="str">
        <f>IF(E177="","",IF(AND(E177&gt;G177,O177&gt;=1.5),"買い▲",IF(E177&lt;G177,"様子見▼","中立→")))</f>
        <v>様子見▼</v>
      </c>
      <c r="R177" s="166">
        <f>IF(E177&lt;&gt;"",ROUND(E177*1.08,0),"")</f>
        <v>7754</v>
      </c>
      <c r="S177" s="166">
        <f>IF(E177&lt;&gt;"",ROUND(E177*0.96,0),"")</f>
        <v>6893</v>
      </c>
      <c r="T177" s="163">
        <f>IF(C177="","",IFERROR(IF(O177&gt;=2,3,IF(O177&gt;=1.5,2,IF(O177&gt;=1,1,0)))+IF(E177&gt;G177,1,0)+IF(L177&gt;=-5,1,0)+IF(Q177="買い▲",2,0)+IF(W177&lt;=30,3,IF(W177&lt;=40,2,IF(AND(W177&gt;=40,W177&lt;=60),1,0)))+IF(X177&gt;0,1,0)+IF(V177="年初来高値更新●",3,IF(V177="高値圏",2,0))+IF(AD177="パーフェクト▲",3,IF(AD177="上昇トレンド▲",2,0))+IF(AE177="25日線押し目●",2,IF(AE177="5日線押し目○",1,0))+IF(P177="急増↑↑",2,IF(P177="増加↑",1,0))+N(AI177),0))</f>
        <v>2</v>
      </c>
      <c r="U177" s="163" t="str">
        <f>IF(T177="","",IF(AND(T177&gt;=3,O177&gt;=1.5),"有効",IF(T177&gt;=3,"要確認","除外")))</f>
        <v>除外</v>
      </c>
      <c r="V177" s="163" t="str">
        <f>IF(AND(H177&lt;&gt;"",K177&lt;&gt;""),IF(H177&gt;=K177,"年初来高値更新●",IF(H177&gt;=K177*0.95,"高値圏","通常")),"")</f>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IF(AND(E177&lt;&gt;"",G177&lt;&gt;"",G177&lt;&gt;0),(E177-G177)/G177*100,"")</f>
        <v>-1.7783857729138166</v>
      </c>
      <c r="AA177" s="163" t="str">
        <f>IF(OR(C177="",E177="",E177=0),"",IF(E177&gt;G177,"上昇▲",IF(E177&lt;G177,"下落▼","横ばい→")))</f>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IF(OR(C177="",AB177="",AC177=""),"",IF(AND(E177&gt;AB177,AB177&gt;AC177),"パーフェクト▲",IF(E177&gt;AC177,"上昇トレンド▲",IF(AND(E177&lt;AB177,AB177&lt;AC177),"下降トレンド▼","もみ合い→"))))</f>
        <v>パーフェクト▲</v>
      </c>
      <c r="AE177" s="406" t="str">
        <f>IF(OR(C177="",AB177="",AC177=""),"",IF(AND(ABS(E177-AC177)/AC177&lt;=0.02,E177&gt;AC177),"25日押し目★",IF(AND(ABS(E177-AB177)/AB177&lt;=0.01,E177&gt;AB177),"5日押し目○","なし")))</f>
        <v>なし</v>
      </c>
      <c r="AF177" s="365">
        <f t="array" ref="AF177">IF(C177="","",IFERROR((INDEX(終値!$E:$E,MATCH(TEXT(C177,"0"),終値!$A:$A,0))-INDEX(終値!$E:$CZ,MATCH(TEXT(C177,"0"),終値!$A:$A,0),$AL$2))/INDEX(終値!$E:$CZ,MATCH(TEXT(C177,"0"),終値!$A:$A,0),$AL$2)*100,""))</f>
        <v>-30.291262135922331</v>
      </c>
      <c r="AG177" s="365">
        <f t="array" ref="AG177">IFERROR((終値!$E$5-INDEX(終値!$E$5:$IT$5,1,$AL$2))/INDEX(終値!$E$5:$IT$5,1,$AL$2)*100,"")</f>
        <v>1.0179378228534113</v>
      </c>
      <c r="AH177" s="366">
        <f>IF(OR(AF177="",AG177=""),"",AF177-AG177)</f>
        <v>-31.309199958775743</v>
      </c>
      <c r="AI177" s="364">
        <f>IF(AH177="","",IF(AH177&gt;5,3,IF(AH177&gt;0,1,IF(AH177&gt;-3,-1,-2))))</f>
        <v>-2</v>
      </c>
      <c r="BA177">
        <f>IFERROR((SUM(OFFSET(高値!$E$6,IFERROR(MATCH($C177,銘柄管理!$B$6:$B$305,0),MATCH(TEXT($C177,"0"),銘柄管理!$B$6:$B$305,0))-1,0,1,14))-SUM(OFFSET(安値!$E$6,IFERROR(MATCH($C177,銘柄管理!$B$6:$B$305,0),MATCH(TEXT($C177,"0"),銘柄管理!$B$6:$B$305,0))-1,0,1,14)))/SUM(OFFSET(終値!$E$6,IFERROR(MATCH($C177,銘柄管理!$B$6:$B$305,0),MATCH(TEXT($C177,"0"),銘柄管理!$B$6:$B$305,0))-1,0,1,14))*100,"")</f>
      </c>
      <c r="BB177">
        <f>IFERROR((MAX(OFFSET(高値!$E$6,IFERROR(MATCH($C177,銘柄管理!$B$6:$B$305,0),MATCH(TEXT($C177,"0"),銘柄管理!$B$6:$B$305,0))-1,0,1,25))-MIN(OFFSET(安値!$E$6,IFERROR(MATCH($C177,銘柄管理!$B$6:$B$305,0),MATCH(TEXT($C177,"0"),銘柄管理!$B$6:$B$305,0))-1,0,1,25)))/$E177*100,"")</f>
      </c>
      <c r="BC177">
        <f>IFERROR(($F177-$G177)/$G177*100,"")</f>
      </c>
      <c r="BD177">
        <f>IFERROR(($E177-MAX(OFFSET(高値!$E$6,IFERROR(MATCH($C177,銘柄管理!$B$6:$B$305,0),MATCH(TEXT($C177,"0"),銘柄管理!$B$6:$B$305,0))-1,0,1,25)))/MAX(OFFSET(高値!$E$6,IFERROR(MATCH($C177,銘柄管理!$B$6:$B$305,0),MATCH(TEXT($C177,"0"),銘柄管理!$B$6:$B$305,0))-1,0,1,25))*100,"")</f>
      </c>
      <c r="BE177">
        <f>IFERROR(($H177-$I177)/$F177*100,"")</f>
      </c>
      <c r="BF177">
        <f>IFERROR(-(($BA177-AVERAGE($BA$3:$BA$206))/STDEV($BA$3:$BA$206))-(($BE177-AVERAGE($BE$3:$BE$206))/STDEV($BE$3:$BE$206))-(($BB177-AVERAGE($BB$3:$BB$206))/STDEV($BB$3:$BB$206))-(($Z177-AVERAGE($Z$3:$Z$206))/STDEV($Z$3:$Z$206))-(($BC177-AVERAGE($BC$3:$BC$206))/STDEV($BC$3:$BC$206)),"")</f>
      </c>
      <c r="BG177">
        <f>IF(OR($C177="",$C177="TOPX",$BA177="",$BF177=""),0,IF(AND($BK$10=1,$BA177&lt;=$BK$2,$BB177&lt;=$BK$3,$BC177&lt;=$BK$4,$Z177&lt;=$BK$5,$Z177&gt;=$BK$6,$BD177&gt;=$BK$7,$BE177&lt;=$BK$8),1,0))</f>
      </c>
      <c r="BH177">
        <f>IF($C177="","",IF($BG177=1,"○ゲート通過",IF($BK$10&lt;&gt;1,"― この方向は停止中",IF($BA177&gt;$BK$2,"×値動きが荒い",IF($BB177&gt;$BK$3,"×レンジが広い",IF($BC177&gt;$BK$4,"×窓を開けて上昇",IF($Z177&gt;$BK$5,"×前日に急騰",IF($Z177&lt;$BK$6,"×前日に急落",IF($BD177&lt;$BK$7,"×高値から離れすぎ",IF($BE177&gt;$BK$8,"×当日の値幅が大きい","×")))))))))</f>
      </c>
    </row>
    <row r="178" spans="1:60"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IF(AND(E178&lt;&gt;"",K178&lt;&gt;"",K178&lt;&gt;0),(E178-K178)/K178*100,"")</f>
        <v>-15.32258064516129</v>
      </c>
      <c r="M178" s="166">
        <f>IF(C178&lt;&gt;"",IFERROR(AVERAGE(出来高!E32:I32),""),"")</f>
        <v>1277760</v>
      </c>
      <c r="N178" s="166">
        <f>IF(C178&lt;&gt;"",IFERROR(AVERAGE(出来高!E32:AC32),""),"")</f>
        <v>928488</v>
      </c>
      <c r="O178" s="168">
        <f>IF(AND(J178&lt;&gt;"",M178&lt;&gt;"",M178&lt;&gt;0),J178/M178,"")</f>
        <v>1.25313047833709</v>
      </c>
      <c r="P178" s="163" t="str">
        <f>IF(O178="","",IF(O178&gt;=2,"急増↑↑",IF(O178&gt;=1.5,"増加↑",IF(O178&gt;=1,"普通→","減少↓"))))</f>
        <v>普通→</v>
      </c>
      <c r="Q178" s="163" t="str">
        <f>IF(E178="","",IF(AND(E178&gt;G178,O178&gt;=1.5),"買い▲",IF(E178&lt;G178,"様子見▼","中立→")))</f>
        <v>中立→</v>
      </c>
      <c r="R178" s="166">
        <f>IF(E178&lt;&gt;"",ROUND(E178*1.08,0),"")</f>
        <v>1474</v>
      </c>
      <c r="S178" s="166">
        <f>IF(E178&lt;&gt;"",ROUND(E178*0.96,0),"")</f>
        <v>1310</v>
      </c>
      <c r="T178" s="163">
        <f>IF(C178="","",IFERROR(IF(O178&gt;=2,3,IF(O178&gt;=1.5,2,IF(O178&gt;=1,1,0)))+IF(E178&gt;G178,1,0)+IF(L178&gt;=-5,1,0)+IF(Q178="買い▲",2,0)+IF(W178&lt;=30,3,IF(W178&lt;=40,2,IF(AND(W178&gt;=40,W178&lt;=60),1,0)))+IF(X178&gt;0,1,0)+IF(V178="年初来高値更新●",3,IF(V178="高値圏",2,0))+IF(AD178="パーフェクト▲",3,IF(AD178="上昇トレンド▲",2,0))+IF(AE178="25日線押し目●",2,IF(AE178="5日線押し目○",1,0))+IF(P178="急増↑↑",2,IF(P178="増加↑",1,0))+N(AI178),0))</f>
        <v>5</v>
      </c>
      <c r="U178" s="163" t="str">
        <f>IF(T178="","",IF(AND(T178&gt;=3,O178&gt;=1.5),"有効",IF(T178&gt;=3,"要確認","除外")))</f>
        <v>要確認</v>
      </c>
      <c r="V178" s="163" t="str">
        <f>IF(AND(H178&lt;&gt;"",K178&lt;&gt;""),IF(H178&gt;=K178,"年初来高値更新●",IF(H178&gt;=K178*0.95,"高値圏","通常")),"")</f>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IF(AND(E178&lt;&gt;"",G178&lt;&gt;"",G178&lt;&gt;0),(E178-G178)/G178*100,"")</f>
        <v>4.7582501918649278</v>
      </c>
      <c r="AA178" s="163" t="str">
        <f>IF(OR(C178="",E178="",E178=0),"",IF(E178&gt;G178,"上昇▲",IF(E178&lt;G178,"下落▼","横ばい→")))</f>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IF(OR(C178="",AB178="",AC178=""),"",IF(AND(E178&gt;AB178,AB178&gt;AC178),"パーフェクト▲",IF(E178&gt;AC178,"上昇トレンド▲",IF(AND(E178&lt;AB178,AB178&lt;AC178),"下降トレンド▼","もみ合い→"))))</f>
        <v>もみ合い→</v>
      </c>
      <c r="AE178" s="404" t="str">
        <f>IF(OR(C178="",AB178="",AC178=""),"",IF(AND(ABS(E178-AC178)/AC178&lt;=0.02,E178&gt;AC178),"25日押し目★",IF(AND(ABS(E178-AB178)/AB178&lt;=0.01,E178&gt;AB178),"5日押し目○","なし")))</f>
        <v>なし</v>
      </c>
      <c r="AF178" s="365">
        <f t="array" ref="AF178">IF(C178="","",IFERROR((INDEX(終値!$E:$E,MATCH(TEXT(C178,"0"),終値!$A:$A,0))-INDEX(終値!$E:$CZ,MATCH(TEXT(C178,"0"),終値!$A:$A,0),$AL$2))/INDEX(終値!$E:$CZ,MATCH(TEXT(C178,"0"),終値!$A:$A,0),$AL$2)*100,""))</f>
        <v>5.2428681572860443</v>
      </c>
      <c r="AG178" s="365">
        <f t="array" ref="AG178">IFERROR((終値!$E$5-INDEX(終値!$E$5:$IT$5,1,$AL$2))/INDEX(終値!$E$5:$IT$5,1,$AL$2)*100,"")</f>
        <v>1.0179378228534113</v>
      </c>
      <c r="AH178" s="366">
        <f>IF(OR(AF178="",AG178=""),"",AF178-AG178)</f>
        <v>4.2249303344326332</v>
      </c>
      <c r="AI178" s="364">
        <f>IF(AH178="","",IF(AH178&gt;5,3,IF(AH178&gt;0,1,IF(AH178&gt;-3,-1,-2))))</f>
        <v>1</v>
      </c>
      <c r="BA178">
        <f>IFERROR((SUM(OFFSET(高値!$E$6,IFERROR(MATCH($C178,銘柄管理!$B$6:$B$305,0),MATCH(TEXT($C178,"0"),銘柄管理!$B$6:$B$305,0))-1,0,1,14))-SUM(OFFSET(安値!$E$6,IFERROR(MATCH($C178,銘柄管理!$B$6:$B$305,0),MATCH(TEXT($C178,"0"),銘柄管理!$B$6:$B$305,0))-1,0,1,14)))/SUM(OFFSET(終値!$E$6,IFERROR(MATCH($C178,銘柄管理!$B$6:$B$305,0),MATCH(TEXT($C178,"0"),銘柄管理!$B$6:$B$305,0))-1,0,1,14))*100,"")</f>
      </c>
      <c r="BB178">
        <f>IFERROR((MAX(OFFSET(高値!$E$6,IFERROR(MATCH($C178,銘柄管理!$B$6:$B$305,0),MATCH(TEXT($C178,"0"),銘柄管理!$B$6:$B$305,0))-1,0,1,25))-MIN(OFFSET(安値!$E$6,IFERROR(MATCH($C178,銘柄管理!$B$6:$B$305,0),MATCH(TEXT($C178,"0"),銘柄管理!$B$6:$B$305,0))-1,0,1,25)))/$E178*100,"")</f>
      </c>
      <c r="BC178">
        <f>IFERROR(($F178-$G178)/$G178*100,"")</f>
      </c>
      <c r="BD178">
        <f>IFERROR(($E178-MAX(OFFSET(高値!$E$6,IFERROR(MATCH($C178,銘柄管理!$B$6:$B$305,0),MATCH(TEXT($C178,"0"),銘柄管理!$B$6:$B$305,0))-1,0,1,25)))/MAX(OFFSET(高値!$E$6,IFERROR(MATCH($C178,銘柄管理!$B$6:$B$305,0),MATCH(TEXT($C178,"0"),銘柄管理!$B$6:$B$305,0))-1,0,1,25))*100,"")</f>
      </c>
      <c r="BE178">
        <f>IFERROR(($H178-$I178)/$F178*100,"")</f>
      </c>
      <c r="BF178">
        <f>IFERROR(-(($BA178-AVERAGE($BA$3:$BA$206))/STDEV($BA$3:$BA$206))-(($BE178-AVERAGE($BE$3:$BE$206))/STDEV($BE$3:$BE$206))-(($BB178-AVERAGE($BB$3:$BB$206))/STDEV($BB$3:$BB$206))-(($Z178-AVERAGE($Z$3:$Z$206))/STDEV($Z$3:$Z$206))-(($BC178-AVERAGE($BC$3:$BC$206))/STDEV($BC$3:$BC$206)),"")</f>
      </c>
      <c r="BG178">
        <f>IF(OR($C178="",$C178="TOPX",$BA178="",$BF178=""),0,IF(AND($BK$10=1,$BA178&lt;=$BK$2,$BB178&lt;=$BK$3,$BC178&lt;=$BK$4,$Z178&lt;=$BK$5,$Z178&gt;=$BK$6,$BD178&gt;=$BK$7,$BE178&lt;=$BK$8),1,0))</f>
      </c>
      <c r="BH178">
        <f>IF($C178="","",IF($BG178=1,"○ゲート通過",IF($BK$10&lt;&gt;1,"― この方向は停止中",IF($BA178&gt;$BK$2,"×値動きが荒い",IF($BB178&gt;$BK$3,"×レンジが広い",IF($BC178&gt;$BK$4,"×窓を開けて上昇",IF($Z178&gt;$BK$5,"×前日に急騰",IF($Z178&lt;$BK$6,"×前日に急落",IF($BD178&lt;$BK$7,"×高値から離れすぎ",IF($BE178&gt;$BK$8,"×当日の値幅が大きい","×")))))))))</f>
      </c>
    </row>
    <row r="179" spans="1:60"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IF(AND(E179&lt;&gt;"",K179&lt;&gt;"",K179&lt;&gt;0),(E179-K179)/K179*100,"")</f>
        <v>-11.799737559301512</v>
      </c>
      <c r="M179" s="166">
        <f>IF(C179&lt;&gt;"",IFERROR(AVERAGE(出来高!E41:I41),""),"")</f>
        <v>5639660</v>
      </c>
      <c r="N179" s="166">
        <f>IF(C179&lt;&gt;"",IFERROR(AVERAGE(出来高!E41:AC41),""),"")</f>
        <v>3777408</v>
      </c>
      <c r="O179" s="168">
        <f>IF(AND(J179&lt;&gt;"",M179&lt;&gt;"",M179&lt;&gt;0),J179/M179,"")</f>
        <v>0.80162633917647519</v>
      </c>
      <c r="P179" s="163" t="str">
        <f>IF(O179="","",IF(O179&gt;=2,"急増↑↑",IF(O179&gt;=1.5,"増加↑",IF(O179&gt;=1,"普通→","減少↓"))))</f>
        <v>減少↓</v>
      </c>
      <c r="Q179" s="163" t="str">
        <f>IF(E179="","",IF(AND(E179&gt;G179,O179&gt;=1.5),"買い▲",IF(E179&lt;G179,"様子見▼","中立→")))</f>
        <v>中立→</v>
      </c>
      <c r="R179" s="166">
        <f>IF(E179&lt;&gt;"",ROUND(E179*1.08,0),"")</f>
        <v>944</v>
      </c>
      <c r="S179" s="166">
        <f>IF(E179&lt;&gt;"",ROUND(E179*0.96,0),"")</f>
        <v>839</v>
      </c>
      <c r="T179" s="163">
        <f>IF(C179="","",IFERROR(IF(O179&gt;=2,3,IF(O179&gt;=1.5,2,IF(O179&gt;=1,1,0)))+IF(E179&gt;G179,1,0)+IF(L179&gt;=-5,1,0)+IF(Q179="買い▲",2,0)+IF(W179&lt;=30,3,IF(W179&lt;=40,2,IF(AND(W179&gt;=40,W179&lt;=60),1,0)))+IF(X179&gt;0,1,0)+IF(V179="年初来高値更新●",3,IF(V179="高値圏",2,0))+IF(AD179="パーフェクト▲",3,IF(AD179="上昇トレンド▲",2,0))+IF(AE179="25日線押し目●",2,IF(AE179="5日線押し目○",1,0))+IF(P179="急増↑↑",2,IF(P179="増加↑",1,0))+N(AI179),0))</f>
        <v>6</v>
      </c>
      <c r="U179" s="163" t="str">
        <f>IF(T179="","",IF(AND(T179&gt;=3,O179&gt;=1.5),"有効",IF(T179&gt;=3,"要確認","除外")))</f>
        <v>要確認</v>
      </c>
      <c r="V179" s="163" t="str">
        <f>IF(AND(H179&lt;&gt;"",K179&lt;&gt;""),IF(H179&gt;=K179,"年初来高値更新●",IF(H179&gt;=K179*0.95,"高値圏","通常")),"")</f>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IF(AND(E179&lt;&gt;"",G179&lt;&gt;"",G179&lt;&gt;0),(E179-G179)/G179*100,"")</f>
        <v>2.5225859439164613</v>
      </c>
      <c r="AA179" s="163" t="str">
        <f>IF(OR(C179="",E179="",E179=0),"",IF(E179&gt;G179,"上昇▲",IF(E179&lt;G179,"下落▼","横ばい→")))</f>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IF(OR(C179="",AB179="",AC179=""),"",IF(AND(E179&gt;AB179,AB179&gt;AC179),"パーフェクト▲",IF(E179&gt;AC179,"上昇トレンド▲",IF(AND(E179&lt;AB179,AB179&lt;AC179),"下降トレンド▼","もみ合い→"))))</f>
        <v>下降トレンド▼</v>
      </c>
      <c r="AE179" s="406" t="str">
        <f>IF(OR(C179="",AB179="",AC179=""),"",IF(AND(ABS(E179-AC179)/AC179&lt;=0.02,E179&gt;AC179),"25日押し目★",IF(AND(ABS(E179-AB179)/AB179&lt;=0.01,E179&gt;AB179),"5日押し目○","なし")))</f>
        <v>なし</v>
      </c>
      <c r="AF179" s="365">
        <f t="array" ref="AF179">IF(C179="","",IFERROR((INDEX(終値!$E:$E,MATCH(TEXT(C179,"0"),終値!$A:$A,0))-INDEX(終値!$E:$CZ,MATCH(TEXT(C179,"0"),終値!$A:$A,0),$AL$2))/INDEX(終値!$E:$CZ,MATCH(TEXT(C179,"0"),終値!$A:$A,0),$AL$2)*100,""))</f>
        <v>9.9672791341555413</v>
      </c>
      <c r="AG179" s="365">
        <f t="array" ref="AG179">IFERROR((終値!$E$5-INDEX(終値!$E$5:$IT$5,1,$AL$2))/INDEX(終値!$E$5:$IT$5,1,$AL$2)*100,"")</f>
        <v>1.0179378228534113</v>
      </c>
      <c r="AH179" s="366">
        <f>IF(OR(AF179="",AG179=""),"",AF179-AG179)</f>
        <v>8.9493413113021294</v>
      </c>
      <c r="AI179" s="364">
        <f>IF(AH179="","",IF(AH179&gt;5,3,IF(AH179&gt;0,1,IF(AH179&gt;-3,-1,-2))))</f>
        <v>3</v>
      </c>
      <c r="BA179">
        <f>IFERROR((SUM(OFFSET(高値!$E$6,IFERROR(MATCH($C179,銘柄管理!$B$6:$B$305,0),MATCH(TEXT($C179,"0"),銘柄管理!$B$6:$B$305,0))-1,0,1,14))-SUM(OFFSET(安値!$E$6,IFERROR(MATCH($C179,銘柄管理!$B$6:$B$305,0),MATCH(TEXT($C179,"0"),銘柄管理!$B$6:$B$305,0))-1,0,1,14)))/SUM(OFFSET(終値!$E$6,IFERROR(MATCH($C179,銘柄管理!$B$6:$B$305,0),MATCH(TEXT($C179,"0"),銘柄管理!$B$6:$B$305,0))-1,0,1,14))*100,"")</f>
      </c>
      <c r="BB179">
        <f>IFERROR((MAX(OFFSET(高値!$E$6,IFERROR(MATCH($C179,銘柄管理!$B$6:$B$305,0),MATCH(TEXT($C179,"0"),銘柄管理!$B$6:$B$305,0))-1,0,1,25))-MIN(OFFSET(安値!$E$6,IFERROR(MATCH($C179,銘柄管理!$B$6:$B$305,0),MATCH(TEXT($C179,"0"),銘柄管理!$B$6:$B$305,0))-1,0,1,25)))/$E179*100,"")</f>
      </c>
      <c r="BC179">
        <f>IFERROR(($F179-$G179)/$G179*100,"")</f>
      </c>
      <c r="BD179">
        <f>IFERROR(($E179-MAX(OFFSET(高値!$E$6,IFERROR(MATCH($C179,銘柄管理!$B$6:$B$305,0),MATCH(TEXT($C179,"0"),銘柄管理!$B$6:$B$305,0))-1,0,1,25)))/MAX(OFFSET(高値!$E$6,IFERROR(MATCH($C179,銘柄管理!$B$6:$B$305,0),MATCH(TEXT($C179,"0"),銘柄管理!$B$6:$B$305,0))-1,0,1,25))*100,"")</f>
      </c>
      <c r="BE179">
        <f>IFERROR(($H179-$I179)/$F179*100,"")</f>
      </c>
      <c r="BF179">
        <f>IFERROR(-(($BA179-AVERAGE($BA$3:$BA$206))/STDEV($BA$3:$BA$206))-(($BE179-AVERAGE($BE$3:$BE$206))/STDEV($BE$3:$BE$206))-(($BB179-AVERAGE($BB$3:$BB$206))/STDEV($BB$3:$BB$206))-(($Z179-AVERAGE($Z$3:$Z$206))/STDEV($Z$3:$Z$206))-(($BC179-AVERAGE($BC$3:$BC$206))/STDEV($BC$3:$BC$206)),"")</f>
      </c>
      <c r="BG179">
        <f>IF(OR($C179="",$C179="TOPX",$BA179="",$BF179=""),0,IF(AND($BK$10=1,$BA179&lt;=$BK$2,$BB179&lt;=$BK$3,$BC179&lt;=$BK$4,$Z179&lt;=$BK$5,$Z179&gt;=$BK$6,$BD179&gt;=$BK$7,$BE179&lt;=$BK$8),1,0))</f>
      </c>
      <c r="BH179">
        <f>IF($C179="","",IF($BG179=1,"○ゲート通過",IF($BK$10&lt;&gt;1,"― この方向は停止中",IF($BA179&gt;$BK$2,"×値動きが荒い",IF($BB179&gt;$BK$3,"×レンジが広い",IF($BC179&gt;$BK$4,"×窓を開けて上昇",IF($Z179&gt;$BK$5,"×前日に急騰",IF($Z179&lt;$BK$6,"×前日に急落",IF($BD179&lt;$BK$7,"×高値から離れすぎ",IF($BE179&gt;$BK$8,"×当日の値幅が大きい","×")))))))))</f>
      </c>
    </row>
    <row r="180" spans="1:60"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IF(AND(E180&lt;&gt;"",K180&lt;&gt;"",K180&lt;&gt;0),(E180-K180)/K180*100,"")</f>
        <v>-16.50961176027139</v>
      </c>
      <c r="M180" s="166">
        <f>IF(C180&lt;&gt;"",IFERROR(AVERAGE(出来高!E71:I71),""),"")</f>
        <v>78980</v>
      </c>
      <c r="N180" s="166">
        <f>IF(C180&lt;&gt;"",IFERROR(AVERAGE(出来高!E71:AC71),""),"")</f>
        <v>92764</v>
      </c>
      <c r="O180" s="168">
        <f>IF(AND(J180&lt;&gt;"",M180&lt;&gt;"",M180&lt;&gt;0),J180/M180,"")</f>
        <v>0.8166624461889086</v>
      </c>
      <c r="P180" s="163" t="str">
        <f>IF(O180="","",IF(O180&gt;=2,"急増↑↑",IF(O180&gt;=1.5,"増加↑",IF(O180&gt;=1,"普通→","減少↓"))))</f>
        <v>減少↓</v>
      </c>
      <c r="Q180" s="163" t="str">
        <f>IF(E180="","",IF(AND(E180&gt;G180,O180&gt;=1.5),"買い▲",IF(E180&lt;G180,"様子見▼","中立→")))</f>
        <v>中立→</v>
      </c>
      <c r="R180" s="166">
        <f>IF(E180&lt;&gt;"",ROUND(E180*1.08,0),"")</f>
        <v>2392</v>
      </c>
      <c r="S180" s="166">
        <f>IF(E180&lt;&gt;"",ROUND(E180*0.96,0),"")</f>
        <v>2126</v>
      </c>
      <c r="T180" s="163">
        <f>IF(C180="","",IFERROR(IF(O180&gt;=2,3,IF(O180&gt;=1.5,2,IF(O180&gt;=1,1,0)))+IF(E180&gt;G180,1,0)+IF(L180&gt;=-5,1,0)+IF(Q180="買い▲",2,0)+IF(W180&lt;=30,3,IF(W180&lt;=40,2,IF(AND(W180&gt;=40,W180&lt;=60),1,0)))+IF(X180&gt;0,1,0)+IF(V180="年初来高値更新●",3,IF(V180="高値圏",2,0))+IF(AD180="パーフェクト▲",3,IF(AD180="上昇トレンド▲",2,0))+IF(AE180="25日線押し目●",2,IF(AE180="5日線押し目○",1,0))+IF(P180="急増↑↑",2,IF(P180="増加↑",1,0))+N(AI180),0))</f>
        <v>3</v>
      </c>
      <c r="U180" s="163" t="str">
        <f>IF(T180="","",IF(AND(T180&gt;=3,O180&gt;=1.5),"有効",IF(T180&gt;=3,"要確認","除外")))</f>
        <v>要確認</v>
      </c>
      <c r="V180" s="163" t="str">
        <f>IF(AND(H180&lt;&gt;"",K180&lt;&gt;""),IF(H180&gt;=K180,"年初来高値更新●",IF(H180&gt;=K180*0.95,"高値圏","通常")),"")</f>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IF(AND(E180&lt;&gt;"",G180&lt;&gt;"",G180&lt;&gt;0),(E180-G180)/G180*100,"")</f>
        <v>0.77343039126478619</v>
      </c>
      <c r="AA180" s="163" t="str">
        <f>IF(OR(C180="",E180="",E180=0),"",IF(E180&gt;G180,"上昇▲",IF(E180&lt;G180,"下落▼","横ばい→")))</f>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IF(OR(C180="",AB180="",AC180=""),"",IF(AND(E180&gt;AB180,AB180&gt;AC180),"パーフェクト▲",IF(E180&gt;AC180,"上昇トレンド▲",IF(AND(E180&lt;AB180,AB180&lt;AC180),"下降トレンド▼","もみ合い→"))))</f>
        <v>もみ合い→</v>
      </c>
      <c r="AE180" s="404" t="str">
        <f>IF(OR(C180="",AB180="",AC180=""),"",IF(AND(ABS(E180-AC180)/AC180&lt;=0.02,E180&gt;AC180),"25日押し目★",IF(AND(ABS(E180-AB180)/AB180&lt;=0.01,E180&gt;AB180),"5日押し目○","なし")))</f>
        <v>なし</v>
      </c>
      <c r="AF180" s="365">
        <f t="array" ref="AF180">IF(C180="","",IFERROR((INDEX(終値!$E:$E,MATCH(TEXT(C180,"0"),終値!$A:$A,0))-INDEX(終値!$E:$CZ,MATCH(TEXT(C180,"0"),終値!$A:$A,0),$AL$2))/INDEX(終値!$E:$CZ,MATCH(TEXT(C180,"0"),終値!$A:$A,0),$AL$2)*100,""))</f>
        <v>-0.44943820224719105</v>
      </c>
      <c r="AG180" s="365">
        <f t="array" ref="AG180">IFERROR((終値!$E$5-INDEX(終値!$E$5:$IT$5,1,$AL$2))/INDEX(終値!$E$5:$IT$5,1,$AL$2)*100,"")</f>
        <v>1.0179378228534113</v>
      </c>
      <c r="AH180" s="366">
        <f>IF(OR(AF180="",AG180=""),"",AF180-AG180)</f>
        <v>-1.4673760251006023</v>
      </c>
      <c r="AI180" s="364">
        <f>IF(AH180="","",IF(AH180&gt;5,3,IF(AH180&gt;0,1,IF(AH180&gt;-3,-1,-2))))</f>
        <v>-1</v>
      </c>
      <c r="BA180">
        <f>IFERROR((SUM(OFFSET(高値!$E$6,IFERROR(MATCH($C180,銘柄管理!$B$6:$B$305,0),MATCH(TEXT($C180,"0"),銘柄管理!$B$6:$B$305,0))-1,0,1,14))-SUM(OFFSET(安値!$E$6,IFERROR(MATCH($C180,銘柄管理!$B$6:$B$305,0),MATCH(TEXT($C180,"0"),銘柄管理!$B$6:$B$305,0))-1,0,1,14)))/SUM(OFFSET(終値!$E$6,IFERROR(MATCH($C180,銘柄管理!$B$6:$B$305,0),MATCH(TEXT($C180,"0"),銘柄管理!$B$6:$B$305,0))-1,0,1,14))*100,"")</f>
      </c>
      <c r="BB180">
        <f>IFERROR((MAX(OFFSET(高値!$E$6,IFERROR(MATCH($C180,銘柄管理!$B$6:$B$305,0),MATCH(TEXT($C180,"0"),銘柄管理!$B$6:$B$305,0))-1,0,1,25))-MIN(OFFSET(安値!$E$6,IFERROR(MATCH($C180,銘柄管理!$B$6:$B$305,0),MATCH(TEXT($C180,"0"),銘柄管理!$B$6:$B$305,0))-1,0,1,25)))/$E180*100,"")</f>
      </c>
      <c r="BC180">
        <f>IFERROR(($F180-$G180)/$G180*100,"")</f>
      </c>
      <c r="BD180">
        <f>IFERROR(($E180-MAX(OFFSET(高値!$E$6,IFERROR(MATCH($C180,銘柄管理!$B$6:$B$305,0),MATCH(TEXT($C180,"0"),銘柄管理!$B$6:$B$305,0))-1,0,1,25)))/MAX(OFFSET(高値!$E$6,IFERROR(MATCH($C180,銘柄管理!$B$6:$B$305,0),MATCH(TEXT($C180,"0"),銘柄管理!$B$6:$B$305,0))-1,0,1,25))*100,"")</f>
      </c>
      <c r="BE180">
        <f>IFERROR(($H180-$I180)/$F180*100,"")</f>
      </c>
      <c r="BF180">
        <f>IFERROR(-(($BA180-AVERAGE($BA$3:$BA$206))/STDEV($BA$3:$BA$206))-(($BE180-AVERAGE($BE$3:$BE$206))/STDEV($BE$3:$BE$206))-(($BB180-AVERAGE($BB$3:$BB$206))/STDEV($BB$3:$BB$206))-(($Z180-AVERAGE($Z$3:$Z$206))/STDEV($Z$3:$Z$206))-(($BC180-AVERAGE($BC$3:$BC$206))/STDEV($BC$3:$BC$206)),"")</f>
      </c>
      <c r="BG180">
        <f>IF(OR($C180="",$C180="TOPX",$BA180="",$BF180=""),0,IF(AND($BK$10=1,$BA180&lt;=$BK$2,$BB180&lt;=$BK$3,$BC180&lt;=$BK$4,$Z180&lt;=$BK$5,$Z180&gt;=$BK$6,$BD180&gt;=$BK$7,$BE180&lt;=$BK$8),1,0))</f>
      </c>
      <c r="BH180">
        <f>IF($C180="","",IF($BG180=1,"○ゲート通過",IF($BK$10&lt;&gt;1,"― この方向は停止中",IF($BA180&gt;$BK$2,"×値動きが荒い",IF($BB180&gt;$BK$3,"×レンジが広い",IF($BC180&gt;$BK$4,"×窓を開けて上昇",IF($Z180&gt;$BK$5,"×前日に急騰",IF($Z180&lt;$BK$6,"×前日に急落",IF($BD180&lt;$BK$7,"×高値から離れすぎ",IF($BE180&gt;$BK$8,"×当日の値幅が大きい","×")))))))))</f>
      </c>
    </row>
    <row r="181" spans="1:60"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IF(AND(E181&lt;&gt;"",K181&lt;&gt;"",K181&lt;&gt;0),(E181-K181)/K181*100,"")</f>
        <v>-40.326654318908908</v>
      </c>
      <c r="M181" s="166">
        <f>IF(C181&lt;&gt;"",IFERROR(AVERAGE(出来高!E28:I28),""),"")</f>
        <v>7844320</v>
      </c>
      <c r="N181" s="166">
        <f>IF(C181&lt;&gt;"",IFERROR(AVERAGE(出来高!E28:AC28),""),"")</f>
        <v>4646040</v>
      </c>
      <c r="O181" s="168">
        <f>IF(AND(J181&lt;&gt;"",M181&lt;&gt;"",M181&lt;&gt;0),J181/M181,"")</f>
        <v>1.9713499704244599</v>
      </c>
      <c r="P181" s="163" t="str">
        <f>IF(O181="","",IF(O181&gt;=2,"急増↑↑",IF(O181&gt;=1.5,"増加↑",IF(O181&gt;=1,"普通→","減少↓"))))</f>
        <v>増加↑</v>
      </c>
      <c r="Q181" s="163" t="str">
        <f>IF(E181="","",IF(AND(E181&gt;G181,O181&gt;=1.5),"買い▲",IF(E181&lt;G181,"様子見▼","中立→")))</f>
        <v>様子見▼</v>
      </c>
      <c r="R181" s="166">
        <f>IF(E181&lt;&gt;"",ROUND(E181*1.08,0),"")</f>
        <v>3828</v>
      </c>
      <c r="S181" s="166">
        <f>IF(E181&lt;&gt;"",ROUND(E181*0.96,0),"")</f>
        <v>3402</v>
      </c>
      <c r="T181" s="163">
        <f>IF(C181="","",IFERROR(IF(O181&gt;=2,3,IF(O181&gt;=1.5,2,IF(O181&gt;=1,1,0)))+IF(E181&gt;G181,1,0)+IF(L181&gt;=-5,1,0)+IF(Q181="買い▲",2,0)+IF(W181&lt;=30,3,IF(W181&lt;=40,2,IF(AND(W181&gt;=40,W181&lt;=60),1,0)))+IF(X181&gt;0,1,0)+IF(V181="年初来高値更新●",3,IF(V181="高値圏",2,0))+IF(AD181="パーフェクト▲",3,IF(AD181="上昇トレンド▲",2,0))+IF(AE181="25日線押し目●",2,IF(AE181="5日線押し目○",1,0))+IF(P181="急増↑↑",2,IF(P181="増加↑",1,0))+N(AI181),0))</f>
        <v>3</v>
      </c>
      <c r="U181" s="163" t="str">
        <f>IF(T181="","",IF(AND(T181&gt;=3,O181&gt;=1.5),"有効",IF(T181&gt;=3,"要確認","除外")))</f>
        <v>有効</v>
      </c>
      <c r="V181" s="163" t="str">
        <f>IF(AND(H181&lt;&gt;"",K181&lt;&gt;""),IF(H181&gt;=K181,"年初来高値更新●",IF(H181&gt;=K181*0.95,"高値圏","通常")),"")</f>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IF(AND(E181&lt;&gt;"",G181&lt;&gt;"",G181&lt;&gt;0),(E181-G181)/G181*100,"")</f>
        <v>-5.6443024494142708</v>
      </c>
      <c r="AA181" s="163" t="str">
        <f>IF(OR(C181="",E181="",E181=0),"",IF(E181&gt;G181,"上昇▲",IF(E181&lt;G181,"下落▼","横ばい→")))</f>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IF(OR(C181="",AB181="",AC181=""),"",IF(AND(E181&gt;AB181,AB181&gt;AC181),"パーフェクト▲",IF(E181&gt;AC181,"上昇トレンド▲",IF(AND(E181&lt;AB181,AB181&lt;AC181),"下降トレンド▼","もみ合い→"))))</f>
        <v>もみ合い→</v>
      </c>
      <c r="AE181" s="406" t="str">
        <f>IF(OR(C181="",AB181="",AC181=""),"",IF(AND(ABS(E181-AC181)/AC181&lt;=0.02,E181&gt;AC181),"25日押し目★",IF(AND(ABS(E181-AB181)/AB181&lt;=0.01,E181&gt;AB181),"5日押し目○","なし")))</f>
        <v>なし</v>
      </c>
      <c r="AF181" s="365">
        <f t="array" ref="AF181">IF(C181="","",IFERROR((INDEX(終値!$E:$E,MATCH(TEXT(C181,"0"),終値!$A:$A,0))-INDEX(終値!$E:$CZ,MATCH(TEXT(C181,"0"),終値!$A:$A,0),$AL$2))/INDEX(終値!$E:$CZ,MATCH(TEXT(C181,"0"),終値!$A:$A,0),$AL$2)*100,""))</f>
        <v>-42.829488627197939</v>
      </c>
      <c r="AG181" s="365">
        <f t="array" ref="AG181">IFERROR((終値!$E$5-INDEX(終値!$E$5:$IT$5,1,$AL$2))/INDEX(終値!$E$5:$IT$5,1,$AL$2)*100,"")</f>
        <v>1.0179378228534113</v>
      </c>
      <c r="AH181" s="366">
        <f>IF(OR(AF181="",AG181=""),"",AF181-AG181)</f>
        <v>-43.847426450051351</v>
      </c>
      <c r="AI181" s="364">
        <f>IF(AH181="","",IF(AH181&gt;5,3,IF(AH181&gt;0,1,IF(AH181&gt;-3,-1,-2))))</f>
        <v>-2</v>
      </c>
      <c r="BA181">
        <f>IFERROR((SUM(OFFSET(高値!$E$6,IFERROR(MATCH($C181,銘柄管理!$B$6:$B$305,0),MATCH(TEXT($C181,"0"),銘柄管理!$B$6:$B$305,0))-1,0,1,14))-SUM(OFFSET(安値!$E$6,IFERROR(MATCH($C181,銘柄管理!$B$6:$B$305,0),MATCH(TEXT($C181,"0"),銘柄管理!$B$6:$B$305,0))-1,0,1,14)))/SUM(OFFSET(終値!$E$6,IFERROR(MATCH($C181,銘柄管理!$B$6:$B$305,0),MATCH(TEXT($C181,"0"),銘柄管理!$B$6:$B$305,0))-1,0,1,14))*100,"")</f>
      </c>
      <c r="BB181">
        <f>IFERROR((MAX(OFFSET(高値!$E$6,IFERROR(MATCH($C181,銘柄管理!$B$6:$B$305,0),MATCH(TEXT($C181,"0"),銘柄管理!$B$6:$B$305,0))-1,0,1,25))-MIN(OFFSET(安値!$E$6,IFERROR(MATCH($C181,銘柄管理!$B$6:$B$305,0),MATCH(TEXT($C181,"0"),銘柄管理!$B$6:$B$305,0))-1,0,1,25)))/$E181*100,"")</f>
      </c>
      <c r="BC181">
        <f>IFERROR(($F181-$G181)/$G181*100,"")</f>
      </c>
      <c r="BD181">
        <f>IFERROR(($E181-MAX(OFFSET(高値!$E$6,IFERROR(MATCH($C181,銘柄管理!$B$6:$B$305,0),MATCH(TEXT($C181,"0"),銘柄管理!$B$6:$B$305,0))-1,0,1,25)))/MAX(OFFSET(高値!$E$6,IFERROR(MATCH($C181,銘柄管理!$B$6:$B$305,0),MATCH(TEXT($C181,"0"),銘柄管理!$B$6:$B$305,0))-1,0,1,25))*100,"")</f>
      </c>
      <c r="BE181">
        <f>IFERROR(($H181-$I181)/$F181*100,"")</f>
      </c>
      <c r="BF181">
        <f>IFERROR(-(($BA181-AVERAGE($BA$3:$BA$206))/STDEV($BA$3:$BA$206))-(($BE181-AVERAGE($BE$3:$BE$206))/STDEV($BE$3:$BE$206))-(($BB181-AVERAGE($BB$3:$BB$206))/STDEV($BB$3:$BB$206))-(($Z181-AVERAGE($Z$3:$Z$206))/STDEV($Z$3:$Z$206))-(($BC181-AVERAGE($BC$3:$BC$206))/STDEV($BC$3:$BC$206)),"")</f>
      </c>
      <c r="BG181">
        <f>IF(OR($C181="",$C181="TOPX",$BA181="",$BF181=""),0,IF(AND($BK$10=1,$BA181&lt;=$BK$2,$BB181&lt;=$BK$3,$BC181&lt;=$BK$4,$Z181&lt;=$BK$5,$Z181&gt;=$BK$6,$BD181&gt;=$BK$7,$BE181&lt;=$BK$8),1,0))</f>
      </c>
      <c r="BH181">
        <f>IF($C181="","",IF($BG181=1,"○ゲート通過",IF($BK$10&lt;&gt;1,"― この方向は停止中",IF($BA181&gt;$BK$2,"×値動きが荒い",IF($BB181&gt;$BK$3,"×レンジが広い",IF($BC181&gt;$BK$4,"×窓を開けて上昇",IF($Z181&gt;$BK$5,"×前日に急騰",IF($Z181&lt;$BK$6,"×前日に急落",IF($BD181&lt;$BK$7,"×高値から離れすぎ",IF($BE181&gt;$BK$8,"×当日の値幅が大きい","×")))))))))</f>
      </c>
    </row>
    <row r="182" spans="1:60"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IF(AND(E182&lt;&gt;"",K182&lt;&gt;"",K182&lt;&gt;0),(E182-K182)/K182*100,"")</f>
        <v>-12.591815320041972</v>
      </c>
      <c r="M182" s="166">
        <f>IF(C182&lt;&gt;"",IFERROR(AVERAGE(出来高!E94:I94),""),"")</f>
        <v>10733700</v>
      </c>
      <c r="N182" s="166">
        <f>IF(C182&lt;&gt;"",IFERROR(AVERAGE(出来高!E94:AC94),""),"")</f>
        <v>5775072</v>
      </c>
      <c r="O182" s="168">
        <f>IF(AND(J182&lt;&gt;"",M182&lt;&gt;"",M182&lt;&gt;0),J182/M182,"")</f>
        <v>0.60344522392092192</v>
      </c>
      <c r="P182" s="163" t="str">
        <f>IF(O182="","",IF(O182&gt;=2,"急増↑↑",IF(O182&gt;=1.5,"増加↑",IF(O182&gt;=1,"普通→","減少↓"))))</f>
        <v>減少↓</v>
      </c>
      <c r="Q182" s="163" t="str">
        <f>IF(E182="","",IF(AND(E182&gt;G182,O182&gt;=1.5),"買い▲",IF(E182&lt;G182,"様子見▼","中立→")))</f>
        <v>中立→</v>
      </c>
      <c r="R182" s="166">
        <f>IF(E182&lt;&gt;"",ROUND(E182*1.08,0),"")</f>
        <v>1799</v>
      </c>
      <c r="S182" s="166">
        <f>IF(E182&lt;&gt;"",ROUND(E182*0.96,0),"")</f>
        <v>1599</v>
      </c>
      <c r="T182" s="163">
        <f>IF(C182="","",IFERROR(IF(O182&gt;=2,3,IF(O182&gt;=1.5,2,IF(O182&gt;=1,1,0)))+IF(E182&gt;G182,1,0)+IF(L182&gt;=-5,1,0)+IF(Q182="買い▲",2,0)+IF(W182&lt;=30,3,IF(W182&lt;=40,2,IF(AND(W182&gt;=40,W182&lt;=60),1,0)))+IF(X182&gt;0,1,0)+IF(V182="年初来高値更新●",3,IF(V182="高値圏",2,0))+IF(AD182="パーフェクト▲",3,IF(AD182="上昇トレンド▲",2,0))+IF(AE182="25日線押し目●",2,IF(AE182="5日線押し目○",1,0))+IF(P182="急増↑↑",2,IF(P182="増加↑",1,0))+N(AI182),0))</f>
        <v>2</v>
      </c>
      <c r="U182" s="163" t="str">
        <f>IF(T182="","",IF(AND(T182&gt;=3,O182&gt;=1.5),"有効",IF(T182&gt;=3,"要確認","除外")))</f>
        <v>除外</v>
      </c>
      <c r="V182" s="163" t="str">
        <f>IF(AND(H182&lt;&gt;"",K182&lt;&gt;""),IF(H182&gt;=K182,"年初来高値更新●",IF(H182&gt;=K182*0.95,"高値圏","通常")),"")</f>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IF(AND(E182&lt;&gt;"",G182&lt;&gt;"",G182&lt;&gt;0),(E182-G182)/G182*100,"")</f>
        <v>1.8960244648318043</v>
      </c>
      <c r="AA182" s="163" t="str">
        <f>IF(OR(C182="",E182="",E182=0),"",IF(E182&gt;G182,"上昇▲",IF(E182&lt;G182,"下落▼","横ばい→")))</f>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IF(OR(C182="",AB182="",AC182=""),"",IF(AND(E182&gt;AB182,AB182&gt;AC182),"パーフェクト▲",IF(E182&gt;AC182,"上昇トレンド▲",IF(AND(E182&lt;AB182,AB182&lt;AC182),"下降トレンド▼","もみ合い→"))))</f>
        <v>もみ合い→</v>
      </c>
      <c r="AE182" s="404" t="str">
        <f>IF(OR(C182="",AB182="",AC182=""),"",IF(AND(ABS(E182-AC182)/AC182&lt;=0.02,E182&gt;AC182),"25日押し目★",IF(AND(ABS(E182-AB182)/AB182&lt;=0.01,E182&gt;AB182),"5日押し目○","なし")))</f>
        <v>なし</v>
      </c>
      <c r="AF182" s="365">
        <f t="array" ref="AF182">IF(C182="","",IFERROR((INDEX(終値!$E:$E,MATCH(TEXT(C182,"0"),終値!$A:$A,0))-INDEX(終値!$E:$CZ,MATCH(TEXT(C182,"0"),終値!$A:$A,0),$AL$2))/INDEX(終値!$E:$CZ,MATCH(TEXT(C182,"0"),終値!$A:$A,0),$AL$2)*100,""))</f>
        <v>-6.5357643758765782</v>
      </c>
      <c r="AG182" s="365">
        <f t="array" ref="AG182">IFERROR((終値!$E$5-INDEX(終値!$E$5:$IT$5,1,$AL$2))/INDEX(終値!$E$5:$IT$5,1,$AL$2)*100,"")</f>
        <v>1.0179378228534113</v>
      </c>
      <c r="AH182" s="366">
        <f>IF(OR(AF182="",AG182=""),"",AF182-AG182)</f>
        <v>-7.5537021987299893</v>
      </c>
      <c r="AI182" s="364">
        <f>IF(AH182="","",IF(AH182&gt;5,3,IF(AH182&gt;0,1,IF(AH182&gt;-3,-1,-2))))</f>
        <v>-2</v>
      </c>
      <c r="BA182">
        <f>IFERROR((SUM(OFFSET(高値!$E$6,IFERROR(MATCH($C182,銘柄管理!$B$6:$B$305,0),MATCH(TEXT($C182,"0"),銘柄管理!$B$6:$B$305,0))-1,0,1,14))-SUM(OFFSET(安値!$E$6,IFERROR(MATCH($C182,銘柄管理!$B$6:$B$305,0),MATCH(TEXT($C182,"0"),銘柄管理!$B$6:$B$305,0))-1,0,1,14)))/SUM(OFFSET(終値!$E$6,IFERROR(MATCH($C182,銘柄管理!$B$6:$B$305,0),MATCH(TEXT($C182,"0"),銘柄管理!$B$6:$B$305,0))-1,0,1,14))*100,"")</f>
      </c>
      <c r="BB182">
        <f>IFERROR((MAX(OFFSET(高値!$E$6,IFERROR(MATCH($C182,銘柄管理!$B$6:$B$305,0),MATCH(TEXT($C182,"0"),銘柄管理!$B$6:$B$305,0))-1,0,1,25))-MIN(OFFSET(安値!$E$6,IFERROR(MATCH($C182,銘柄管理!$B$6:$B$305,0),MATCH(TEXT($C182,"0"),銘柄管理!$B$6:$B$305,0))-1,0,1,25)))/$E182*100,"")</f>
      </c>
      <c r="BC182">
        <f>IFERROR(($F182-$G182)/$G182*100,"")</f>
      </c>
      <c r="BD182">
        <f>IFERROR(($E182-MAX(OFFSET(高値!$E$6,IFERROR(MATCH($C182,銘柄管理!$B$6:$B$305,0),MATCH(TEXT($C182,"0"),銘柄管理!$B$6:$B$305,0))-1,0,1,25)))/MAX(OFFSET(高値!$E$6,IFERROR(MATCH($C182,銘柄管理!$B$6:$B$305,0),MATCH(TEXT($C182,"0"),銘柄管理!$B$6:$B$305,0))-1,0,1,25))*100,"")</f>
      </c>
      <c r="BE182">
        <f>IFERROR(($H182-$I182)/$F182*100,"")</f>
      </c>
      <c r="BF182">
        <f>IFERROR(-(($BA182-AVERAGE($BA$3:$BA$206))/STDEV($BA$3:$BA$206))-(($BE182-AVERAGE($BE$3:$BE$206))/STDEV($BE$3:$BE$206))-(($BB182-AVERAGE($BB$3:$BB$206))/STDEV($BB$3:$BB$206))-(($Z182-AVERAGE($Z$3:$Z$206))/STDEV($Z$3:$Z$206))-(($BC182-AVERAGE($BC$3:$BC$206))/STDEV($BC$3:$BC$206)),"")</f>
      </c>
      <c r="BG182">
        <f>IF(OR($C182="",$C182="TOPX",$BA182="",$BF182=""),0,IF(AND($BK$10=1,$BA182&lt;=$BK$2,$BB182&lt;=$BK$3,$BC182&lt;=$BK$4,$Z182&lt;=$BK$5,$Z182&gt;=$BK$6,$BD182&gt;=$BK$7,$BE182&lt;=$BK$8),1,0))</f>
      </c>
      <c r="BH182">
        <f>IF($C182="","",IF($BG182=1,"○ゲート通過",IF($BK$10&lt;&gt;1,"― この方向は停止中",IF($BA182&gt;$BK$2,"×値動きが荒い",IF($BB182&gt;$BK$3,"×レンジが広い",IF($BC182&gt;$BK$4,"×窓を開けて上昇",IF($Z182&gt;$BK$5,"×前日に急騰",IF($Z182&lt;$BK$6,"×前日に急落",IF($BD182&lt;$BK$7,"×高値から離れすぎ",IF($BE182&gt;$BK$8,"×当日の値幅が大きい","×")))))))))</f>
      </c>
    </row>
    <row r="183" spans="1:60"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IF(AND(E183&lt;&gt;"",K183&lt;&gt;"",K183&lt;&gt;0),(E183-K183)/K183*100,"")</f>
        <v>-3.989656446250462</v>
      </c>
      <c r="M183" s="166">
        <f>IF(C183&lt;&gt;"",IFERROR(AVERAGE(出来高!E44:I44),""),"")</f>
        <v>7492260</v>
      </c>
      <c r="N183" s="166">
        <f>IF(C183&lt;&gt;"",IFERROR(AVERAGE(出来高!E44:AC44),""),"")</f>
        <v>4926844</v>
      </c>
      <c r="O183" s="168">
        <f>IF(AND(J183&lt;&gt;"",M183&lt;&gt;"",M183&lt;&gt;0),J183/M183,"")</f>
        <v>2.4110482017442001</v>
      </c>
      <c r="P183" s="163" t="str">
        <f>IF(O183="","",IF(O183&gt;=2,"急増↑↑",IF(O183&gt;=1.5,"増加↑",IF(O183&gt;=1,"普通→","減少↓"))))</f>
        <v>急増↑↑</v>
      </c>
      <c r="Q183" s="163" t="str">
        <f>IF(E183="","",IF(AND(E183&gt;G183,O183&gt;=1.5),"買い▲",IF(E183&lt;G183,"様子見▼","中立→")))</f>
        <v>買い▲</v>
      </c>
      <c r="R183" s="166">
        <f>IF(E183&lt;&gt;"",ROUND(E183*1.08,0),"")</f>
        <v>1403</v>
      </c>
      <c r="S183" s="166">
        <f>IF(E183&lt;&gt;"",ROUND(E183*0.96,0),"")</f>
        <v>1248</v>
      </c>
      <c r="T183" s="163">
        <f>IF(C183="","",IFERROR(IF(O183&gt;=2,3,IF(O183&gt;=1.5,2,IF(O183&gt;=1,1,0)))+IF(E183&gt;G183,1,0)+IF(L183&gt;=-5,1,0)+IF(Q183="買い▲",2,0)+IF(W183&lt;=30,3,IF(W183&lt;=40,2,IF(AND(W183&gt;=40,W183&lt;=60),1,0)))+IF(X183&gt;0,1,0)+IF(V183="年初来高値更新●",3,IF(V183="高値圏",2,0))+IF(AD183="パーフェクト▲",3,IF(AD183="上昇トレンド▲",2,0))+IF(AE183="25日線押し目●",2,IF(AE183="5日線押し目○",1,0))+IF(P183="急増↑↑",2,IF(P183="増加↑",1,0))+N(AI183),0))</f>
        <v>16</v>
      </c>
      <c r="U183" s="163" t="str">
        <f>IF(T183="","",IF(AND(T183&gt;=3,O183&gt;=1.5),"有効",IF(T183&gt;=3,"要確認","除外")))</f>
        <v>有効</v>
      </c>
      <c r="V183" s="163" t="str">
        <f>IF(AND(H183&lt;&gt;"",K183&lt;&gt;""),IF(H183&gt;=K183,"年初来高値更新●",IF(H183&gt;=K183*0.95,"高値圏","通常")),"")</f>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IF(AND(E183&lt;&gt;"",G183&lt;&gt;"",G183&lt;&gt;0),(E183-G183)/G183*100,"")</f>
        <v>9.3395035759360532</v>
      </c>
      <c r="AA183" s="163" t="str">
        <f>IF(OR(C183="",E183="",E183=0),"",IF(E183&gt;G183,"上昇▲",IF(E183&lt;G183,"下落▼","横ばい→")))</f>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IF(OR(C183="",AB183="",AC183=""),"",IF(AND(E183&gt;AB183,AB183&gt;AC183),"パーフェクト▲",IF(E183&gt;AC183,"上昇トレンド▲",IF(AND(E183&lt;AB183,AB183&lt;AC183),"下降トレンド▼","もみ合い→"))))</f>
        <v>もみ合い→</v>
      </c>
      <c r="AE183" s="406" t="str">
        <f>IF(OR(C183="",AB183="",AC183=""),"",IF(AND(ABS(E183-AC183)/AC183&lt;=0.02,E183&gt;AC183),"25日押し目★",IF(AND(ABS(E183-AB183)/AB183&lt;=0.01,E183&gt;AB183),"5日押し目○","なし")))</f>
        <v>なし</v>
      </c>
      <c r="AF183" s="365">
        <f t="array" ref="AF183">IF(C183="","",IFERROR((INDEX(終値!$E:$E,MATCH(TEXT(C183,"0"),終値!$A:$A,0))-INDEX(終値!$E:$CZ,MATCH(TEXT(C183,"0"),終値!$A:$A,0),$AL$2))/INDEX(終値!$E:$CZ,MATCH(TEXT(C183,"0"),終値!$A:$A,0),$AL$2)*100,""))</f>
        <v>15.511111111111111</v>
      </c>
      <c r="AG183" s="365">
        <f t="array" ref="AG183">IFERROR((終値!$E$5-INDEX(終値!$E$5:$IT$5,1,$AL$2))/INDEX(終値!$E$5:$IT$5,1,$AL$2)*100,"")</f>
        <v>1.0179378228534113</v>
      </c>
      <c r="AH183" s="366">
        <f>IF(OR(AF183="",AG183=""),"",AF183-AG183)</f>
        <v>14.493173288257699</v>
      </c>
      <c r="AI183" s="364">
        <f>IF(AH183="","",IF(AH183&gt;5,3,IF(AH183&gt;0,1,IF(AH183&gt;-3,-1,-2))))</f>
        <v>3</v>
      </c>
      <c r="BA183">
        <f>IFERROR((SUM(OFFSET(高値!$E$6,IFERROR(MATCH($C183,銘柄管理!$B$6:$B$305,0),MATCH(TEXT($C183,"0"),銘柄管理!$B$6:$B$305,0))-1,0,1,14))-SUM(OFFSET(安値!$E$6,IFERROR(MATCH($C183,銘柄管理!$B$6:$B$305,0),MATCH(TEXT($C183,"0"),銘柄管理!$B$6:$B$305,0))-1,0,1,14)))/SUM(OFFSET(終値!$E$6,IFERROR(MATCH($C183,銘柄管理!$B$6:$B$305,0),MATCH(TEXT($C183,"0"),銘柄管理!$B$6:$B$305,0))-1,0,1,14))*100,"")</f>
      </c>
      <c r="BB183">
        <f>IFERROR((MAX(OFFSET(高値!$E$6,IFERROR(MATCH($C183,銘柄管理!$B$6:$B$305,0),MATCH(TEXT($C183,"0"),銘柄管理!$B$6:$B$305,0))-1,0,1,25))-MIN(OFFSET(安値!$E$6,IFERROR(MATCH($C183,銘柄管理!$B$6:$B$305,0),MATCH(TEXT($C183,"0"),銘柄管理!$B$6:$B$305,0))-1,0,1,25)))/$E183*100,"")</f>
      </c>
      <c r="BC183">
        <f>IFERROR(($F183-$G183)/$G183*100,"")</f>
      </c>
      <c r="BD183">
        <f>IFERROR(($E183-MAX(OFFSET(高値!$E$6,IFERROR(MATCH($C183,銘柄管理!$B$6:$B$305,0),MATCH(TEXT($C183,"0"),銘柄管理!$B$6:$B$305,0))-1,0,1,25)))/MAX(OFFSET(高値!$E$6,IFERROR(MATCH($C183,銘柄管理!$B$6:$B$305,0),MATCH(TEXT($C183,"0"),銘柄管理!$B$6:$B$305,0))-1,0,1,25))*100,"")</f>
      </c>
      <c r="BE183">
        <f>IFERROR(($H183-$I183)/$F183*100,"")</f>
      </c>
      <c r="BF183">
        <f>IFERROR(-(($BA183-AVERAGE($BA$3:$BA$206))/STDEV($BA$3:$BA$206))-(($BE183-AVERAGE($BE$3:$BE$206))/STDEV($BE$3:$BE$206))-(($BB183-AVERAGE($BB$3:$BB$206))/STDEV($BB$3:$BB$206))-(($Z183-AVERAGE($Z$3:$Z$206))/STDEV($Z$3:$Z$206))-(($BC183-AVERAGE($BC$3:$BC$206))/STDEV($BC$3:$BC$206)),"")</f>
      </c>
      <c r="BG183">
        <f>IF(OR($C183="",$C183="TOPX",$BA183="",$BF183=""),0,IF(AND($BK$10=1,$BA183&lt;=$BK$2,$BB183&lt;=$BK$3,$BC183&lt;=$BK$4,$Z183&lt;=$BK$5,$Z183&gt;=$BK$6,$BD183&gt;=$BK$7,$BE183&lt;=$BK$8),1,0))</f>
      </c>
      <c r="BH183">
        <f>IF($C183="","",IF($BG183=1,"○ゲート通過",IF($BK$10&lt;&gt;1,"― この方向は停止中",IF($BA183&gt;$BK$2,"×値動きが荒い",IF($BB183&gt;$BK$3,"×レンジが広い",IF($BC183&gt;$BK$4,"×窓を開けて上昇",IF($Z183&gt;$BK$5,"×前日に急騰",IF($Z183&lt;$BK$6,"×前日に急落",IF($BD183&lt;$BK$7,"×高値から離れすぎ",IF($BE183&gt;$BK$8,"×当日の値幅が大きい","×")))))))))</f>
      </c>
    </row>
    <row r="184" spans="1:60"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IF(AND(E184&lt;&gt;"",K184&lt;&gt;"",K184&lt;&gt;0),(E184-K184)/K184*100,"")</f>
        <v>-5.1043429216018055</v>
      </c>
      <c r="M184" s="166">
        <f>IF(C184&lt;&gt;"",IFERROR(AVERAGE(出来高!E27:I27),""),"")</f>
        <v>1261260</v>
      </c>
      <c r="N184" s="166">
        <f>IF(C184&lt;&gt;"",IFERROR(AVERAGE(出来高!E27:AC27),""),"")</f>
        <v>848964</v>
      </c>
      <c r="O184" s="168">
        <f>IF(AND(J184&lt;&gt;"",M184&lt;&gt;"",M184&lt;&gt;0),J184/M184,"")</f>
        <v>0.95816881531167242</v>
      </c>
      <c r="P184" s="163" t="str">
        <f>IF(O184="","",IF(O184&gt;=2,"急増↑↑",IF(O184&gt;=1.5,"増加↑",IF(O184&gt;=1,"普通→","減少↓"))))</f>
        <v>減少↓</v>
      </c>
      <c r="Q184" s="163" t="str">
        <f>IF(E184="","",IF(AND(E184&gt;G184,O184&gt;=1.5),"買い▲",IF(E184&lt;G184,"様子見▼","中立→")))</f>
        <v>中立→</v>
      </c>
      <c r="R184" s="166">
        <f>IF(E184&lt;&gt;"",ROUND(E184*1.08,0),"")</f>
        <v>1817</v>
      </c>
      <c r="S184" s="166">
        <f>IF(E184&lt;&gt;"",ROUND(E184*0.96,0),"")</f>
        <v>1615</v>
      </c>
      <c r="T184" s="163">
        <f>IF(C184="","",IFERROR(IF(O184&gt;=2,3,IF(O184&gt;=1.5,2,IF(O184&gt;=1,1,0)))+IF(E184&gt;G184,1,0)+IF(L184&gt;=-5,1,0)+IF(Q184="買い▲",2,0)+IF(W184&lt;=30,3,IF(W184&lt;=40,2,IF(AND(W184&gt;=40,W184&lt;=60),1,0)))+IF(X184&gt;0,1,0)+IF(V184="年初来高値更新●",3,IF(V184="高値圏",2,0))+IF(AD184="パーフェクト▲",3,IF(AD184="上昇トレンド▲",2,0))+IF(AE184="25日線押し目●",2,IF(AE184="5日線押し目○",1,0))+IF(P184="急増↑↑",2,IF(P184="増加↑",1,0))+N(AI184),0))</f>
        <v>9</v>
      </c>
      <c r="U184" s="163" t="str">
        <f>IF(T184="","",IF(AND(T184&gt;=3,O184&gt;=1.5),"有効",IF(T184&gt;=3,"要確認","除外")))</f>
        <v>要確認</v>
      </c>
      <c r="V184" s="163" t="str">
        <f>IF(AND(H184&lt;&gt;"",K184&lt;&gt;""),IF(H184&gt;=K184,"年初来高値更新●",IF(H184&gt;=K184*0.95,"高値圏","通常")),"")</f>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IF(AND(E184&lt;&gt;"",G184&lt;&gt;"",G184&lt;&gt;0),(E184-G184)/G184*100,"")</f>
        <v>3.1575720416922128</v>
      </c>
      <c r="AA184" s="163" t="str">
        <f>IF(OR(C184="",E184="",E184=0),"",IF(E184&gt;G184,"上昇▲",IF(E184&lt;G184,"下落▼","横ばい→")))</f>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IF(OR(C184="",AB184="",AC184=""),"",IF(AND(E184&gt;AB184,AB184&gt;AC184),"パーフェクト▲",IF(E184&gt;AC184,"上昇トレンド▲",IF(AND(E184&lt;AB184,AB184&lt;AC184),"下降トレンド▼","もみ合い→"))))</f>
        <v>パーフェクト▲</v>
      </c>
      <c r="AE184" s="404" t="str">
        <f>IF(OR(C184="",AB184="",AC184=""),"",IF(AND(ABS(E184-AC184)/AC184&lt;=0.02,E184&gt;AC184),"25日押し目★",IF(AND(ABS(E184-AB184)/AB184&lt;=0.01,E184&gt;AB184),"5日押し目○","なし")))</f>
        <v>なし</v>
      </c>
      <c r="AF184" s="365">
        <f t="array" ref="AF184">IF(C184="","",IFERROR((INDEX(終値!$E:$E,MATCH(TEXT(C184,"0"),終値!$A:$A,0))-INDEX(終値!$E:$CZ,MATCH(TEXT(C184,"0"),終値!$A:$A,0),$AL$2))/INDEX(終値!$E:$CZ,MATCH(TEXT(C184,"0"),終値!$A:$A,0),$AL$2)*100,""))</f>
        <v>3.6979969183359018</v>
      </c>
      <c r="AG184" s="365">
        <f t="array" ref="AG184">IFERROR((終値!$E$5-INDEX(終値!$E$5:$IT$5,1,$AL$2))/INDEX(終値!$E$5:$IT$5,1,$AL$2)*100,"")</f>
        <v>1.0179378228534113</v>
      </c>
      <c r="AH184" s="366">
        <f>IF(OR(AF184="",AG184=""),"",AF184-AG184)</f>
        <v>2.6800590954824903</v>
      </c>
      <c r="AI184" s="364">
        <f>IF(AH184="","",IF(AH184&gt;5,3,IF(AH184&gt;0,1,IF(AH184&gt;-3,-1,-2))))</f>
        <v>1</v>
      </c>
      <c r="BA184">
        <f>IFERROR((SUM(OFFSET(高値!$E$6,IFERROR(MATCH($C184,銘柄管理!$B$6:$B$305,0),MATCH(TEXT($C184,"0"),銘柄管理!$B$6:$B$305,0))-1,0,1,14))-SUM(OFFSET(安値!$E$6,IFERROR(MATCH($C184,銘柄管理!$B$6:$B$305,0),MATCH(TEXT($C184,"0"),銘柄管理!$B$6:$B$305,0))-1,0,1,14)))/SUM(OFFSET(終値!$E$6,IFERROR(MATCH($C184,銘柄管理!$B$6:$B$305,0),MATCH(TEXT($C184,"0"),銘柄管理!$B$6:$B$305,0))-1,0,1,14))*100,"")</f>
      </c>
      <c r="BB184">
        <f>IFERROR((MAX(OFFSET(高値!$E$6,IFERROR(MATCH($C184,銘柄管理!$B$6:$B$305,0),MATCH(TEXT($C184,"0"),銘柄管理!$B$6:$B$305,0))-1,0,1,25))-MIN(OFFSET(安値!$E$6,IFERROR(MATCH($C184,銘柄管理!$B$6:$B$305,0),MATCH(TEXT($C184,"0"),銘柄管理!$B$6:$B$305,0))-1,0,1,25)))/$E184*100,"")</f>
      </c>
      <c r="BC184">
        <f>IFERROR(($F184-$G184)/$G184*100,"")</f>
      </c>
      <c r="BD184">
        <f>IFERROR(($E184-MAX(OFFSET(高値!$E$6,IFERROR(MATCH($C184,銘柄管理!$B$6:$B$305,0),MATCH(TEXT($C184,"0"),銘柄管理!$B$6:$B$305,0))-1,0,1,25)))/MAX(OFFSET(高値!$E$6,IFERROR(MATCH($C184,銘柄管理!$B$6:$B$305,0),MATCH(TEXT($C184,"0"),銘柄管理!$B$6:$B$305,0))-1,0,1,25))*100,"")</f>
      </c>
      <c r="BE184">
        <f>IFERROR(($H184-$I184)/$F184*100,"")</f>
      </c>
      <c r="BF184">
        <f>IFERROR(-(($BA184-AVERAGE($BA$3:$BA$206))/STDEV($BA$3:$BA$206))-(($BE184-AVERAGE($BE$3:$BE$206))/STDEV($BE$3:$BE$206))-(($BB184-AVERAGE($BB$3:$BB$206))/STDEV($BB$3:$BB$206))-(($Z184-AVERAGE($Z$3:$Z$206))/STDEV($Z$3:$Z$206))-(($BC184-AVERAGE($BC$3:$BC$206))/STDEV($BC$3:$BC$206)),"")</f>
      </c>
      <c r="BG184">
        <f>IF(OR($C184="",$C184="TOPX",$BA184="",$BF184=""),0,IF(AND($BK$10=1,$BA184&lt;=$BK$2,$BB184&lt;=$BK$3,$BC184&lt;=$BK$4,$Z184&lt;=$BK$5,$Z184&gt;=$BK$6,$BD184&gt;=$BK$7,$BE184&lt;=$BK$8),1,0))</f>
      </c>
      <c r="BH184">
        <f>IF($C184="","",IF($BG184=1,"○ゲート通過",IF($BK$10&lt;&gt;1,"― この方向は停止中",IF($BA184&gt;$BK$2,"×値動きが荒い",IF($BB184&gt;$BK$3,"×レンジが広い",IF($BC184&gt;$BK$4,"×窓を開けて上昇",IF($Z184&gt;$BK$5,"×前日に急騰",IF($Z184&lt;$BK$6,"×前日に急落",IF($BD184&lt;$BK$7,"×高値から離れすぎ",IF($BE184&gt;$BK$8,"×当日の値幅が大きい","×")))))))))</f>
      </c>
    </row>
    <row r="185" spans="1:60"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IF(AND(E185&lt;&gt;"",K185&lt;&gt;"",K185&lt;&gt;0),(E185-K185)/K185*100,"")</f>
        <v>-36.288209606986896</v>
      </c>
      <c r="M185" s="166">
        <f>IF(C185&lt;&gt;"",IFERROR(AVERAGE(出来高!E134:I134),""),"")</f>
        <v>16221650</v>
      </c>
      <c r="N185" s="166">
        <f>IF(C185&lt;&gt;"",IFERROR(AVERAGE(出来高!E134:AC134),""),"")</f>
        <v>16221650</v>
      </c>
      <c r="O185" s="168">
        <f>IF(AND(J185&lt;&gt;"",M185&lt;&gt;"",M185&lt;&gt;0),J185/M185,"")</f>
        <v>1.3110626847453866</v>
      </c>
      <c r="P185" s="163" t="str">
        <f>IF(O185="","",IF(O185&gt;=2,"急増↑↑",IF(O185&gt;=1.5,"増加↑",IF(O185&gt;=1,"普通→","減少↓"))))</f>
        <v>普通→</v>
      </c>
      <c r="Q185" s="163" t="str">
        <f>IF(E185="","",IF(AND(E185&gt;G185,O185&gt;=1.5),"買い▲",IF(E185&lt;G185,"様子見▼","中立→")))</f>
        <v>様子見▼</v>
      </c>
      <c r="R185" s="166">
        <f>IF(E185&lt;&gt;"",ROUND(E185*1.08,0),"")</f>
        <v>3151</v>
      </c>
      <c r="S185" s="166">
        <f>IF(E185&lt;&gt;"",ROUND(E185*0.96,0),"")</f>
        <v>2801</v>
      </c>
      <c r="T185" s="163">
        <f>IF(C185="","",IFERROR(IF(O185&gt;=2,3,IF(O185&gt;=1.5,2,IF(O185&gt;=1,1,0)))+IF(E185&gt;G185,1,0)+IF(L185&gt;=-5,1,0)+IF(Q185="買い▲",2,0)+IF(W185&lt;=30,3,IF(W185&lt;=40,2,IF(AND(W185&gt;=40,W185&lt;=60),1,0)))+IF(X185&gt;0,1,0)+IF(V185="年初来高値更新●",3,IF(V185="高値圏",2,0))+IF(AD185="パーフェクト▲",3,IF(AD185="上昇トレンド▲",2,0))+IF(AE185="25日線押し目●",2,IF(AE185="5日線押し目○",1,0))+IF(P185="急増↑↑",2,IF(P185="増加↑",1,0))+N(AI185),0))</f>
        <v>5</v>
      </c>
      <c r="U185" s="163" t="str">
        <f>IF(T185="","",IF(AND(T185&gt;=3,O185&gt;=1.5),"有効",IF(T185&gt;=3,"要確認","除外")))</f>
        <v>要確認</v>
      </c>
      <c r="V185" s="163" t="str">
        <f>IF(AND(H185&lt;&gt;"",K185&lt;&gt;""),IF(H185&gt;=K185,"年初来高値更新●",IF(H185&gt;=K185*0.95,"高値圏","通常")),"")</f>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IF(AND(E185&lt;&gt;"",G185&lt;&gt;"",G185&lt;&gt;0),(E185-G185)/G185*100,"")</f>
        <v>-17.918424753867793</v>
      </c>
      <c r="AA185" s="163" t="str">
        <f>IF(OR(C185="",E185="",E185=0),"",IF(E185&gt;G185,"上昇▲",IF(E185&lt;G185,"下落▼","横ばい→")))</f>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IF(OR(C185="",AB185="",AC185=""),"",IF(AND(E185&gt;AB185,AB185&gt;AC185),"パーフェクト▲",IF(E185&gt;AC185,"上昇トレンド▲",IF(AND(E185&lt;AB185,AB185&lt;AC185),"下降トレンド▼","もみ合い→"))))</f>
        <v>上昇トレンド▲</v>
      </c>
      <c r="AE185" s="406" t="str">
        <f>IF(OR(C185="",AB185="",AC185=""),"",IF(AND(ABS(E185-AC185)/AC185&lt;=0.02,E185&gt;AC185),"25日押し目★",IF(AND(ABS(E185-AB185)/AB185&lt;=0.01,E185&gt;AB185),"5日押し目○","なし")))</f>
        <v>なし</v>
      </c>
      <c r="AF185" s="365" t="str">
        <f t="array" ref="AF185">IF(C185="","",IFERROR((INDEX(終値!$E:$E,MATCH(TEXT(C185,"0"),終値!$A:$A,0))-INDEX(終値!$E:$CZ,MATCH(TEXT(C185,"0"),終値!$A:$A,0),$AL$2))/INDEX(終値!$E:$CZ,MATCH(TEXT(C185,"0"),終値!$A:$A,0),$AL$2)*100,""))</f>
        <v/>
      </c>
      <c r="AG185" s="365">
        <f t="array" ref="AG185">IFERROR((終値!$E$5-INDEX(終値!$E$5:$IT$5,1,$AL$2))/INDEX(終値!$E$5:$IT$5,1,$AL$2)*100,"")</f>
        <v>1.0179378228534113</v>
      </c>
      <c r="AH185" s="366" t="str">
        <f>IF(OR(AF185="",AG185=""),"",AF185-AG185)</f>
        <v/>
      </c>
      <c r="AI185" s="364" t="str">
        <f>IF(AH185="","",IF(AH185&gt;5,3,IF(AH185&gt;0,1,IF(AH185&gt;-3,-1,-2))))</f>
        <v/>
      </c>
      <c r="BA185">
        <f>IFERROR((SUM(OFFSET(高値!$E$6,IFERROR(MATCH($C185,銘柄管理!$B$6:$B$305,0),MATCH(TEXT($C185,"0"),銘柄管理!$B$6:$B$305,0))-1,0,1,14))-SUM(OFFSET(安値!$E$6,IFERROR(MATCH($C185,銘柄管理!$B$6:$B$305,0),MATCH(TEXT($C185,"0"),銘柄管理!$B$6:$B$305,0))-1,0,1,14)))/SUM(OFFSET(終値!$E$6,IFERROR(MATCH($C185,銘柄管理!$B$6:$B$305,0),MATCH(TEXT($C185,"0"),銘柄管理!$B$6:$B$305,0))-1,0,1,14))*100,"")</f>
      </c>
      <c r="BB185">
        <f>IFERROR((MAX(OFFSET(高値!$E$6,IFERROR(MATCH($C185,銘柄管理!$B$6:$B$305,0),MATCH(TEXT($C185,"0"),銘柄管理!$B$6:$B$305,0))-1,0,1,25))-MIN(OFFSET(安値!$E$6,IFERROR(MATCH($C185,銘柄管理!$B$6:$B$305,0),MATCH(TEXT($C185,"0"),銘柄管理!$B$6:$B$305,0))-1,0,1,25)))/$E185*100,"")</f>
      </c>
      <c r="BC185">
        <f>IFERROR(($F185-$G185)/$G185*100,"")</f>
      </c>
      <c r="BD185">
        <f>IFERROR(($E185-MAX(OFFSET(高値!$E$6,IFERROR(MATCH($C185,銘柄管理!$B$6:$B$305,0),MATCH(TEXT($C185,"0"),銘柄管理!$B$6:$B$305,0))-1,0,1,25)))/MAX(OFFSET(高値!$E$6,IFERROR(MATCH($C185,銘柄管理!$B$6:$B$305,0),MATCH(TEXT($C185,"0"),銘柄管理!$B$6:$B$305,0))-1,0,1,25))*100,"")</f>
      </c>
      <c r="BE185">
        <f>IFERROR(($H185-$I185)/$F185*100,"")</f>
      </c>
      <c r="BF185">
        <f>IFERROR(-(($BA185-AVERAGE($BA$3:$BA$206))/STDEV($BA$3:$BA$206))-(($BE185-AVERAGE($BE$3:$BE$206))/STDEV($BE$3:$BE$206))-(($BB185-AVERAGE($BB$3:$BB$206))/STDEV($BB$3:$BB$206))-(($Z185-AVERAGE($Z$3:$Z$206))/STDEV($Z$3:$Z$206))-(($BC185-AVERAGE($BC$3:$BC$206))/STDEV($BC$3:$BC$206)),"")</f>
      </c>
      <c r="BG185">
        <f>IF(OR($C185="",$C185="TOPX",$BA185="",$BF185=""),0,IF(AND($BK$10=1,$BA185&lt;=$BK$2,$BB185&lt;=$BK$3,$BC185&lt;=$BK$4,$Z185&lt;=$BK$5,$Z185&gt;=$BK$6,$BD185&gt;=$BK$7,$BE185&lt;=$BK$8),1,0))</f>
      </c>
      <c r="BH185">
        <f>IF($C185="","",IF($BG185=1,"○ゲート通過",IF($BK$10&lt;&gt;1,"― この方向は停止中",IF($BA185&gt;$BK$2,"×値動きが荒い",IF($BB185&gt;$BK$3,"×レンジが広い",IF($BC185&gt;$BK$4,"×窓を開けて上昇",IF($Z185&gt;$BK$5,"×前日に急騰",IF($Z185&lt;$BK$6,"×前日に急落",IF($BD185&lt;$BK$7,"×高値から離れすぎ",IF($BE185&gt;$BK$8,"×当日の値幅が大きい","×")))))))))</f>
      </c>
    </row>
    <row r="186" spans="1:60"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IF(AND(E186&lt;&gt;"",K186&lt;&gt;"",K186&lt;&gt;0),(E186-K186)/K186*100,"")</f>
        <v>-0.61202767429483762</v>
      </c>
      <c r="M186" s="166">
        <f>IF(C186&lt;&gt;"",IFERROR(AVERAGE(出来高!E60:I60),""),"")</f>
        <v>310860</v>
      </c>
      <c r="N186" s="166">
        <f>IF(C186&lt;&gt;"",IFERROR(AVERAGE(出来高!E60:AC60),""),"")</f>
        <v>296464</v>
      </c>
      <c r="O186" s="168">
        <f>IF(AND(J186&lt;&gt;"",M186&lt;&gt;"",M186&lt;&gt;0),J186/M186,"")</f>
        <v>1.0419481438589719</v>
      </c>
      <c r="P186" s="163" t="str">
        <f>IF(O186="","",IF(O186&gt;=2,"急増↑↑",IF(O186&gt;=1.5,"増加↑",IF(O186&gt;=1,"普通→","減少↓"))))</f>
        <v>普通→</v>
      </c>
      <c r="Q186" s="163" t="str">
        <f>IF(E186="","",IF(AND(E186&gt;G186,O186&gt;=1.5),"買い▲",IF(E186&lt;G186,"様子見▼","中立→")))</f>
        <v>様子見▼</v>
      </c>
      <c r="R186" s="166">
        <f>IF(E186&lt;&gt;"",ROUND(E186*1.08,0),"")</f>
        <v>4034</v>
      </c>
      <c r="S186" s="166">
        <f>IF(E186&lt;&gt;"",ROUND(E186*0.96,0),"")</f>
        <v>3586</v>
      </c>
      <c r="T186" s="163">
        <f>IF(C186="","",IFERROR(IF(O186&gt;=2,3,IF(O186&gt;=1.5,2,IF(O186&gt;=1,1,0)))+IF(E186&gt;G186,1,0)+IF(L186&gt;=-5,1,0)+IF(Q186="買い▲",2,0)+IF(W186&lt;=30,3,IF(W186&lt;=40,2,IF(AND(W186&gt;=40,W186&lt;=60),1,0)))+IF(X186&gt;0,1,0)+IF(V186="年初来高値更新●",3,IF(V186="高値圏",2,0))+IF(AD186="パーフェクト▲",3,IF(AD186="上昇トレンド▲",2,0))+IF(AE186="25日線押し目●",2,IF(AE186="5日線押し目○",1,0))+IF(P186="急増↑↑",2,IF(P186="増加↑",1,0))+N(AI186),0))</f>
        <v>12</v>
      </c>
      <c r="U186" s="163" t="str">
        <f>IF(T186="","",IF(AND(T186&gt;=3,O186&gt;=1.5),"有効",IF(T186&gt;=3,"要確認","除外")))</f>
        <v>要確認</v>
      </c>
      <c r="V186" s="163" t="str">
        <f>IF(AND(H186&lt;&gt;"",K186&lt;&gt;""),IF(H186&gt;=K186,"年初来高値更新●",IF(H186&gt;=K186*0.95,"高値圏","通常")),"")</f>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IF(AND(E186&lt;&gt;"",G186&lt;&gt;"",G186&lt;&gt;0),(E186-G186)/G186*100,"")</f>
        <v>-0.34685165421558162</v>
      </c>
      <c r="AA186" s="163" t="str">
        <f>IF(OR(C186="",E186="",E186=0),"",IF(E186&gt;G186,"上昇▲",IF(E186&lt;G186,"下落▼","横ばい→")))</f>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IF(OR(C186="",AB186="",AC186=""),"",IF(AND(E186&gt;AB186,AB186&gt;AC186),"パーフェクト▲",IF(E186&gt;AC186,"上昇トレンド▲",IF(AND(E186&lt;AB186,AB186&lt;AC186),"下降トレンド▼","もみ合い→"))))</f>
        <v>パーフェクト▲</v>
      </c>
      <c r="AE186" s="404" t="str">
        <f>IF(OR(C186="",AB186="",AC186=""),"",IF(AND(ABS(E186-AC186)/AC186&lt;=0.02,E186&gt;AC186),"25日押し目★",IF(AND(ABS(E186-AB186)/AB186&lt;=0.01,E186&gt;AB186),"5日押し目○","なし")))</f>
        <v>なし</v>
      </c>
      <c r="AF186" s="365">
        <f t="array" ref="AF186">IF(C186="","",IFERROR((INDEX(終値!$E:$E,MATCH(TEXT(C186,"0"),終値!$A:$A,0))-INDEX(終値!$E:$CZ,MATCH(TEXT(C186,"0"),終値!$A:$A,0),$AL$2))/INDEX(終値!$E:$CZ,MATCH(TEXT(C186,"0"),終値!$A:$A,0),$AL$2)*100,""))</f>
        <v>9.3384074941451995</v>
      </c>
      <c r="AG186" s="365">
        <f t="array" ref="AG186">IFERROR((終値!$E$5-INDEX(終値!$E$5:$IT$5,1,$AL$2))/INDEX(終値!$E$5:$IT$5,1,$AL$2)*100,"")</f>
        <v>1.0179378228534113</v>
      </c>
      <c r="AH186" s="366">
        <f>IF(OR(AF186="",AG186=""),"",AF186-AG186)</f>
        <v>8.3204696712917876</v>
      </c>
      <c r="AI186" s="364">
        <f>IF(AH186="","",IF(AH186&gt;5,3,IF(AH186&gt;0,1,IF(AH186&gt;-3,-1,-2))))</f>
        <v>3</v>
      </c>
      <c r="BA186">
        <f>IFERROR((SUM(OFFSET(高値!$E$6,IFERROR(MATCH($C186,銘柄管理!$B$6:$B$305,0),MATCH(TEXT($C186,"0"),銘柄管理!$B$6:$B$305,0))-1,0,1,14))-SUM(OFFSET(安値!$E$6,IFERROR(MATCH($C186,銘柄管理!$B$6:$B$305,0),MATCH(TEXT($C186,"0"),銘柄管理!$B$6:$B$305,0))-1,0,1,14)))/SUM(OFFSET(終値!$E$6,IFERROR(MATCH($C186,銘柄管理!$B$6:$B$305,0),MATCH(TEXT($C186,"0"),銘柄管理!$B$6:$B$305,0))-1,0,1,14))*100,"")</f>
      </c>
      <c r="BB186">
        <f>IFERROR((MAX(OFFSET(高値!$E$6,IFERROR(MATCH($C186,銘柄管理!$B$6:$B$305,0),MATCH(TEXT($C186,"0"),銘柄管理!$B$6:$B$305,0))-1,0,1,25))-MIN(OFFSET(安値!$E$6,IFERROR(MATCH($C186,銘柄管理!$B$6:$B$305,0),MATCH(TEXT($C186,"0"),銘柄管理!$B$6:$B$305,0))-1,0,1,25)))/$E186*100,"")</f>
      </c>
      <c r="BC186">
        <f>IFERROR(($F186-$G186)/$G186*100,"")</f>
      </c>
      <c r="BD186">
        <f>IFERROR(($E186-MAX(OFFSET(高値!$E$6,IFERROR(MATCH($C186,銘柄管理!$B$6:$B$305,0),MATCH(TEXT($C186,"0"),銘柄管理!$B$6:$B$305,0))-1,0,1,25)))/MAX(OFFSET(高値!$E$6,IFERROR(MATCH($C186,銘柄管理!$B$6:$B$305,0),MATCH(TEXT($C186,"0"),銘柄管理!$B$6:$B$305,0))-1,0,1,25))*100,"")</f>
      </c>
      <c r="BE186">
        <f>IFERROR(($H186-$I186)/$F186*100,"")</f>
      </c>
      <c r="BF186">
        <f>IFERROR(-(($BA186-AVERAGE($BA$3:$BA$206))/STDEV($BA$3:$BA$206))-(($BE186-AVERAGE($BE$3:$BE$206))/STDEV($BE$3:$BE$206))-(($BB186-AVERAGE($BB$3:$BB$206))/STDEV($BB$3:$BB$206))-(($Z186-AVERAGE($Z$3:$Z$206))/STDEV($Z$3:$Z$206))-(($BC186-AVERAGE($BC$3:$BC$206))/STDEV($BC$3:$BC$206)),"")</f>
      </c>
      <c r="BG186">
        <f>IF(OR($C186="",$C186="TOPX",$BA186="",$BF186=""),0,IF(AND($BK$10=1,$BA186&lt;=$BK$2,$BB186&lt;=$BK$3,$BC186&lt;=$BK$4,$Z186&lt;=$BK$5,$Z186&gt;=$BK$6,$BD186&gt;=$BK$7,$BE186&lt;=$BK$8),1,0))</f>
      </c>
      <c r="BH186">
        <f>IF($C186="","",IF($BG186=1,"○ゲート通過",IF($BK$10&lt;&gt;1,"― この方向は停止中",IF($BA186&gt;$BK$2,"×値動きが荒い",IF($BB186&gt;$BK$3,"×レンジが広い",IF($BC186&gt;$BK$4,"×窓を開けて上昇",IF($Z186&gt;$BK$5,"×前日に急騰",IF($Z186&lt;$BK$6,"×前日に急落",IF($BD186&lt;$BK$7,"×高値から離れすぎ",IF($BE186&gt;$BK$8,"×当日の値幅が大きい","×")))))))))</f>
      </c>
    </row>
    <row r="187" spans="1:60"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IF(AND(E187&lt;&gt;"",K187&lt;&gt;"",K187&lt;&gt;0),(E187-K187)/K187*100,"")</f>
        <v>-71.278538812785385</v>
      </c>
      <c r="M187" s="166">
        <f>IF(C187&lt;&gt;"",IFERROR(AVERAGE(出来高!E138:I138),""),"")</f>
        <v>8521560</v>
      </c>
      <c r="N187" s="166">
        <f>IF(C187&lt;&gt;"",IFERROR(AVERAGE(出来高!E138:AC138),""),"")</f>
        <v>3725828</v>
      </c>
      <c r="O187" s="168">
        <f>IF(AND(J187&lt;&gt;"",M187&lt;&gt;"",M187&lt;&gt;0),J187/M187,"")</f>
        <v>3.4863217532939976</v>
      </c>
      <c r="P187" s="163" t="str">
        <f>IF(O187="","",IF(O187&gt;=2,"急増↑↑",IF(O187&gt;=1.5,"増加↑",IF(O187&gt;=1,"普通→","減少↓"))))</f>
        <v>急増↑↑</v>
      </c>
      <c r="Q187" s="163" t="str">
        <f>IF(E187="","",IF(AND(E187&gt;G187,O187&gt;=1.5),"買い▲",IF(E187&lt;G187,"様子見▼","中立→")))</f>
        <v>買い▲</v>
      </c>
      <c r="R187" s="166">
        <f>IF(E187&lt;&gt;"",ROUND(E187*1.08,0),"")</f>
        <v>1359</v>
      </c>
      <c r="S187" s="166">
        <f>IF(E187&lt;&gt;"",ROUND(E187*0.96,0),"")</f>
        <v>1208</v>
      </c>
      <c r="T187" s="163">
        <f>IF(C187="","",IFERROR(IF(O187&gt;=2,3,IF(O187&gt;=1.5,2,IF(O187&gt;=1,1,0)))+IF(E187&gt;G187,1,0)+IF(L187&gt;=-5,1,0)+IF(Q187="買い▲",2,0)+IF(W187&lt;=30,3,IF(W187&lt;=40,2,IF(AND(W187&gt;=40,W187&lt;=60),1,0)))+IF(X187&gt;0,1,0)+IF(V187="年初来高値更新●",3,IF(V187="高値圏",2,0))+IF(AD187="パーフェクト▲",3,IF(AD187="上昇トレンド▲",2,0))+IF(AE187="25日線押し目●",2,IF(AE187="5日線押し目○",1,0))+IF(P187="急増↑↑",2,IF(P187="増加↑",1,0))+N(AI187),0))</f>
        <v>13</v>
      </c>
      <c r="U187" s="163" t="str">
        <f>IF(T187="","",IF(AND(T187&gt;=3,O187&gt;=1.5),"有効",IF(T187&gt;=3,"要確認","除外")))</f>
        <v>有効</v>
      </c>
      <c r="V187" s="163" t="str">
        <f>IF(AND(H187&lt;&gt;"",K187&lt;&gt;""),IF(H187&gt;=K187,"年初来高値更新●",IF(H187&gt;=K187*0.95,"高値圏","通常")),"")</f>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IF(AND(E187&lt;&gt;"",G187&lt;&gt;"",G187&lt;&gt;0),(E187-G187)/G187*100,"")</f>
        <v>24.677898909811695</v>
      </c>
      <c r="AA187" s="163" t="str">
        <f>IF(OR(C187="",E187="",E187=0),"",IF(E187&gt;G187,"上昇▲",IF(E187&lt;G187,"下落▼","横ばい→")))</f>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IF(OR(C187="",AB187="",AC187=""),"",IF(AND(E187&gt;AB187,AB187&gt;AC187),"パーフェクト▲",IF(E187&gt;AC187,"上昇トレンド▲",IF(AND(E187&lt;AB187,AB187&lt;AC187),"下降トレンド▼","もみ合い→"))))</f>
        <v>下降トレンド▼</v>
      </c>
      <c r="AE187" s="406" t="str">
        <f>IF(OR(C187="",AB187="",AC187=""),"",IF(AND(ABS(E187-AC187)/AC187&lt;=0.02,E187&gt;AC187),"25日押し目★",IF(AND(ABS(E187-AB187)/AB187&lt;=0.01,E187&gt;AB187),"5日押し目○","なし")))</f>
        <v>なし</v>
      </c>
      <c r="AF187" s="365">
        <f t="array" ref="AF187">IF(C187="","",IFERROR((INDEX(終値!$E:$E,MATCH(TEXT(C187,"0"),終値!$A:$A,0))-INDEX(終値!$E:$CZ,MATCH(TEXT(C187,"0"),終値!$A:$A,0),$AL$2))/INDEX(終値!$E:$CZ,MATCH(TEXT(C187,"0"),終値!$A:$A,0),$AL$2)*100,""))</f>
        <v>25.049701789264411</v>
      </c>
      <c r="AG187" s="365">
        <f t="array" ref="AG187">IFERROR((終値!$E$5-INDEX(終値!$E$5:$IT$5,1,$AL$2))/INDEX(終値!$E$5:$IT$5,1,$AL$2)*100,"")</f>
        <v>1.0179378228534113</v>
      </c>
      <c r="AH187" s="366">
        <f>IF(OR(AF187="",AG187=""),"",AF187-AG187)</f>
        <v>24.031763966410999</v>
      </c>
      <c r="AI187" s="364">
        <f>IF(AH187="","",IF(AH187&gt;5,3,IF(AH187&gt;0,1,IF(AH187&gt;-3,-1,-2))))</f>
        <v>3</v>
      </c>
      <c r="BA187">
        <f>IFERROR((SUM(OFFSET(高値!$E$6,IFERROR(MATCH($C187,銘柄管理!$B$6:$B$305,0),MATCH(TEXT($C187,"0"),銘柄管理!$B$6:$B$305,0))-1,0,1,14))-SUM(OFFSET(安値!$E$6,IFERROR(MATCH($C187,銘柄管理!$B$6:$B$305,0),MATCH(TEXT($C187,"0"),銘柄管理!$B$6:$B$305,0))-1,0,1,14)))/SUM(OFFSET(終値!$E$6,IFERROR(MATCH($C187,銘柄管理!$B$6:$B$305,0),MATCH(TEXT($C187,"0"),銘柄管理!$B$6:$B$305,0))-1,0,1,14))*100,"")</f>
      </c>
      <c r="BB187">
        <f>IFERROR((MAX(OFFSET(高値!$E$6,IFERROR(MATCH($C187,銘柄管理!$B$6:$B$305,0),MATCH(TEXT($C187,"0"),銘柄管理!$B$6:$B$305,0))-1,0,1,25))-MIN(OFFSET(安値!$E$6,IFERROR(MATCH($C187,銘柄管理!$B$6:$B$305,0),MATCH(TEXT($C187,"0"),銘柄管理!$B$6:$B$305,0))-1,0,1,25)))/$E187*100,"")</f>
      </c>
      <c r="BC187">
        <f>IFERROR(($F187-$G187)/$G187*100,"")</f>
      </c>
      <c r="BD187">
        <f>IFERROR(($E187-MAX(OFFSET(高値!$E$6,IFERROR(MATCH($C187,銘柄管理!$B$6:$B$305,0),MATCH(TEXT($C187,"0"),銘柄管理!$B$6:$B$305,0))-1,0,1,25)))/MAX(OFFSET(高値!$E$6,IFERROR(MATCH($C187,銘柄管理!$B$6:$B$305,0),MATCH(TEXT($C187,"0"),銘柄管理!$B$6:$B$305,0))-1,0,1,25))*100,"")</f>
      </c>
      <c r="BE187">
        <f>IFERROR(($H187-$I187)/$F187*100,"")</f>
      </c>
      <c r="BF187">
        <f>IFERROR(-(($BA187-AVERAGE($BA$3:$BA$206))/STDEV($BA$3:$BA$206))-(($BE187-AVERAGE($BE$3:$BE$206))/STDEV($BE$3:$BE$206))-(($BB187-AVERAGE($BB$3:$BB$206))/STDEV($BB$3:$BB$206))-(($Z187-AVERAGE($Z$3:$Z$206))/STDEV($Z$3:$Z$206))-(($BC187-AVERAGE($BC$3:$BC$206))/STDEV($BC$3:$BC$206)),"")</f>
      </c>
      <c r="BG187">
        <f>IF(OR($C187="",$C187="TOPX",$BA187="",$BF187=""),0,IF(AND($BK$10=1,$BA187&lt;=$BK$2,$BB187&lt;=$BK$3,$BC187&lt;=$BK$4,$Z187&lt;=$BK$5,$Z187&gt;=$BK$6,$BD187&gt;=$BK$7,$BE187&lt;=$BK$8),1,0))</f>
      </c>
      <c r="BH187">
        <f>IF($C187="","",IF($BG187=1,"○ゲート通過",IF($BK$10&lt;&gt;1,"― この方向は停止中",IF($BA187&gt;$BK$2,"×値動きが荒い",IF($BB187&gt;$BK$3,"×レンジが広い",IF($BC187&gt;$BK$4,"×窓を開けて上昇",IF($Z187&gt;$BK$5,"×前日に急騰",IF($Z187&lt;$BK$6,"×前日に急落",IF($BD187&lt;$BK$7,"×高値から離れすぎ",IF($BE187&gt;$BK$8,"×当日の値幅が大きい","×")))))))))</f>
      </c>
    </row>
    <row r="188" spans="1:60"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IF(AND(E188&lt;&gt;"",K188&lt;&gt;"",K188&lt;&gt;0),(E188-K188)/K188*100,"")</f>
        <v>-17.741165234001912</v>
      </c>
      <c r="M188" s="166">
        <f>IF(C188&lt;&gt;"",IFERROR(AVERAGE(出来高!E88:I88),""),"")</f>
        <v>3053580</v>
      </c>
      <c r="N188" s="166">
        <f>IF(C188&lt;&gt;"",IFERROR(AVERAGE(出来高!E88:AC88),""),"")</f>
        <v>2849512</v>
      </c>
      <c r="O188" s="168">
        <f>IF(AND(J188&lt;&gt;"",M188&lt;&gt;"",M188&lt;&gt;0),J188/M188,"")</f>
        <v>0.74561662049135768</v>
      </c>
      <c r="P188" s="163" t="str">
        <f>IF(O188="","",IF(O188&gt;=2,"急増↑↑",IF(O188&gt;=1.5,"増加↑",IF(O188&gt;=1,"普通→","減少↓"))))</f>
        <v>減少↓</v>
      </c>
      <c r="Q188" s="163" t="str">
        <f>IF(E188="","",IF(AND(E188&gt;G188,O188&gt;=1.5),"買い▲",IF(E188&lt;G188,"様子見▼","中立→")))</f>
        <v>中立→</v>
      </c>
      <c r="R188" s="166">
        <f>IF(E188&lt;&gt;"",ROUND(E188*1.08,0),"")</f>
        <v>1860</v>
      </c>
      <c r="S188" s="166">
        <f>IF(E188&lt;&gt;"",ROUND(E188*0.96,0),"")</f>
        <v>1654</v>
      </c>
      <c r="T188" s="163">
        <f>IF(C188="","",IFERROR(IF(O188&gt;=2,3,IF(O188&gt;=1.5,2,IF(O188&gt;=1,1,0)))+IF(E188&gt;G188,1,0)+IF(L188&gt;=-5,1,0)+IF(Q188="買い▲",2,0)+IF(W188&lt;=30,3,IF(W188&lt;=40,2,IF(AND(W188&gt;=40,W188&lt;=60),1,0)))+IF(X188&gt;0,1,0)+IF(V188="年初来高値更新●",3,IF(V188="高値圏",2,0))+IF(AD188="パーフェクト▲",3,IF(AD188="上昇トレンド▲",2,0))+IF(AE188="25日線押し目●",2,IF(AE188="5日線押し目○",1,0))+IF(P188="急増↑↑",2,IF(P188="増加↑",1,0))+N(AI188),0))</f>
        <v>5</v>
      </c>
      <c r="U188" s="163" t="str">
        <f>IF(T188="","",IF(AND(T188&gt;=3,O188&gt;=1.5),"有効",IF(T188&gt;=3,"要確認","除外")))</f>
        <v>要確認</v>
      </c>
      <c r="V188" s="163" t="str">
        <f>IF(AND(H188&lt;&gt;"",K188&lt;&gt;""),IF(H188&gt;=K188,"年初来高値更新●",IF(H188&gt;=K188*0.95,"高値圏","通常")),"")</f>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IF(AND(E188&lt;&gt;"",G188&lt;&gt;"",G188&lt;&gt;0),(E188-G188)/G188*100,"")</f>
        <v>0.58394160583941601</v>
      </c>
      <c r="AA188" s="163" t="str">
        <f>IF(OR(C188="",E188="",E188=0),"",IF(E188&gt;G188,"上昇▲",IF(E188&lt;G188,"下落▼","横ばい→")))</f>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IF(OR(C188="",AB188="",AC188=""),"",IF(AND(E188&gt;AB188,AB188&gt;AC188),"パーフェクト▲",IF(E188&gt;AC188,"上昇トレンド▲",IF(AND(E188&lt;AB188,AB188&lt;AC188),"下降トレンド▼","もみ合い→"))))</f>
        <v>上昇トレンド▲</v>
      </c>
      <c r="AE188" s="404" t="str">
        <f>IF(OR(C188="",AB188="",AC188=""),"",IF(AND(ABS(E188-AC188)/AC188&lt;=0.02,E188&gt;AC188),"25日押し目★",IF(AND(ABS(E188-AB188)/AB188&lt;=0.01,E188&gt;AB188),"5日押し目○","なし")))</f>
        <v>25日押し目★</v>
      </c>
      <c r="AF188" s="365">
        <f t="array" ref="AF188">IF(C188="","",IFERROR((INDEX(終値!$E:$E,MATCH(TEXT(C188,"0"),終値!$A:$A,0))-INDEX(終値!$E:$CZ,MATCH(TEXT(C188,"0"),終値!$A:$A,0),$AL$2))/INDEX(終値!$E:$CZ,MATCH(TEXT(C188,"0"),終値!$A:$A,0),$AL$2)*100,""))</f>
        <v>3.4845298888555121</v>
      </c>
      <c r="AG188" s="365">
        <f t="array" ref="AG188">IFERROR((終値!$E$5-INDEX(終値!$E$5:$IT$5,1,$AL$2))/INDEX(終値!$E$5:$IT$5,1,$AL$2)*100,"")</f>
        <v>1.0179378228534113</v>
      </c>
      <c r="AH188" s="366">
        <f>IF(OR(AF188="",AG188=""),"",AF188-AG188)</f>
        <v>2.466592066002101</v>
      </c>
      <c r="AI188" s="364">
        <f>IF(AH188="","",IF(AH188&gt;5,3,IF(AH188&gt;0,1,IF(AH188&gt;-3,-1,-2))))</f>
        <v>1</v>
      </c>
      <c r="BA188">
        <f>IFERROR((SUM(OFFSET(高値!$E$6,IFERROR(MATCH($C188,銘柄管理!$B$6:$B$305,0),MATCH(TEXT($C188,"0"),銘柄管理!$B$6:$B$305,0))-1,0,1,14))-SUM(OFFSET(安値!$E$6,IFERROR(MATCH($C188,銘柄管理!$B$6:$B$305,0),MATCH(TEXT($C188,"0"),銘柄管理!$B$6:$B$305,0))-1,0,1,14)))/SUM(OFFSET(終値!$E$6,IFERROR(MATCH($C188,銘柄管理!$B$6:$B$305,0),MATCH(TEXT($C188,"0"),銘柄管理!$B$6:$B$305,0))-1,0,1,14))*100,"")</f>
      </c>
      <c r="BB188">
        <f>IFERROR((MAX(OFFSET(高値!$E$6,IFERROR(MATCH($C188,銘柄管理!$B$6:$B$305,0),MATCH(TEXT($C188,"0"),銘柄管理!$B$6:$B$305,0))-1,0,1,25))-MIN(OFFSET(安値!$E$6,IFERROR(MATCH($C188,銘柄管理!$B$6:$B$305,0),MATCH(TEXT($C188,"0"),銘柄管理!$B$6:$B$305,0))-1,0,1,25)))/$E188*100,"")</f>
      </c>
      <c r="BC188">
        <f>IFERROR(($F188-$G188)/$G188*100,"")</f>
      </c>
      <c r="BD188">
        <f>IFERROR(($E188-MAX(OFFSET(高値!$E$6,IFERROR(MATCH($C188,銘柄管理!$B$6:$B$305,0),MATCH(TEXT($C188,"0"),銘柄管理!$B$6:$B$305,0))-1,0,1,25)))/MAX(OFFSET(高値!$E$6,IFERROR(MATCH($C188,銘柄管理!$B$6:$B$305,0),MATCH(TEXT($C188,"0"),銘柄管理!$B$6:$B$305,0))-1,0,1,25))*100,"")</f>
      </c>
      <c r="BE188">
        <f>IFERROR(($H188-$I188)/$F188*100,"")</f>
      </c>
      <c r="BF188">
        <f>IFERROR(-(($BA188-AVERAGE($BA$3:$BA$206))/STDEV($BA$3:$BA$206))-(($BE188-AVERAGE($BE$3:$BE$206))/STDEV($BE$3:$BE$206))-(($BB188-AVERAGE($BB$3:$BB$206))/STDEV($BB$3:$BB$206))-(($Z188-AVERAGE($Z$3:$Z$206))/STDEV($Z$3:$Z$206))-(($BC188-AVERAGE($BC$3:$BC$206))/STDEV($BC$3:$BC$206)),"")</f>
      </c>
      <c r="BG188">
        <f>IF(OR($C188="",$C188="TOPX",$BA188="",$BF188=""),0,IF(AND($BK$10=1,$BA188&lt;=$BK$2,$BB188&lt;=$BK$3,$BC188&lt;=$BK$4,$Z188&lt;=$BK$5,$Z188&gt;=$BK$6,$BD188&gt;=$BK$7,$BE188&lt;=$BK$8),1,0))</f>
      </c>
      <c r="BH188">
        <f>IF($C188="","",IF($BG188=1,"○ゲート通過",IF($BK$10&lt;&gt;1,"― この方向は停止中",IF($BA188&gt;$BK$2,"×値動きが荒い",IF($BB188&gt;$BK$3,"×レンジが広い",IF($BC188&gt;$BK$4,"×窓を開けて上昇",IF($Z188&gt;$BK$5,"×前日に急騰",IF($Z188&lt;$BK$6,"×前日に急落",IF($BD188&lt;$BK$7,"×高値から離れすぎ",IF($BE188&gt;$BK$8,"×当日の値幅が大きい","×")))))))))</f>
      </c>
    </row>
    <row r="189" spans="1:60"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IF(AND(E189&lt;&gt;"",K189&lt;&gt;"",K189&lt;&gt;0),(E189-K189)/K189*100,"")</f>
        <v>-2.6045996120809085</v>
      </c>
      <c r="M189" s="166">
        <f>IF(C189&lt;&gt;"",IFERROR(AVERAGE(出来高!E87:I87),""),"")</f>
        <v>6446200</v>
      </c>
      <c r="N189" s="166">
        <f>IF(C189&lt;&gt;"",IFERROR(AVERAGE(出来高!E87:AC87),""),"")</f>
        <v>5011324</v>
      </c>
      <c r="O189" s="168">
        <f>IF(AND(J189&lt;&gt;"",M189&lt;&gt;"",M189&lt;&gt;0),J189/M189,"")</f>
        <v>0.75365331513139522</v>
      </c>
      <c r="P189" s="163" t="str">
        <f>IF(O189="","",IF(O189&gt;=2,"急増↑↑",IF(O189&gt;=1.5,"増加↑",IF(O189&gt;=1,"普通→","減少↓"))))</f>
        <v>減少↓</v>
      </c>
      <c r="Q189" s="163" t="str">
        <f>IF(E189="","",IF(AND(E189&gt;G189,O189&gt;=1.5),"買い▲",IF(E189&lt;G189,"様子見▼","中立→")))</f>
        <v>中立→</v>
      </c>
      <c r="R189" s="166">
        <f>IF(E189&lt;&gt;"",ROUND(E189*1.08,0),"")</f>
        <v>7592</v>
      </c>
      <c r="S189" s="166">
        <f>IF(E189&lt;&gt;"",ROUND(E189*0.96,0),"")</f>
        <v>6749</v>
      </c>
      <c r="T189" s="163">
        <f>IF(C189="","",IFERROR(IF(O189&gt;=2,3,IF(O189&gt;=1.5,2,IF(O189&gt;=1,1,0)))+IF(E189&gt;G189,1,0)+IF(L189&gt;=-5,1,0)+IF(Q189="買い▲",2,0)+IF(W189&lt;=30,3,IF(W189&lt;=40,2,IF(AND(W189&gt;=40,W189&lt;=60),1,0)))+IF(X189&gt;0,1,0)+IF(V189="年初来高値更新●",3,IF(V189="高値圏",2,0))+IF(AD189="パーフェクト▲",3,IF(AD189="上昇トレンド▲",2,0))+IF(AE189="25日線押し目●",2,IF(AE189="5日線押し目○",1,0))+IF(P189="急増↑↑",2,IF(P189="増加↑",1,0))+N(AI189),0))</f>
        <v>11</v>
      </c>
      <c r="U189" s="163" t="str">
        <f>IF(T189="","",IF(AND(T189&gt;=3,O189&gt;=1.5),"有効",IF(T189&gt;=3,"要確認","除外")))</f>
        <v>要確認</v>
      </c>
      <c r="V189" s="163" t="str">
        <f>IF(AND(H189&lt;&gt;"",K189&lt;&gt;""),IF(H189&gt;=K189,"年初来高値更新●",IF(H189&gt;=K189*0.95,"高値圏","通常")),"")</f>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IF(AND(E189&lt;&gt;"",G189&lt;&gt;"",G189&lt;&gt;0),(E189-G189)/G189*100,"")</f>
        <v>3.0036630036630036</v>
      </c>
      <c r="AA189" s="163" t="str">
        <f>IF(OR(C189="",E189="",E189=0),"",IF(E189&gt;G189,"上昇▲",IF(E189&lt;G189,"下落▼","横ばい→")))</f>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IF(OR(C189="",AB189="",AC189=""),"",IF(AND(E189&gt;AB189,AB189&gt;AC189),"パーフェクト▲",IF(E189&gt;AC189,"上昇トレンド▲",IF(AND(E189&lt;AB189,AB189&lt;AC189),"下降トレンド▼","もみ合い→"))))</f>
        <v>パーフェクト▲</v>
      </c>
      <c r="AE189" s="406" t="str">
        <f>IF(OR(C189="",AB189="",AC189=""),"",IF(AND(ABS(E189-AC189)/AC189&lt;=0.02,E189&gt;AC189),"25日押し目★",IF(AND(ABS(E189-AB189)/AB189&lt;=0.01,E189&gt;AB189),"5日押し目○","なし")))</f>
        <v>なし</v>
      </c>
      <c r="AF189" s="365">
        <f t="array" ref="AF189">IF(C189="","",IFERROR((INDEX(終値!$E:$E,MATCH(TEXT(C189,"0"),終値!$A:$A,0))-INDEX(終値!$E:$CZ,MATCH(TEXT(C189,"0"),終値!$A:$A,0),$AL$2))/INDEX(終値!$E:$CZ,MATCH(TEXT(C189,"0"),終値!$A:$A,0),$AL$2)*100,""))</f>
        <v>17.656903765690377</v>
      </c>
      <c r="AG189" s="365">
        <f t="array" ref="AG189">IFERROR((終値!$E$5-INDEX(終値!$E$5:$IT$5,1,$AL$2))/INDEX(終値!$E$5:$IT$5,1,$AL$2)*100,"")</f>
        <v>1.0179378228534113</v>
      </c>
      <c r="AH189" s="366">
        <f>IF(OR(AF189="",AG189=""),"",AF189-AG189)</f>
        <v>16.638965942836965</v>
      </c>
      <c r="AI189" s="364">
        <f>IF(AH189="","",IF(AH189&gt;5,3,IF(AH189&gt;0,1,IF(AH189&gt;-3,-1,-2))))</f>
        <v>3</v>
      </c>
      <c r="BA189">
        <f>IFERROR((SUM(OFFSET(高値!$E$6,IFERROR(MATCH($C189,銘柄管理!$B$6:$B$305,0),MATCH(TEXT($C189,"0"),銘柄管理!$B$6:$B$305,0))-1,0,1,14))-SUM(OFFSET(安値!$E$6,IFERROR(MATCH($C189,銘柄管理!$B$6:$B$305,0),MATCH(TEXT($C189,"0"),銘柄管理!$B$6:$B$305,0))-1,0,1,14)))/SUM(OFFSET(終値!$E$6,IFERROR(MATCH($C189,銘柄管理!$B$6:$B$305,0),MATCH(TEXT($C189,"0"),銘柄管理!$B$6:$B$305,0))-1,0,1,14))*100,"")</f>
      </c>
      <c r="BB189">
        <f>IFERROR((MAX(OFFSET(高値!$E$6,IFERROR(MATCH($C189,銘柄管理!$B$6:$B$305,0),MATCH(TEXT($C189,"0"),銘柄管理!$B$6:$B$305,0))-1,0,1,25))-MIN(OFFSET(安値!$E$6,IFERROR(MATCH($C189,銘柄管理!$B$6:$B$305,0),MATCH(TEXT($C189,"0"),銘柄管理!$B$6:$B$305,0))-1,0,1,25)))/$E189*100,"")</f>
      </c>
      <c r="BC189">
        <f>IFERROR(($F189-$G189)/$G189*100,"")</f>
      </c>
      <c r="BD189">
        <f>IFERROR(($E189-MAX(OFFSET(高値!$E$6,IFERROR(MATCH($C189,銘柄管理!$B$6:$B$305,0),MATCH(TEXT($C189,"0"),銘柄管理!$B$6:$B$305,0))-1,0,1,25)))/MAX(OFFSET(高値!$E$6,IFERROR(MATCH($C189,銘柄管理!$B$6:$B$305,0),MATCH(TEXT($C189,"0"),銘柄管理!$B$6:$B$305,0))-1,0,1,25))*100,"")</f>
      </c>
      <c r="BE189">
        <f>IFERROR(($H189-$I189)/$F189*100,"")</f>
      </c>
      <c r="BF189">
        <f>IFERROR(-(($BA189-AVERAGE($BA$3:$BA$206))/STDEV($BA$3:$BA$206))-(($BE189-AVERAGE($BE$3:$BE$206))/STDEV($BE$3:$BE$206))-(($BB189-AVERAGE($BB$3:$BB$206))/STDEV($BB$3:$BB$206))-(($Z189-AVERAGE($Z$3:$Z$206))/STDEV($Z$3:$Z$206))-(($BC189-AVERAGE($BC$3:$BC$206))/STDEV($BC$3:$BC$206)),"")</f>
      </c>
      <c r="BG189">
        <f>IF(OR($C189="",$C189="TOPX",$BA189="",$BF189=""),0,IF(AND($BK$10=1,$BA189&lt;=$BK$2,$BB189&lt;=$BK$3,$BC189&lt;=$BK$4,$Z189&lt;=$BK$5,$Z189&gt;=$BK$6,$BD189&gt;=$BK$7,$BE189&lt;=$BK$8),1,0))</f>
      </c>
      <c r="BH189">
        <f>IF($C189="","",IF($BG189=1,"○ゲート通過",IF($BK$10&lt;&gt;1,"― この方向は停止中",IF($BA189&gt;$BK$2,"×値動きが荒い",IF($BB189&gt;$BK$3,"×レンジが広い",IF($BC189&gt;$BK$4,"×窓を開けて上昇",IF($Z189&gt;$BK$5,"×前日に急騰",IF($Z189&lt;$BK$6,"×前日に急落",IF($BD189&lt;$BK$7,"×高値から離れすぎ",IF($BE189&gt;$BK$8,"×当日の値幅が大きい","×")))))))))</f>
      </c>
    </row>
    <row r="190" spans="1:60"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IF(AND(E190&lt;&gt;"",K190&lt;&gt;"",K190&lt;&gt;0),(E190-K190)/K190*100,"")</f>
        <v>-18.044164037854891</v>
      </c>
      <c r="M190" s="166">
        <f>IF(C190&lt;&gt;"",IFERROR(AVERAGE(出来高!E76:I76),""),"")</f>
        <v>5056460</v>
      </c>
      <c r="N190" s="166">
        <f>IF(C190&lt;&gt;"",IFERROR(AVERAGE(出来高!E76:AC76),""),"")</f>
        <v>4228524</v>
      </c>
      <c r="O190" s="168">
        <f>IF(AND(J190&lt;&gt;"",M190&lt;&gt;"",M190&lt;&gt;0),J190/M190,"")</f>
        <v>1.0875988339668463</v>
      </c>
      <c r="P190" s="163" t="str">
        <f>IF(O190="","",IF(O190&gt;=2,"急増↑↑",IF(O190&gt;=1.5,"増加↑",IF(O190&gt;=1,"普通→","減少↓"))))</f>
        <v>普通→</v>
      </c>
      <c r="Q190" s="163" t="str">
        <f>IF(E190="","",IF(AND(E190&gt;G190,O190&gt;=1.5),"買い▲",IF(E190&lt;G190,"様子見▼","中立→")))</f>
        <v>様子見▼</v>
      </c>
      <c r="R190" s="166">
        <f>IF(E190&lt;&gt;"",ROUND(E190*1.08,0),"")</f>
        <v>5612</v>
      </c>
      <c r="S190" s="166">
        <f>IF(E190&lt;&gt;"",ROUND(E190*0.96,0),"")</f>
        <v>4988</v>
      </c>
      <c r="T190" s="163">
        <f>IF(C190="","",IFERROR(IF(O190&gt;=2,3,IF(O190&gt;=1.5,2,IF(O190&gt;=1,1,0)))+IF(E190&gt;G190,1,0)+IF(L190&gt;=-5,1,0)+IF(Q190="買い▲",2,0)+IF(W190&lt;=30,3,IF(W190&lt;=40,2,IF(AND(W190&gt;=40,W190&lt;=60),1,0)))+IF(X190&gt;0,1,0)+IF(V190="年初来高値更新●",3,IF(V190="高値圏",2,0))+IF(AD190="パーフェクト▲",3,IF(AD190="上昇トレンド▲",2,0))+IF(AE190="25日線押し目●",2,IF(AE190="5日線押し目○",1,0))+IF(P190="急増↑↑",2,IF(P190="増加↑",1,0))+N(AI190),0))</f>
        <v>2</v>
      </c>
      <c r="U190" s="163" t="str">
        <f>IF(T190="","",IF(AND(T190&gt;=3,O190&gt;=1.5),"有効",IF(T190&gt;=3,"要確認","除外")))</f>
        <v>除外</v>
      </c>
      <c r="V190" s="163" t="str">
        <f>IF(AND(H190&lt;&gt;"",K190&lt;&gt;""),IF(H190&gt;=K190,"年初来高値更新●",IF(H190&gt;=K190*0.95,"高値圏","通常")),"")</f>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IF(AND(E190&lt;&gt;"",G190&lt;&gt;"",G190&lt;&gt;0),(E190-G190)/G190*100,"")</f>
        <v>-2.568910556909807</v>
      </c>
      <c r="AA190" s="163" t="str">
        <f>IF(OR(C190="",E190="",E190=0),"",IF(E190&gt;G190,"上昇▲",IF(E190&lt;G190,"下落▼","横ばい→")))</f>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IF(OR(C190="",AB190="",AC190=""),"",IF(AND(E190&gt;AB190,AB190&gt;AC190),"パーフェクト▲",IF(E190&gt;AC190,"上昇トレンド▲",IF(AND(E190&lt;AB190,AB190&lt;AC190),"下降トレンド▼","もみ合い→"))))</f>
        <v>上昇トレンド▲</v>
      </c>
      <c r="AE190" s="404" t="str">
        <f>IF(OR(C190="",AB190="",AC190=""),"",IF(AND(ABS(E190-AC190)/AC190&lt;=0.02,E190&gt;AC190),"25日押し目★",IF(AND(ABS(E190-AB190)/AB190&lt;=0.01,E190&gt;AB190),"5日押し目○","なし")))</f>
        <v>なし</v>
      </c>
      <c r="AF190" s="365">
        <f t="array" ref="AF190">IF(C190="","",IFERROR((INDEX(終値!$E:$E,MATCH(TEXT(C190,"0"),終値!$A:$A,0))-INDEX(終値!$E:$CZ,MATCH(TEXT(C190,"0"),終値!$A:$A,0),$AL$2))/INDEX(終値!$E:$CZ,MATCH(TEXT(C190,"0"),終値!$A:$A,0),$AL$2)*100,""))</f>
        <v>-15.854251012145749</v>
      </c>
      <c r="AG190" s="365">
        <f t="array" ref="AG190">IFERROR((終値!$E$5-INDEX(終値!$E$5:$IT$5,1,$AL$2))/INDEX(終値!$E$5:$IT$5,1,$AL$2)*100,"")</f>
        <v>1.0179378228534113</v>
      </c>
      <c r="AH190" s="366">
        <f>IF(OR(AF190="",AG190=""),"",AF190-AG190)</f>
        <v>-16.872188834999161</v>
      </c>
      <c r="AI190" s="364">
        <f>IF(AH190="","",IF(AH190&gt;5,3,IF(AH190&gt;0,1,IF(AH190&gt;-3,-1,-2))))</f>
        <v>-2</v>
      </c>
      <c r="BA190">
        <f>IFERROR((SUM(OFFSET(高値!$E$6,IFERROR(MATCH($C190,銘柄管理!$B$6:$B$305,0),MATCH(TEXT($C190,"0"),銘柄管理!$B$6:$B$305,0))-1,0,1,14))-SUM(OFFSET(安値!$E$6,IFERROR(MATCH($C190,銘柄管理!$B$6:$B$305,0),MATCH(TEXT($C190,"0"),銘柄管理!$B$6:$B$305,0))-1,0,1,14)))/SUM(OFFSET(終値!$E$6,IFERROR(MATCH($C190,銘柄管理!$B$6:$B$305,0),MATCH(TEXT($C190,"0"),銘柄管理!$B$6:$B$305,0))-1,0,1,14))*100,"")</f>
      </c>
      <c r="BB190">
        <f>IFERROR((MAX(OFFSET(高値!$E$6,IFERROR(MATCH($C190,銘柄管理!$B$6:$B$305,0),MATCH(TEXT($C190,"0"),銘柄管理!$B$6:$B$305,0))-1,0,1,25))-MIN(OFFSET(安値!$E$6,IFERROR(MATCH($C190,銘柄管理!$B$6:$B$305,0),MATCH(TEXT($C190,"0"),銘柄管理!$B$6:$B$305,0))-1,0,1,25)))/$E190*100,"")</f>
      </c>
      <c r="BC190">
        <f>IFERROR(($F190-$G190)/$G190*100,"")</f>
      </c>
      <c r="BD190">
        <f>IFERROR(($E190-MAX(OFFSET(高値!$E$6,IFERROR(MATCH($C190,銘柄管理!$B$6:$B$305,0),MATCH(TEXT($C190,"0"),銘柄管理!$B$6:$B$305,0))-1,0,1,25)))/MAX(OFFSET(高値!$E$6,IFERROR(MATCH($C190,銘柄管理!$B$6:$B$305,0),MATCH(TEXT($C190,"0"),銘柄管理!$B$6:$B$305,0))-1,0,1,25))*100,"")</f>
      </c>
      <c r="BE190">
        <f>IFERROR(($H190-$I190)/$F190*100,"")</f>
      </c>
      <c r="BF190">
        <f>IFERROR(-(($BA190-AVERAGE($BA$3:$BA$206))/STDEV($BA$3:$BA$206))-(($BE190-AVERAGE($BE$3:$BE$206))/STDEV($BE$3:$BE$206))-(($BB190-AVERAGE($BB$3:$BB$206))/STDEV($BB$3:$BB$206))-(($Z190-AVERAGE($Z$3:$Z$206))/STDEV($Z$3:$Z$206))-(($BC190-AVERAGE($BC$3:$BC$206))/STDEV($BC$3:$BC$206)),"")</f>
      </c>
      <c r="BG190">
        <f>IF(OR($C190="",$C190="TOPX",$BA190="",$BF190=""),0,IF(AND($BK$10=1,$BA190&lt;=$BK$2,$BB190&lt;=$BK$3,$BC190&lt;=$BK$4,$Z190&lt;=$BK$5,$Z190&gt;=$BK$6,$BD190&gt;=$BK$7,$BE190&lt;=$BK$8),1,0))</f>
      </c>
      <c r="BH190">
        <f>IF($C190="","",IF($BG190=1,"○ゲート通過",IF($BK$10&lt;&gt;1,"― この方向は停止中",IF($BA190&gt;$BK$2,"×値動きが荒い",IF($BB190&gt;$BK$3,"×レンジが広い",IF($BC190&gt;$BK$4,"×窓を開けて上昇",IF($Z190&gt;$BK$5,"×前日に急騰",IF($Z190&lt;$BK$6,"×前日に急落",IF($BD190&lt;$BK$7,"×高値から離れすぎ",IF($BE190&gt;$BK$8,"×当日の値幅が大きい","×")))))))))</f>
      </c>
    </row>
    <row r="191" spans="1:60"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IF(AND(E191&lt;&gt;"",K191&lt;&gt;"",K191&lt;&gt;0),(E191-K191)/K191*100,"")</f>
        <v>-23.659914565247348</v>
      </c>
      <c r="M191" s="166">
        <f>IF(C191&lt;&gt;"",IFERROR(AVERAGE(出来高!E202:I202),""),"")</f>
        <v>1659760</v>
      </c>
      <c r="N191" s="166">
        <f>IF(C191&lt;&gt;"",IFERROR(AVERAGE(出来高!E202:AC202),""),"")</f>
        <v>1258908</v>
      </c>
      <c r="O191" s="168">
        <f>IF(AND(J191&lt;&gt;"",M191&lt;&gt;"",M191&lt;&gt;0),J191/M191,"")</f>
        <v>0.86922205620089654</v>
      </c>
      <c r="P191" s="163" t="str">
        <f>IF(O191="","",IF(O191&gt;=2,"急増↑↑",IF(O191&gt;=1.5,"増加↑",IF(O191&gt;=1,"普通→","減少↓"))))</f>
        <v>減少↓</v>
      </c>
      <c r="Q191" s="163" t="str">
        <f>IF(E191="","",IF(AND(E191&gt;G191,O191&gt;=1.5),"買い▲",IF(E191&lt;G191,"様子見▼","中立→")))</f>
        <v>中立→</v>
      </c>
      <c r="R191" s="166">
        <f>IF(E191&lt;&gt;"",ROUND(E191*1.08,0),"")</f>
        <v>5983</v>
      </c>
      <c r="S191" s="166">
        <f>IF(E191&lt;&gt;"",ROUND(E191*0.96,0),"")</f>
        <v>5318</v>
      </c>
      <c r="T191" s="163">
        <f>IF(C191="","",IFERROR(IF(O191&gt;=2,3,IF(O191&gt;=1.5,2,IF(O191&gt;=1,1,0)))+IF(E191&gt;G191,1,0)+IF(L191&gt;=-5,1,0)+IF(Q191="買い▲",2,0)+IF(W191&lt;=30,3,IF(W191&lt;=40,2,IF(AND(W191&gt;=40,W191&lt;=60),1,0)))+IF(X191&gt;0,1,0)+IF(V191="年初来高値更新●",3,IF(V191="高値圏",2,0))+IF(AD191="パーフェクト▲",3,IF(AD191="上昇トレンド▲",2,0))+IF(AE191="25日線押し目●",2,IF(AE191="5日線押し目○",1,0))+IF(P191="急増↑↑",2,IF(P191="増加↑",1,0))+N(AI191),0))</f>
        <v>9</v>
      </c>
      <c r="U191" s="163" t="str">
        <f>IF(T191="","",IF(AND(T191&gt;=3,O191&gt;=1.5),"有効",IF(T191&gt;=3,"要確認","除外")))</f>
        <v>要確認</v>
      </c>
      <c r="V191" s="163" t="str">
        <f>IF(AND(H191&lt;&gt;"",K191&lt;&gt;""),IF(H191&gt;=K191,"年初来高値更新●",IF(H191&gt;=K191*0.95,"高値圏","通常")),"")</f>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IF(AND(E191&lt;&gt;"",G191&lt;&gt;"",G191&lt;&gt;0),(E191-G191)/G191*100,"")</f>
        <v>2.8401707815110449</v>
      </c>
      <c r="AA191" s="163" t="str">
        <f>IF(OR(C191="",E191="",E191=0),"",IF(E191&gt;G191,"上昇▲",IF(E191&lt;G191,"下落▼","横ばい→")))</f>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IF(OR(C191="",AB191="",AC191=""),"",IF(AND(E191&gt;AB191,AB191&gt;AC191),"パーフェクト▲",IF(E191&gt;AC191,"上昇トレンド▲",IF(AND(E191&lt;AB191,AB191&lt;AC191),"下降トレンド▼","もみ合い→"))))</f>
        <v>パーフェクト▲</v>
      </c>
      <c r="AE191" s="406" t="str">
        <f>IF(OR(C191="",AB191="",AC191=""),"",IF(AND(ABS(E191-AC191)/AC191&lt;=0.02,E191&gt;AC191),"25日押し目★",IF(AND(ABS(E191-AB191)/AB191&lt;=0.01,E191&gt;AB191),"5日押し目○","なし")))</f>
        <v>なし</v>
      </c>
      <c r="AF191" s="365">
        <f t="array" ref="AF191">IF(C191="","",IFERROR((INDEX(終値!$E:$E,MATCH(TEXT(C191,"0"),終値!$A:$A,0))-INDEX(終値!$E:$CZ,MATCH(TEXT(C191,"0"),終値!$A:$A,0),$AL$2))/INDEX(終値!$E:$CZ,MATCH(TEXT(C191,"0"),終値!$A:$A,0),$AL$2)*100,""))</f>
        <v>7.3851521612715647</v>
      </c>
      <c r="AG191" s="365">
        <f t="array" ref="AG191">IFERROR((終値!$E$5-INDEX(終値!$E$5:$IT$5,1,$AL$2))/INDEX(終値!$E$5:$IT$5,1,$AL$2)*100,"")</f>
        <v>1.0179378228534113</v>
      </c>
      <c r="AH191" s="366">
        <f>IF(OR(AF191="",AG191=""),"",AF191-AG191)</f>
        <v>6.3672143384181537</v>
      </c>
      <c r="AI191" s="364">
        <f>IF(AH191="","",IF(AH191&gt;5,3,IF(AH191&gt;0,1,IF(AH191&gt;-3,-1,-2))))</f>
        <v>3</v>
      </c>
      <c r="BA191">
        <f>IFERROR((SUM(OFFSET(高値!$E$6,IFERROR(MATCH($C191,銘柄管理!$B$6:$B$305,0),MATCH(TEXT($C191,"0"),銘柄管理!$B$6:$B$305,0))-1,0,1,14))-SUM(OFFSET(安値!$E$6,IFERROR(MATCH($C191,銘柄管理!$B$6:$B$305,0),MATCH(TEXT($C191,"0"),銘柄管理!$B$6:$B$305,0))-1,0,1,14)))/SUM(OFFSET(終値!$E$6,IFERROR(MATCH($C191,銘柄管理!$B$6:$B$305,0),MATCH(TEXT($C191,"0"),銘柄管理!$B$6:$B$305,0))-1,0,1,14))*100,"")</f>
      </c>
      <c r="BB191">
        <f>IFERROR((MAX(OFFSET(高値!$E$6,IFERROR(MATCH($C191,銘柄管理!$B$6:$B$305,0),MATCH(TEXT($C191,"0"),銘柄管理!$B$6:$B$305,0))-1,0,1,25))-MIN(OFFSET(安値!$E$6,IFERROR(MATCH($C191,銘柄管理!$B$6:$B$305,0),MATCH(TEXT($C191,"0"),銘柄管理!$B$6:$B$305,0))-1,0,1,25)))/$E191*100,"")</f>
      </c>
      <c r="BC191">
        <f>IFERROR(($F191-$G191)/$G191*100,"")</f>
      </c>
      <c r="BD191">
        <f>IFERROR(($E191-MAX(OFFSET(高値!$E$6,IFERROR(MATCH($C191,銘柄管理!$B$6:$B$305,0),MATCH(TEXT($C191,"0"),銘柄管理!$B$6:$B$305,0))-1,0,1,25)))/MAX(OFFSET(高値!$E$6,IFERROR(MATCH($C191,銘柄管理!$B$6:$B$305,0),MATCH(TEXT($C191,"0"),銘柄管理!$B$6:$B$305,0))-1,0,1,25))*100,"")</f>
      </c>
      <c r="BE191">
        <f>IFERROR(($H191-$I191)/$F191*100,"")</f>
      </c>
      <c r="BF191">
        <f>IFERROR(-(($BA191-AVERAGE($BA$3:$BA$206))/STDEV($BA$3:$BA$206))-(($BE191-AVERAGE($BE$3:$BE$206))/STDEV($BE$3:$BE$206))-(($BB191-AVERAGE($BB$3:$BB$206))/STDEV($BB$3:$BB$206))-(($Z191-AVERAGE($Z$3:$Z$206))/STDEV($Z$3:$Z$206))-(($BC191-AVERAGE($BC$3:$BC$206))/STDEV($BC$3:$BC$206)),"")</f>
      </c>
      <c r="BG191">
        <f>IF(OR($C191="",$C191="TOPX",$BA191="",$BF191=""),0,IF(AND($BK$10=1,$BA191&lt;=$BK$2,$BB191&lt;=$BK$3,$BC191&lt;=$BK$4,$Z191&lt;=$BK$5,$Z191&gt;=$BK$6,$BD191&gt;=$BK$7,$BE191&lt;=$BK$8),1,0))</f>
      </c>
      <c r="BH191">
        <f>IF($C191="","",IF($BG191=1,"○ゲート通過",IF($BK$10&lt;&gt;1,"― この方向は停止中",IF($BA191&gt;$BK$2,"×値動きが荒い",IF($BB191&gt;$BK$3,"×レンジが広い",IF($BC191&gt;$BK$4,"×窓を開けて上昇",IF($Z191&gt;$BK$5,"×前日に急騰",IF($Z191&lt;$BK$6,"×前日に急落",IF($BD191&lt;$BK$7,"×高値から離れすぎ",IF($BE191&gt;$BK$8,"×当日の値幅が大きい","×")))))))))</f>
      </c>
    </row>
    <row r="192" spans="1:60"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IF(AND(E192&lt;&gt;"",K192&lt;&gt;"",K192&lt;&gt;0),(E192-K192)/K192*100,"")</f>
        <v>-8.3143507972665152</v>
      </c>
      <c r="M192" s="166">
        <f>IF(C192&lt;&gt;"",IFERROR(AVERAGE(出来高!E194:I194),""),"")</f>
        <v>620160</v>
      </c>
      <c r="N192" s="166">
        <f>IF(C192&lt;&gt;"",IFERROR(AVERAGE(出来高!E194:AC194),""),"")</f>
        <v>589525</v>
      </c>
      <c r="O192" s="168">
        <f>IF(AND(J192&lt;&gt;"",M192&lt;&gt;"",M192&lt;&gt;0),J192/M192,"")</f>
        <v>0.98942208462332304</v>
      </c>
      <c r="P192" s="163" t="str">
        <f>IF(O192="","",IF(O192&gt;=2,"急増↑↑",IF(O192&gt;=1.5,"増加↑",IF(O192&gt;=1,"普通→","減少↓"))))</f>
        <v>減少↓</v>
      </c>
      <c r="Q192" s="163" t="str">
        <f>IF(E192="","",IF(AND(E192&gt;G192,O192&gt;=1.5),"買い▲",IF(E192&lt;G192,"様子見▼","中立→")))</f>
        <v>中立→</v>
      </c>
      <c r="R192" s="166">
        <f>IF(E192&lt;&gt;"",ROUND(E192*1.08,0),"")</f>
        <v>8694</v>
      </c>
      <c r="S192" s="166">
        <f>IF(E192&lt;&gt;"",ROUND(E192*0.96,0),"")</f>
        <v>7728</v>
      </c>
      <c r="T192" s="163">
        <f>IF(C192="","",IFERROR(IF(O192&gt;=2,3,IF(O192&gt;=1.5,2,IF(O192&gt;=1,1,0)))+IF(E192&gt;G192,1,0)+IF(L192&gt;=-5,1,0)+IF(Q192="買い▲",2,0)+IF(W192&lt;=30,3,IF(W192&lt;=40,2,IF(AND(W192&gt;=40,W192&lt;=60),1,0)))+IF(X192&gt;0,1,0)+IF(V192="年初来高値更新●",3,IF(V192="高値圏",2,0))+IF(AD192="パーフェクト▲",3,IF(AD192="上昇トレンド▲",2,0))+IF(AE192="25日線押し目●",2,IF(AE192="5日線押し目○",1,0))+IF(P192="急増↑↑",2,IF(P192="増加↑",1,0))+N(AI192),0))</f>
        <v>9</v>
      </c>
      <c r="U192" s="163" t="str">
        <f>IF(T192="","",IF(AND(T192&gt;=3,O192&gt;=1.5),"有効",IF(T192&gt;=3,"要確認","除外")))</f>
        <v>要確認</v>
      </c>
      <c r="V192" s="163" t="str">
        <f>IF(AND(H192&lt;&gt;"",K192&lt;&gt;""),IF(H192&gt;=K192,"年初来高値更新●",IF(H192&gt;=K192*0.95,"高値圏","通常")),"")</f>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IF(AND(E192&lt;&gt;"",G192&lt;&gt;"",G192&lt;&gt;0),(E192-G192)/G192*100,"")</f>
        <v>0.75093867334167708</v>
      </c>
      <c r="AA192" s="163" t="str">
        <f>IF(OR(C192="",E192="",E192=0),"",IF(E192&gt;G192,"上昇▲",IF(E192&lt;G192,"下落▼","横ばい→")))</f>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IF(OR(C192="",AB192="",AC192=""),"",IF(AND(E192&gt;AB192,AB192&gt;AC192),"パーフェクト▲",IF(E192&gt;AC192,"上昇トレンド▲",IF(AND(E192&lt;AB192,AB192&lt;AC192),"下降トレンド▼","もみ合い→"))))</f>
        <v>パーフェクト▲</v>
      </c>
      <c r="AE192" s="404" t="str">
        <f>IF(OR(C192="",AB192="",AC192=""),"",IF(AND(ABS(E192-AC192)/AC192&lt;=0.02,E192&gt;AC192),"25日押し目★",IF(AND(ABS(E192-AB192)/AB192&lt;=0.01,E192&gt;AB192),"5日押し目○","なし")))</f>
        <v>5日押し目○</v>
      </c>
      <c r="AF192" s="365">
        <f t="array" ref="AF192">IF(C192="","",IFERROR((INDEX(終値!$E:$E,MATCH(TEXT(C192,"0"),終値!$A:$A,0))-INDEX(終値!$E:$CZ,MATCH(TEXT(C192,"0"),終値!$A:$A,0),$AL$2))/INDEX(終値!$E:$CZ,MATCH(TEXT(C192,"0"),終値!$A:$A,0),$AL$2)*100,""))</f>
        <v>9.6730245231607626</v>
      </c>
      <c r="AG192" s="365">
        <f t="array" ref="AG192">IFERROR((終値!$E$5-INDEX(終値!$E$5:$IT$5,1,$AL$2))/INDEX(終値!$E$5:$IT$5,1,$AL$2)*100,"")</f>
        <v>1.0179378228534113</v>
      </c>
      <c r="AH192" s="366">
        <f>IF(OR(AF192="",AG192=""),"",AF192-AG192)</f>
        <v>8.6550867003073506</v>
      </c>
      <c r="AI192" s="364">
        <f>IF(AH192="","",IF(AH192&gt;5,3,IF(AH192&gt;0,1,IF(AH192&gt;-3,-1,-2))))</f>
        <v>3</v>
      </c>
      <c r="BA192">
        <f>IFERROR((SUM(OFFSET(高値!$E$6,IFERROR(MATCH($C192,銘柄管理!$B$6:$B$305,0),MATCH(TEXT($C192,"0"),銘柄管理!$B$6:$B$305,0))-1,0,1,14))-SUM(OFFSET(安値!$E$6,IFERROR(MATCH($C192,銘柄管理!$B$6:$B$305,0),MATCH(TEXT($C192,"0"),銘柄管理!$B$6:$B$305,0))-1,0,1,14)))/SUM(OFFSET(終値!$E$6,IFERROR(MATCH($C192,銘柄管理!$B$6:$B$305,0),MATCH(TEXT($C192,"0"),銘柄管理!$B$6:$B$305,0))-1,0,1,14))*100,"")</f>
      </c>
      <c r="BB192">
        <f>IFERROR((MAX(OFFSET(高値!$E$6,IFERROR(MATCH($C192,銘柄管理!$B$6:$B$305,0),MATCH(TEXT($C192,"0"),銘柄管理!$B$6:$B$305,0))-1,0,1,25))-MIN(OFFSET(安値!$E$6,IFERROR(MATCH($C192,銘柄管理!$B$6:$B$305,0),MATCH(TEXT($C192,"0"),銘柄管理!$B$6:$B$305,0))-1,0,1,25)))/$E192*100,"")</f>
      </c>
      <c r="BC192">
        <f>IFERROR(($F192-$G192)/$G192*100,"")</f>
      </c>
      <c r="BD192">
        <f>IFERROR(($E192-MAX(OFFSET(高値!$E$6,IFERROR(MATCH($C192,銘柄管理!$B$6:$B$305,0),MATCH(TEXT($C192,"0"),銘柄管理!$B$6:$B$305,0))-1,0,1,25)))/MAX(OFFSET(高値!$E$6,IFERROR(MATCH($C192,銘柄管理!$B$6:$B$305,0),MATCH(TEXT($C192,"0"),銘柄管理!$B$6:$B$305,0))-1,0,1,25))*100,"")</f>
      </c>
      <c r="BE192">
        <f>IFERROR(($H192-$I192)/$F192*100,"")</f>
      </c>
      <c r="BF192">
        <f>IFERROR(-(($BA192-AVERAGE($BA$3:$BA$206))/STDEV($BA$3:$BA$206))-(($BE192-AVERAGE($BE$3:$BE$206))/STDEV($BE$3:$BE$206))-(($BB192-AVERAGE($BB$3:$BB$206))/STDEV($BB$3:$BB$206))-(($Z192-AVERAGE($Z$3:$Z$206))/STDEV($Z$3:$Z$206))-(($BC192-AVERAGE($BC$3:$BC$206))/STDEV($BC$3:$BC$206)),"")</f>
      </c>
      <c r="BG192">
        <f>IF(OR($C192="",$C192="TOPX",$BA192="",$BF192=""),0,IF(AND($BK$10=1,$BA192&lt;=$BK$2,$BB192&lt;=$BK$3,$BC192&lt;=$BK$4,$Z192&lt;=$BK$5,$Z192&gt;=$BK$6,$BD192&gt;=$BK$7,$BE192&lt;=$BK$8),1,0))</f>
      </c>
      <c r="BH192">
        <f>IF($C192="","",IF($BG192=1,"○ゲート通過",IF($BK$10&lt;&gt;1,"― この方向は停止中",IF($BA192&gt;$BK$2,"×値動きが荒い",IF($BB192&gt;$BK$3,"×レンジが広い",IF($BC192&gt;$BK$4,"×窓を開けて上昇",IF($Z192&gt;$BK$5,"×前日に急騰",IF($Z192&lt;$BK$6,"×前日に急落",IF($BD192&lt;$BK$7,"×高値から離れすぎ",IF($BE192&gt;$BK$8,"×当日の値幅が大きい","×")))))))))</f>
      </c>
    </row>
    <row r="193" spans="1:60"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IF(AND(E193&lt;&gt;"",K193&lt;&gt;"",K193&lt;&gt;0),(E193-K193)/K193*100,"")</f>
        <v>-13.543441226575808</v>
      </c>
      <c r="M193" s="166">
        <f>IF(C193&lt;&gt;"",IFERROR(AVERAGE(出来高!E168:I168),""),"")</f>
        <v>24980</v>
      </c>
      <c r="N193" s="166">
        <f>IF(C193&lt;&gt;"",IFERROR(AVERAGE(出来高!E168:AC168),""),"")</f>
        <v>24295.833333333332</v>
      </c>
      <c r="O193" s="168">
        <f>IF(AND(J193&lt;&gt;"",M193&lt;&gt;"",M193&lt;&gt;0),J193/M193,"")</f>
        <v>0.89671737389911932</v>
      </c>
      <c r="P193" s="163" t="str">
        <f>IF(O193="","",IF(O193&gt;=2,"急増↑↑",IF(O193&gt;=1.5,"増加↑",IF(O193&gt;=1,"普通→","減少↓"))))</f>
        <v>減少↓</v>
      </c>
      <c r="Q193" s="163" t="str">
        <f>IF(E193="","",IF(AND(E193&gt;G193,O193&gt;=1.5),"買い▲",IF(E193&lt;G193,"様子見▼","中立→")))</f>
        <v>様子見▼</v>
      </c>
      <c r="R193" s="166">
        <f>IF(E193&lt;&gt;"",ROUND(E193*1.08,0),"")</f>
        <v>2192</v>
      </c>
      <c r="S193" s="166">
        <f>IF(E193&lt;&gt;"",ROUND(E193*0.96,0),"")</f>
        <v>1949</v>
      </c>
      <c r="T193" s="163">
        <f>IF(C193="","",IFERROR(IF(O193&gt;=2,3,IF(O193&gt;=1.5,2,IF(O193&gt;=1,1,0)))+IF(E193&gt;G193,1,0)+IF(L193&gt;=-5,1,0)+IF(Q193="買い▲",2,0)+IF(W193&lt;=30,3,IF(W193&lt;=40,2,IF(AND(W193&gt;=40,W193&lt;=60),1,0)))+IF(X193&gt;0,1,0)+IF(V193="年初来高値更新●",3,IF(V193="高値圏",2,0))+IF(AD193="パーフェクト▲",3,IF(AD193="上昇トレンド▲",2,0))+IF(AE193="25日線押し目●",2,IF(AE193="5日線押し目○",1,0))+IF(P193="急増↑↑",2,IF(P193="増加↑",1,0))+N(AI193),0))</f>
        <v>2</v>
      </c>
      <c r="U193" s="163" t="str">
        <f>IF(T193="","",IF(AND(T193&gt;=3,O193&gt;=1.5),"有効",IF(T193&gt;=3,"要確認","除外")))</f>
        <v>除外</v>
      </c>
      <c r="V193" s="163" t="str">
        <f>IF(AND(H193&lt;&gt;"",K193&lt;&gt;""),IF(H193&gt;=K193,"年初来高値更新●",IF(H193&gt;=K193*0.95,"高値圏","通常")),"")</f>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IF(AND(E193&lt;&gt;"",G193&lt;&gt;"",G193&lt;&gt;0),(E193-G193)/G193*100,"")</f>
        <v>-0.14756517461878996</v>
      </c>
      <c r="AA193" s="163" t="str">
        <f>IF(OR(C193="",E193="",E193=0),"",IF(E193&gt;G193,"上昇▲",IF(E193&lt;G193,"下落▼","横ばい→")))</f>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IF(OR(C193="",AB193="",AC193=""),"",IF(AND(E193&gt;AB193,AB193&gt;AC193),"パーフェクト▲",IF(E193&gt;AC193,"上昇トレンド▲",IF(AND(E193&lt;AB193,AB193&lt;AC193),"下降トレンド▼","もみ合い→"))))</f>
        <v>もみ合い→</v>
      </c>
      <c r="AE193" s="406" t="str">
        <f>IF(OR(C193="",AB193="",AC193=""),"",IF(AND(ABS(E193-AC193)/AC193&lt;=0.02,E193&gt;AC193),"25日押し目★",IF(AND(ABS(E193-AB193)/AB193&lt;=0.01,E193&gt;AB193),"5日押し目○","なし")))</f>
        <v>なし</v>
      </c>
      <c r="AF193" s="365">
        <f t="array" ref="AF193">IF(C193="","",IFERROR((INDEX(終値!$E:$E,MATCH(TEXT(C193,"0"),終値!$A:$A,0))-INDEX(終値!$E:$CZ,MATCH(TEXT(C193,"0"),終値!$A:$A,0),$AL$2))/INDEX(終値!$E:$CZ,MATCH(TEXT(C193,"0"),終値!$A:$A,0),$AL$2)*100,""))</f>
        <v>5.3997923156801662</v>
      </c>
      <c r="AG193" s="365">
        <f t="array" ref="AG193">IFERROR((終値!$E$5-INDEX(終値!$E$5:$IT$5,1,$AL$2))/INDEX(終値!$E$5:$IT$5,1,$AL$2)*100,"")</f>
        <v>1.0179378228534113</v>
      </c>
      <c r="AH193" s="366">
        <f>IF(OR(AF193="",AG193=""),"",AF193-AG193)</f>
        <v>4.3818544928267551</v>
      </c>
      <c r="AI193" s="364">
        <f>IF(AH193="","",IF(AH193&gt;5,3,IF(AH193&gt;0,1,IF(AH193&gt;-3,-1,-2))))</f>
        <v>1</v>
      </c>
      <c r="BA193">
        <f>IFERROR((SUM(OFFSET(高値!$E$6,IFERROR(MATCH($C193,銘柄管理!$B$6:$B$305,0),MATCH(TEXT($C193,"0"),銘柄管理!$B$6:$B$305,0))-1,0,1,14))-SUM(OFFSET(安値!$E$6,IFERROR(MATCH($C193,銘柄管理!$B$6:$B$305,0),MATCH(TEXT($C193,"0"),銘柄管理!$B$6:$B$305,0))-1,0,1,14)))/SUM(OFFSET(終値!$E$6,IFERROR(MATCH($C193,銘柄管理!$B$6:$B$305,0),MATCH(TEXT($C193,"0"),銘柄管理!$B$6:$B$305,0))-1,0,1,14))*100,"")</f>
      </c>
      <c r="BB193">
        <f>IFERROR((MAX(OFFSET(高値!$E$6,IFERROR(MATCH($C193,銘柄管理!$B$6:$B$305,0),MATCH(TEXT($C193,"0"),銘柄管理!$B$6:$B$305,0))-1,0,1,25))-MIN(OFFSET(安値!$E$6,IFERROR(MATCH($C193,銘柄管理!$B$6:$B$305,0),MATCH(TEXT($C193,"0"),銘柄管理!$B$6:$B$305,0))-1,0,1,25)))/$E193*100,"")</f>
      </c>
      <c r="BC193">
        <f>IFERROR(($F193-$G193)/$G193*100,"")</f>
      </c>
      <c r="BD193">
        <f>IFERROR(($E193-MAX(OFFSET(高値!$E$6,IFERROR(MATCH($C193,銘柄管理!$B$6:$B$305,0),MATCH(TEXT($C193,"0"),銘柄管理!$B$6:$B$305,0))-1,0,1,25)))/MAX(OFFSET(高値!$E$6,IFERROR(MATCH($C193,銘柄管理!$B$6:$B$305,0),MATCH(TEXT($C193,"0"),銘柄管理!$B$6:$B$305,0))-1,0,1,25))*100,"")</f>
      </c>
      <c r="BE193">
        <f>IFERROR(($H193-$I193)/$F193*100,"")</f>
      </c>
      <c r="BF193">
        <f>IFERROR(-(($BA193-AVERAGE($BA$3:$BA$206))/STDEV($BA$3:$BA$206))-(($BE193-AVERAGE($BE$3:$BE$206))/STDEV($BE$3:$BE$206))-(($BB193-AVERAGE($BB$3:$BB$206))/STDEV($BB$3:$BB$206))-(($Z193-AVERAGE($Z$3:$Z$206))/STDEV($Z$3:$Z$206))-(($BC193-AVERAGE($BC$3:$BC$206))/STDEV($BC$3:$BC$206)),"")</f>
      </c>
      <c r="BG193">
        <f>IF(OR($C193="",$C193="TOPX",$BA193="",$BF193=""),0,IF(AND($BK$10=1,$BA193&lt;=$BK$2,$BB193&lt;=$BK$3,$BC193&lt;=$BK$4,$Z193&lt;=$BK$5,$Z193&gt;=$BK$6,$BD193&gt;=$BK$7,$BE193&lt;=$BK$8),1,0))</f>
      </c>
      <c r="BH193">
        <f>IF($C193="","",IF($BG193=1,"○ゲート通過",IF($BK$10&lt;&gt;1,"― この方向は停止中",IF($BA193&gt;$BK$2,"×値動きが荒い",IF($BB193&gt;$BK$3,"×レンジが広い",IF($BC193&gt;$BK$4,"×窓を開けて上昇",IF($Z193&gt;$BK$5,"×前日に急騰",IF($Z193&lt;$BK$6,"×前日に急落",IF($BD193&lt;$BK$7,"×高値から離れすぎ",IF($BE193&gt;$BK$8,"×当日の値幅が大きい","×")))))))))</f>
      </c>
    </row>
    <row r="194" spans="1:60"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IF(AND(E194&lt;&gt;"",K194&lt;&gt;"",K194&lt;&gt;0),(E194-K194)/K194*100,"")</f>
        <v>-19.377013963480131</v>
      </c>
      <c r="M194" s="166">
        <f>IF(C194&lt;&gt;"",IFERROR(AVERAGE(出来高!E174:I174),""),"")</f>
        <v>326140</v>
      </c>
      <c r="N194" s="166">
        <f>IF(C194&lt;&gt;"",IFERROR(AVERAGE(出来高!E174:AC174),""),"")</f>
        <v>291716</v>
      </c>
      <c r="O194" s="168">
        <f>IF(AND(J194&lt;&gt;"",M194&lt;&gt;"",M194&lt;&gt;0),J194/M194,"")</f>
        <v>0.60188875942846631</v>
      </c>
      <c r="P194" s="163" t="str">
        <f>IF(O194="","",IF(O194&gt;=2,"急増↑↑",IF(O194&gt;=1.5,"増加↑",IF(O194&gt;=1,"普通→","減少↓"))))</f>
        <v>減少↓</v>
      </c>
      <c r="Q194" s="163" t="str">
        <f>IF(E194="","",IF(AND(E194&gt;G194,O194&gt;=1.5),"買い▲",IF(E194&lt;G194,"様子見▼","中立→")))</f>
        <v>中立→</v>
      </c>
      <c r="R194" s="166">
        <f>IF(E194&lt;&gt;"",ROUND(E194*1.08,0),"")</f>
        <v>4053</v>
      </c>
      <c r="S194" s="166">
        <f>IF(E194&lt;&gt;"",ROUND(E194*0.96,0),"")</f>
        <v>3603</v>
      </c>
      <c r="T194" s="163">
        <f>IF(C194="","",IFERROR(IF(O194&gt;=2,3,IF(O194&gt;=1.5,2,IF(O194&gt;=1,1,0)))+IF(E194&gt;G194,1,0)+IF(L194&gt;=-5,1,0)+IF(Q194="買い▲",2,0)+IF(W194&lt;=30,3,IF(W194&lt;=40,2,IF(AND(W194&gt;=40,W194&lt;=60),1,0)))+IF(X194&gt;0,1,0)+IF(V194="年初来高値更新●",3,IF(V194="高値圏",2,0))+IF(AD194="パーフェクト▲",3,IF(AD194="上昇トレンド▲",2,0))+IF(AE194="25日線押し目●",2,IF(AE194="5日線押し目○",1,0))+IF(P194="急増↑↑",2,IF(P194="増加↑",1,0))+N(AI194),0))</f>
        <v>6</v>
      </c>
      <c r="U194" s="163" t="str">
        <f>IF(T194="","",IF(AND(T194&gt;=3,O194&gt;=1.5),"有効",IF(T194&gt;=3,"要確認","除外")))</f>
        <v>要確認</v>
      </c>
      <c r="V194" s="163" t="str">
        <f>IF(AND(H194&lt;&gt;"",K194&lt;&gt;""),IF(H194&gt;=K194,"年初来高値更新●",IF(H194&gt;=K194*0.95,"高値圏","通常")),"")</f>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IF(AND(E194&lt;&gt;"",G194&lt;&gt;"",G194&lt;&gt;0),(E194-G194)/G194*100,"")</f>
        <v>2.4849808847624248</v>
      </c>
      <c r="AA194" s="163" t="str">
        <f>IF(OR(C194="",E194="",E194=0),"",IF(E194&gt;G194,"上昇▲",IF(E194&lt;G194,"下落▼","横ばい→")))</f>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IF(OR(C194="",AB194="",AC194=""),"",IF(AND(E194&gt;AB194,AB194&gt;AC194),"パーフェクト▲",IF(E194&gt;AC194,"上昇トレンド▲",IF(AND(E194&lt;AB194,AB194&lt;AC194),"下降トレンド▼","もみ合い→"))))</f>
        <v>もみ合い→</v>
      </c>
      <c r="AE194" s="404" t="str">
        <f>IF(OR(C194="",AB194="",AC194=""),"",IF(AND(ABS(E194-AC194)/AC194&lt;=0.02,E194&gt;AC194),"25日押し目★",IF(AND(ABS(E194-AB194)/AB194&lt;=0.01,E194&gt;AB194),"5日押し目○","なし")))</f>
        <v>なし</v>
      </c>
      <c r="AF194" s="365">
        <f t="array" ref="AF194">IF(C194="","",IFERROR((INDEX(終値!$E:$E,MATCH(TEXT(C194,"0"),終値!$A:$A,0))-INDEX(終値!$E:$CZ,MATCH(TEXT(C194,"0"),終値!$A:$A,0),$AL$2))/INDEX(終値!$E:$CZ,MATCH(TEXT(C194,"0"),終値!$A:$A,0),$AL$2)*100,""))</f>
        <v>13.07622777945164</v>
      </c>
      <c r="AG194" s="365">
        <f t="array" ref="AG194">IFERROR((終値!$E$5-INDEX(終値!$E$5:$IT$5,1,$AL$2))/INDEX(終値!$E$5:$IT$5,1,$AL$2)*100,"")</f>
        <v>1.0179378228534113</v>
      </c>
      <c r="AH194" s="366">
        <f>IF(OR(AF194="",AG194=""),"",AF194-AG194)</f>
        <v>12.058289956598228</v>
      </c>
      <c r="AI194" s="364">
        <f>IF(AH194="","",IF(AH194&gt;5,3,IF(AH194&gt;0,1,IF(AH194&gt;-3,-1,-2))))</f>
        <v>3</v>
      </c>
      <c r="BA194">
        <f>IFERROR((SUM(OFFSET(高値!$E$6,IFERROR(MATCH($C194,銘柄管理!$B$6:$B$305,0),MATCH(TEXT($C194,"0"),銘柄管理!$B$6:$B$305,0))-1,0,1,14))-SUM(OFFSET(安値!$E$6,IFERROR(MATCH($C194,銘柄管理!$B$6:$B$305,0),MATCH(TEXT($C194,"0"),銘柄管理!$B$6:$B$305,0))-1,0,1,14)))/SUM(OFFSET(終値!$E$6,IFERROR(MATCH($C194,銘柄管理!$B$6:$B$305,0),MATCH(TEXT($C194,"0"),銘柄管理!$B$6:$B$305,0))-1,0,1,14))*100,"")</f>
      </c>
      <c r="BB194">
        <f>IFERROR((MAX(OFFSET(高値!$E$6,IFERROR(MATCH($C194,銘柄管理!$B$6:$B$305,0),MATCH(TEXT($C194,"0"),銘柄管理!$B$6:$B$305,0))-1,0,1,25))-MIN(OFFSET(安値!$E$6,IFERROR(MATCH($C194,銘柄管理!$B$6:$B$305,0),MATCH(TEXT($C194,"0"),銘柄管理!$B$6:$B$305,0))-1,0,1,25)))/$E194*100,"")</f>
      </c>
      <c r="BC194">
        <f>IFERROR(($F194-$G194)/$G194*100,"")</f>
      </c>
      <c r="BD194">
        <f>IFERROR(($E194-MAX(OFFSET(高値!$E$6,IFERROR(MATCH($C194,銘柄管理!$B$6:$B$305,0),MATCH(TEXT($C194,"0"),銘柄管理!$B$6:$B$305,0))-1,0,1,25)))/MAX(OFFSET(高値!$E$6,IFERROR(MATCH($C194,銘柄管理!$B$6:$B$305,0),MATCH(TEXT($C194,"0"),銘柄管理!$B$6:$B$305,0))-1,0,1,25))*100,"")</f>
      </c>
      <c r="BE194">
        <f>IFERROR(($H194-$I194)/$F194*100,"")</f>
      </c>
      <c r="BF194">
        <f>IFERROR(-(($BA194-AVERAGE($BA$3:$BA$206))/STDEV($BA$3:$BA$206))-(($BE194-AVERAGE($BE$3:$BE$206))/STDEV($BE$3:$BE$206))-(($BB194-AVERAGE($BB$3:$BB$206))/STDEV($BB$3:$BB$206))-(($Z194-AVERAGE($Z$3:$Z$206))/STDEV($Z$3:$Z$206))-(($BC194-AVERAGE($BC$3:$BC$206))/STDEV($BC$3:$BC$206)),"")</f>
      </c>
      <c r="BG194">
        <f>IF(OR($C194="",$C194="TOPX",$BA194="",$BF194=""),0,IF(AND($BK$10=1,$BA194&lt;=$BK$2,$BB194&lt;=$BK$3,$BC194&lt;=$BK$4,$Z194&lt;=$BK$5,$Z194&gt;=$BK$6,$BD194&gt;=$BK$7,$BE194&lt;=$BK$8),1,0))</f>
      </c>
      <c r="BH194">
        <f>IF($C194="","",IF($BG194=1,"○ゲート通過",IF($BK$10&lt;&gt;1,"― この方向は停止中",IF($BA194&gt;$BK$2,"×値動きが荒い",IF($BB194&gt;$BK$3,"×レンジが広い",IF($BC194&gt;$BK$4,"×窓を開けて上昇",IF($Z194&gt;$BK$5,"×前日に急騰",IF($Z194&lt;$BK$6,"×前日に急落",IF($BD194&lt;$BK$7,"×高値から離れすぎ",IF($BE194&gt;$BK$8,"×当日の値幅が大きい","×")))))))))</f>
      </c>
    </row>
    <row r="195" spans="1:60"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IF(AND(E195&lt;&gt;"",K195&lt;&gt;"",K195&lt;&gt;0),(E195-K195)/K195*100,"")</f>
        <v>-27.299465240641712</v>
      </c>
      <c r="M195" s="166">
        <f>IF(C195&lt;&gt;"",IFERROR(AVERAGE(出来高!E131:I131),""),"")</f>
        <v>832400</v>
      </c>
      <c r="N195" s="166">
        <f>IF(C195&lt;&gt;"",IFERROR(AVERAGE(出来高!E131:AC131),""),"")</f>
        <v>860668</v>
      </c>
      <c r="O195" s="168">
        <f>IF(AND(J195&lt;&gt;"",M195&lt;&gt;"",M195&lt;&gt;0),J195/M195,"")</f>
        <v>1.3565593464680441</v>
      </c>
      <c r="P195" s="163" t="str">
        <f>IF(O195="","",IF(O195&gt;=2,"急増↑↑",IF(O195&gt;=1.5,"増加↑",IF(O195&gt;=1,"普通→","減少↓"))))</f>
        <v>普通→</v>
      </c>
      <c r="Q195" s="163" t="str">
        <f>IF(E195="","",IF(AND(E195&gt;G195,O195&gt;=1.5),"買い▲",IF(E195&lt;G195,"様子見▼","中立→")))</f>
        <v>中立→</v>
      </c>
      <c r="R195" s="166">
        <f>IF(E195&lt;&gt;"",ROUND(E195*1.08,0),"")</f>
        <v>2937</v>
      </c>
      <c r="S195" s="166">
        <f>IF(E195&lt;&gt;"",ROUND(E195*0.96,0),"")</f>
        <v>2610</v>
      </c>
      <c r="T195" s="163">
        <f>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1</v>
      </c>
      <c r="U195" s="163" t="str">
        <f>IF(T195="","",IF(AND(T195&gt;=3,O195&gt;=1.5),"有効",IF(T195&gt;=3,"要確認","除外")))</f>
        <v>除外</v>
      </c>
      <c r="V195" s="163" t="str">
        <f>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IF(AND(E195&lt;&gt;"",G195&lt;&gt;"",G195&lt;&gt;0),(E195-G195)/G195*100,"")</f>
        <v>3.2662362324344856</v>
      </c>
      <c r="AA195" s="163" t="str">
        <f>IF(OR(C195="",E195="",E195=0),"",IF(E195&gt;G195,"上昇▲",IF(E195&lt;G195,"下落▼","横ばい→")))</f>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IF(OR(C195="",AB195="",AC195=""),"",IF(AND(E195&gt;AB195,AB195&gt;AC195),"パーフェクト▲",IF(E195&gt;AC195,"上昇トレンド▲",IF(AND(E195&lt;AB195,AB195&lt;AC195),"下降トレンド▼","もみ合い→"))))</f>
        <v>下降トレンド▼</v>
      </c>
      <c r="AE195" s="406" t="str">
        <f>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IFERROR((終値!$E$5-INDEX(終値!$E$5:$IT$5,1,$AL$2))/INDEX(終値!$E$5:$IT$5,1,$AL$2)*100,"")</f>
        <v>1.0179378228534113</v>
      </c>
      <c r="AH195" s="366">
        <f>IF(OR(AF195="",AG195=""),"",AF195-AG195)</f>
        <v>-3.5976583531292983</v>
      </c>
      <c r="AI195" s="364">
        <f>IF(AH195="","",IF(AH195&gt;5,3,IF(AH195&gt;0,1,IF(AH195&gt;-3,-1,-2))))</f>
        <v>-2</v>
      </c>
      <c r="BA195">
        <f>IFERROR((SUM(OFFSET(高値!$E$6,IFERROR(MATCH($C195,銘柄管理!$B$6:$B$305,0),MATCH(TEXT($C195,"0"),銘柄管理!$B$6:$B$305,0))-1,0,1,14))-SUM(OFFSET(安値!$E$6,IFERROR(MATCH($C195,銘柄管理!$B$6:$B$305,0),MATCH(TEXT($C195,"0"),銘柄管理!$B$6:$B$305,0))-1,0,1,14)))/SUM(OFFSET(終値!$E$6,IFERROR(MATCH($C195,銘柄管理!$B$6:$B$305,0),MATCH(TEXT($C195,"0"),銘柄管理!$B$6:$B$305,0))-1,0,1,14))*100,"")</f>
      </c>
      <c r="BB195">
        <f>IFERROR((MAX(OFFSET(高値!$E$6,IFERROR(MATCH($C195,銘柄管理!$B$6:$B$305,0),MATCH(TEXT($C195,"0"),銘柄管理!$B$6:$B$305,0))-1,0,1,25))-MIN(OFFSET(安値!$E$6,IFERROR(MATCH($C195,銘柄管理!$B$6:$B$305,0),MATCH(TEXT($C195,"0"),銘柄管理!$B$6:$B$305,0))-1,0,1,25)))/$E195*100,"")</f>
      </c>
      <c r="BC195">
        <f>IFERROR(($F195-$G195)/$G195*100,"")</f>
      </c>
      <c r="BD195">
        <f>IFERROR(($E195-MAX(OFFSET(高値!$E$6,IFERROR(MATCH($C195,銘柄管理!$B$6:$B$305,0),MATCH(TEXT($C195,"0"),銘柄管理!$B$6:$B$305,0))-1,0,1,25)))/MAX(OFFSET(高値!$E$6,IFERROR(MATCH($C195,銘柄管理!$B$6:$B$305,0),MATCH(TEXT($C195,"0"),銘柄管理!$B$6:$B$305,0))-1,0,1,25))*100,"")</f>
      </c>
      <c r="BE195">
        <f>IFERROR(($H195-$I195)/$F195*100,"")</f>
      </c>
      <c r="BF195">
        <f>IFERROR(-(($BA195-AVERAGE($BA$3:$BA$206))/STDEV($BA$3:$BA$206))-(($BE195-AVERAGE($BE$3:$BE$206))/STDEV($BE$3:$BE$206))-(($BB195-AVERAGE($BB$3:$BB$206))/STDEV($BB$3:$BB$206))-(($Z195-AVERAGE($Z$3:$Z$206))/STDEV($Z$3:$Z$206))-(($BC195-AVERAGE($BC$3:$BC$206))/STDEV($BC$3:$BC$206)),"")</f>
      </c>
      <c r="BG195">
        <f>IF(OR($C195="",$C195="TOPX",$BA195="",$BF195=""),0,IF(AND($BK$10=1,$BA195&lt;=$BK$2,$BB195&lt;=$BK$3,$BC195&lt;=$BK$4,$Z195&lt;=$BK$5,$Z195&gt;=$BK$6,$BD195&gt;=$BK$7,$BE195&lt;=$BK$8),1,0))</f>
      </c>
      <c r="BH195">
        <f>IF($C195="","",IF($BG195=1,"○ゲート通過",IF($BK$10&lt;&gt;1,"― この方向は停止中",IF($BA195&gt;$BK$2,"×値動きが荒い",IF($BB195&gt;$BK$3,"×レンジが広い",IF($BC195&gt;$BK$4,"×窓を開けて上昇",IF($Z195&gt;$BK$5,"×前日に急騰",IF($Z195&lt;$BK$6,"×前日に急落",IF($BD195&lt;$BK$7,"×高値から離れすぎ",IF($BE195&gt;$BK$8,"×当日の値幅が大きい","×")))))))))</f>
      </c>
    </row>
    <row r="196" spans="1:60"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IF(AND(E196&lt;&gt;"",K196&lt;&gt;"",K196&lt;&gt;0),(E196-K196)/K196*100,"")</f>
        <v>-16.328401204661521</v>
      </c>
      <c r="M196" s="166">
        <f>IF(C196&lt;&gt;"",IFERROR(AVERAGE(出来高!E187:I187),""),"")</f>
        <v>3836180</v>
      </c>
      <c r="N196" s="166">
        <f>IF(C196&lt;&gt;"",IFERROR(AVERAGE(出来高!E187:AC187),""),"")</f>
        <v>2134460</v>
      </c>
      <c r="O196" s="168">
        <f>IF(AND(J196&lt;&gt;"",M196&lt;&gt;"",M196&lt;&gt;0),J196/M196,"")</f>
        <v>0.38321976549588394</v>
      </c>
      <c r="P196" s="163" t="str">
        <f>IF(O196="","",IF(O196&gt;=2,"急増↑↑",IF(O196&gt;=1.5,"増加↑",IF(O196&gt;=1,"普通→","減少↓"))))</f>
        <v>減少↓</v>
      </c>
      <c r="Q196" s="163" t="str">
        <f>IF(E196="","",IF(AND(E196&gt;G196,O196&gt;=1.5),"買い▲",IF(E196&lt;G196,"様子見▼","中立→")))</f>
        <v>中立→</v>
      </c>
      <c r="R196" s="166">
        <f>IF(E196&lt;&gt;"",ROUND(E196*1.08,0),"")</f>
        <v>690</v>
      </c>
      <c r="S196" s="166">
        <f>IF(E196&lt;&gt;"",ROUND(E196*0.96,0),"")</f>
        <v>613</v>
      </c>
      <c r="T196" s="163">
        <f>IF(C196="","",IFERROR(IF(O196&gt;=2,3,IF(O196&gt;=1.5,2,IF(O196&gt;=1,1,0)))+IF(E196&gt;G196,1,0)+IF(L196&gt;=-5,1,0)+IF(Q196="買い▲",2,0)+IF(W196&lt;=30,3,IF(W196&lt;=40,2,IF(AND(W196&gt;=40,W196&lt;=60),1,0)))+IF(X196&gt;0,1,0)+IF(V196="年初来高値更新●",3,IF(V196="高値圏",2,0))+IF(AD196="パーフェクト▲",3,IF(AD196="上昇トレンド▲",2,0))+IF(AE196="25日線押し目●",2,IF(AE196="5日線押し目○",1,0))+IF(P196="急増↑↑",2,IF(P196="増加↑",1,0))+N(AI196),0))</f>
        <v>2</v>
      </c>
      <c r="U196" s="163" t="str">
        <f>IF(T196="","",IF(AND(T196&gt;=3,O196&gt;=1.5),"有効",IF(T196&gt;=3,"要確認","除外")))</f>
        <v>除外</v>
      </c>
      <c r="V196" s="163" t="str">
        <f>IF(AND(H196&lt;&gt;"",K196&lt;&gt;""),IF(H196&gt;=K196,"年初来高値更新●",IF(H196&gt;=K196*0.95,"高値圏","通常")),"")</f>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IF(AND(E196&lt;&gt;"",G196&lt;&gt;"",G196&lt;&gt;0),(E196-G196)/G196*100,"")</f>
        <v>0.55074744295830058</v>
      </c>
      <c r="AA196" s="163" t="str">
        <f>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IF(OR(C196="",AB196="",AC196=""),"",IF(AND(E196&gt;AB196,AB196&gt;AC196),"パーフェクト▲",IF(E196&gt;AC196,"上昇トレンド▲",IF(AND(E196&lt;AB196,AB196&lt;AC196),"下降トレンド▼","もみ合い→"))))</f>
        <v>下降トレンド▼</v>
      </c>
      <c r="AE196" s="404" t="str">
        <f>IF(OR(C196="",AB196="",AC196=""),"",IF(AND(ABS(E196-AC196)/AC196&lt;=0.02,E196&gt;AC196),"25日押し目★",IF(AND(ABS(E196-AB196)/AB196&lt;=0.01,E196&gt;AB196),"5日押し目○","なし")))</f>
        <v>なし</v>
      </c>
      <c r="AF196" s="365">
        <f t="array" ref="AF196">IF(C196="","",IFERROR((INDEX(終値!$E:$E,MATCH(TEXT(C196,"0"),終値!$A:$A,0))-INDEX(終値!$E:$CZ,MATCH(TEXT(C196,"0"),終値!$A:$A,0),$AL$2))/INDEX(終値!$E:$CZ,MATCH(TEXT(C196,"0"),終値!$A:$A,0),$AL$2)*100,""))</f>
        <v>0.58240201479616649</v>
      </c>
      <c r="AG196" s="365">
        <f t="array" ref="AG196">IFERROR((終値!$E$5-INDEX(終値!$E$5:$IT$5,1,$AL$2))/INDEX(終値!$E$5:$IT$5,1,$AL$2)*100,"")</f>
        <v>1.0179378228534113</v>
      </c>
      <c r="AH196" s="366">
        <f>IF(OR(AF196="",AG196=""),"",AF196-AG196)</f>
        <v>-0.43553580805724479</v>
      </c>
      <c r="AI196" s="364">
        <f>IF(AH196="","",IF(AH196&gt;5,3,IF(AH196&gt;0,1,IF(AH196&gt;-3,-1,-2))))</f>
        <v>-1</v>
      </c>
      <c r="BA196">
        <f>IFERROR((SUM(OFFSET(高値!$E$6,IFERROR(MATCH($C196,銘柄管理!$B$6:$B$305,0),MATCH(TEXT($C196,"0"),銘柄管理!$B$6:$B$305,0))-1,0,1,14))-SUM(OFFSET(安値!$E$6,IFERROR(MATCH($C196,銘柄管理!$B$6:$B$305,0),MATCH(TEXT($C196,"0"),銘柄管理!$B$6:$B$305,0))-1,0,1,14)))/SUM(OFFSET(終値!$E$6,IFERROR(MATCH($C196,銘柄管理!$B$6:$B$305,0),MATCH(TEXT($C196,"0"),銘柄管理!$B$6:$B$305,0))-1,0,1,14))*100,"")</f>
      </c>
      <c r="BB196">
        <f>IFERROR((MAX(OFFSET(高値!$E$6,IFERROR(MATCH($C196,銘柄管理!$B$6:$B$305,0),MATCH(TEXT($C196,"0"),銘柄管理!$B$6:$B$305,0))-1,0,1,25))-MIN(OFFSET(安値!$E$6,IFERROR(MATCH($C196,銘柄管理!$B$6:$B$305,0),MATCH(TEXT($C196,"0"),銘柄管理!$B$6:$B$305,0))-1,0,1,25)))/$E196*100,"")</f>
      </c>
      <c r="BC196">
        <f>IFERROR(($F196-$G196)/$G196*100,"")</f>
      </c>
      <c r="BD196">
        <f>IFERROR(($E196-MAX(OFFSET(高値!$E$6,IFERROR(MATCH($C196,銘柄管理!$B$6:$B$305,0),MATCH(TEXT($C196,"0"),銘柄管理!$B$6:$B$305,0))-1,0,1,25)))/MAX(OFFSET(高値!$E$6,IFERROR(MATCH($C196,銘柄管理!$B$6:$B$305,0),MATCH(TEXT($C196,"0"),銘柄管理!$B$6:$B$305,0))-1,0,1,25))*100,"")</f>
      </c>
      <c r="BE196">
        <f>IFERROR(($H196-$I196)/$F196*100,"")</f>
      </c>
      <c r="BF196">
        <f>IFERROR(-(($BA196-AVERAGE($BA$3:$BA$206))/STDEV($BA$3:$BA$206))-(($BE196-AVERAGE($BE$3:$BE$206))/STDEV($BE$3:$BE$206))-(($BB196-AVERAGE($BB$3:$BB$206))/STDEV($BB$3:$BB$206))-(($Z196-AVERAGE($Z$3:$Z$206))/STDEV($Z$3:$Z$206))-(($BC196-AVERAGE($BC$3:$BC$206))/STDEV($BC$3:$BC$206)),"")</f>
      </c>
      <c r="BG196">
        <f>IF(OR($C196="",$C196="TOPX",$BA196="",$BF196=""),0,IF(AND($BK$10=1,$BA196&lt;=$BK$2,$BB196&lt;=$BK$3,$BC196&lt;=$BK$4,$Z196&lt;=$BK$5,$Z196&gt;=$BK$6,$BD196&gt;=$BK$7,$BE196&lt;=$BK$8),1,0))</f>
      </c>
      <c r="BH196">
        <f>IF($C196="","",IF($BG196=1,"○ゲート通過",IF($BK$10&lt;&gt;1,"― この方向は停止中",IF($BA196&gt;$BK$2,"×値動きが荒い",IF($BB196&gt;$BK$3,"×レンジが広い",IF($BC196&gt;$BK$4,"×窓を開けて上昇",IF($Z196&gt;$BK$5,"×前日に急騰",IF($Z196&lt;$BK$6,"×前日に急落",IF($BD196&lt;$BK$7,"×高値から離れすぎ",IF($BE196&gt;$BK$8,"×当日の値幅が大きい","×")))))))))</f>
      </c>
    </row>
    <row r="197" spans="1:60"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IF(AND(E197&lt;&gt;"",K197&lt;&gt;"",K197&lt;&gt;0),(E197-K197)/K197*100,"")</f>
        <v>-21.229718189581554</v>
      </c>
      <c r="M197" s="166">
        <f>IF(C197&lt;&gt;"",IFERROR(AVERAGE(出来高!E86:I86),""),"")</f>
        <v>1332820</v>
      </c>
      <c r="N197" s="166">
        <f>IF(C197&lt;&gt;"",IFERROR(AVERAGE(出来高!E86:AC86),""),"")</f>
        <v>1629862.5</v>
      </c>
      <c r="O197" s="168">
        <f>IF(AND(J197&lt;&gt;"",M197&lt;&gt;"",M197&lt;&gt;0),J197/M197,"")</f>
        <v>0.73198181299800424</v>
      </c>
      <c r="P197" s="163" t="str">
        <f>IF(O197="","",IF(O197&gt;=2,"急増↑↑",IF(O197&gt;=1.5,"増加↑",IF(O197&gt;=1,"普通→","減少↓"))))</f>
        <v>減少↓</v>
      </c>
      <c r="Q197" s="163" t="str">
        <f>IF(E197="","",IF(AND(E197&gt;G197,O197&gt;=1.5),"買い▲",IF(E197&lt;G197,"様子見▼","中立→")))</f>
        <v>様子見▼</v>
      </c>
      <c r="R197" s="166">
        <f>IF(E197&lt;&gt;"",ROUND(E197*1.08,0),"")</f>
        <v>2490</v>
      </c>
      <c r="S197" s="166">
        <f>IF(E197&lt;&gt;"",ROUND(E197*0.96,0),"")</f>
        <v>2214</v>
      </c>
      <c r="T197" s="163">
        <f>IF(C197="","",IFERROR(IF(O197&gt;=2,3,IF(O197&gt;=1.5,2,IF(O197&gt;=1,1,0)))+IF(E197&gt;G197,1,0)+IF(L197&gt;=-5,1,0)+IF(Q197="買い▲",2,0)+IF(W197&lt;=30,3,IF(W197&lt;=40,2,IF(AND(W197&gt;=40,W197&lt;=60),1,0)))+IF(X197&gt;0,1,0)+IF(V197="年初来高値更新●",3,IF(V197="高値圏",2,0))+IF(AD197="パーフェクト▲",3,IF(AD197="上昇トレンド▲",2,0))+IF(AE197="25日線押し目●",2,IF(AE197="5日線押し目○",1,0))+IF(P197="急増↑↑",2,IF(P197="増加↑",1,0))+N(AI197),0))</f>
        <v>-1</v>
      </c>
      <c r="U197" s="163" t="str">
        <f>IF(T197="","",IF(AND(T197&gt;=3,O197&gt;=1.5),"有効",IF(T197&gt;=3,"要確認","除外")))</f>
        <v>除外</v>
      </c>
      <c r="V197" s="163" t="str">
        <f>IF(AND(H197&lt;&gt;"",K197&lt;&gt;""),IF(H197&gt;=K197,"年初来高値更新●",IF(H197&gt;=K197*0.95,"高値圏","通常")),"")</f>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IF(AND(E197&lt;&gt;"",G197&lt;&gt;"",G197&lt;&gt;0),(E197-G197)/G197*100,"")</f>
        <v>-0.9024495058014611</v>
      </c>
      <c r="AA197" s="163" t="str">
        <f>IF(OR(C197="",E197="",E197=0),"",IF(E197&gt;G197,"上昇▲",IF(E197&lt;G197,"下落▼","横ばい→")))</f>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IF(OR(C197="",AB197="",AC197=""),"",IF(AND(E197&gt;AB197,AB197&gt;AC197),"パーフェクト▲",IF(E197&gt;AC197,"上昇トレンド▲",IF(AND(E197&lt;AB197,AB197&lt;AC197),"下降トレンド▼","もみ合い→"))))</f>
        <v>もみ合い→</v>
      </c>
      <c r="AE197" s="406" t="str">
        <f>IF(OR(C197="",AB197="",AC197=""),"",IF(AND(ABS(E197-AC197)/AC197&lt;=0.02,E197&gt;AC197),"25日押し目★",IF(AND(ABS(E197-AB197)/AB197&lt;=0.01,E197&gt;AB197),"5日押し目○","なし")))</f>
        <v>なし</v>
      </c>
      <c r="AF197" s="365">
        <f t="array" ref="AF197">IF(C197="","",IFERROR((INDEX(終値!$E:$E,MATCH(TEXT(C197,"0"),終値!$A:$A,0))-INDEX(終値!$E:$CZ,MATCH(TEXT(C197,"0"),終値!$A:$A,0),$AL$2))/INDEX(終値!$E:$CZ,MATCH(TEXT(C197,"0"),終値!$A:$A,0),$AL$2)*100,""))</f>
        <v>-7.1097683786505534</v>
      </c>
      <c r="AG197" s="365">
        <f t="array" ref="AG197">IFERROR((終値!$E$5-INDEX(終値!$E$5:$IT$5,1,$AL$2))/INDEX(終値!$E$5:$IT$5,1,$AL$2)*100,"")</f>
        <v>1.0179378228534113</v>
      </c>
      <c r="AH197" s="366">
        <f>IF(OR(AF197="",AG197=""),"",AF197-AG197)</f>
        <v>-8.1277062015039654</v>
      </c>
      <c r="AI197" s="364">
        <f>IF(AH197="","",IF(AH197&gt;5,3,IF(AH197&gt;0,1,IF(AH197&gt;-3,-1,-2))))</f>
        <v>-2</v>
      </c>
      <c r="BA197">
        <f>IFERROR((SUM(OFFSET(高値!$E$6,IFERROR(MATCH($C197,銘柄管理!$B$6:$B$305,0),MATCH(TEXT($C197,"0"),銘柄管理!$B$6:$B$305,0))-1,0,1,14))-SUM(OFFSET(安値!$E$6,IFERROR(MATCH($C197,銘柄管理!$B$6:$B$305,0),MATCH(TEXT($C197,"0"),銘柄管理!$B$6:$B$305,0))-1,0,1,14)))/SUM(OFFSET(終値!$E$6,IFERROR(MATCH($C197,銘柄管理!$B$6:$B$305,0),MATCH(TEXT($C197,"0"),銘柄管理!$B$6:$B$305,0))-1,0,1,14))*100,"")</f>
      </c>
      <c r="BB197">
        <f>IFERROR((MAX(OFFSET(高値!$E$6,IFERROR(MATCH($C197,銘柄管理!$B$6:$B$305,0),MATCH(TEXT($C197,"0"),銘柄管理!$B$6:$B$305,0))-1,0,1,25))-MIN(OFFSET(安値!$E$6,IFERROR(MATCH($C197,銘柄管理!$B$6:$B$305,0),MATCH(TEXT($C197,"0"),銘柄管理!$B$6:$B$305,0))-1,0,1,25)))/$E197*100,"")</f>
      </c>
      <c r="BC197">
        <f>IFERROR(($F197-$G197)/$G197*100,"")</f>
      </c>
      <c r="BD197">
        <f>IFERROR(($E197-MAX(OFFSET(高値!$E$6,IFERROR(MATCH($C197,銘柄管理!$B$6:$B$305,0),MATCH(TEXT($C197,"0"),銘柄管理!$B$6:$B$305,0))-1,0,1,25)))/MAX(OFFSET(高値!$E$6,IFERROR(MATCH($C197,銘柄管理!$B$6:$B$305,0),MATCH(TEXT($C197,"0"),銘柄管理!$B$6:$B$305,0))-1,0,1,25))*100,"")</f>
      </c>
      <c r="BE197">
        <f>IFERROR(($H197-$I197)/$F197*100,"")</f>
      </c>
      <c r="BF197">
        <f>IFERROR(-(($BA197-AVERAGE($BA$3:$BA$206))/STDEV($BA$3:$BA$206))-(($BE197-AVERAGE($BE$3:$BE$206))/STDEV($BE$3:$BE$206))-(($BB197-AVERAGE($BB$3:$BB$206))/STDEV($BB$3:$BB$206))-(($Z197-AVERAGE($Z$3:$Z$206))/STDEV($Z$3:$Z$206))-(($BC197-AVERAGE($BC$3:$BC$206))/STDEV($BC$3:$BC$206)),"")</f>
      </c>
      <c r="BG197">
        <f>IF(OR($C197="",$C197="TOPX",$BA197="",$BF197=""),0,IF(AND($BK$10=1,$BA197&lt;=$BK$2,$BB197&lt;=$BK$3,$BC197&lt;=$BK$4,$Z197&lt;=$BK$5,$Z197&gt;=$BK$6,$BD197&gt;=$BK$7,$BE197&lt;=$BK$8),1,0))</f>
      </c>
      <c r="BH197">
        <f>IF($C197="","",IF($BG197=1,"○ゲート通過",IF($BK$10&lt;&gt;1,"― この方向は停止中",IF($BA197&gt;$BK$2,"×値動きが荒い",IF($BB197&gt;$BK$3,"×レンジが広い",IF($BC197&gt;$BK$4,"×窓を開けて上昇",IF($Z197&gt;$BK$5,"×前日に急騰",IF($Z197&lt;$BK$6,"×前日に急落",IF($BD197&lt;$BK$7,"×高値から離れすぎ",IF($BE197&gt;$BK$8,"×当日の値幅が大きい","×")))))))))</f>
      </c>
    </row>
    <row r="198" spans="1:60"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IF(AND(E198&lt;&gt;"",K198&lt;&gt;"",K198&lt;&gt;0),(E198-K198)/K198*100,"")</f>
        <v>-26.900763358778622</v>
      </c>
      <c r="M198" s="166">
        <f>IF(C198&lt;&gt;"",IFERROR(AVERAGE(出来高!E59:I59),""),"")</f>
        <v>1046000</v>
      </c>
      <c r="N198" s="166">
        <f>IF(C198&lt;&gt;"",IFERROR(AVERAGE(出来高!E59:AC59),""),"")</f>
        <v>780276</v>
      </c>
      <c r="O198" s="168">
        <f>IF(AND(J198&lt;&gt;"",M198&lt;&gt;"",M198&lt;&gt;0),J198/M198,"")</f>
        <v>0.9140535372848948</v>
      </c>
      <c r="P198" s="163" t="str">
        <f>IF(O198="","",IF(O198&gt;=2,"急増↑↑",IF(O198&gt;=1.5,"増加↑",IF(O198&gt;=1,"普通→","減少↓"))))</f>
        <v>減少↓</v>
      </c>
      <c r="Q198" s="163" t="str">
        <f>IF(E198="","",IF(AND(E198&gt;G198,O198&gt;=1.5),"買い▲",IF(E198&lt;G198,"様子見▼","中立→")))</f>
        <v>様子見▼</v>
      </c>
      <c r="R198" s="166">
        <f>IF(E198&lt;&gt;"",ROUND(E198*1.08,0),"")</f>
        <v>2586</v>
      </c>
      <c r="S198" s="166">
        <f>IF(E198&lt;&gt;"",ROUND(E198*0.96,0),"")</f>
        <v>2298</v>
      </c>
      <c r="T198" s="163">
        <f>IF(C198="","",IFERROR(IF(O198&gt;=2,3,IF(O198&gt;=1.5,2,IF(O198&gt;=1,1,0)))+IF(E198&gt;G198,1,0)+IF(L198&gt;=-5,1,0)+IF(Q198="買い▲",2,0)+IF(W198&lt;=30,3,IF(W198&lt;=40,2,IF(AND(W198&gt;=40,W198&lt;=60),1,0)))+IF(X198&gt;0,1,0)+IF(V198="年初来高値更新●",3,IF(V198="高値圏",2,0))+IF(AD198="パーフェクト▲",3,IF(AD198="上昇トレンド▲",2,0))+IF(AE198="25日線押し目●",2,IF(AE198="5日線押し目○",1,0))+IF(P198="急増↑↑",2,IF(P198="増加↑",1,0))+N(AI198),0))</f>
        <v>-1</v>
      </c>
      <c r="U198" s="163" t="str">
        <f>IF(T198="","",IF(AND(T198&gt;=3,O198&gt;=1.5),"有効",IF(T198&gt;=3,"要確認","除外")))</f>
        <v>除外</v>
      </c>
      <c r="V198" s="163" t="str">
        <f>IF(AND(H198&lt;&gt;"",K198&lt;&gt;""),IF(H198&gt;=K198,"年初来高値更新●",IF(H198&gt;=K198*0.95,"高値圏","通常")),"")</f>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IF(AND(E198&lt;&gt;"",G198&lt;&gt;"",G198&lt;&gt;0),(E198-G198)/G198*100,"")</f>
        <v>-2.5244299674267103</v>
      </c>
      <c r="AA198" s="163" t="str">
        <f>IF(OR(C198="",E198="",E198=0),"",IF(E198&gt;G198,"上昇▲",IF(E198&lt;G198,"下落▼","横ばい→")))</f>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IF(OR(C198="",AB198="",AC198=""),"",IF(AND(E198&gt;AB198,AB198&gt;AC198),"パーフェクト▲",IF(E198&gt;AC198,"上昇トレンド▲",IF(AND(E198&lt;AB198,AB198&lt;AC198),"下降トレンド▼","もみ合い→"))))</f>
        <v>もみ合い→</v>
      </c>
      <c r="AE198" s="404" t="str">
        <f>IF(OR(C198="",AB198="",AC198=""),"",IF(AND(ABS(E198-AC198)/AC198&lt;=0.02,E198&gt;AC198),"25日押し目★",IF(AND(ABS(E198-AB198)/AB198&lt;=0.01,E198&gt;AB198),"5日押し目○","なし")))</f>
        <v>なし</v>
      </c>
      <c r="AF198" s="365">
        <f t="array" ref="AF198">IF(C198="","",IFERROR((INDEX(終値!$E:$E,MATCH(TEXT(C198,"0"),終値!$A:$A,0))-INDEX(終値!$E:$CZ,MATCH(TEXT(C198,"0"),終値!$A:$A,0),$AL$2))/INDEX(終値!$E:$CZ,MATCH(TEXT(C198,"0"),終値!$A:$A,0),$AL$2)*100,""))</f>
        <v>-16.498081618416464</v>
      </c>
      <c r="AG198" s="365">
        <f t="array" ref="AG198">IFERROR((終値!$E$5-INDEX(終値!$E$5:$IT$5,1,$AL$2))/INDEX(終値!$E$5:$IT$5,1,$AL$2)*100,"")</f>
        <v>1.0179378228534113</v>
      </c>
      <c r="AH198" s="366">
        <f>IF(OR(AF198="",AG198=""),"",AF198-AG198)</f>
        <v>-17.516019441269876</v>
      </c>
      <c r="AI198" s="364">
        <f>IF(AH198="","",IF(AH198&gt;5,3,IF(AH198&gt;0,1,IF(AH198&gt;-3,-1,-2))))</f>
        <v>-2</v>
      </c>
      <c r="BA198">
        <f>IFERROR((SUM(OFFSET(高値!$E$6,IFERROR(MATCH($C198,銘柄管理!$B$6:$B$305,0),MATCH(TEXT($C198,"0"),銘柄管理!$B$6:$B$305,0))-1,0,1,14))-SUM(OFFSET(安値!$E$6,IFERROR(MATCH($C198,銘柄管理!$B$6:$B$305,0),MATCH(TEXT($C198,"0"),銘柄管理!$B$6:$B$305,0))-1,0,1,14)))/SUM(OFFSET(終値!$E$6,IFERROR(MATCH($C198,銘柄管理!$B$6:$B$305,0),MATCH(TEXT($C198,"0"),銘柄管理!$B$6:$B$305,0))-1,0,1,14))*100,"")</f>
      </c>
      <c r="BB198">
        <f>IFERROR((MAX(OFFSET(高値!$E$6,IFERROR(MATCH($C198,銘柄管理!$B$6:$B$305,0),MATCH(TEXT($C198,"0"),銘柄管理!$B$6:$B$305,0))-1,0,1,25))-MIN(OFFSET(安値!$E$6,IFERROR(MATCH($C198,銘柄管理!$B$6:$B$305,0),MATCH(TEXT($C198,"0"),銘柄管理!$B$6:$B$305,0))-1,0,1,25)))/$E198*100,"")</f>
      </c>
      <c r="BC198">
        <f>IFERROR(($F198-$G198)/$G198*100,"")</f>
      </c>
      <c r="BD198">
        <f>IFERROR(($E198-MAX(OFFSET(高値!$E$6,IFERROR(MATCH($C198,銘柄管理!$B$6:$B$305,0),MATCH(TEXT($C198,"0"),銘柄管理!$B$6:$B$305,0))-1,0,1,25)))/MAX(OFFSET(高値!$E$6,IFERROR(MATCH($C198,銘柄管理!$B$6:$B$305,0),MATCH(TEXT($C198,"0"),銘柄管理!$B$6:$B$305,0))-1,0,1,25))*100,"")</f>
      </c>
      <c r="BE198">
        <f>IFERROR(($H198-$I198)/$F198*100,"")</f>
      </c>
      <c r="BF198">
        <f>IFERROR(-(($BA198-AVERAGE($BA$3:$BA$206))/STDEV($BA$3:$BA$206))-(($BE198-AVERAGE($BE$3:$BE$206))/STDEV($BE$3:$BE$206))-(($BB198-AVERAGE($BB$3:$BB$206))/STDEV($BB$3:$BB$206))-(($Z198-AVERAGE($Z$3:$Z$206))/STDEV($Z$3:$Z$206))-(($BC198-AVERAGE($BC$3:$BC$206))/STDEV($BC$3:$BC$206)),"")</f>
      </c>
      <c r="BG198">
        <f>IF(OR($C198="",$C198="TOPX",$BA198="",$BF198=""),0,IF(AND($BK$10=1,$BA198&lt;=$BK$2,$BB198&lt;=$BK$3,$BC198&lt;=$BK$4,$Z198&lt;=$BK$5,$Z198&gt;=$BK$6,$BD198&gt;=$BK$7,$BE198&lt;=$BK$8),1,0))</f>
      </c>
      <c r="BH198">
        <f>IF($C198="","",IF($BG198=1,"○ゲート通過",IF($BK$10&lt;&gt;1,"― この方向は停止中",IF($BA198&gt;$BK$2,"×値動きが荒い",IF($BB198&gt;$BK$3,"×レンジが広い",IF($BC198&gt;$BK$4,"×窓を開けて上昇",IF($Z198&gt;$BK$5,"×前日に急騰",IF($Z198&lt;$BK$6,"×前日に急落",IF($BD198&lt;$BK$7,"×高値から離れすぎ",IF($BE198&gt;$BK$8,"×当日の値幅が大きい","×")))))))))</f>
      </c>
    </row>
    <row r="199" spans="1:60"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IF(AND(E199&lt;&gt;"",K199&lt;&gt;"",K199&lt;&gt;0),(E199-K199)/K199*100,"")</f>
        <v>-24.369973190348524</v>
      </c>
      <c r="M199" s="166">
        <f>IF(C199&lt;&gt;"",IFERROR(AVERAGE(出来高!E175:I175),""),"")</f>
        <v>2491540</v>
      </c>
      <c r="N199" s="166">
        <f>IF(C199&lt;&gt;"",IFERROR(AVERAGE(出来高!E175:AC175),""),"")</f>
        <v>1277292</v>
      </c>
      <c r="O199" s="168">
        <f>IF(AND(J199&lt;&gt;"",M199&lt;&gt;"",M199&lt;&gt;0),J199/M199,"")</f>
        <v>0.59826452715990919</v>
      </c>
      <c r="P199" s="163" t="str">
        <f>IF(O199="","",IF(O199&gt;=2,"急増↑↑",IF(O199&gt;=1.5,"増加↑",IF(O199&gt;=1,"普通→","減少↓"))))</f>
        <v>減少↓</v>
      </c>
      <c r="Q199" s="163" t="str">
        <f>IF(E199="","",IF(AND(E199&gt;G199,O199&gt;=1.5),"買い▲",IF(E199&lt;G199,"様子見▼","中立→")))</f>
        <v>様子見▼</v>
      </c>
      <c r="R199" s="166">
        <f>IF(E199&lt;&gt;"",ROUND(E199*1.08,0),"")</f>
        <v>6093</v>
      </c>
      <c r="S199" s="166">
        <f>IF(E199&lt;&gt;"",ROUND(E199*0.96,0),"")</f>
        <v>5416</v>
      </c>
      <c r="T199" s="163">
        <f>IF(C199="","",IFERROR(IF(O199&gt;=2,3,IF(O199&gt;=1.5,2,IF(O199&gt;=1,1,0)))+IF(E199&gt;G199,1,0)+IF(L199&gt;=-5,1,0)+IF(Q199="買い▲",2,0)+IF(W199&lt;=30,3,IF(W199&lt;=40,2,IF(AND(W199&gt;=40,W199&lt;=60),1,0)))+IF(X199&gt;0,1,0)+IF(V199="年初来高値更新●",3,IF(V199="高値圏",2,0))+IF(AD199="パーフェクト▲",3,IF(AD199="上昇トレンド▲",2,0))+IF(AE199="25日線押し目●",2,IF(AE199="5日線押し目○",1,0))+IF(P199="急増↑↑",2,IF(P199="増加↑",1,0))+N(AI199),0))</f>
        <v>2</v>
      </c>
      <c r="U199" s="163" t="str">
        <f>IF(T199="","",IF(AND(T199&gt;=3,O199&gt;=1.5),"有効",IF(T199&gt;=3,"要確認","除外")))</f>
        <v>除外</v>
      </c>
      <c r="V199" s="163" t="str">
        <f>IF(AND(H199&lt;&gt;"",K199&lt;&gt;""),IF(H199&gt;=K199,"年初来高値更新●",IF(H199&gt;=K199*0.95,"高値圏","通常")),"")</f>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IF(AND(E199&lt;&gt;"",G199&lt;&gt;"",G199&lt;&gt;0),(E199-G199)/G199*100,"")</f>
        <v>-0.73891625615763545</v>
      </c>
      <c r="AA199" s="163" t="str">
        <f>IF(OR(C199="",E199="",E199=0),"",IF(E199&gt;G199,"上昇▲",IF(E199&lt;G199,"下落▼","横ばい→")))</f>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IF(OR(C199="",AB199="",AC199=""),"",IF(AND(E199&gt;AB199,AB199&gt;AC199),"パーフェクト▲",IF(E199&gt;AC199,"上昇トレンド▲",IF(AND(E199&lt;AB199,AB199&lt;AC199),"下降トレンド▼","もみ合い→"))))</f>
        <v>上昇トレンド▲</v>
      </c>
      <c r="AE199" s="406" t="str">
        <f>IF(OR(C199="",AB199="",AC199=""),"",IF(AND(ABS(E199-AC199)/AC199&lt;=0.02,E199&gt;AC199),"25日押し目★",IF(AND(ABS(E199-AB199)/AB199&lt;=0.01,E199&gt;AB199),"5日押し目○","なし")))</f>
        <v>なし</v>
      </c>
      <c r="AF199" s="365">
        <f t="array" ref="AF199">IF(C199="","",IFERROR((INDEX(終値!$E:$E,MATCH(TEXT(C199,"0"),終値!$A:$A,0))-INDEX(終値!$E:$CZ,MATCH(TEXT(C199,"0"),終値!$A:$A,0),$AL$2))/INDEX(終値!$E:$CZ,MATCH(TEXT(C199,"0"),終値!$A:$A,0),$AL$2)*100,""))</f>
        <v>-16.116562592922985</v>
      </c>
      <c r="AG199" s="365">
        <f t="array" ref="AG199">IFERROR((終値!$E$5-INDEX(終値!$E$5:$IT$5,1,$AL$2))/INDEX(終値!$E$5:$IT$5,1,$AL$2)*100,"")</f>
        <v>1.0179378228534113</v>
      </c>
      <c r="AH199" s="366">
        <f>IF(OR(AF199="",AG199=""),"",AF199-AG199)</f>
        <v>-17.134500415776397</v>
      </c>
      <c r="AI199" s="364">
        <f>IF(AH199="","",IF(AH199&gt;5,3,IF(AH199&gt;0,1,IF(AH199&gt;-3,-1,-2))))</f>
        <v>-2</v>
      </c>
      <c r="BA199">
        <f>IFERROR((SUM(OFFSET(高値!$E$6,IFERROR(MATCH($C199,銘柄管理!$B$6:$B$305,0),MATCH(TEXT($C199,"0"),銘柄管理!$B$6:$B$305,0))-1,0,1,14))-SUM(OFFSET(安値!$E$6,IFERROR(MATCH($C199,銘柄管理!$B$6:$B$305,0),MATCH(TEXT($C199,"0"),銘柄管理!$B$6:$B$305,0))-1,0,1,14)))/SUM(OFFSET(終値!$E$6,IFERROR(MATCH($C199,銘柄管理!$B$6:$B$305,0),MATCH(TEXT($C199,"0"),銘柄管理!$B$6:$B$305,0))-1,0,1,14))*100,"")</f>
      </c>
      <c r="BB199">
        <f>IFERROR((MAX(OFFSET(高値!$E$6,IFERROR(MATCH($C199,銘柄管理!$B$6:$B$305,0),MATCH(TEXT($C199,"0"),銘柄管理!$B$6:$B$305,0))-1,0,1,25))-MIN(OFFSET(安値!$E$6,IFERROR(MATCH($C199,銘柄管理!$B$6:$B$305,0),MATCH(TEXT($C199,"0"),銘柄管理!$B$6:$B$305,0))-1,0,1,25)))/$E199*100,"")</f>
      </c>
      <c r="BC199">
        <f>IFERROR(($F199-$G199)/$G199*100,"")</f>
      </c>
      <c r="BD199">
        <f>IFERROR(($E199-MAX(OFFSET(高値!$E$6,IFERROR(MATCH($C199,銘柄管理!$B$6:$B$305,0),MATCH(TEXT($C199,"0"),銘柄管理!$B$6:$B$305,0))-1,0,1,25)))/MAX(OFFSET(高値!$E$6,IFERROR(MATCH($C199,銘柄管理!$B$6:$B$305,0),MATCH(TEXT($C199,"0"),銘柄管理!$B$6:$B$305,0))-1,0,1,25))*100,"")</f>
      </c>
      <c r="BE199">
        <f>IFERROR(($H199-$I199)/$F199*100,"")</f>
      </c>
      <c r="BF199">
        <f>IFERROR(-(($BA199-AVERAGE($BA$3:$BA$206))/STDEV($BA$3:$BA$206))-(($BE199-AVERAGE($BE$3:$BE$206))/STDEV($BE$3:$BE$206))-(($BB199-AVERAGE($BB$3:$BB$206))/STDEV($BB$3:$BB$206))-(($Z199-AVERAGE($Z$3:$Z$206))/STDEV($Z$3:$Z$206))-(($BC199-AVERAGE($BC$3:$BC$206))/STDEV($BC$3:$BC$206)),"")</f>
      </c>
      <c r="BG199">
        <f>IF(OR($C199="",$C199="TOPX",$BA199="",$BF199=""),0,IF(AND($BK$10=1,$BA199&lt;=$BK$2,$BB199&lt;=$BK$3,$BC199&lt;=$BK$4,$Z199&lt;=$BK$5,$Z199&gt;=$BK$6,$BD199&gt;=$BK$7,$BE199&lt;=$BK$8),1,0))</f>
      </c>
      <c r="BH199">
        <f>IF($C199="","",IF($BG199=1,"○ゲート通過",IF($BK$10&lt;&gt;1,"― この方向は停止中",IF($BA199&gt;$BK$2,"×値動きが荒い",IF($BB199&gt;$BK$3,"×レンジが広い",IF($BC199&gt;$BK$4,"×窓を開けて上昇",IF($Z199&gt;$BK$5,"×前日に急騰",IF($Z199&lt;$BK$6,"×前日に急落",IF($BD199&lt;$BK$7,"×高値から離れすぎ",IF($BE199&gt;$BK$8,"×当日の値幅が大きい","×")))))))))</f>
      </c>
    </row>
    <row r="200" spans="1:60"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IF(AND(E200&lt;&gt;"",K200&lt;&gt;"",K200&lt;&gt;0),(E200-K200)/K200*100,"")</f>
        <v>-22.711864406779661</v>
      </c>
      <c r="M200" s="166">
        <f>IF(C200&lt;&gt;"",IFERROR(AVERAGE(出来高!E176:I176),""),"")</f>
        <v>143400</v>
      </c>
      <c r="N200" s="166">
        <f>IF(C200&lt;&gt;"",IFERROR(AVERAGE(出来高!E176:AC176),""),"")</f>
        <v>93760</v>
      </c>
      <c r="O200" s="168">
        <f>IF(AND(J200&lt;&gt;"",M200&lt;&gt;"",M200&lt;&gt;0),J200/M200,"")</f>
        <v>1.6792189679218967</v>
      </c>
      <c r="P200" s="163" t="str">
        <f>IF(O200="","",IF(O200&gt;=2,"急増↑↑",IF(O200&gt;=1.5,"増加↑",IF(O200&gt;=1,"普通→","減少↓"))))</f>
        <v>増加↑</v>
      </c>
      <c r="Q200" s="163" t="str">
        <f>IF(E200="","",IF(AND(E200&gt;G200,O200&gt;=1.5),"買い▲",IF(E200&lt;G200,"様子見▼","中立→")))</f>
        <v>買い▲</v>
      </c>
      <c r="R200" s="166">
        <f>IF(E200&lt;&gt;"",ROUND(E200*1.08,0),"")</f>
        <v>2709</v>
      </c>
      <c r="S200" s="166">
        <f>IF(E200&lt;&gt;"",ROUND(E200*0.96,0),"")</f>
        <v>2408</v>
      </c>
      <c r="T200" s="163">
        <f>IF(C200="","",IFERROR(IF(O200&gt;=2,3,IF(O200&gt;=1.5,2,IF(O200&gt;=1,1,0)))+IF(E200&gt;G200,1,0)+IF(L200&gt;=-5,1,0)+IF(Q200="買い▲",2,0)+IF(W200&lt;=30,3,IF(W200&lt;=40,2,IF(AND(W200&gt;=40,W200&lt;=60),1,0)))+IF(X200&gt;0,1,0)+IF(V200="年初来高値更新●",3,IF(V200="高値圏",2,0))+IF(AD200="パーフェクト▲",3,IF(AD200="上昇トレンド▲",2,0))+IF(AE200="25日線押し目●",2,IF(AE200="5日線押し目○",1,0))+IF(P200="急増↑↑",2,IF(P200="増加↑",1,0))+N(AI200),0))</f>
        <v>5</v>
      </c>
      <c r="U200" s="163" t="str">
        <f>IF(T200="","",IF(AND(T200&gt;=3,O200&gt;=1.5),"有効",IF(T200&gt;=3,"要確認","除外")))</f>
        <v>有効</v>
      </c>
      <c r="V200" s="163" t="str">
        <f>IF(AND(H200&lt;&gt;"",K200&lt;&gt;""),IF(H200&gt;=K200,"年初来高値更新●",IF(H200&gt;=K200*0.95,"高値圏","通常")),"")</f>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IF(AND(E200&lt;&gt;"",G200&lt;&gt;"",G200&lt;&gt;0),(E200-G200)/G200*100,"")</f>
        <v>0.15974440894568689</v>
      </c>
      <c r="AA200" s="163" t="str">
        <f>IF(OR(C200="",E200="",E200=0),"",IF(E200&gt;G200,"上昇▲",IF(E200&lt;G200,"下落▼","横ばい→")))</f>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IF(OR(C200="",AB200="",AC200=""),"",IF(AND(E200&gt;AB200,AB200&gt;AC200),"パーフェクト▲",IF(E200&gt;AC200,"上昇トレンド▲",IF(AND(E200&lt;AB200,AB200&lt;AC200),"下降トレンド▼","もみ合い→"))))</f>
        <v>もみ合い→</v>
      </c>
      <c r="AE200" s="404" t="str">
        <f>IF(OR(C200="",AB200="",AC200=""),"",IF(AND(ABS(E200-AC200)/AC200&lt;=0.02,E200&gt;AC200),"25日押し目★",IF(AND(ABS(E200-AB200)/AB200&lt;=0.01,E200&gt;AB200),"5日押し目○","なし")))</f>
        <v>なし</v>
      </c>
      <c r="AF200" s="365">
        <f t="array" ref="AF200">IF(C200="","",IFERROR((INDEX(終値!$E:$E,MATCH(TEXT(C200,"0"),終値!$A:$A,0))-INDEX(終値!$E:$CZ,MATCH(TEXT(C200,"0"),終値!$A:$A,0),$AL$2))/INDEX(終値!$E:$CZ,MATCH(TEXT(C200,"0"),終値!$A:$A,0),$AL$2)*100,""))</f>
        <v>-5.9970014992503744</v>
      </c>
      <c r="AG200" s="365">
        <f t="array" ref="AG200">IFERROR((終値!$E$5-INDEX(終値!$E$5:$IT$5,1,$AL$2))/INDEX(終値!$E$5:$IT$5,1,$AL$2)*100,"")</f>
        <v>1.0179378228534113</v>
      </c>
      <c r="AH200" s="366">
        <f>IF(OR(AF200="",AG200=""),"",AF200-AG200)</f>
        <v>-7.0149393221037855</v>
      </c>
      <c r="AI200" s="364">
        <f>IF(AH200="","",IF(AH200&gt;5,3,IF(AH200&gt;0,1,IF(AH200&gt;-3,-1,-2))))</f>
        <v>-2</v>
      </c>
      <c r="BA200">
        <f>IFERROR((SUM(OFFSET(高値!$E$6,IFERROR(MATCH($C200,銘柄管理!$B$6:$B$305,0),MATCH(TEXT($C200,"0"),銘柄管理!$B$6:$B$305,0))-1,0,1,14))-SUM(OFFSET(安値!$E$6,IFERROR(MATCH($C200,銘柄管理!$B$6:$B$305,0),MATCH(TEXT($C200,"0"),銘柄管理!$B$6:$B$305,0))-1,0,1,14)))/SUM(OFFSET(終値!$E$6,IFERROR(MATCH($C200,銘柄管理!$B$6:$B$305,0),MATCH(TEXT($C200,"0"),銘柄管理!$B$6:$B$305,0))-1,0,1,14))*100,"")</f>
      </c>
      <c r="BB200">
        <f>IFERROR((MAX(OFFSET(高値!$E$6,IFERROR(MATCH($C200,銘柄管理!$B$6:$B$305,0),MATCH(TEXT($C200,"0"),銘柄管理!$B$6:$B$305,0))-1,0,1,25))-MIN(OFFSET(安値!$E$6,IFERROR(MATCH($C200,銘柄管理!$B$6:$B$305,0),MATCH(TEXT($C200,"0"),銘柄管理!$B$6:$B$305,0))-1,0,1,25)))/$E200*100,"")</f>
      </c>
      <c r="BC200">
        <f>IFERROR(($F200-$G200)/$G200*100,"")</f>
      </c>
      <c r="BD200">
        <f>IFERROR(($E200-MAX(OFFSET(高値!$E$6,IFERROR(MATCH($C200,銘柄管理!$B$6:$B$305,0),MATCH(TEXT($C200,"0"),銘柄管理!$B$6:$B$305,0))-1,0,1,25)))/MAX(OFFSET(高値!$E$6,IFERROR(MATCH($C200,銘柄管理!$B$6:$B$305,0),MATCH(TEXT($C200,"0"),銘柄管理!$B$6:$B$305,0))-1,0,1,25))*100,"")</f>
      </c>
      <c r="BE200">
        <f>IFERROR(($H200-$I200)/$F200*100,"")</f>
      </c>
      <c r="BF200">
        <f>IFERROR(-(($BA200-AVERAGE($BA$3:$BA$206))/STDEV($BA$3:$BA$206))-(($BE200-AVERAGE($BE$3:$BE$206))/STDEV($BE$3:$BE$206))-(($BB200-AVERAGE($BB$3:$BB$206))/STDEV($BB$3:$BB$206))-(($Z200-AVERAGE($Z$3:$Z$206))/STDEV($Z$3:$Z$206))-(($BC200-AVERAGE($BC$3:$BC$206))/STDEV($BC$3:$BC$206)),"")</f>
      </c>
      <c r="BG200">
        <f>IF(OR($C200="",$C200="TOPX",$BA200="",$BF200=""),0,IF(AND($BK$10=1,$BA200&lt;=$BK$2,$BB200&lt;=$BK$3,$BC200&lt;=$BK$4,$Z200&lt;=$BK$5,$Z200&gt;=$BK$6,$BD200&gt;=$BK$7,$BE200&lt;=$BK$8),1,0))</f>
      </c>
      <c r="BH200">
        <f>IF($C200="","",IF($BG200=1,"○ゲート通過",IF($BK$10&lt;&gt;1,"― この方向は停止中",IF($BA200&gt;$BK$2,"×値動きが荒い",IF($BB200&gt;$BK$3,"×レンジが広い",IF($BC200&gt;$BK$4,"×窓を開けて上昇",IF($Z200&gt;$BK$5,"×前日に急騰",IF($Z200&lt;$BK$6,"×前日に急落",IF($BD200&lt;$BK$7,"×高値から離れすぎ",IF($BE200&gt;$BK$8,"×当日の値幅が大きい","×")))))))))</f>
      </c>
    </row>
    <row r="201" spans="1:60"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IF(AND(E201&lt;&gt;"",K201&lt;&gt;"",K201&lt;&gt;0),(E201-K201)/K201*100,"")</f>
        <v>-16.474464579901152</v>
      </c>
      <c r="M201" s="166">
        <f>IF(C201&lt;&gt;"",IFERROR(AVERAGE(出来高!E163:I163),""),"")</f>
        <v>98880</v>
      </c>
      <c r="N201" s="166">
        <f>IF(C201&lt;&gt;"",IFERROR(AVERAGE(出来高!E163:AC163),""),"")</f>
        <v>111920</v>
      </c>
      <c r="O201" s="168">
        <f>IF(AND(J201&lt;&gt;"",M201&lt;&gt;"",M201&lt;&gt;0),J201/M201,"")</f>
        <v>0.60578478964401294</v>
      </c>
      <c r="P201" s="163" t="str">
        <f>IF(O201="","",IF(O201&gt;=2,"急増↑↑",IF(O201&gt;=1.5,"増加↑",IF(O201&gt;=1,"普通→","減少↓"))))</f>
        <v>減少↓</v>
      </c>
      <c r="Q201" s="163" t="str">
        <f>IF(E201="","",IF(AND(E201&gt;G201,O201&gt;=1.5),"買い▲",IF(E201&lt;G201,"様子見▼","中立→")))</f>
        <v>様子見▼</v>
      </c>
      <c r="R201" s="166">
        <f>IF(E201&lt;&gt;"",ROUND(E201*1.08,0),"")</f>
        <v>1643</v>
      </c>
      <c r="S201" s="166">
        <f>IF(E201&lt;&gt;"",ROUND(E201*0.96,0),"")</f>
        <v>1460</v>
      </c>
      <c r="T201" s="163">
        <f>IF(C201="","",IFERROR(IF(O201&gt;=2,3,IF(O201&gt;=1.5,2,IF(O201&gt;=1,1,0)))+IF(E201&gt;G201,1,0)+IF(L201&gt;=-5,1,0)+IF(Q201="買い▲",2,0)+IF(W201&lt;=30,3,IF(W201&lt;=40,2,IF(AND(W201&gt;=40,W201&lt;=60),1,0)))+IF(X201&gt;0,1,0)+IF(V201="年初来高値更新●",3,IF(V201="高値圏",2,0))+IF(AD201="パーフェクト▲",3,IF(AD201="上昇トレンド▲",2,0))+IF(AE201="25日線押し目●",2,IF(AE201="5日線押し目○",1,0))+IF(P201="急増↑↑",2,IF(P201="増加↑",1,0))+N(AI201),0))</f>
        <v>0</v>
      </c>
      <c r="U201" s="163" t="str">
        <f>IF(T201="","",IF(AND(T201&gt;=3,O201&gt;=1.5),"有効",IF(T201&gt;=3,"要確認","除外")))</f>
        <v>除外</v>
      </c>
      <c r="V201" s="163" t="str">
        <f>IF(AND(H201&lt;&gt;"",K201&lt;&gt;""),IF(H201&gt;=K201,"年初来高値更新●",IF(H201&gt;=K201*0.95,"高値圏","通常")),"")</f>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IF(AND(E201&lt;&gt;"",G201&lt;&gt;"",G201&lt;&gt;0),(E201-G201)/G201*100,"")</f>
        <v>-0.58823529411764708</v>
      </c>
      <c r="AA201" s="163" t="str">
        <f>IF(OR(C201="",E201="",E201=0),"",IF(E201&gt;G201,"上昇▲",IF(E201&lt;G201,"下落▼","横ばい→")))</f>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IF(OR(C201="",AB201="",AC201=""),"",IF(AND(E201&gt;AB201,AB201&gt;AC201),"パーフェクト▲",IF(E201&gt;AC201,"上昇トレンド▲",IF(AND(E201&lt;AB201,AB201&lt;AC201),"下降トレンド▼","もみ合い→"))))</f>
        <v>もみ合い→</v>
      </c>
      <c r="AE201" s="406" t="str">
        <f>IF(OR(C201="",AB201="",AC201=""),"",IF(AND(ABS(E201-AC201)/AC201&lt;=0.02,E201&gt;AC201),"25日押し目★",IF(AND(ABS(E201-AB201)/AB201&lt;=0.01,E201&gt;AB201),"5日押し目○","なし")))</f>
        <v>なし</v>
      </c>
      <c r="AF201" s="365">
        <f t="array" ref="AF201">IF(C201="","",IFERROR((INDEX(終値!$E:$E,MATCH(TEXT(C201,"0"),終値!$A:$A,0))-INDEX(終値!$E:$CZ,MATCH(TEXT(C201,"0"),終値!$A:$A,0),$AL$2))/INDEX(終値!$E:$CZ,MATCH(TEXT(C201,"0"),終値!$A:$A,0),$AL$2)*100,""))</f>
        <v>-9.3563766388557799</v>
      </c>
      <c r="AG201" s="365">
        <f t="array" ref="AG201">IFERROR((終値!$E$5-INDEX(終値!$E$5:$IT$5,1,$AL$2))/INDEX(終値!$E$5:$IT$5,1,$AL$2)*100,"")</f>
        <v>1.0179378228534113</v>
      </c>
      <c r="AH201" s="366">
        <f>IF(OR(AF201="",AG201=""),"",AF201-AG201)</f>
        <v>-10.374314461709192</v>
      </c>
      <c r="AI201" s="364">
        <f>IF(AH201="","",IF(AH201&gt;5,3,IF(AH201&gt;0,1,IF(AH201&gt;-3,-1,-2))))</f>
        <v>-2</v>
      </c>
      <c r="BA201">
        <f>IFERROR((SUM(OFFSET(高値!$E$6,IFERROR(MATCH($C201,銘柄管理!$B$6:$B$305,0),MATCH(TEXT($C201,"0"),銘柄管理!$B$6:$B$305,0))-1,0,1,14))-SUM(OFFSET(安値!$E$6,IFERROR(MATCH($C201,銘柄管理!$B$6:$B$305,0),MATCH(TEXT($C201,"0"),銘柄管理!$B$6:$B$305,0))-1,0,1,14)))/SUM(OFFSET(終値!$E$6,IFERROR(MATCH($C201,銘柄管理!$B$6:$B$305,0),MATCH(TEXT($C201,"0"),銘柄管理!$B$6:$B$305,0))-1,0,1,14))*100,"")</f>
      </c>
      <c r="BB201">
        <f>IFERROR((MAX(OFFSET(高値!$E$6,IFERROR(MATCH($C201,銘柄管理!$B$6:$B$305,0),MATCH(TEXT($C201,"0"),銘柄管理!$B$6:$B$305,0))-1,0,1,25))-MIN(OFFSET(安値!$E$6,IFERROR(MATCH($C201,銘柄管理!$B$6:$B$305,0),MATCH(TEXT($C201,"0"),銘柄管理!$B$6:$B$305,0))-1,0,1,25)))/$E201*100,"")</f>
      </c>
      <c r="BC201">
        <f>IFERROR(($F201-$G201)/$G201*100,"")</f>
      </c>
      <c r="BD201">
        <f>IFERROR(($E201-MAX(OFFSET(高値!$E$6,IFERROR(MATCH($C201,銘柄管理!$B$6:$B$305,0),MATCH(TEXT($C201,"0"),銘柄管理!$B$6:$B$305,0))-1,0,1,25)))/MAX(OFFSET(高値!$E$6,IFERROR(MATCH($C201,銘柄管理!$B$6:$B$305,0),MATCH(TEXT($C201,"0"),銘柄管理!$B$6:$B$305,0))-1,0,1,25))*100,"")</f>
      </c>
      <c r="BE201">
        <f>IFERROR(($H201-$I201)/$F201*100,"")</f>
      </c>
      <c r="BF201">
        <f>IFERROR(-(($BA201-AVERAGE($BA$3:$BA$206))/STDEV($BA$3:$BA$206))-(($BE201-AVERAGE($BE$3:$BE$206))/STDEV($BE$3:$BE$206))-(($BB201-AVERAGE($BB$3:$BB$206))/STDEV($BB$3:$BB$206))-(($Z201-AVERAGE($Z$3:$Z$206))/STDEV($Z$3:$Z$206))-(($BC201-AVERAGE($BC$3:$BC$206))/STDEV($BC$3:$BC$206)),"")</f>
      </c>
      <c r="BG201">
        <f>IF(OR($C201="",$C201="TOPX",$BA201="",$BF201=""),0,IF(AND($BK$10=1,$BA201&lt;=$BK$2,$BB201&lt;=$BK$3,$BC201&lt;=$BK$4,$Z201&lt;=$BK$5,$Z201&gt;=$BK$6,$BD201&gt;=$BK$7,$BE201&lt;=$BK$8),1,0))</f>
      </c>
      <c r="BH201">
        <f>IF($C201="","",IF($BG201=1,"○ゲート通過",IF($BK$10&lt;&gt;1,"― この方向は停止中",IF($BA201&gt;$BK$2,"×値動きが荒い",IF($BB201&gt;$BK$3,"×レンジが広い",IF($BC201&gt;$BK$4,"×窓を開けて上昇",IF($Z201&gt;$BK$5,"×前日に急騰",IF($Z201&lt;$BK$6,"×前日に急落",IF($BD201&lt;$BK$7,"×高値から離れすぎ",IF($BE201&gt;$BK$8,"×当日の値幅が大きい","×")))))))))</f>
      </c>
    </row>
    <row r="202" spans="1:60"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IF(AND(E202&lt;&gt;"",K202&lt;&gt;"",K202&lt;&gt;0),(E202-K202)/K202*100,"")</f>
        <v>-20.964685615848406</v>
      </c>
      <c r="M202" s="166">
        <f>IF(C202&lt;&gt;"",IFERROR(AVERAGE(出来高!E83:I83),""),"")</f>
        <v>2335540</v>
      </c>
      <c r="N202" s="166">
        <f>IF(C202&lt;&gt;"",IFERROR(AVERAGE(出来高!E83:AC83),""),"")</f>
        <v>2091572</v>
      </c>
      <c r="O202" s="168">
        <f>IF(AND(J202&lt;&gt;"",M202&lt;&gt;"",M202&lt;&gt;0),J202/M202,"")</f>
        <v>1.0414293910615959</v>
      </c>
      <c r="P202" s="163" t="str">
        <f>IF(O202="","",IF(O202&gt;=2,"急増↑↑",IF(O202&gt;=1.5,"増加↑",IF(O202&gt;=1,"普通→","減少↓"))))</f>
        <v>普通→</v>
      </c>
      <c r="Q202" s="163" t="str">
        <f>IF(E202="","",IF(AND(E202&gt;G202,O202&gt;=1.5),"買い▲",IF(E202&lt;G202,"様子見▼","中立→")))</f>
        <v>中立→</v>
      </c>
      <c r="R202" s="166">
        <f>IF(E202&lt;&gt;"",ROUND(E202*1.08,0),"")</f>
        <v>4955</v>
      </c>
      <c r="S202" s="166">
        <f>IF(E202&lt;&gt;"",ROUND(E202*0.96,0),"")</f>
        <v>4404</v>
      </c>
      <c r="T202" s="163">
        <f>IF(C202="","",IFERROR(IF(O202&gt;=2,3,IF(O202&gt;=1.5,2,IF(O202&gt;=1,1,0)))+IF(E202&gt;G202,1,0)+IF(L202&gt;=-5,1,0)+IF(Q202="買い▲",2,0)+IF(W202&lt;=30,3,IF(W202&lt;=40,2,IF(AND(W202&gt;=40,W202&lt;=60),1,0)))+IF(X202&gt;0,1,0)+IF(V202="年初来高値更新●",3,IF(V202="高値圏",2,0))+IF(AD202="パーフェクト▲",3,IF(AD202="上昇トレンド▲",2,0))+IF(AE202="25日線押し目●",2,IF(AE202="5日線押し目○",1,0))+IF(P202="急増↑↑",2,IF(P202="増加↑",1,0))+N(AI202),0))</f>
        <v>5</v>
      </c>
      <c r="U202" s="163" t="str">
        <f>IF(T202="","",IF(AND(T202&gt;=3,O202&gt;=1.5),"有効",IF(T202&gt;=3,"要確認","除外")))</f>
        <v>要確認</v>
      </c>
      <c r="V202" s="163" t="str">
        <f>IF(AND(H202&lt;&gt;"",K202&lt;&gt;""),IF(H202&gt;=K202,"年初来高値更新●",IF(H202&gt;=K202*0.95,"高値圏","通常")),"")</f>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IF(AND(E202&lt;&gt;"",G202&lt;&gt;"",G202&lt;&gt;0),(E202-G202)/G202*100,"")</f>
        <v>1.661865721249723</v>
      </c>
      <c r="AA202" s="163" t="str">
        <f>IF(OR(C202="",E202="",E202=0),"",IF(E202&gt;G202,"上昇▲",IF(E202&lt;G202,"下落▼","横ばい→")))</f>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IF(OR(C202="",AB202="",AC202=""),"",IF(AND(E202&gt;AB202,AB202&gt;AC202),"パーフェクト▲",IF(E202&gt;AC202,"上昇トレンド▲",IF(AND(E202&lt;AB202,AB202&lt;AC202),"下降トレンド▼","もみ合い→"))))</f>
        <v>もみ合い→</v>
      </c>
      <c r="AE202" s="404" t="str">
        <f>IF(OR(C202="",AB202="",AC202=""),"",IF(AND(ABS(E202-AC202)/AC202&lt;=0.02,E202&gt;AC202),"25日押し目★",IF(AND(ABS(E202-AB202)/AB202&lt;=0.01,E202&gt;AB202),"5日押し目○","なし")))</f>
        <v>なし</v>
      </c>
      <c r="AF202" s="365">
        <f t="array" ref="AF202">IF(C202="","",IFERROR((INDEX(終値!$E:$E,MATCH(TEXT(C202,"0"),終値!$A:$A,0))-INDEX(終値!$E:$CZ,MATCH(TEXT(C202,"0"),終値!$A:$A,0),$AL$2))/INDEX(終値!$E:$CZ,MATCH(TEXT(C202,"0"),終値!$A:$A,0),$AL$2)*100,""))</f>
        <v>4.4864495559098154</v>
      </c>
      <c r="AG202" s="365">
        <f t="array" ref="AG202">IFERROR((終値!$E$5-INDEX(終値!$E$5:$IT$5,1,$AL$2))/INDEX(終値!$E$5:$IT$5,1,$AL$2)*100,"")</f>
        <v>1.0179378228534113</v>
      </c>
      <c r="AH202" s="366">
        <f>IF(OR(AF202="",AG202=""),"",AF202-AG202)</f>
        <v>3.4685117330564044</v>
      </c>
      <c r="AI202" s="364">
        <f>IF(AH202="","",IF(AH202&gt;5,3,IF(AH202&gt;0,1,IF(AH202&gt;-3,-1,-2))))</f>
        <v>1</v>
      </c>
      <c r="BA202">
        <f>IFERROR((SUM(OFFSET(高値!$E$6,IFERROR(MATCH($C202,銘柄管理!$B$6:$B$305,0),MATCH(TEXT($C202,"0"),銘柄管理!$B$6:$B$305,0))-1,0,1,14))-SUM(OFFSET(安値!$E$6,IFERROR(MATCH($C202,銘柄管理!$B$6:$B$305,0),MATCH(TEXT($C202,"0"),銘柄管理!$B$6:$B$305,0))-1,0,1,14)))/SUM(OFFSET(終値!$E$6,IFERROR(MATCH($C202,銘柄管理!$B$6:$B$305,0),MATCH(TEXT($C202,"0"),銘柄管理!$B$6:$B$305,0))-1,0,1,14))*100,"")</f>
      </c>
      <c r="BB202">
        <f>IFERROR((MAX(OFFSET(高値!$E$6,IFERROR(MATCH($C202,銘柄管理!$B$6:$B$305,0),MATCH(TEXT($C202,"0"),銘柄管理!$B$6:$B$305,0))-1,0,1,25))-MIN(OFFSET(安値!$E$6,IFERROR(MATCH($C202,銘柄管理!$B$6:$B$305,0),MATCH(TEXT($C202,"0"),銘柄管理!$B$6:$B$305,0))-1,0,1,25)))/$E202*100,"")</f>
      </c>
      <c r="BC202">
        <f>IFERROR(($F202-$G202)/$G202*100,"")</f>
      </c>
      <c r="BD202">
        <f>IFERROR(($E202-MAX(OFFSET(高値!$E$6,IFERROR(MATCH($C202,銘柄管理!$B$6:$B$305,0),MATCH(TEXT($C202,"0"),銘柄管理!$B$6:$B$305,0))-1,0,1,25)))/MAX(OFFSET(高値!$E$6,IFERROR(MATCH($C202,銘柄管理!$B$6:$B$305,0),MATCH(TEXT($C202,"0"),銘柄管理!$B$6:$B$305,0))-1,0,1,25))*100,"")</f>
      </c>
      <c r="BE202">
        <f>IFERROR(($H202-$I202)/$F202*100,"")</f>
      </c>
      <c r="BF202">
        <f>IFERROR(-(($BA202-AVERAGE($BA$3:$BA$206))/STDEV($BA$3:$BA$206))-(($BE202-AVERAGE($BE$3:$BE$206))/STDEV($BE$3:$BE$206))-(($BB202-AVERAGE($BB$3:$BB$206))/STDEV($BB$3:$BB$206))-(($Z202-AVERAGE($Z$3:$Z$206))/STDEV($Z$3:$Z$206))-(($BC202-AVERAGE($BC$3:$BC$206))/STDEV($BC$3:$BC$206)),"")</f>
      </c>
      <c r="BG202">
        <f>IF(OR($C202="",$C202="TOPX",$BA202="",$BF202=""),0,IF(AND($BK$10=1,$BA202&lt;=$BK$2,$BB202&lt;=$BK$3,$BC202&lt;=$BK$4,$Z202&lt;=$BK$5,$Z202&gt;=$BK$6,$BD202&gt;=$BK$7,$BE202&lt;=$BK$8),1,0))</f>
      </c>
      <c r="BH202">
        <f>IF($C202="","",IF($BG202=1,"○ゲート通過",IF($BK$10&lt;&gt;1,"― この方向は停止中",IF($BA202&gt;$BK$2,"×値動きが荒い",IF($BB202&gt;$BK$3,"×レンジが広い",IF($BC202&gt;$BK$4,"×窓を開けて上昇",IF($Z202&gt;$BK$5,"×前日に急騰",IF($Z202&lt;$BK$6,"×前日に急落",IF($BD202&lt;$BK$7,"×高値から離れすぎ",IF($BE202&gt;$BK$8,"×当日の値幅が大きい","×")))))))))</f>
      </c>
    </row>
    <row r="203" spans="1:60"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IF(AND(E203&lt;&gt;"",K203&lt;&gt;"",K203&lt;&gt;0),(E203-K203)/K203*100,"")</f>
        <v>-22.696929238985312</v>
      </c>
      <c r="M203" s="166">
        <f>IF(C203&lt;&gt;"",IFERROR(AVERAGE(出来高!E80:I80),""),"")</f>
        <v>101400</v>
      </c>
      <c r="N203" s="166">
        <f>IF(C203&lt;&gt;"",IFERROR(AVERAGE(出来高!E80:AC80),""),"")</f>
        <v>103262.5</v>
      </c>
      <c r="O203" s="168">
        <f>IF(AND(J203&lt;&gt;"",M203&lt;&gt;"",M203&lt;&gt;0),J203/M203,"")</f>
        <v>1.1972386587771202</v>
      </c>
      <c r="P203" s="163" t="str">
        <f>IF(O203="","",IF(O203&gt;=2,"急増↑↑",IF(O203&gt;=1.5,"増加↑",IF(O203&gt;=1,"普通→","減少↓"))))</f>
        <v>普通→</v>
      </c>
      <c r="Q203" s="163" t="str">
        <f>IF(E203="","",IF(AND(E203&gt;G203,O203&gt;=1.5),"買い▲",IF(E203&lt;G203,"様子見▼","中立→")))</f>
        <v>中立→</v>
      </c>
      <c r="R203" s="166">
        <f>IF(E203&lt;&gt;"",ROUND(E203*1.08,0),"")</f>
        <v>6253</v>
      </c>
      <c r="S203" s="166">
        <f>IF(E203&lt;&gt;"",ROUND(E203*0.96,0),"")</f>
        <v>5558</v>
      </c>
      <c r="T203" s="163">
        <f>IF(C203="","",IFERROR(IF(O203&gt;=2,3,IF(O203&gt;=1.5,2,IF(O203&gt;=1,1,0)))+IF(E203&gt;G203,1,0)+IF(L203&gt;=-5,1,0)+IF(Q203="買い▲",2,0)+IF(W203&lt;=30,3,IF(W203&lt;=40,2,IF(AND(W203&gt;=40,W203&lt;=60),1,0)))+IF(X203&gt;0,1,0)+IF(V203="年初来高値更新●",3,IF(V203="高値圏",2,0))+IF(AD203="パーフェクト▲",3,IF(AD203="上昇トレンド▲",2,0))+IF(AE203="25日線押し目●",2,IF(AE203="5日線押し目○",1,0))+IF(P203="急増↑↑",2,IF(P203="増加↑",1,0))+N(AI203),0))</f>
        <v>4</v>
      </c>
      <c r="U203" s="163" t="str">
        <f>IF(T203="","",IF(AND(T203&gt;=3,O203&gt;=1.5),"有効",IF(T203&gt;=3,"要確認","除外")))</f>
        <v>要確認</v>
      </c>
      <c r="V203" s="163" t="str">
        <f>IF(AND(H203&lt;&gt;"",K203&lt;&gt;""),IF(H203&gt;=K203,"年初来高値更新●",IF(H203&gt;=K203*0.95,"高値圏","通常")),"")</f>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IF(AND(E203&lt;&gt;"",G203&lt;&gt;"",G203&lt;&gt;0),(E203-G203)/G203*100,"")</f>
        <v>0.87108013937282225</v>
      </c>
      <c r="AA203" s="163" t="str">
        <f>IF(OR(C203="",E203="",E203=0),"",IF(E203&gt;G203,"上昇▲",IF(E203&lt;G203,"下落▼","横ばい→")))</f>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IFERROR((終値!$E$5-INDEX(終値!$E$5:$IT$5,1,$AL$2))/INDEX(終値!$E$5:$IT$5,1,$AL$2)*100,"")</f>
        <v>1.0179378228534113</v>
      </c>
      <c r="AH203" s="366">
        <f>IF(OR(AF203="",AG203=""),"",AF203-AG203)</f>
        <v>1.6416366452316951</v>
      </c>
      <c r="AI203" s="364">
        <f>IF(AH203="","",IF(AH203&gt;5,3,IF(AH203&gt;0,1,IF(AH203&gt;-3,-1,-2))))</f>
        <v>1</v>
      </c>
      <c r="BA203">
        <f>IFERROR((SUM(OFFSET(高値!$E$6,IFERROR(MATCH($C203,銘柄管理!$B$6:$B$305,0),MATCH(TEXT($C203,"0"),銘柄管理!$B$6:$B$305,0))-1,0,1,14))-SUM(OFFSET(安値!$E$6,IFERROR(MATCH($C203,銘柄管理!$B$6:$B$305,0),MATCH(TEXT($C203,"0"),銘柄管理!$B$6:$B$305,0))-1,0,1,14)))/SUM(OFFSET(終値!$E$6,IFERROR(MATCH($C203,銘柄管理!$B$6:$B$305,0),MATCH(TEXT($C203,"0"),銘柄管理!$B$6:$B$305,0))-1,0,1,14))*100,"")</f>
      </c>
      <c r="BB203">
        <f>IFERROR((MAX(OFFSET(高値!$E$6,IFERROR(MATCH($C203,銘柄管理!$B$6:$B$305,0),MATCH(TEXT($C203,"0"),銘柄管理!$B$6:$B$305,0))-1,0,1,25))-MIN(OFFSET(安値!$E$6,IFERROR(MATCH($C203,銘柄管理!$B$6:$B$305,0),MATCH(TEXT($C203,"0"),銘柄管理!$B$6:$B$305,0))-1,0,1,25)))/$E203*100,"")</f>
      </c>
      <c r="BC203">
        <f>IFERROR(($F203-$G203)/$G203*100,"")</f>
      </c>
      <c r="BD203">
        <f>IFERROR(($E203-MAX(OFFSET(高値!$E$6,IFERROR(MATCH($C203,銘柄管理!$B$6:$B$305,0),MATCH(TEXT($C203,"0"),銘柄管理!$B$6:$B$305,0))-1,0,1,25)))/MAX(OFFSET(高値!$E$6,IFERROR(MATCH($C203,銘柄管理!$B$6:$B$305,0),MATCH(TEXT($C203,"0"),銘柄管理!$B$6:$B$305,0))-1,0,1,25))*100,"")</f>
      </c>
      <c r="BE203">
        <f>IFERROR(($H203-$I203)/$F203*100,"")</f>
      </c>
      <c r="BF203">
        <f>IFERROR(-(($BA203-AVERAGE($BA$3:$BA$206))/STDEV($BA$3:$BA$206))-(($BE203-AVERAGE($BE$3:$BE$206))/STDEV($BE$3:$BE$206))-(($BB203-AVERAGE($BB$3:$BB$206))/STDEV($BB$3:$BB$206))-(($Z203-AVERAGE($Z$3:$Z$206))/STDEV($Z$3:$Z$206))-(($BC203-AVERAGE($BC$3:$BC$206))/STDEV($BC$3:$BC$206)),"")</f>
      </c>
      <c r="BG203">
        <f>IF(OR($C203="",$C203="TOPX",$BA203="",$BF203=""),0,IF(AND($BK$10=1,$BA203&lt;=$BK$2,$BB203&lt;=$BK$3,$BC203&lt;=$BK$4,$Z203&lt;=$BK$5,$Z203&gt;=$BK$6,$BD203&gt;=$BK$7,$BE203&lt;=$BK$8),1,0))</f>
      </c>
      <c r="BH203">
        <f>IF($C203="","",IF($BG203=1,"○ゲート通過",IF($BK$10&lt;&gt;1,"― この方向は停止中",IF($BA203&gt;$BK$2,"×値動きが荒い",IF($BB203&gt;$BK$3,"×レンジが広い",IF($BC203&gt;$BK$4,"×窓を開けて上昇",IF($Z203&gt;$BK$5,"×前日に急騰",IF($Z203&lt;$BK$6,"×前日に急落",IF($BD203&lt;$BK$7,"×高値から離れすぎ",IF($BE203&gt;$BK$8,"×当日の値幅が大きい","×")))))))))</f>
      </c>
    </row>
    <row r="204" spans="1:60"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IF(AND(E204&lt;&gt;"",K204&lt;&gt;"",K204&lt;&gt;0),(E204-K204)/K204*100,"")</f>
        <v>-36.131840796019901</v>
      </c>
      <c r="M204" s="166">
        <f>IF(C204&lt;&gt;"",IFERROR(AVERAGE(出来高!E208:I208),""),"")</f>
        <v>2339240</v>
      </c>
      <c r="N204" s="166">
        <f>IF(C204&lt;&gt;"",IFERROR(AVERAGE(出来高!E208:AC208),""),"")</f>
        <v>1761128</v>
      </c>
      <c r="O204" s="168">
        <f>IF(AND(J204&lt;&gt;"",M204&lt;&gt;"",M204&lt;&gt;0),J204/M204,"")</f>
        <v>1.1746977650860964</v>
      </c>
      <c r="P204" s="163" t="str">
        <f>IF(O204="","",IF(O204&gt;=2,"急増↑↑",IF(O204&gt;=1.5,"増加↑",IF(O204&gt;=1,"普通→","減少↓"))))</f>
        <v>普通→</v>
      </c>
      <c r="Q204" s="163" t="str">
        <f>IF(E204="","",IF(AND(E204&gt;G204,O204&gt;=1.5),"買い▲",IF(E204&lt;G204,"様子見▼","中立→")))</f>
        <v>様子見▼</v>
      </c>
      <c r="R204" s="166">
        <f>IF(E204&lt;&gt;"",ROUND(E204*1.08,0),"")</f>
        <v>5546</v>
      </c>
      <c r="S204" s="166">
        <f>IF(E204&lt;&gt;"",ROUND(E204*0.96,0),"")</f>
        <v>4930</v>
      </c>
      <c r="T204" s="163">
        <f>IF(C204="","",IFERROR(IF(O204&gt;=2,3,IF(O204&gt;=1.5,2,IF(O204&gt;=1,1,0)))+IF(E204&gt;G204,1,0)+IF(L204&gt;=-5,1,0)+IF(Q204="買い▲",2,0)+IF(W204&lt;=30,3,IF(W204&lt;=40,2,IF(AND(W204&gt;=40,W204&lt;=60),1,0)))+IF(X204&gt;0,1,0)+IF(V204="年初来高値更新●",3,IF(V204="高値圏",2,0))+IF(AD204="パーフェクト▲",3,IF(AD204="上昇トレンド▲",2,0))+IF(AE204="25日線押し目●",2,IF(AE204="5日線押し目○",1,0))+IF(P204="急増↑↑",2,IF(P204="増加↑",1,0))+N(AI204),0))</f>
        <v>5</v>
      </c>
      <c r="U204" s="163" t="str">
        <f>IF(T204="","",IF(AND(T204&gt;=3,O204&gt;=1.5),"有効",IF(T204&gt;=3,"要確認","除外")))</f>
        <v>要確認</v>
      </c>
      <c r="V204" s="163" t="str">
        <f>IF(AND(H204&lt;&gt;"",K204&lt;&gt;""),IF(H204&gt;=K204,"年初来高値更新●",IF(H204&gt;=K204*0.95,"高値圏","通常")),"")</f>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IF(AND(E204&lt;&gt;"",G204&lt;&gt;"",G204&lt;&gt;0),(E204-G204)/G204*100,"")</f>
        <v>-2.2277227722772275</v>
      </c>
      <c r="AA204" s="163" t="str">
        <f>IF(OR(C204="",E204="",E204=0),"",IF(E204&gt;G204,"上昇▲",IF(E204&lt;G204,"下落▼","横ばい→")))</f>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IFERROR((終値!$E$5-INDEX(終値!$E$5:$IT$5,1,$AL$2))/INDEX(終値!$E$5:$IT$5,1,$AL$2)*100,"")</f>
        <v>1.0179378228534113</v>
      </c>
      <c r="AH204" s="366">
        <f>IF(OR(AF204="",AG204=""),"",AF204-AG204)</f>
        <v>-14.831298010835958</v>
      </c>
      <c r="AI204" s="364">
        <f>IF(AH204="","",IF(AH204&gt;5,3,IF(AH204&gt;0,1,IF(AH204&gt;-3,-1,-2))))</f>
        <v>-2</v>
      </c>
      <c r="BA204">
        <f>IFERROR((SUM(OFFSET(高値!$E$6,IFERROR(MATCH($C204,銘柄管理!$B$6:$B$305,0),MATCH(TEXT($C204,"0"),銘柄管理!$B$6:$B$305,0))-1,0,1,14))-SUM(OFFSET(安値!$E$6,IFERROR(MATCH($C204,銘柄管理!$B$6:$B$305,0),MATCH(TEXT($C204,"0"),銘柄管理!$B$6:$B$305,0))-1,0,1,14)))/SUM(OFFSET(終値!$E$6,IFERROR(MATCH($C204,銘柄管理!$B$6:$B$305,0),MATCH(TEXT($C204,"0"),銘柄管理!$B$6:$B$305,0))-1,0,1,14))*100,"")</f>
      </c>
      <c r="BB204">
        <f>IFERROR((MAX(OFFSET(高値!$E$6,IFERROR(MATCH($C204,銘柄管理!$B$6:$B$305,0),MATCH(TEXT($C204,"0"),銘柄管理!$B$6:$B$305,0))-1,0,1,25))-MIN(OFFSET(安値!$E$6,IFERROR(MATCH($C204,銘柄管理!$B$6:$B$305,0),MATCH(TEXT($C204,"0"),銘柄管理!$B$6:$B$305,0))-1,0,1,25)))/$E204*100,"")</f>
      </c>
      <c r="BC204">
        <f>IFERROR(($F204-$G204)/$G204*100,"")</f>
      </c>
      <c r="BD204">
        <f>IFERROR(($E204-MAX(OFFSET(高値!$E$6,IFERROR(MATCH($C204,銘柄管理!$B$6:$B$305,0),MATCH(TEXT($C204,"0"),銘柄管理!$B$6:$B$305,0))-1,0,1,25)))/MAX(OFFSET(高値!$E$6,IFERROR(MATCH($C204,銘柄管理!$B$6:$B$305,0),MATCH(TEXT($C204,"0"),銘柄管理!$B$6:$B$305,0))-1,0,1,25))*100,"")</f>
      </c>
      <c r="BE204">
        <f>IFERROR(($H204-$I204)/$F204*100,"")</f>
      </c>
      <c r="BF204">
        <f>IFERROR(-(($BA204-AVERAGE($BA$3:$BA$206))/STDEV($BA$3:$BA$206))-(($BE204-AVERAGE($BE$3:$BE$206))/STDEV($BE$3:$BE$206))-(($BB204-AVERAGE($BB$3:$BB$206))/STDEV($BB$3:$BB$206))-(($Z204-AVERAGE($Z$3:$Z$206))/STDEV($Z$3:$Z$206))-(($BC204-AVERAGE($BC$3:$BC$206))/STDEV($BC$3:$BC$206)),"")</f>
      </c>
      <c r="BG204">
        <f>IF(OR($C204="",$C204="TOPX",$BA204="",$BF204=""),0,IF(AND($BK$10=1,$BA204&lt;=$BK$2,$BB204&lt;=$BK$3,$BC204&lt;=$BK$4,$Z204&lt;=$BK$5,$Z204&gt;=$BK$6,$BD204&gt;=$BK$7,$BE204&lt;=$BK$8),1,0))</f>
      </c>
      <c r="BH204">
        <f>IF($C204="","",IF($BG204=1,"○ゲート通過",IF($BK$10&lt;&gt;1,"― この方向は停止中",IF($BA204&gt;$BK$2,"×値動きが荒い",IF($BB204&gt;$BK$3,"×レンジが広い",IF($BC204&gt;$BK$4,"×窓を開けて上昇",IF($Z204&gt;$BK$5,"×前日に急騰",IF($Z204&lt;$BK$6,"×前日に急落",IF($BD204&lt;$BK$7,"×高値から離れすぎ",IF($BE204&gt;$BK$8,"×当日の値幅が大きい","×")))))))))</f>
      </c>
    </row>
    <row r="205" spans="1:60"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IF(AND(E205&lt;&gt;"",K205&lt;&gt;"",K205&lt;&gt;0),(E205-K205)/K205*100,"")</f>
        <v>-39.056402979780067</v>
      </c>
      <c r="M205" s="166">
        <f>IF(C205&lt;&gt;"",IFERROR(AVERAGE(出来高!E18:I18),""),"")</f>
        <v>1610880</v>
      </c>
      <c r="N205" s="166">
        <f>IF(C205&lt;&gt;"",IFERROR(AVERAGE(出来高!E18:AC18),""),"")</f>
        <v>1438195.8333333333</v>
      </c>
      <c r="O205" s="168">
        <f>IF(AND(J205&lt;&gt;"",M205&lt;&gt;"",M205&lt;&gt;0),J205/M205,"")</f>
        <v>1.6432012316249502</v>
      </c>
      <c r="P205" s="163" t="str">
        <f>IF(O205="","",IF(O205&gt;=2,"急増↑↑",IF(O205&gt;=1.5,"増加↑",IF(O205&gt;=1,"普通→","減少↓"))))</f>
        <v>増加↑</v>
      </c>
      <c r="Q205" s="163" t="str">
        <f>IF(E205="","",IF(AND(E205&gt;G205,O205&gt;=1.5),"買い▲",IF(E205&lt;G205,"様子見▼","中立→")))</f>
        <v>買い▲</v>
      </c>
      <c r="R205" s="166">
        <f>IF(E205&lt;&gt;"",ROUND(E205*1.08,0),"")</f>
        <v>1855</v>
      </c>
      <c r="S205" s="166">
        <f>IF(E205&lt;&gt;"",ROUND(E205*0.96,0),"")</f>
        <v>1649</v>
      </c>
      <c r="T205" s="163">
        <f>IF(C205="","",IFERROR(IF(O205&gt;=2,3,IF(O205&gt;=1.5,2,IF(O205&gt;=1,1,0)))+IF(E205&gt;G205,1,0)+IF(L205&gt;=-5,1,0)+IF(Q205="買い▲",2,0)+IF(W205&lt;=30,3,IF(W205&lt;=40,2,IF(AND(W205&gt;=40,W205&lt;=60),1,0)))+IF(X205&gt;0,1,0)+IF(V205="年初来高値更新●",3,IF(V205="高値圏",2,0))+IF(AD205="パーフェクト▲",3,IF(AD205="上昇トレンド▲",2,0))+IF(AE205="25日線押し目●",2,IF(AE205="5日線押し目○",1,0))+IF(P205="急増↑↑",2,IF(P205="増加↑",1,0))+N(AI205),0))</f>
        <v>11</v>
      </c>
      <c r="U205" s="163" t="str">
        <f>IF(T205="","",IF(AND(T205&gt;=3,O205&gt;=1.5),"有効",IF(T205&gt;=3,"要確認","除外")))</f>
        <v>有効</v>
      </c>
      <c r="V205" s="163" t="str">
        <f>IF(AND(H205&lt;&gt;"",K205&lt;&gt;""),IF(H205&gt;=K205,"年初来高値更新●",IF(H205&gt;=K205*0.95,"高値圏","通常")),"")</f>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IF(AND(E205&lt;&gt;"",G205&lt;&gt;"",G205&lt;&gt;0),(E205-G205)/G205*100,"")</f>
        <v>1.5966883500887048</v>
      </c>
      <c r="AA205" s="163" t="str">
        <f>IF(OR(C205="",E205="",E205=0),"",IF(E205&gt;G205,"上昇▲",IF(E205&lt;G205,"下落▼","横ばい→")))</f>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IFERROR((終値!$E$5-INDEX(終値!$E$5:$IT$5,1,$AL$2))/INDEX(終値!$E$5:$IT$5,1,$AL$2)*100,"")</f>
        <v>1.0179378228534113</v>
      </c>
      <c r="AH205" s="366">
        <f>IF(OR(AF205="",AG205=""),"",AF205-AG205)</f>
        <v>8.4088137695032774</v>
      </c>
      <c r="AI205" s="364">
        <f>IF(AH205="","",IF(AH205&gt;5,3,IF(AH205&gt;0,1,IF(AH205&gt;-3,-1,-2))))</f>
        <v>3</v>
      </c>
      <c r="BA205">
        <f>IFERROR((SUM(OFFSET(高値!$E$6,IFERROR(MATCH($C205,銘柄管理!$B$6:$B$305,0),MATCH(TEXT($C205,"0"),銘柄管理!$B$6:$B$305,0))-1,0,1,14))-SUM(OFFSET(安値!$E$6,IFERROR(MATCH($C205,銘柄管理!$B$6:$B$305,0),MATCH(TEXT($C205,"0"),銘柄管理!$B$6:$B$305,0))-1,0,1,14)))/SUM(OFFSET(終値!$E$6,IFERROR(MATCH($C205,銘柄管理!$B$6:$B$305,0),MATCH(TEXT($C205,"0"),銘柄管理!$B$6:$B$305,0))-1,0,1,14))*100,"")</f>
      </c>
      <c r="BB205">
        <f>IFERROR((MAX(OFFSET(高値!$E$6,IFERROR(MATCH($C205,銘柄管理!$B$6:$B$305,0),MATCH(TEXT($C205,"0"),銘柄管理!$B$6:$B$305,0))-1,0,1,25))-MIN(OFFSET(安値!$E$6,IFERROR(MATCH($C205,銘柄管理!$B$6:$B$305,0),MATCH(TEXT($C205,"0"),銘柄管理!$B$6:$B$305,0))-1,0,1,25)))/$E205*100,"")</f>
      </c>
      <c r="BC205">
        <f>IFERROR(($F205-$G205)/$G205*100,"")</f>
      </c>
      <c r="BD205">
        <f>IFERROR(($E205-MAX(OFFSET(高値!$E$6,IFERROR(MATCH($C205,銘柄管理!$B$6:$B$305,0),MATCH(TEXT($C205,"0"),銘柄管理!$B$6:$B$305,0))-1,0,1,25)))/MAX(OFFSET(高値!$E$6,IFERROR(MATCH($C205,銘柄管理!$B$6:$B$305,0),MATCH(TEXT($C205,"0"),銘柄管理!$B$6:$B$305,0))-1,0,1,25))*100,"")</f>
      </c>
      <c r="BE205">
        <f>IFERROR(($H205-$I205)/$F205*100,"")</f>
      </c>
      <c r="BF205">
        <f>IFERROR(-(($BA205-AVERAGE($BA$3:$BA$206))/STDEV($BA$3:$BA$206))-(($BE205-AVERAGE($BE$3:$BE$206))/STDEV($BE$3:$BE$206))-(($BB205-AVERAGE($BB$3:$BB$206))/STDEV($BB$3:$BB$206))-(($Z205-AVERAGE($Z$3:$Z$206))/STDEV($Z$3:$Z$206))-(($BC205-AVERAGE($BC$3:$BC$206))/STDEV($BC$3:$BC$206)),"")</f>
      </c>
      <c r="BG205">
        <f>IF(OR($C205="",$C205="TOPX",$BA205="",$BF205=""),0,IF(AND($BK$10=1,$BA205&lt;=$BK$2,$BB205&lt;=$BK$3,$BC205&lt;=$BK$4,$Z205&lt;=$BK$5,$Z205&gt;=$BK$6,$BD205&gt;=$BK$7,$BE205&lt;=$BK$8),1,0))</f>
      </c>
      <c r="BH205">
        <f>IF($C205="","",IF($BG205=1,"○ゲート通過",IF($BK$10&lt;&gt;1,"― この方向は停止中",IF($BA205&gt;$BK$2,"×値動きが荒い",IF($BB205&gt;$BK$3,"×レンジが広い",IF($BC205&gt;$BK$4,"×窓を開けて上昇",IF($Z205&gt;$BK$5,"×前日に急騰",IF($Z205&lt;$BK$6,"×前日に急落",IF($BD205&lt;$BK$7,"×高値から離れすぎ",IF($BE205&gt;$BK$8,"×当日の値幅が大きい","×")))))))))</f>
      </c>
    </row>
    <row r="206" spans="1:60"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IF(AND(E206&lt;&gt;"",K206&lt;&gt;"",K206&lt;&gt;0),(E206-K206)/K206*100,"")</f>
        <v>-30.171543895055496</v>
      </c>
      <c r="M206" s="166">
        <f>IF(C206&lt;&gt;"",IFERROR(AVERAGE(出来高!E12:I12),""),"")</f>
        <v>3763060</v>
      </c>
      <c r="N206" s="166">
        <f>IF(C206&lt;&gt;"",IFERROR(AVERAGE(出来高!E12:AC12),""),"")</f>
        <v>4475644</v>
      </c>
      <c r="O206" s="168">
        <f>IF(AND(J206&lt;&gt;"",M206&lt;&gt;"",M206&lt;&gt;0),J206/M206,"")</f>
        <v>0.9477659139104877</v>
      </c>
      <c r="P206" s="163" t="str">
        <f>IF(O206="","",IF(O206&gt;=2,"急増↑↑",IF(O206&gt;=1.5,"増加↑",IF(O206&gt;=1,"普通→","減少↓"))))</f>
        <v>減少↓</v>
      </c>
      <c r="Q206" s="163" t="str">
        <f>IF(E206="","",IF(AND(E206&gt;G206,O206&gt;=1.5),"買い▲",IF(E206&lt;G206,"様子見▼","中立→")))</f>
        <v>中立→</v>
      </c>
      <c r="R206" s="166">
        <f>IF(E206&lt;&gt;"",ROUND(E206*1.08,0),"")</f>
        <v>3737</v>
      </c>
      <c r="S206" s="166">
        <f>IF(E206&lt;&gt;"",ROUND(E206*0.96,0),"")</f>
        <v>3322</v>
      </c>
      <c r="T206" s="163">
        <f>IF(C206="","",IFERROR(IF(O206&gt;=2,3,IF(O206&gt;=1.5,2,IF(O206&gt;=1,1,0)))+IF(E206&gt;G206,1,0)+IF(L206&gt;=-5,1,0)+IF(Q206="買い▲",2,0)+IF(W206&lt;=30,3,IF(W206&lt;=40,2,IF(AND(W206&gt;=40,W206&lt;=60),1,0)))+IF(X206&gt;0,1,0)+IF(V206="年初来高値更新●",3,IF(V206="高値圏",2,0))+IF(AD206="パーフェクト▲",3,IF(AD206="上昇トレンド▲",2,0))+IF(AE206="25日線押し目●",2,IF(AE206="5日線押し目○",1,0))+IF(P206="急増↑↑",2,IF(P206="増加↑",1,0))+N(AI206),0))</f>
        <v>6</v>
      </c>
      <c r="U206" s="163" t="str">
        <f>IF(T206="","",IF(AND(T206&gt;=3,O206&gt;=1.5),"有効",IF(T206&gt;=3,"要確認","除外")))</f>
        <v>要確認</v>
      </c>
      <c r="V206" s="163" t="str">
        <f>IF(AND(H206&lt;&gt;"",K206&lt;&gt;""),IF(H206&gt;=K206,"年初来高値更新●",IF(H206&gt;=K206*0.95,"高値圏","通常")),"")</f>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IF(AND(E206&lt;&gt;"",G206&lt;&gt;"",G206&lt;&gt;0),(E206-G206)/G206*100,"")</f>
        <v>1.9446081319976427</v>
      </c>
      <c r="AA206" s="163" t="str">
        <f>IF(OR(C206="",E206="",E206=0),"",IF(E206&gt;G206,"上昇▲",IF(E206&lt;G206,"下落▼","横ばい→")))</f>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IFERROR((終値!$E$5-INDEX(終値!$E$5:$IT$5,1,$AL$2))/INDEX(終値!$E$5:$IT$5,1,$AL$2)*100,"")</f>
        <v>1.0179378228534113</v>
      </c>
      <c r="AH206" s="366">
        <f>IF(OR(AF206="",AG206=""),"",AF206-AG206)</f>
        <v>6.9383804298766973</v>
      </c>
      <c r="AI206" s="364">
        <f>IF(AH206="","",IF(AH206&gt;5,3,IF(AH206&gt;0,1,IF(AH206&gt;-3,-1,-2))))</f>
        <v>3</v>
      </c>
      <c r="BA206">
        <f>IFERROR((SUM(OFFSET(高値!$E$6,IFERROR(MATCH($C206,銘柄管理!$B$6:$B$305,0),MATCH(TEXT($C206,"0"),銘柄管理!$B$6:$B$305,0))-1,0,1,14))-SUM(OFFSET(安値!$E$6,IFERROR(MATCH($C206,銘柄管理!$B$6:$B$305,0),MATCH(TEXT($C206,"0"),銘柄管理!$B$6:$B$305,0))-1,0,1,14)))/SUM(OFFSET(終値!$E$6,IFERROR(MATCH($C206,銘柄管理!$B$6:$B$305,0),MATCH(TEXT($C206,"0"),銘柄管理!$B$6:$B$305,0))-1,0,1,14))*100,"")</f>
      </c>
      <c r="BB206">
        <f>IFERROR((MAX(OFFSET(高値!$E$6,IFERROR(MATCH($C206,銘柄管理!$B$6:$B$305,0),MATCH(TEXT($C206,"0"),銘柄管理!$B$6:$B$305,0))-1,0,1,25))-MIN(OFFSET(安値!$E$6,IFERROR(MATCH($C206,銘柄管理!$B$6:$B$305,0),MATCH(TEXT($C206,"0"),銘柄管理!$B$6:$B$305,0))-1,0,1,25)))/$E206*100,"")</f>
      </c>
      <c r="BC206">
        <f>IFERROR(($F206-$G206)/$G206*100,"")</f>
      </c>
      <c r="BD206">
        <f>IFERROR(($E206-MAX(OFFSET(高値!$E$6,IFERROR(MATCH($C206,銘柄管理!$B$6:$B$305,0),MATCH(TEXT($C206,"0"),銘柄管理!$B$6:$B$305,0))-1,0,1,25)))/MAX(OFFSET(高値!$E$6,IFERROR(MATCH($C206,銘柄管理!$B$6:$B$305,0),MATCH(TEXT($C206,"0"),銘柄管理!$B$6:$B$305,0))-1,0,1,25))*100,"")</f>
      </c>
      <c r="BE206">
        <f>IFERROR(($H206-$I206)/$F206*100,"")</f>
      </c>
      <c r="BF206">
        <f>IFERROR(-(($BA206-AVERAGE($BA$3:$BA$206))/STDEV($BA$3:$BA$206))-(($BE206-AVERAGE($BE$3:$BE$206))/STDEV($BE$3:$BE$206))-(($BB206-AVERAGE($BB$3:$BB$206))/STDEV($BB$3:$BB$206))-(($Z206-AVERAGE($Z$3:$Z$206))/STDEV($Z$3:$Z$206))-(($BC206-AVERAGE($BC$3:$BC$206))/STDEV($BC$3:$BC$206)),"")</f>
      </c>
      <c r="BG206">
        <f>IF(OR($C206="",$C206="TOPX",$BA206="",$BF206=""),0,IF(AND($BK$10=1,$BA206&lt;=$BK$2,$BB206&lt;=$BK$3,$BC206&lt;=$BK$4,$Z206&lt;=$BK$5,$Z206&gt;=$BK$6,$BD206&gt;=$BK$7,$BE206&lt;=$BK$8),1,0))</f>
      </c>
      <c r="BH206">
        <f>IF($C206="","",IF($BG206=1,"○ゲート通過",IF($BK$10&lt;&gt;1,"― この方向は停止中",IF($BA206&gt;$BK$2,"×値動きが荒い",IF($BB206&gt;$BK$3,"×レンジが広い",IF($BC206&gt;$BK$4,"×窓を開けて上昇",IF($Z206&gt;$BK$5,"×前日に急騰",IF($Z206&lt;$BK$6,"×前日に急落",IF($BD206&lt;$BK$7,"×高値から離れすぎ",IF($BE206&gt;$BK$8,"×当日の値幅が大きい","×")))))))))</f>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BK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62"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c r="BJ1" t="inlineStr">
        <is>
          <t>⚙ 抽出ゲート（BK列を変更）</t>
        </is>
      </c>
    </row>
    <row r="2" spans="1:63"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COUNT(終値!$E$5:$IT$5)</f>
        <v>57</v>
      </c>
      <c r="AN2" s="371">
        <f>MIN(25,AM2)</f>
        <v>25</v>
      </c>
      <c r="AO2" s="370" t="s">
        <v>572</v>
      </c>
      <c r="AP2" s="370" t="s">
        <v>573</v>
      </c>
      <c r="AQ2" s="370" t="s">
        <v>574</v>
      </c>
      <c r="AR2" s="370" t="s">
        <v>575</v>
      </c>
      <c r="AS2" s="370" t="s">
        <v>576</v>
      </c>
      <c r="AT2" s="370" t="s">
        <v>577</v>
      </c>
      <c r="AU2" s="370" t="s">
        <v>578</v>
      </c>
      <c r="BA2" t="inlineStr">
        <is>
          <t>14日平均レンジ率(%)</t>
        </is>
      </c>
      <c r="BB2" t="inlineStr">
        <is>
          <t>25日レンジ幅(%)</t>
        </is>
      </c>
      <c r="BC2" t="inlineStr">
        <is>
          <t>ギャップ率(%)</t>
        </is>
      </c>
      <c r="BD2" t="inlineStr">
        <is>
          <t>25日高値距離(%)</t>
        </is>
      </c>
      <c r="BE2" t="inlineStr">
        <is>
          <t>日中レンジ率(%)</t>
        </is>
      </c>
      <c r="BF2" t="inlineStr">
        <is>
          <t>V808スコア</t>
        </is>
      </c>
      <c r="BG2" t="inlineStr">
        <is>
          <t>ゲート通過</t>
        </is>
      </c>
      <c r="BH2" t="inlineStr">
        <is>
          <t>判定</t>
        </is>
      </c>
      <c r="BJ2" t="inlineStr">
        <is>
          <t>14日平均レンジ率 上限(%)</t>
        </is>
      </c>
      <c r="BK2">
        <v>2.2</v>
      </c>
    </row>
    <row r="3" spans="1:63"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IF(AND(E3&lt;&gt;"",K3&lt;&gt;"",K3&lt;&gt;0),(E3-K3)/K3*100,"")</f>
        <v>-51.215469613259671</v>
      </c>
      <c r="M3" s="326">
        <f>IF(C3&lt;&gt;"",IFERROR(AVERAGE(出来高!E141:I141),""),"")</f>
        <v>2873100</v>
      </c>
      <c r="N3" s="326">
        <f>IF(C3&lt;&gt;"",IFERROR(AVERAGE(出来高!E141:AC141),""),"")</f>
        <v>2823640</v>
      </c>
      <c r="O3" s="328">
        <f>IF(AND(J3&lt;&gt;"",M3&lt;&gt;"",M3&lt;&gt;0),J3/M3,"")</f>
        <v>0.55260868051929968</v>
      </c>
      <c r="P3" s="325" t="str">
        <f>IF(O3="","",IF(O3&gt;=2,"急増↑↑",IF(O3&gt;=1.5,"増加↑",IF(O3&gt;=1,"普通→","減少↓"))))</f>
        <v>減少↓</v>
      </c>
      <c r="Q3" s="325" t="str">
        <f>IF(E3="","",IF(AND(E3&lt;G3,O3&gt;=1.5),"売り▼",IF(E3&gt;G3,"様子見▲","中立→")))</f>
        <v>中立→</v>
      </c>
      <c r="R3" s="326">
        <f>IF(E3&lt;&gt;"",ROUND(E3*0.92,0),"")</f>
        <v>1625</v>
      </c>
      <c r="S3" s="326">
        <f>IF(E3&lt;&gt;"",ROUND(E3*1.04,0),"")</f>
        <v>1837</v>
      </c>
      <c r="T3" s="325">
        <f>IF(C3="","",IFERROR(IF(W3&gt;=70,3,IF(W3&gt;=60,2,IF(W3&gt;=50,1,0)))+IF(X3&lt;0,2,0)+IF(AD3="下降トレンド▼",3,IF(AD3="もみ合い→",1,0))+IF(V3="年初来安値圏●",3,IF(V3="安値圏",2,0))+IF(Q3="売り▼",2,0)+IF(P3="急増↑↑",2,IF(P3="増加↑",1,0))+IF(Z3&lt;0,1,0)+IF(L3&lt;=-30,2,IF(L3&lt;=-15,1,0))+IF(AE3="25日戻り売り★",2,IF(AE3="5日戻り売り○",1,0))+N(AL3)+N(AP3)+N(AU3),0))</f>
        <v>14</v>
      </c>
      <c r="U3" s="325" t="str">
        <f>IF(T3="","",IF(AND(T3&gt;=3,O3&gt;=1.5),"有効",IF(T3&gt;=3,"要確認","除外")))</f>
        <v>要確認</v>
      </c>
      <c r="V3" s="325" t="str">
        <f>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IF(AND(E3&lt;&gt;"",G3&lt;&gt;"",G3&lt;&gt;0),(E3-G3)/G3*100,"")</f>
        <v>-1.0644257703081232</v>
      </c>
      <c r="AA3" s="325" t="str">
        <f>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IF(OR(C3="",AB3="",AC3="",AB3=0,AC3=0),"",IF(AND(E3&gt;AB3,AB3&gt;AC3),"パーフェクト▲",IF(E3&gt;AC3,"上昇トレンド▲",IF(AND(E3&lt;AB3,AB3&lt;AC3),"下降トレンド▼","もみ合い→"))))</f>
        <v>もみ合い→</v>
      </c>
      <c r="AE3" s="325" t="str">
        <f>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IF(AND(T3&gt;=7,C3&lt;&gt;""),T3,0)</f>
        <v>14</v>
      </c>
      <c r="AH3">
        <f>IF(AG3&gt;0,AG3*10000-ROW(A3),0)</f>
        <v>139997</v>
      </c>
      <c r="AI3" s="373">
        <f t="array" ref="AI3">IF(C3="","",IFERROR((INDEX(終値!$E:$E,MATCH(TEXT(C3,"0"),終値!$A:$A,0))-INDEX(終値!$E:$CZ,MATCH(TEXT(C3,"0"),終値!$A:$A,0),$AN$2))/INDEX(終値!$E:$CZ,MATCH(TEXT(C3,"0"),終値!$A:$A,0),$AN$2)*100,""))</f>
        <v>-35.828488372093027</v>
      </c>
      <c r="AJ3" s="373">
        <f t="array" ref="AJ3">IFERROR((終値!$E$5-INDEX(終値!$E$5:$IT$5,1,$AN$2))/INDEX(終値!$E$5:$IT$5,1,$AN$2)*100,"")</f>
        <v>1.0179378228534113</v>
      </c>
      <c r="AK3" s="374">
        <f>IF(OR(AI3="",AJ3=""),"",AI3-AJ3)</f>
        <v>-36.846426194946439</v>
      </c>
      <c r="AL3" s="372">
        <f>IF(AK3="","",IF(AK3&lt;-5,3,IF(AK3&lt;0,1,IF(AK3&lt;3,-1,-2))))</f>
        <v>3</v>
      </c>
      <c r="AO3" s="376" t="str">
        <f>IF(OR($C3="",$E3="",$F3="",$H3="",$I3="",$H3-$I3&lt;=0),"-",IF(AND($H3-MAX($F3,$E3)&gt;=ABS($E3-$F3)*2,MIN($F3,$E3)-$I3&lt;=ABS($E3-$F3)*0.5,ABS($E3-$F3)&gt;0),"上ヒゲ陰線▼",IF(AND($E3&lt;$F3,ABS($E3-$F3)&gt;=($H3-$I3)*0.7),"大陰線▼",IF(AND(MIN($F3,$E3)-$I3&gt;=($H3-$I3)*0.5,$H3-MAX($F3,$E3)&lt;=($H3-$I3)*0.2),"長い下ヒゲ(反発警戒)","通常"))))</f>
        <v>通常</v>
      </c>
      <c r="AP3" s="377">
        <f>IF($AO3="上ヒゲ陰線▼",2,IF($AO3="大陰線▼",2,IF($AO3="長い下ヒゲ(反発警戒)",-2,0)))</f>
        <v>0</v>
      </c>
      <c r="AQ3">
        <f>IF(C3&lt;&gt;"",始値!F141,"")</f>
        <v>1820</v>
      </c>
      <c r="AR3">
        <f>IF(C3&lt;&gt;"",高値!F141,"")</f>
        <v>1920</v>
      </c>
      <c r="AS3">
        <f>IF(C3&lt;&gt;"",安値!F141,"")</f>
        <v>1757</v>
      </c>
      <c r="AT3" t="str">
        <f>IF(OR(C3="",AQ3="",AR3="",AS3="",AR3-AS3&lt;=0),"-",IF(AND(AR3-MAX(G3,AQ3)&gt;=ABS(G3-AQ3)*2,MIN(G3,AQ3)-AS3&lt;=ABS(G3-AQ3)*0.5,ABS(G3-AQ3)&gt;0),"上ヒゲ陰線▼",IF(AND(G3&lt;AQ3,ABS(G3-AQ3)&gt;=(AR3-AS3)*0.7),"大陰線▼",IF(AND(MIN(G3,AQ3)-AS3&gt;=(AR3-AS3)*0.5,AR3-MAX(G3,AQ3)&lt;=(AR3-AS3)*0.2),"長い下ヒゲ(反発)","通常"))))</f>
        <v>通常</v>
      </c>
      <c r="AU3">
        <f>IF(AT3="上ヒゲ陰線▼",2,IF(AT3="大陰線▼",2,IF(AT3="長い下ヒゲ(反発)",-2,0)))</f>
        <v>0</v>
      </c>
      <c r="BA3">
        <f>IFERROR((SUM(OFFSET(高値!$E$6,IFERROR(MATCH($C3,銘柄管理!$B$6:$B$305,0),MATCH(TEXT($C3,"0"),銘柄管理!$B$6:$B$305,0))-1,0,1,14))-SUM(OFFSET(安値!$E$6,IFERROR(MATCH($C3,銘柄管理!$B$6:$B$305,0),MATCH(TEXT($C3,"0"),銘柄管理!$B$6:$B$305,0))-1,0,1,14)))/SUM(OFFSET(終値!$E$6,IFERROR(MATCH($C3,銘柄管理!$B$6:$B$305,0),MATCH(TEXT($C3,"0"),銘柄管理!$B$6:$B$305,0))-1,0,1,14))*100,"")</f>
      </c>
      <c r="BB3">
        <f>IFERROR((MAX(OFFSET(高値!$E$6,IFERROR(MATCH($C3,銘柄管理!$B$6:$B$305,0),MATCH(TEXT($C3,"0"),銘柄管理!$B$6:$B$305,0))-1,0,1,25))-MIN(OFFSET(安値!$E$6,IFERROR(MATCH($C3,銘柄管理!$B$6:$B$305,0),MATCH(TEXT($C3,"0"),銘柄管理!$B$6:$B$305,0))-1,0,1,25)))/$E3*100,"")</f>
      </c>
      <c r="BC3">
        <f>IFERROR(($F3-$G3)/$G3*100,"")</f>
      </c>
      <c r="BD3">
        <f>IFERROR(($E3-MAX(OFFSET(高値!$E$6,IFERROR(MATCH($C3,銘柄管理!$B$6:$B$305,0),MATCH(TEXT($C3,"0"),銘柄管理!$B$6:$B$305,0))-1,0,1,25)))/MAX(OFFSET(高値!$E$6,IFERROR(MATCH($C3,銘柄管理!$B$6:$B$305,0),MATCH(TEXT($C3,"0"),銘柄管理!$B$6:$B$305,0))-1,0,1,25))*100,"")</f>
      </c>
      <c r="BE3">
        <f>IFERROR(($H3-$I3)/$F3*100,"")</f>
      </c>
      <c r="BF3">
        <f>IFERROR(-(($BA3-AVERAGE($BA$3:$BA$206))/STDEV($BA$3:$BA$206))-(($BE3-AVERAGE($BE$3:$BE$206))/STDEV($BE$3:$BE$206))-(($BB3-AVERAGE($BB$3:$BB$206))/STDEV($BB$3:$BB$206))-(($Z3-AVERAGE($Z$3:$Z$206))/STDEV($Z$3:$Z$206))-(($BC3-AVERAGE($BC$3:$BC$206))/STDEV($BC$3:$BC$206)),"")</f>
      </c>
      <c r="BG3">
        <f>IF(OR($C3="",$C3="TOPX",$BA3="",$BF3=""),0,IF(AND($BK$10=1,$BA3&lt;=$BK$2,$BB3&lt;=$BK$3,$BC3&lt;=$BK$4,$Z3&lt;=$BK$5,$Z3&gt;=$BK$6,$BD3&gt;=$BK$7,$BE3&lt;=$BK$8),1,0))</f>
      </c>
      <c r="BH3">
        <f>IF($C3="","",IF($BG3=1,"○ゲート通過",IF($BK$10&lt;&gt;1,"― この方向は停止中",IF($BA3&gt;$BK$2,"×値動きが荒い",IF($BB3&gt;$BK$3,"×レンジが広い",IF($BC3&gt;$BK$4,"×窓を開けて上昇",IF($Z3&gt;$BK$5,"×前日に急騰",IF($Z3&lt;$BK$6,"×前日に急落",IF($BD3&lt;$BK$7,"×高値から離れすぎ",IF($BE3&gt;$BK$8,"×当日の値幅が大きい","×")))))))))</f>
      </c>
      <c r="BJ3" t="inlineStr">
        <is>
          <t>25日レンジ幅 上限(%)</t>
        </is>
      </c>
      <c r="BK3">
        <v>9.0</v>
      </c>
    </row>
    <row r="4" spans="1:63"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IF(AND(E4&lt;&gt;"",K4&lt;&gt;"",K4&lt;&gt;0),(E4-K4)/K4*100,"")</f>
        <v>-40.326654318908908</v>
      </c>
      <c r="M4" s="333">
        <f>IF(C4&lt;&gt;"",IFERROR(AVERAGE(出来高!E28:I28),""),"")</f>
        <v>7844320</v>
      </c>
      <c r="N4" s="333">
        <f>IF(C4&lt;&gt;"",IFERROR(AVERAGE(出来高!E28:AC28),""),"")</f>
        <v>4646040</v>
      </c>
      <c r="O4" s="335">
        <f>IF(AND(J4&lt;&gt;"",M4&lt;&gt;"",M4&lt;&gt;0),J4/M4,"")</f>
        <v>1.9713499704244599</v>
      </c>
      <c r="P4" s="212" t="str">
        <f>IF(O4="","",IF(O4&gt;=2,"急増↑↑",IF(O4&gt;=1.5,"増加↑",IF(O4&gt;=1,"普通→","減少↓"))))</f>
        <v>増加↑</v>
      </c>
      <c r="Q4" s="212" t="str">
        <f>IF(E4="","",IF(AND(E4&lt;G4,O4&gt;=1.5),"売り▼",IF(E4&gt;G4,"様子見▲","中立→")))</f>
        <v>売り▼</v>
      </c>
      <c r="R4" s="333">
        <f>IF(E4&lt;&gt;"",ROUND(E4*0.92,0),"")</f>
        <v>3260</v>
      </c>
      <c r="S4" s="333">
        <f>IF(E4&lt;&gt;"",ROUND(E4*1.04,0),"")</f>
        <v>3686</v>
      </c>
      <c r="T4" s="325">
        <f>IF(C4="","",IFERROR(IF(W4&gt;=70,3,IF(W4&gt;=60,2,IF(W4&gt;=50,1,0)))+IF(X4&lt;0,2,0)+IF(AD4="下降トレンド▼",3,IF(AD4="もみ合い→",1,0))+IF(V4="年初来安値圏●",3,IF(V4="安値圏",2,0))+IF(Q4="売り▼",2,0)+IF(P4="急増↑↑",2,IF(P4="増加↑",1,0))+IF(Z4&lt;0,1,0)+IF(L4&lt;=-30,2,IF(L4&lt;=-15,1,0))+IF(AE4="25日戻り売り★",2,IF(AE4="5日戻り売り○",1,0))+N(AL4)+N(AP4)+N(AU4),0))</f>
        <v>17</v>
      </c>
      <c r="U4" s="212" t="str">
        <f>IF(T4="","",IF(AND(T4&gt;=3,O4&gt;=1.5),"有効",IF(T4&gt;=3,"要確認","除外")))</f>
        <v>有効</v>
      </c>
      <c r="V4" s="212" t="str">
        <f>IF(AND(I4&lt;&gt;"",K4&lt;&gt;""),IF(I4&lt;=K4*0.6,"年初来安値圏●",IF(I4&lt;=K4*0.75,"安値圏","通常")),"")</f>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IF(AF4="","",AF4&amp;" | "&amp;AD4&amp;IF(AE4&lt;&gt;"なし"," "&amp;AE4,"")&amp;IF(X4&lt;0," MACD-"," MACD+")&amp;" RSI:"&amp;TEXT(W4,"0.0")&amp;IF(W4&gt;=70," [過熱]",IF(W4&lt;=30," [売られ過ぎ]",""))&amp;" 前日比:"&amp;TEXT(Z4,"+0.0;-0.0;0.0")&amp;"%"&amp;IF(V4="年初来安値圏●"," [年初来安値圏]",IF(V4="安値圏"," [安値圏]",""))&amp;IF(OR(AO4="通常",AO4="-"),""," ["&amp;AO4&amp;"]")&amp;IF(OR(AT4="通常",AT4="-"),"","前日["&amp;AT4&amp;"]")&amp;" ["&amp;T4&amp;"点]")</f>
        <v>相場上昇・見送り | 下降トレンド▼ MACD- RSI:36.0 前日比:-5.6% [年初来安値圏] [17点]</v>
      </c>
      <c r="Z4" s="338">
        <f>IF(AND(E4&lt;&gt;"",G4&lt;&gt;"",G4&lt;&gt;0),(E4-G4)/G4*100,"")</f>
        <v>-5.6443024494142708</v>
      </c>
      <c r="AA4" s="212" t="str">
        <f>IF(OR(C4="",E4="",E4=0),"",IF(E4&gt;G4,"上昇▲",IF(E4&lt;G4,"下落▼","横ばい→")))</f>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IF(OR(C4="",AB4="",AC4="",AB4=0,AC4=0),"",IF(AND(E4&gt;AB4,AB4&gt;AC4),"パーフェクト▲",IF(E4&gt;AC4,"上昇トレンド▲",IF(AND(E4&lt;AB4,AB4&lt;AC4),"下降トレンド▼","もみ合い→"))))</f>
        <v>下降トレンド▼</v>
      </c>
      <c r="AE4" s="212" t="str">
        <f>IF(OR(C4="",AB4="",AC4=""),"",IF(AND(ABS(E4-AC4)/AC4&lt;=0.02,E4&lt;AC4),"25日戻り売り★",IF(AND(ABS(E4-AB4)/AB4&lt;=0.01,E4&lt;AB4),"5日戻り売り○","なし")))</f>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IF(AND(T4&gt;=7,C4&lt;&gt;""),T4,0)</f>
        <v>17</v>
      </c>
      <c r="AH4">
        <f>IF(AG4&gt;0,AG4*10000-ROW(A4),0)</f>
        <v>169996</v>
      </c>
      <c r="AI4" s="373">
        <f t="array" ref="AI4">IF(C4="","",IFERROR((INDEX(終値!$E:$E,MATCH(TEXT(C4,"0"),終値!$A:$A,0))-INDEX(終値!$E:$CZ,MATCH(TEXT(C4,"0"),終値!$A:$A,0),$AN$2))/INDEX(終値!$E:$CZ,MATCH(TEXT(C4,"0"),終値!$A:$A,0),$AN$2)*100,""))</f>
        <v>-42.829488627197939</v>
      </c>
      <c r="AJ4" s="373">
        <f t="array" ref="AJ4">IFERROR((終値!$E$5-INDEX(終値!$E$5:$IT$5,1,$AN$2))/INDEX(終値!$E$5:$IT$5,1,$AN$2)*100,"")</f>
        <v>1.0179378228534113</v>
      </c>
      <c r="AK4" s="374">
        <f>IF(OR(AI4="",AJ4=""),"",AI4-AJ4)</f>
        <v>-43.847426450051351</v>
      </c>
      <c r="AL4" s="372">
        <f>IF(AK4="","",IF(AK4&lt;-5,3,IF(AK4&lt;0,1,IF(AK4&lt;3,-1,-2))))</f>
        <v>3</v>
      </c>
      <c r="AO4" s="376" t="str">
        <f>IF(OR($C4="",$E4="",$F4="",$H4="",$I4="",$H4-$I4&lt;=0),"-",IF(AND($H4-MAX($F4,$E4)&gt;=ABS($E4-$F4)*2,MIN($F4,$E4)-$I4&lt;=ABS($E4-$F4)*0.5,ABS($E4-$F4)&gt;0),"上ヒゲ陰線▼",IF(AND($E4&lt;$F4,ABS($E4-$F4)&gt;=($H4-$I4)*0.7),"大陰線▼",IF(AND(MIN($F4,$E4)-$I4&gt;=($H4-$I4)*0.5,$H4-MAX($F4,$E4)&lt;=($H4-$I4)*0.2),"長い下ヒゲ(反発警戒)","通常"))))</f>
        <v>通常</v>
      </c>
      <c r="AP4" s="377">
        <f>IF($AO4="上ヒゲ陰線▼",2,IF($AO4="大陰線▼",2,IF($AO4="長い下ヒゲ(反発警戒)",-2,0)))</f>
        <v>0</v>
      </c>
      <c r="AQ4">
        <f>IF(C4&lt;&gt;"",始値!F28,"")</f>
        <v>3777</v>
      </c>
      <c r="AR4">
        <f>IF(C4&lt;&gt;"",高値!F28,"")</f>
        <v>3869</v>
      </c>
      <c r="AS4">
        <f>IF(C4&lt;&gt;"",安値!F28,"")</f>
        <v>3681</v>
      </c>
      <c r="AT4" t="str">
        <f>IF(OR(C4="",AQ4="",AR4="",AS4="",AR4-AS4&lt;=0),"-",IF(AND(AR4-MAX(G4,AQ4)&gt;=ABS(G4-AQ4)*2,MIN(G4,AQ4)-AS4&lt;=ABS(G4-AQ4)*0.5,ABS(G4-AQ4)&gt;0),"上ヒゲ陰線▼",IF(AND(G4&lt;AQ4,ABS(G4-AQ4)&gt;=(AR4-AS4)*0.7),"大陰線▼",IF(AND(MIN(G4,AQ4)-AS4&gt;=(AR4-AS4)*0.5,AR4-MAX(G4,AQ4)&lt;=(AR4-AS4)*0.2),"長い下ヒゲ(反発)","通常"))))</f>
        <v>通常</v>
      </c>
      <c r="AU4">
        <f>IF(AT4="上ヒゲ陰線▼",2,IF(AT4="大陰線▼",2,IF(AT4="長い下ヒゲ(反発)",-2,0)))</f>
        <v>0</v>
      </c>
      <c r="BA4">
        <f>IFERROR((SUM(OFFSET(高値!$E$6,IFERROR(MATCH($C4,銘柄管理!$B$6:$B$305,0),MATCH(TEXT($C4,"0"),銘柄管理!$B$6:$B$305,0))-1,0,1,14))-SUM(OFFSET(安値!$E$6,IFERROR(MATCH($C4,銘柄管理!$B$6:$B$305,0),MATCH(TEXT($C4,"0"),銘柄管理!$B$6:$B$305,0))-1,0,1,14)))/SUM(OFFSET(終値!$E$6,IFERROR(MATCH($C4,銘柄管理!$B$6:$B$305,0),MATCH(TEXT($C4,"0"),銘柄管理!$B$6:$B$305,0))-1,0,1,14))*100,"")</f>
      </c>
      <c r="BB4">
        <f>IFERROR((MAX(OFFSET(高値!$E$6,IFERROR(MATCH($C4,銘柄管理!$B$6:$B$305,0),MATCH(TEXT($C4,"0"),銘柄管理!$B$6:$B$305,0))-1,0,1,25))-MIN(OFFSET(安値!$E$6,IFERROR(MATCH($C4,銘柄管理!$B$6:$B$305,0),MATCH(TEXT($C4,"0"),銘柄管理!$B$6:$B$305,0))-1,0,1,25)))/$E4*100,"")</f>
      </c>
      <c r="BC4">
        <f>IFERROR(($F4-$G4)/$G4*100,"")</f>
      </c>
      <c r="BD4">
        <f>IFERROR(($E4-MAX(OFFSET(高値!$E$6,IFERROR(MATCH($C4,銘柄管理!$B$6:$B$305,0),MATCH(TEXT($C4,"0"),銘柄管理!$B$6:$B$305,0))-1,0,1,25)))/MAX(OFFSET(高値!$E$6,IFERROR(MATCH($C4,銘柄管理!$B$6:$B$305,0),MATCH(TEXT($C4,"0"),銘柄管理!$B$6:$B$305,0))-1,0,1,25))*100,"")</f>
      </c>
      <c r="BE4">
        <f>IFERROR(($H4-$I4)/$F4*100,"")</f>
      </c>
      <c r="BF4">
        <f>IFERROR(-(($BA4-AVERAGE($BA$3:$BA$206))/STDEV($BA$3:$BA$206))-(($BE4-AVERAGE($BE$3:$BE$206))/STDEV($BE$3:$BE$206))-(($BB4-AVERAGE($BB$3:$BB$206))/STDEV($BB$3:$BB$206))-(($Z4-AVERAGE($Z$3:$Z$206))/STDEV($Z$3:$Z$206))-(($BC4-AVERAGE($BC$3:$BC$206))/STDEV($BC$3:$BC$206)),"")</f>
      </c>
      <c r="BG4">
        <f>IF(OR($C4="",$C4="TOPX",$BA4="",$BF4=""),0,IF(AND($BK$10=1,$BA4&lt;=$BK$2,$BB4&lt;=$BK$3,$BC4&lt;=$BK$4,$Z4&lt;=$BK$5,$Z4&gt;=$BK$6,$BD4&gt;=$BK$7,$BE4&lt;=$BK$8),1,0))</f>
      </c>
      <c r="BH4">
        <f>IF($C4="","",IF($BG4=1,"○ゲート通過",IF($BK$10&lt;&gt;1,"― この方向は停止中",IF($BA4&gt;$BK$2,"×値動きが荒い",IF($BB4&gt;$BK$3,"×レンジが広い",IF($BC4&gt;$BK$4,"×窓を開けて上昇",IF($Z4&gt;$BK$5,"×前日に急騰",IF($Z4&lt;$BK$6,"×前日に急落",IF($BD4&lt;$BK$7,"×高値から離れすぎ",IF($BE4&gt;$BK$8,"×当日の値幅が大きい","×")))))))))</f>
      </c>
      <c r="BJ4" t="inlineStr">
        <is>
          <t>ギャップ率 上限(%)</t>
        </is>
      </c>
      <c r="BK4">
        <v>0.5</v>
      </c>
    </row>
    <row r="5" spans="1:63"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IF(AND(E5&lt;&gt;"",K5&lt;&gt;"",K5&lt;&gt;0),(E5-K5)/K5*100,"")</f>
        <v>-19.727272727272727</v>
      </c>
      <c r="M5" s="326">
        <f>IF(C5&lt;&gt;"",IFERROR(AVERAGE(出来高!E30:I30),""),"")</f>
        <v>1065840</v>
      </c>
      <c r="N5" s="326">
        <f>IF(C5&lt;&gt;"",IFERROR(AVERAGE(出来高!E30:AC30),""),"")</f>
        <v>926276</v>
      </c>
      <c r="O5" s="328">
        <f>IF(AND(J5&lt;&gt;"",M5&lt;&gt;"",M5&lt;&gt;0),J5/M5,"")</f>
        <v>0.70320123095398934</v>
      </c>
      <c r="P5" s="325" t="str">
        <f>IF(O5="","",IF(O5&gt;=2,"急増↑↑",IF(O5&gt;=1.5,"増加↑",IF(O5&gt;=1,"普通→","減少↓"))))</f>
        <v>減少↓</v>
      </c>
      <c r="Q5" s="325" t="str">
        <f>IF(E5="","",IF(AND(E5&lt;G5,O5&gt;=1.5),"売り▼",IF(E5&gt;G5,"様子見▲","中立→")))</f>
        <v>中立→</v>
      </c>
      <c r="R5" s="326">
        <f>IF(E5&lt;&gt;"",ROUND(E5*0.92,0),"")</f>
        <v>4062</v>
      </c>
      <c r="S5" s="326">
        <f>IF(E5&lt;&gt;"",ROUND(E5*1.04,0),"")</f>
        <v>4592</v>
      </c>
      <c r="T5" s="325">
        <f>IF(C5="","",IFERROR(IF(W5&gt;=70,3,IF(W5&gt;=60,2,IF(W5&gt;=50,1,0)))+IF(X5&lt;0,2,0)+IF(AD5="下降トレンド▼",3,IF(AD5="もみ合い→",1,0))+IF(V5="年初来安値圏●",3,IF(V5="安値圏",2,0))+IF(Q5="売り▼",2,0)+IF(P5="急増↑↑",2,IF(P5="増加↑",1,0))+IF(Z5&lt;0,1,0)+IF(L5&lt;=-30,2,IF(L5&lt;=-15,1,0))+IF(AE5="25日戻り売り★",2,IF(AE5="5日戻り売り○",1,0))+N(AL5)+N(AP5)+N(AU5),0))</f>
        <v>8</v>
      </c>
      <c r="U5" s="325" t="str">
        <f>IF(T5="","",IF(AND(T5&gt;=3,O5&gt;=1.5),"有効",IF(T5&gt;=3,"要確認","除外")))</f>
        <v>要確認</v>
      </c>
      <c r="V5" s="325" t="str">
        <f>IF(AND(I5&lt;&gt;"",K5&lt;&gt;""),IF(I5&lt;=K5*0.6,"年初来安値圏●",IF(I5&lt;=K5*0.75,"安値圏","通常")),"")</f>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IF(AF5="","",AF5&amp;" | "&amp;AD5&amp;IF(AE5&lt;&gt;"なし"," "&amp;AE5,"")&amp;IF(X5&lt;0," MACD-"," MACD+")&amp;" RSI:"&amp;TEXT(W5,"0.0")&amp;IF(W5&gt;=70," [過熱]",IF(W5&lt;=30," [売られ過ぎ]",""))&amp;" 前日比:"&amp;TEXT(Z5,"+0.0;-0.0;0.0")&amp;"%"&amp;IF(V5="年初来安値圏●"," [年初来安値圏]",IF(V5="安値圏"," [安値圏]",""))&amp;IF(OR(AO5="通常",AO5="-"),""," ["&amp;AO5&amp;"]")&amp;IF(OR(AT5="通常",AT5="-"),"","前日["&amp;AT5&amp;"]")&amp;" ["&amp;T5&amp;"点]")</f>
        <v>相場上昇・見送り | パーフェクト▲ MACD- RSI:53.5 前日比:-4.1% [8点]</v>
      </c>
      <c r="Z5" s="331">
        <f>IF(AND(E5&lt;&gt;"",G5&lt;&gt;"",G5&lt;&gt;0),(E5-G5)/G5*100,"")</f>
        <v>-4.1259500542888166</v>
      </c>
      <c r="AA5" s="325" t="str">
        <f>IF(OR(C5="",E5="",E5=0),"",IF(E5&gt;G5,"上昇▲",IF(E5&lt;G5,"下落▼","横ばい→")))</f>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IF(OR(C5="",AB5="",AC5="",AB5=0,AC5=0),"",IF(AND(E5&gt;AB5,AB5&gt;AC5),"パーフェクト▲",IF(E5&gt;AC5,"上昇トレンド▲",IF(AND(E5&lt;AB5,AB5&lt;AC5),"下降トレンド▼","もみ合い→"))))</f>
        <v>パーフェクト▲</v>
      </c>
      <c r="AE5" s="325" t="str">
        <f>IF(OR(C5="",AB5="",AC5=""),"",IF(AND(ABS(E5-AC5)/AC5&lt;=0.02,E5&lt;AC5),"25日戻り売り★",IF(AND(ABS(E5-AB5)/AB5&lt;=0.01,E5&lt;AB5),"5日戻り売り○","なし")))</f>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IF(AND(T5&gt;=7,C5&lt;&gt;""),T5,0)</f>
        <v>8</v>
      </c>
      <c r="AH5">
        <f>IF(AG5&gt;0,AG5*10000-ROW(A5),0)</f>
        <v>79995</v>
      </c>
      <c r="AI5" s="373">
        <f t="array" ref="AI5">IF(C5="","",IFERROR((INDEX(終値!$E:$E,MATCH(TEXT(C5,"0"),終値!$A:$A,0))-INDEX(終値!$E:$CZ,MATCH(TEXT(C5,"0"),終値!$A:$A,0),$AN$2))/INDEX(終値!$E:$CZ,MATCH(TEXT(C5,"0"),終値!$A:$A,0),$AN$2)*100,""))</f>
        <v>-14.932562620423893</v>
      </c>
      <c r="AJ5" s="373">
        <f t="array" ref="AJ5">IFERROR((終値!$E$5-INDEX(終値!$E$5:$IT$5,1,$AN$2))/INDEX(終値!$E$5:$IT$5,1,$AN$2)*100,"")</f>
        <v>1.0179378228534113</v>
      </c>
      <c r="AK5" s="374">
        <f>IF(OR(AI5="",AJ5=""),"",AI5-AJ5)</f>
        <v>-15.950500443277305</v>
      </c>
      <c r="AL5" s="372">
        <f>IF(AK5="","",IF(AK5&lt;-5,3,IF(AK5&lt;0,1,IF(AK5&lt;3,-1,-2))))</f>
        <v>3</v>
      </c>
      <c r="AO5" s="376" t="str">
        <f>IF(OR($C5="",$E5="",$F5="",$H5="",$I5="",$H5-$I5&lt;=0),"-",IF(AND($H5-MAX($F5,$E5)&gt;=ABS($E5-$F5)*2,MIN($F5,$E5)-$I5&lt;=ABS($E5-$F5)*0.5,ABS($E5-$F5)&gt;0),"上ヒゲ陰線▼",IF(AND($E5&lt;$F5,ABS($E5-$F5)&gt;=($H5-$I5)*0.7),"大陰線▼",IF(AND(MIN($F5,$E5)-$I5&gt;=($H5-$I5)*0.5,$H5-MAX($F5,$E5)&lt;=($H5-$I5)*0.2),"長い下ヒゲ(反発警戒)","通常"))))</f>
        <v>通常</v>
      </c>
      <c r="AP5" s="377">
        <f>IF($AO5="上ヒゲ陰線▼",2,IF($AO5="大陰線▼",2,IF($AO5="長い下ヒゲ(反発警戒)",-2,0)))</f>
        <v>0</v>
      </c>
      <c r="AQ5">
        <f>IF(C5&lt;&gt;"",始値!F30,"")</f>
        <v>4280</v>
      </c>
      <c r="AR5">
        <f>IF(C5&lt;&gt;"",高値!F30,"")</f>
        <v>4630</v>
      </c>
      <c r="AS5">
        <f>IF(C5&lt;&gt;"",安値!F30,"")</f>
        <v>4240</v>
      </c>
      <c r="AT5" t="str">
        <f>IF(OR(C5="",AQ5="",AR5="",AS5="",AR5-AS5&lt;=0),"-",IF(AND(AR5-MAX(G5,AQ5)&gt;=ABS(G5-AQ5)*2,MIN(G5,AQ5)-AS5&lt;=ABS(G5-AQ5)*0.5,ABS(G5-AQ5)&gt;0),"上ヒゲ陰線▼",IF(AND(G5&lt;AQ5,ABS(G5-AQ5)&gt;=(AR5-AS5)*0.7),"大陰線▼",IF(AND(MIN(G5,AQ5)-AS5&gt;=(AR5-AS5)*0.5,AR5-MAX(G5,AQ5)&lt;=(AR5-AS5)*0.2),"長い下ヒゲ(反発)","通常"))))</f>
        <v>通常</v>
      </c>
      <c r="AU5">
        <f>IF(AT5="上ヒゲ陰線▼",2,IF(AT5="大陰線▼",2,IF(AT5="長い下ヒゲ(反発)",-2,0)))</f>
        <v>0</v>
      </c>
      <c r="BA5">
        <f>IFERROR((SUM(OFFSET(高値!$E$6,IFERROR(MATCH($C5,銘柄管理!$B$6:$B$305,0),MATCH(TEXT($C5,"0"),銘柄管理!$B$6:$B$305,0))-1,0,1,14))-SUM(OFFSET(安値!$E$6,IFERROR(MATCH($C5,銘柄管理!$B$6:$B$305,0),MATCH(TEXT($C5,"0"),銘柄管理!$B$6:$B$305,0))-1,0,1,14)))/SUM(OFFSET(終値!$E$6,IFERROR(MATCH($C5,銘柄管理!$B$6:$B$305,0),MATCH(TEXT($C5,"0"),銘柄管理!$B$6:$B$305,0))-1,0,1,14))*100,"")</f>
      </c>
      <c r="BB5">
        <f>IFERROR((MAX(OFFSET(高値!$E$6,IFERROR(MATCH($C5,銘柄管理!$B$6:$B$305,0),MATCH(TEXT($C5,"0"),銘柄管理!$B$6:$B$305,0))-1,0,1,25))-MIN(OFFSET(安値!$E$6,IFERROR(MATCH($C5,銘柄管理!$B$6:$B$305,0),MATCH(TEXT($C5,"0"),銘柄管理!$B$6:$B$305,0))-1,0,1,25)))/$E5*100,"")</f>
      </c>
      <c r="BC5">
        <f>IFERROR(($F5-$G5)/$G5*100,"")</f>
      </c>
      <c r="BD5">
        <f>IFERROR(($E5-MAX(OFFSET(高値!$E$6,IFERROR(MATCH($C5,銘柄管理!$B$6:$B$305,0),MATCH(TEXT($C5,"0"),銘柄管理!$B$6:$B$305,0))-1,0,1,25)))/MAX(OFFSET(高値!$E$6,IFERROR(MATCH($C5,銘柄管理!$B$6:$B$305,0),MATCH(TEXT($C5,"0"),銘柄管理!$B$6:$B$305,0))-1,0,1,25))*100,"")</f>
      </c>
      <c r="BE5">
        <f>IFERROR(($H5-$I5)/$F5*100,"")</f>
      </c>
      <c r="BF5">
        <f>IFERROR(-(($BA5-AVERAGE($BA$3:$BA$206))/STDEV($BA$3:$BA$206))-(($BE5-AVERAGE($BE$3:$BE$206))/STDEV($BE$3:$BE$206))-(($BB5-AVERAGE($BB$3:$BB$206))/STDEV($BB$3:$BB$206))-(($Z5-AVERAGE($Z$3:$Z$206))/STDEV($Z$3:$Z$206))-(($BC5-AVERAGE($BC$3:$BC$206))/STDEV($BC$3:$BC$206)),"")</f>
      </c>
      <c r="BG5">
        <f>IF(OR($C5="",$C5="TOPX",$BA5="",$BF5=""),0,IF(AND($BK$10=1,$BA5&lt;=$BK$2,$BB5&lt;=$BK$3,$BC5&lt;=$BK$4,$Z5&lt;=$BK$5,$Z5&gt;=$BK$6,$BD5&gt;=$BK$7,$BE5&lt;=$BK$8),1,0))</f>
      </c>
      <c r="BH5">
        <f>IF($C5="","",IF($BG5=1,"○ゲート通過",IF($BK$10&lt;&gt;1,"― この方向は停止中",IF($BA5&gt;$BK$2,"×値動きが荒い",IF($BB5&gt;$BK$3,"×レンジが広い",IF($BC5&gt;$BK$4,"×窓を開けて上昇",IF($Z5&gt;$BK$5,"×前日に急騰",IF($Z5&lt;$BK$6,"×前日に急落",IF($BD5&lt;$BK$7,"×高値から離れすぎ",IF($BE5&gt;$BK$8,"×当日の値幅が大きい","×")))))))))</f>
      </c>
      <c r="BJ5" t="inlineStr">
        <is>
          <t>前日比 上限(%)</t>
        </is>
      </c>
      <c r="BK5">
        <v>1.5</v>
      </c>
    </row>
    <row r="6" spans="1:63"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IF(AND(E6&lt;&gt;"",K6&lt;&gt;"",K6&lt;&gt;0),(E6-K6)/K6*100,"")</f>
        <v>-40.705128205128204</v>
      </c>
      <c r="M6" s="333">
        <f>IF(C6&lt;&gt;"",IFERROR(AVERAGE(出来高!E148:I148),""),"")</f>
        <v>247040</v>
      </c>
      <c r="N6" s="333">
        <f>IF(C6&lt;&gt;"",IFERROR(AVERAGE(出来高!E148:AC148),""),"")</f>
        <v>276636</v>
      </c>
      <c r="O6" s="335">
        <f>IF(AND(J6&lt;&gt;"",M6&lt;&gt;"",M6&lt;&gt;0),J6/M6,"")</f>
        <v>0.65859779792746109</v>
      </c>
      <c r="P6" s="212" t="str">
        <f>IF(O6="","",IF(O6&gt;=2,"急増↑↑",IF(O6&gt;=1.5,"増加↑",IF(O6&gt;=1,"普通→","減少↓"))))</f>
        <v>減少↓</v>
      </c>
      <c r="Q6" s="212" t="str">
        <f>IF(E6="","",IF(AND(E6&lt;G6,O6&gt;=1.5),"売り▼",IF(E6&gt;G6,"様子見▲","中立→")))</f>
        <v>中立→</v>
      </c>
      <c r="R6" s="333">
        <f>IF(E6&lt;&gt;"",ROUND(E6*0.92,0),"")</f>
        <v>1362</v>
      </c>
      <c r="S6" s="333">
        <f>IF(E6&lt;&gt;"",ROUND(E6*1.04,0),"")</f>
        <v>1539</v>
      </c>
      <c r="T6" s="325">
        <f>IF(C6="","",IFERROR(IF(W6&gt;=70,3,IF(W6&gt;=60,2,IF(W6&gt;=50,1,0)))+IF(X6&lt;0,2,0)+IF(AD6="下降トレンド▼",3,IF(AD6="もみ合い→",1,0))+IF(V6="年初来安値圏●",3,IF(V6="安値圏",2,0))+IF(Q6="売り▼",2,0)+IF(P6="急増↑↑",2,IF(P6="増加↑",1,0))+IF(Z6&lt;0,1,0)+IF(L6&lt;=-30,2,IF(L6&lt;=-15,1,0))+IF(AE6="25日戻り売り★",2,IF(AE6="5日戻り売り○",1,0))+N(AL6)+N(AP6)+N(AU6),0))</f>
        <v>12</v>
      </c>
      <c r="U6" s="212" t="str">
        <f>IF(T6="","",IF(AND(T6&gt;=3,O6&gt;=1.5),"有効",IF(T6&gt;=3,"要確認","除外")))</f>
        <v>要確認</v>
      </c>
      <c r="V6" s="212" t="str">
        <f>IF(AND(I6&lt;&gt;"",K6&lt;&gt;""),IF(I6&lt;=K6*0.6,"年初来安値圏●",IF(I6&lt;=K6*0.75,"安値圏","通常")),"")</f>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IF(AF6="","",AF6&amp;" | "&amp;AD6&amp;IF(AE6&lt;&gt;"なし"," "&amp;AE6,"")&amp;IF(X6&lt;0," MACD-"," MACD+")&amp;" RSI:"&amp;TEXT(W6,"0.0")&amp;IF(W6&gt;=70," [過熱]",IF(W6&lt;=30," [売られ過ぎ]",""))&amp;" 前日比:"&amp;TEXT(Z6,"+0.0;-0.0;0.0")&amp;"%"&amp;IF(V6="年初来安値圏●"," [年初来安値圏]",IF(V6="安値圏"," [安値圏]",""))&amp;IF(OR(AO6="通常",AO6="-"),""," ["&amp;AO6&amp;"]")&amp;IF(OR(AT6="通常",AT6="-"),"","前日["&amp;AT6&amp;"]")&amp;" ["&amp;T6&amp;"点]")</f>
        <v>相場上昇・見送り | パーフェクト▲ MACD- RSI:51.3 前日比:-2.4% [年初来安値圏] [12点]</v>
      </c>
      <c r="Z6" s="338">
        <f>IF(AND(E6&lt;&gt;"",G6&lt;&gt;"",G6&lt;&gt;0),(E6-G6)/G6*100,"")</f>
        <v>-2.3746701846965697</v>
      </c>
      <c r="AA6" s="212" t="str">
        <f>IF(OR(C6="",E6="",E6=0),"",IF(E6&gt;G6,"上昇▲",IF(E6&lt;G6,"下落▼","横ばい→")))</f>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IF(OR(C6="",AB6="",AC6="",AB6=0,AC6=0),"",IF(AND(E6&gt;AB6,AB6&gt;AC6),"パーフェクト▲",IF(E6&gt;AC6,"上昇トレンド▲",IF(AND(E6&lt;AB6,AB6&lt;AC6),"下降トレンド▼","もみ合い→"))))</f>
        <v>パーフェクト▲</v>
      </c>
      <c r="AE6" s="212" t="str">
        <f>IF(OR(C6="",AB6="",AC6=""),"",IF(AND(ABS(E6-AC6)/AC6&lt;=0.02,E6&lt;AC6),"25日戻り売り★",IF(AND(ABS(E6-AB6)/AB6&lt;=0.01,E6&lt;AB6),"5日戻り売り○","なし")))</f>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IF(AND(T6&gt;=7,C6&lt;&gt;""),T6,0)</f>
        <v>12</v>
      </c>
      <c r="AH6">
        <f>IF(AG6&gt;0,AG6*10000-ROW(A6),0)</f>
        <v>119994</v>
      </c>
      <c r="AI6" s="373">
        <f t="array" ref="AI6">IF(C6="","",IFERROR((INDEX(終値!$E:$E,MATCH(TEXT(C6,"0"),終値!$A:$A,0))-INDEX(終値!$E:$CZ,MATCH(TEXT(C6,"0"),終値!$A:$A,0),$AN$2))/INDEX(終値!$E:$CZ,MATCH(TEXT(C6,"0"),終値!$A:$A,0),$AN$2)*100,""))</f>
        <v>-14.844649021864212</v>
      </c>
      <c r="AJ6" s="373">
        <f t="array" ref="AJ6">IFERROR((終値!$E$5-INDEX(終値!$E$5:$IT$5,1,$AN$2))/INDEX(終値!$E$5:$IT$5,1,$AN$2)*100,"")</f>
        <v>1.0179378228534113</v>
      </c>
      <c r="AK6" s="374">
        <f>IF(OR(AI6="",AJ6=""),"",AI6-AJ6)</f>
        <v>-15.862586844717624</v>
      </c>
      <c r="AL6" s="372">
        <f>IF(AK6="","",IF(AK6&lt;-5,3,IF(AK6&lt;0,1,IF(AK6&lt;3,-1,-2))))</f>
        <v>3</v>
      </c>
      <c r="AO6" s="376" t="str">
        <f>IF(OR($C6="",$E6="",$F6="",$H6="",$I6="",$H6-$I6&lt;=0),"-",IF(AND($H6-MAX($F6,$E6)&gt;=ABS($E6-$F6)*2,MIN($F6,$E6)-$I6&lt;=ABS($E6-$F6)*0.5,ABS($E6-$F6)&gt;0),"上ヒゲ陰線▼",IF(AND($E6&lt;$F6,ABS($E6-$F6)&gt;=($H6-$I6)*0.7),"大陰線▼",IF(AND(MIN($F6,$E6)-$I6&gt;=($H6-$I6)*0.5,$H6-MAX($F6,$E6)&lt;=($H6-$I6)*0.2),"長い下ヒゲ(反発警戒)","通常"))))</f>
        <v>通常</v>
      </c>
      <c r="AP6" s="377">
        <f>IF($AO6="上ヒゲ陰線▼",2,IF($AO6="大陰線▼",2,IF($AO6="長い下ヒゲ(反発警戒)",-2,0)))</f>
        <v>0</v>
      </c>
      <c r="AQ6">
        <f>IF(C6&lt;&gt;"",始値!F148,"")</f>
        <v>1468</v>
      </c>
      <c r="AR6">
        <f>IF(C6&lt;&gt;"",高値!F148,"")</f>
        <v>1519</v>
      </c>
      <c r="AS6">
        <f>IF(C6&lt;&gt;"",安値!F148,"")</f>
        <v>1457</v>
      </c>
      <c r="AT6" t="str">
        <f>IF(OR(C6="",AQ6="",AR6="",AS6="",AR6-AS6&lt;=0),"-",IF(AND(AR6-MAX(G6,AQ6)&gt;=ABS(G6-AQ6)*2,MIN(G6,AQ6)-AS6&lt;=ABS(G6-AQ6)*0.5,ABS(G6-AQ6)&gt;0),"上ヒゲ陰線▼",IF(AND(G6&lt;AQ6,ABS(G6-AQ6)&gt;=(AR6-AS6)*0.7),"大陰線▼",IF(AND(MIN(G6,AQ6)-AS6&gt;=(AR6-AS6)*0.5,AR6-MAX(G6,AQ6)&lt;=(AR6-AS6)*0.2),"長い下ヒゲ(反発)","通常"))))</f>
        <v>通常</v>
      </c>
      <c r="AU6">
        <f>IF(AT6="上ヒゲ陰線▼",2,IF(AT6="大陰線▼",2,IF(AT6="長い下ヒゲ(反発)",-2,0)))</f>
        <v>0</v>
      </c>
      <c r="BA6">
        <f>IFERROR((SUM(OFFSET(高値!$E$6,IFERROR(MATCH($C6,銘柄管理!$B$6:$B$305,0),MATCH(TEXT($C6,"0"),銘柄管理!$B$6:$B$305,0))-1,0,1,14))-SUM(OFFSET(安値!$E$6,IFERROR(MATCH($C6,銘柄管理!$B$6:$B$305,0),MATCH(TEXT($C6,"0"),銘柄管理!$B$6:$B$305,0))-1,0,1,14)))/SUM(OFFSET(終値!$E$6,IFERROR(MATCH($C6,銘柄管理!$B$6:$B$305,0),MATCH(TEXT($C6,"0"),銘柄管理!$B$6:$B$305,0))-1,0,1,14))*100,"")</f>
      </c>
      <c r="BB6">
        <f>IFERROR((MAX(OFFSET(高値!$E$6,IFERROR(MATCH($C6,銘柄管理!$B$6:$B$305,0),MATCH(TEXT($C6,"0"),銘柄管理!$B$6:$B$305,0))-1,0,1,25))-MIN(OFFSET(安値!$E$6,IFERROR(MATCH($C6,銘柄管理!$B$6:$B$305,0),MATCH(TEXT($C6,"0"),銘柄管理!$B$6:$B$305,0))-1,0,1,25)))/$E6*100,"")</f>
      </c>
      <c r="BC6">
        <f>IFERROR(($F6-$G6)/$G6*100,"")</f>
      </c>
      <c r="BD6">
        <f>IFERROR(($E6-MAX(OFFSET(高値!$E$6,IFERROR(MATCH($C6,銘柄管理!$B$6:$B$305,0),MATCH(TEXT($C6,"0"),銘柄管理!$B$6:$B$305,0))-1,0,1,25)))/MAX(OFFSET(高値!$E$6,IFERROR(MATCH($C6,銘柄管理!$B$6:$B$305,0),MATCH(TEXT($C6,"0"),銘柄管理!$B$6:$B$305,0))-1,0,1,25))*100,"")</f>
      </c>
      <c r="BE6">
        <f>IFERROR(($H6-$I6)/$F6*100,"")</f>
      </c>
      <c r="BF6">
        <f>IFERROR(-(($BA6-AVERAGE($BA$3:$BA$206))/STDEV($BA$3:$BA$206))-(($BE6-AVERAGE($BE$3:$BE$206))/STDEV($BE$3:$BE$206))-(($BB6-AVERAGE($BB$3:$BB$206))/STDEV($BB$3:$BB$206))-(($Z6-AVERAGE($Z$3:$Z$206))/STDEV($Z$3:$Z$206))-(($BC6-AVERAGE($BC$3:$BC$206))/STDEV($BC$3:$BC$206)),"")</f>
      </c>
      <c r="BG6">
        <f>IF(OR($C6="",$C6="TOPX",$BA6="",$BF6=""),0,IF(AND($BK$10=1,$BA6&lt;=$BK$2,$BB6&lt;=$BK$3,$BC6&lt;=$BK$4,$Z6&lt;=$BK$5,$Z6&gt;=$BK$6,$BD6&gt;=$BK$7,$BE6&lt;=$BK$8),1,0))</f>
      </c>
      <c r="BH6">
        <f>IF($C6="","",IF($BG6=1,"○ゲート通過",IF($BK$10&lt;&gt;1,"― この方向は停止中",IF($BA6&gt;$BK$2,"×値動きが荒い",IF($BB6&gt;$BK$3,"×レンジが広い",IF($BC6&gt;$BK$4,"×窓を開けて上昇",IF($Z6&gt;$BK$5,"×前日に急騰",IF($Z6&lt;$BK$6,"×前日に急落",IF($BD6&lt;$BK$7,"×高値から離れすぎ",IF($BE6&gt;$BK$8,"×当日の値幅が大きい","×")))))))))</f>
      </c>
      <c r="BJ6" t="inlineStr">
        <is>
          <t>前日比 下限(%)</t>
        </is>
      </c>
      <c r="BK6">
        <v>-3.0</v>
      </c>
    </row>
    <row r="7" spans="1:63"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IF(AND(E7&lt;&gt;"",K7&lt;&gt;"",K7&lt;&gt;0),(E7-K7)/K7*100,"")</f>
        <v>-21.216617210682493</v>
      </c>
      <c r="M7" s="326">
        <f>IF(C7&lt;&gt;"",IFERROR(AVERAGE(出来高!E84:I84),""),"")</f>
        <v>7907900</v>
      </c>
      <c r="N7" s="326">
        <f>IF(C7&lt;&gt;"",IFERROR(AVERAGE(出来高!E84:AC84),""),"")</f>
        <v>5935052</v>
      </c>
      <c r="O7" s="328">
        <f>IF(AND(J7&lt;&gt;"",M7&lt;&gt;"",M7&lt;&gt;0),J7/M7,"")</f>
        <v>0.92899505557733408</v>
      </c>
      <c r="P7" s="325" t="str">
        <f>IF(O7="","",IF(O7&gt;=2,"急増↑↑",IF(O7&gt;=1.5,"増加↑",IF(O7&gt;=1,"普通→","減少↓"))))</f>
        <v>減少↓</v>
      </c>
      <c r="Q7" s="325" t="str">
        <f>IF(E7="","",IF(AND(E7&lt;G7,O7&gt;=1.5),"売り▼",IF(E7&gt;G7,"様子見▲","中立→")))</f>
        <v>様子見▲</v>
      </c>
      <c r="R7" s="326">
        <f>IF(E7&lt;&gt;"",ROUND(E7*0.92,0),"")</f>
        <v>1710</v>
      </c>
      <c r="S7" s="326">
        <f>IF(E7&lt;&gt;"",ROUND(E7*1.04,0),"")</f>
        <v>1933</v>
      </c>
      <c r="T7" s="325">
        <f>IF(C7="","",IFERROR(IF(W7&gt;=70,3,IF(W7&gt;=60,2,IF(W7&gt;=50,1,0)))+IF(X7&lt;0,2,0)+IF(AD7="下降トレンド▼",3,IF(AD7="もみ合い→",1,0))+IF(V7="年初来安値圏●",3,IF(V7="安値圏",2,0))+IF(Q7="売り▼",2,0)+IF(P7="急増↑↑",2,IF(P7="増加↑",1,0))+IF(Z7&lt;0,1,0)+IF(L7&lt;=-30,2,IF(L7&lt;=-15,1,0))+IF(AE7="25日戻り売り★",2,IF(AE7="5日戻り売り○",1,0))+N(AL7)+N(AP7)+N(AU7),0))</f>
        <v>2</v>
      </c>
      <c r="U7" s="325" t="str">
        <f>IF(T7="","",IF(AND(T7&gt;=3,O7&gt;=1.5),"有効",IF(T7&gt;=3,"要確認","除外")))</f>
        <v>除外</v>
      </c>
      <c r="V7" s="325" t="str">
        <f>IF(AND(I7&lt;&gt;"",K7&lt;&gt;""),IF(I7&lt;=K7*0.6,"年初来安値圏●",IF(I7&lt;=K7*0.75,"安値圏","通常")),"")</f>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IF(AF7="","",AF7&amp;" | "&amp;AD7&amp;IF(AE7&lt;&gt;"なし"," "&amp;AE7,"")&amp;IF(X7&lt;0," MACD-"," MACD+")&amp;" RSI:"&amp;TEXT(W7,"0.0")&amp;IF(W7&gt;=70," [過熱]",IF(W7&lt;=30," [売られ過ぎ]",""))&amp;" 前日比:"&amp;TEXT(Z7,"+0.0;-0.0;0.0")&amp;"%"&amp;IF(V7="年初来安値圏●"," [年初来安値圏]",IF(V7="安値圏"," [安値圏]",""))&amp;IF(OR(AO7="通常",AO7="-"),""," ["&amp;AO7&amp;"]")&amp;IF(OR(AT7="通常",AT7="-"),"","前日["&amp;AT7&amp;"]")&amp;" ["&amp;T7&amp;"点]")</f>
        <v>△過熱・様子見 | パーフェクト▲ MACD+ RSI:71.0 [過熱] 前日比:+1.1% [2点]</v>
      </c>
      <c r="Z7" s="331">
        <f>IF(AND(E7&lt;&gt;"",G7&lt;&gt;"",G7&lt;&gt;0),(E7-G7)/G7*100,"")</f>
        <v>1.0878433505575198</v>
      </c>
      <c r="AA7" s="325" t="str">
        <f>IF(OR(C7="",E7="",E7=0),"",IF(E7&gt;G7,"上昇▲",IF(E7&lt;G7,"下落▼","横ばい→")))</f>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IF(OR(C7="",AB7="",AC7="",AB7=0,AC7=0),"",IF(AND(E7&gt;AB7,AB7&gt;AC7),"パーフェクト▲",IF(E7&gt;AC7,"上昇トレンド▲",IF(AND(E7&lt;AB7,AB7&lt;AC7),"下降トレンド▼","もみ合い→"))))</f>
        <v>パーフェクト▲</v>
      </c>
      <c r="AE7" s="325" t="str">
        <f>IF(OR(C7="",AB7="",AC7=""),"",IF(AND(ABS(E7-AC7)/AC7&lt;=0.02,E7&lt;AC7),"25日戻り売り★",IF(AND(ABS(E7-AB7)/AB7&lt;=0.01,E7&lt;AB7),"5日戻り売り○","なし")))</f>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IF(AND(T7&gt;=7,C7&lt;&gt;""),T7,0)</f>
        <v>0</v>
      </c>
      <c r="AH7">
        <f>IF(AG7&gt;0,AG7*10000-ROW(A7),0)</f>
        <v>0</v>
      </c>
      <c r="AI7" s="373">
        <f t="array" ref="AI7">IF(C7="","",IFERROR((INDEX(終値!$E:$E,MATCH(TEXT(C7,"0"),終値!$A:$A,0))-INDEX(終値!$E:$CZ,MATCH(TEXT(C7,"0"),終値!$A:$A,0),$AN$2))/INDEX(終値!$E:$CZ,MATCH(TEXT(C7,"0"),終値!$A:$A,0),$AN$2)*100,""))</f>
        <v>19.710144927536234</v>
      </c>
      <c r="AJ7" s="373">
        <f t="array" ref="AJ7">IFERROR((終値!$E$5-INDEX(終値!$E$5:$IT$5,1,$AN$2))/INDEX(終値!$E$5:$IT$5,1,$AN$2)*100,"")</f>
        <v>1.0179378228534113</v>
      </c>
      <c r="AK7" s="374">
        <f>IF(OR(AI7="",AJ7=""),"",AI7-AJ7)</f>
        <v>18.692207104682822</v>
      </c>
      <c r="AL7" s="372">
        <f>IF(AK7="","",IF(AK7&lt;-5,3,IF(AK7&lt;0,1,IF(AK7&lt;3,-1,-2))))</f>
        <v>-2</v>
      </c>
      <c r="AO7" s="376" t="str">
        <f>IF(OR($C7="",$E7="",$F7="",$H7="",$I7="",$H7-$I7&lt;=0),"-",IF(AND($H7-MAX($F7,$E7)&gt;=ABS($E7-$F7)*2,MIN($F7,$E7)-$I7&lt;=ABS($E7-$F7)*0.5,ABS($E7-$F7)&gt;0),"上ヒゲ陰線▼",IF(AND($E7&lt;$F7,ABS($E7-$F7)&gt;=($H7-$I7)*0.7),"大陰線▼",IF(AND(MIN($F7,$E7)-$I7&gt;=($H7-$I7)*0.5,$H7-MAX($F7,$E7)&lt;=($H7-$I7)*0.2),"長い下ヒゲ(反発警戒)","通常"))))</f>
        <v>通常</v>
      </c>
      <c r="AP7" s="377">
        <f>IF($AO7="上ヒゲ陰線▼",2,IF($AO7="大陰線▼",2,IF($AO7="長い下ヒゲ(反発警戒)",-2,0)))</f>
        <v>0</v>
      </c>
      <c r="AQ7">
        <f>IF(C7&lt;&gt;"",始値!F84,"")</f>
        <v>1777</v>
      </c>
      <c r="AR7">
        <f>IF(C7&lt;&gt;"",高値!F84,"")</f>
        <v>1840.5</v>
      </c>
      <c r="AS7">
        <f>IF(C7&lt;&gt;"",安値!F84,"")</f>
        <v>1758</v>
      </c>
      <c r="AT7" t="str">
        <f>IF(OR(C7="",AQ7="",AR7="",AS7="",AR7-AS7&lt;=0),"-",IF(AND(AR7-MAX(G7,AQ7)&gt;=ABS(G7-AQ7)*2,MIN(G7,AQ7)-AS7&lt;=ABS(G7-AQ7)*0.5,ABS(G7-AQ7)&gt;0),"上ヒゲ陰線▼",IF(AND(G7&lt;AQ7,ABS(G7-AQ7)&gt;=(AR7-AS7)*0.7),"大陰線▼",IF(AND(MIN(G7,AQ7)-AS7&gt;=(AR7-AS7)*0.5,AR7-MAX(G7,AQ7)&lt;=(AR7-AS7)*0.2),"長い下ヒゲ(反発)","通常"))))</f>
        <v>通常</v>
      </c>
      <c r="AU7">
        <f>IF(AT7="上ヒゲ陰線▼",2,IF(AT7="大陰線▼",2,IF(AT7="長い下ヒゲ(反発)",-2,0)))</f>
        <v>0</v>
      </c>
      <c r="BA7">
        <f>IFERROR((SUM(OFFSET(高値!$E$6,IFERROR(MATCH($C7,銘柄管理!$B$6:$B$305,0),MATCH(TEXT($C7,"0"),銘柄管理!$B$6:$B$305,0))-1,0,1,14))-SUM(OFFSET(安値!$E$6,IFERROR(MATCH($C7,銘柄管理!$B$6:$B$305,0),MATCH(TEXT($C7,"0"),銘柄管理!$B$6:$B$305,0))-1,0,1,14)))/SUM(OFFSET(終値!$E$6,IFERROR(MATCH($C7,銘柄管理!$B$6:$B$305,0),MATCH(TEXT($C7,"0"),銘柄管理!$B$6:$B$305,0))-1,0,1,14))*100,"")</f>
      </c>
      <c r="BB7">
        <f>IFERROR((MAX(OFFSET(高値!$E$6,IFERROR(MATCH($C7,銘柄管理!$B$6:$B$305,0),MATCH(TEXT($C7,"0"),銘柄管理!$B$6:$B$305,0))-1,0,1,25))-MIN(OFFSET(安値!$E$6,IFERROR(MATCH($C7,銘柄管理!$B$6:$B$305,0),MATCH(TEXT($C7,"0"),銘柄管理!$B$6:$B$305,0))-1,0,1,25)))/$E7*100,"")</f>
      </c>
      <c r="BC7">
        <f>IFERROR(($F7-$G7)/$G7*100,"")</f>
      </c>
      <c r="BD7">
        <f>IFERROR(($E7-MAX(OFFSET(高値!$E$6,IFERROR(MATCH($C7,銘柄管理!$B$6:$B$305,0),MATCH(TEXT($C7,"0"),銘柄管理!$B$6:$B$305,0))-1,0,1,25)))/MAX(OFFSET(高値!$E$6,IFERROR(MATCH($C7,銘柄管理!$B$6:$B$305,0),MATCH(TEXT($C7,"0"),銘柄管理!$B$6:$B$305,0))-1,0,1,25))*100,"")</f>
      </c>
      <c r="BE7">
        <f>IFERROR(($H7-$I7)/$F7*100,"")</f>
      </c>
      <c r="BF7">
        <f>IFERROR(-(($BA7-AVERAGE($BA$3:$BA$206))/STDEV($BA$3:$BA$206))-(($BE7-AVERAGE($BE$3:$BE$206))/STDEV($BE$3:$BE$206))-(($BB7-AVERAGE($BB$3:$BB$206))/STDEV($BB$3:$BB$206))-(($Z7-AVERAGE($Z$3:$Z$206))/STDEV($Z$3:$Z$206))-(($BC7-AVERAGE($BC$3:$BC$206))/STDEV($BC$3:$BC$206)),"")</f>
      </c>
      <c r="BG7">
        <f>IF(OR($C7="",$C7="TOPX",$BA7="",$BF7=""),0,IF(AND($BK$10=1,$BA7&lt;=$BK$2,$BB7&lt;=$BK$3,$BC7&lt;=$BK$4,$Z7&lt;=$BK$5,$Z7&gt;=$BK$6,$BD7&gt;=$BK$7,$BE7&lt;=$BK$8),1,0))</f>
      </c>
      <c r="BH7">
        <f>IF($C7="","",IF($BG7=1,"○ゲート通過",IF($BK$10&lt;&gt;1,"― この方向は停止中",IF($BA7&gt;$BK$2,"×値動きが荒い",IF($BB7&gt;$BK$3,"×レンジが広い",IF($BC7&gt;$BK$4,"×窓を開けて上昇",IF($Z7&gt;$BK$5,"×前日に急騰",IF($Z7&lt;$BK$6,"×前日に急落",IF($BD7&lt;$BK$7,"×高値から離れすぎ",IF($BE7&gt;$BK$8,"×当日の値幅が大きい","×")))))))))</f>
      </c>
      <c r="BJ7" t="inlineStr">
        <is>
          <t>25日高値距離 下限(%)</t>
        </is>
      </c>
      <c r="BK7">
        <v>-10.0</v>
      </c>
    </row>
    <row r="8" spans="1:63"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IF(AND(E8&lt;&gt;"",K8&lt;&gt;"",K8&lt;&gt;0),(E8-K8)/K8*100,"")</f>
        <v>-41.267605633802816</v>
      </c>
      <c r="M8" s="333">
        <f>IF(C8&lt;&gt;"",IFERROR(AVERAGE(出来高!E112:I112),""),"")</f>
        <v>842480</v>
      </c>
      <c r="N8" s="333">
        <f>IF(C8&lt;&gt;"",IFERROR(AVERAGE(出来高!E112:AC112),""),"")</f>
        <v>1585795.8333333333</v>
      </c>
      <c r="O8" s="335">
        <f>IF(AND(J8&lt;&gt;"",M8&lt;&gt;"",M8&lt;&gt;0),J8/M8,"")</f>
        <v>0.58850061722533475</v>
      </c>
      <c r="P8" s="212" t="str">
        <f>IF(O8="","",IF(O8&gt;=2,"急増↑↑",IF(O8&gt;=1.5,"増加↑",IF(O8&gt;=1,"普通→","減少↓"))))</f>
        <v>減少↓</v>
      </c>
      <c r="Q8" s="212" t="str">
        <f>IF(E8="","",IF(AND(E8&lt;G8,O8&gt;=1.5),"売り▼",IF(E8&gt;G8,"様子見▲","中立→")))</f>
        <v>中立→</v>
      </c>
      <c r="R8" s="333">
        <f>IF(E8&lt;&gt;"",ROUND(E8*0.92,0),"")</f>
        <v>384</v>
      </c>
      <c r="S8" s="333">
        <f>IF(E8&lt;&gt;"",ROUND(E8*1.04,0),"")</f>
        <v>434</v>
      </c>
      <c r="T8" s="325">
        <f>IF(C8="","",IFERROR(IF(W8&gt;=70,3,IF(W8&gt;=60,2,IF(W8&gt;=50,1,0)))+IF(X8&lt;0,2,0)+IF(AD8="下降トレンド▼",3,IF(AD8="もみ合い→",1,0))+IF(V8="年初来安値圏●",3,IF(V8="安値圏",2,0))+IF(Q8="売り▼",2,0)+IF(P8="急増↑↑",2,IF(P8="増加↑",1,0))+IF(Z8&lt;0,1,0)+IF(L8&lt;=-30,2,IF(L8&lt;=-15,1,0))+IF(AE8="25日戻り売り★",2,IF(AE8="5日戻り売り○",1,0))+N(AL8)+N(AP8)+N(AU8),0))</f>
        <v>9</v>
      </c>
      <c r="U8" s="212" t="str">
        <f>IF(T8="","",IF(AND(T8&gt;=3,O8&gt;=1.5),"有効",IF(T8&gt;=3,"要確認","除外")))</f>
        <v>要確認</v>
      </c>
      <c r="V8" s="212" t="str">
        <f>IF(AND(I8&lt;&gt;"",K8&lt;&gt;""),IF(I8&lt;=K8*0.6,"年初来安値圏●",IF(I8&lt;=K8*0.75,"安値圏","通常")),"")</f>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IF(AF8="","",AF8&amp;" | "&amp;AD8&amp;IF(AE8&lt;&gt;"なし"," "&amp;AE8,"")&amp;IF(X8&lt;0," MACD-"," MACD+")&amp;" RSI:"&amp;TEXT(W8,"0.0")&amp;IF(W8&gt;=70," [過熱]",IF(W8&lt;=30," [売られ過ぎ]",""))&amp;" 前日比:"&amp;TEXT(Z8,"+0.0;-0.0;0.0")&amp;"%"&amp;IF(V8="年初来安値圏●"," [年初来安値圏]",IF(V8="安値圏"," [安値圏]",""))&amp;IF(OR(AO8="通常",AO8="-"),""," ["&amp;AO8&amp;"]")&amp;IF(OR(AT8="通常",AT8="-"),"","前日["&amp;AT8&amp;"]")&amp;" ["&amp;T8&amp;"点]")</f>
        <v>相場上昇・見送り | パーフェクト▲ MACD- RSI:48.5 前日比:-1.2% [年初来安値圏] [長い下ヒゲ(反発警戒)] [9点]</v>
      </c>
      <c r="Z8" s="338">
        <f>IF(AND(E8&lt;&gt;"",G8&lt;&gt;"",G8&lt;&gt;0),(E8-G8)/G8*100,"")</f>
        <v>-1.1848341232227488</v>
      </c>
      <c r="AA8" s="212" t="str">
        <f>IF(OR(C8="",E8="",E8=0),"",IF(E8&gt;G8,"上昇▲",IF(E8&lt;G8,"下落▼","横ばい→")))</f>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IF(OR(C8="",AB8="",AC8="",AB8=0,AC8=0),"",IF(AND(E8&gt;AB8,AB8&gt;AC8),"パーフェクト▲",IF(E8&gt;AC8,"上昇トレンド▲",IF(AND(E8&lt;AB8,AB8&lt;AC8),"下降トレンド▼","もみ合い→"))))</f>
        <v>パーフェクト▲</v>
      </c>
      <c r="AE8" s="212" t="str">
        <f>IF(OR(C8="",AB8="",AC8=""),"",IF(AND(ABS(E8-AC8)/AC8&lt;=0.02,E8&lt;AC8),"25日戻り売り★",IF(AND(ABS(E8-AB8)/AB8&lt;=0.01,E8&lt;AB8),"5日戻り売り○","なし")))</f>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IF(AND(T8&gt;=7,C8&lt;&gt;""),T8,0)</f>
        <v>9</v>
      </c>
      <c r="AH8">
        <f>IF(AG8&gt;0,AG8*10000-ROW(A8),0)</f>
        <v>89992</v>
      </c>
      <c r="AI8" s="373">
        <f t="array" ref="AI8">IF(C8="","",IFERROR((INDEX(終値!$E:$E,MATCH(TEXT(C8,"0"),終値!$A:$A,0))-INDEX(終値!$E:$CZ,MATCH(TEXT(C8,"0"),終値!$A:$A,0),$AN$2))/INDEX(終値!$E:$CZ,MATCH(TEXT(C8,"0"),終値!$A:$A,0),$AN$2)*100,""))</f>
        <v>-5.2272727272727266</v>
      </c>
      <c r="AJ8" s="373">
        <f t="array" ref="AJ8">IFERROR((終値!$E$5-INDEX(終値!$E$5:$IT$5,1,$AN$2))/INDEX(終値!$E$5:$IT$5,1,$AN$2)*100,"")</f>
        <v>1.0179378228534113</v>
      </c>
      <c r="AK8" s="374">
        <f>IF(OR(AI8="",AJ8=""),"",AI8-AJ8)</f>
        <v>-6.2452105501261377</v>
      </c>
      <c r="AL8" s="372">
        <f>IF(AK8="","",IF(AK8&lt;-5,3,IF(AK8&lt;0,1,IF(AK8&lt;3,-1,-2))))</f>
        <v>3</v>
      </c>
      <c r="AO8" s="376" t="str">
        <f>IF(OR($C8="",$E8="",$F8="",$H8="",$I8="",$H8-$I8&lt;=0),"-",IF(AND($H8-MAX($F8,$E8)&gt;=ABS($E8-$F8)*2,MIN($F8,$E8)-$I8&lt;=ABS($E8-$F8)*0.5,ABS($E8-$F8)&gt;0),"上ヒゲ陰線▼",IF(AND($E8&lt;$F8,ABS($E8-$F8)&gt;=($H8-$I8)*0.7),"大陰線▼",IF(AND(MIN($F8,$E8)-$I8&gt;=($H8-$I8)*0.5,$H8-MAX($F8,$E8)&lt;=($H8-$I8)*0.2),"長い下ヒゲ(反発警戒)","通常"))))</f>
        <v>長い下ヒゲ(反発警戒)</v>
      </c>
      <c r="AP8" s="377">
        <f>IF($AO8="上ヒゲ陰線▼",2,IF($AO8="大陰線▼",2,IF($AO8="長い下ヒゲ(反発警戒)",-2,0)))</f>
        <v>-2</v>
      </c>
      <c r="AQ8">
        <f>IF(C8&lt;&gt;"",始値!F112,"")</f>
        <v>416</v>
      </c>
      <c r="AR8">
        <f>IF(C8&lt;&gt;"",高値!F112,"")</f>
        <v>424</v>
      </c>
      <c r="AS8">
        <f>IF(C8&lt;&gt;"",安値!F112,"")</f>
        <v>412</v>
      </c>
      <c r="AT8" t="str">
        <f>IF(OR(C8="",AQ8="",AR8="",AS8="",AR8-AS8&lt;=0),"-",IF(AND(AR8-MAX(G8,AQ8)&gt;=ABS(G8-AQ8)*2,MIN(G8,AQ8)-AS8&lt;=ABS(G8-AQ8)*0.5,ABS(G8-AQ8)&gt;0),"上ヒゲ陰線▼",IF(AND(G8&lt;AQ8,ABS(G8-AQ8)&gt;=(AR8-AS8)*0.7),"大陰線▼",IF(AND(MIN(G8,AQ8)-AS8&gt;=(AR8-AS8)*0.5,AR8-MAX(G8,AQ8)&lt;=(AR8-AS8)*0.2),"長い下ヒゲ(反発)","通常"))))</f>
        <v>通常</v>
      </c>
      <c r="AU8">
        <f>IF(AT8="上ヒゲ陰線▼",2,IF(AT8="大陰線▼",2,IF(AT8="長い下ヒゲ(反発)",-2,0)))</f>
        <v>0</v>
      </c>
      <c r="BA8">
        <f>IFERROR((SUM(OFFSET(高値!$E$6,IFERROR(MATCH($C8,銘柄管理!$B$6:$B$305,0),MATCH(TEXT($C8,"0"),銘柄管理!$B$6:$B$305,0))-1,0,1,14))-SUM(OFFSET(安値!$E$6,IFERROR(MATCH($C8,銘柄管理!$B$6:$B$305,0),MATCH(TEXT($C8,"0"),銘柄管理!$B$6:$B$305,0))-1,0,1,14)))/SUM(OFFSET(終値!$E$6,IFERROR(MATCH($C8,銘柄管理!$B$6:$B$305,0),MATCH(TEXT($C8,"0"),銘柄管理!$B$6:$B$305,0))-1,0,1,14))*100,"")</f>
      </c>
      <c r="BB8">
        <f>IFERROR((MAX(OFFSET(高値!$E$6,IFERROR(MATCH($C8,銘柄管理!$B$6:$B$305,0),MATCH(TEXT($C8,"0"),銘柄管理!$B$6:$B$305,0))-1,0,1,25))-MIN(OFFSET(安値!$E$6,IFERROR(MATCH($C8,銘柄管理!$B$6:$B$305,0),MATCH(TEXT($C8,"0"),銘柄管理!$B$6:$B$305,0))-1,0,1,25)))/$E8*100,"")</f>
      </c>
      <c r="BC8">
        <f>IFERROR(($F8-$G8)/$G8*100,"")</f>
      </c>
      <c r="BD8">
        <f>IFERROR(($E8-MAX(OFFSET(高値!$E$6,IFERROR(MATCH($C8,銘柄管理!$B$6:$B$305,0),MATCH(TEXT($C8,"0"),銘柄管理!$B$6:$B$305,0))-1,0,1,25)))/MAX(OFFSET(高値!$E$6,IFERROR(MATCH($C8,銘柄管理!$B$6:$B$305,0),MATCH(TEXT($C8,"0"),銘柄管理!$B$6:$B$305,0))-1,0,1,25))*100,"")</f>
      </c>
      <c r="BE8">
        <f>IFERROR(($H8-$I8)/$F8*100,"")</f>
      </c>
      <c r="BF8">
        <f>IFERROR(-(($BA8-AVERAGE($BA$3:$BA$206))/STDEV($BA$3:$BA$206))-(($BE8-AVERAGE($BE$3:$BE$206))/STDEV($BE$3:$BE$206))-(($BB8-AVERAGE($BB$3:$BB$206))/STDEV($BB$3:$BB$206))-(($Z8-AVERAGE($Z$3:$Z$206))/STDEV($Z$3:$Z$206))-(($BC8-AVERAGE($BC$3:$BC$206))/STDEV($BC$3:$BC$206)),"")</f>
      </c>
      <c r="BG8">
        <f>IF(OR($C8="",$C8="TOPX",$BA8="",$BF8=""),0,IF(AND($BK$10=1,$BA8&lt;=$BK$2,$BB8&lt;=$BK$3,$BC8&lt;=$BK$4,$Z8&lt;=$BK$5,$Z8&gt;=$BK$6,$BD8&gt;=$BK$7,$BE8&lt;=$BK$8),1,0))</f>
      </c>
      <c r="BH8">
        <f>IF($C8="","",IF($BG8=1,"○ゲート通過",IF($BK$10&lt;&gt;1,"― この方向は停止中",IF($BA8&gt;$BK$2,"×値動きが荒い",IF($BB8&gt;$BK$3,"×レンジが広い",IF($BC8&gt;$BK$4,"×窓を開けて上昇",IF($Z8&gt;$BK$5,"×前日に急騰",IF($Z8&lt;$BK$6,"×前日に急落",IF($BD8&lt;$BK$7,"×高値から離れすぎ",IF($BE8&gt;$BK$8,"×当日の値幅が大きい","×")))))))))</f>
      </c>
      <c r="BJ8" t="inlineStr">
        <is>
          <t>日中レンジ率 上限(%)</t>
        </is>
      </c>
      <c r="BK8">
        <v>2.0</v>
      </c>
    </row>
    <row r="9" spans="1:63"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IF(AND(E9&lt;&gt;"",K9&lt;&gt;"",K9&lt;&gt;0),(E9-K9)/K9*100,"")</f>
        <v>-56.340909090909086</v>
      </c>
      <c r="M9" s="326">
        <f>IF(C9&lt;&gt;"",IFERROR(AVERAGE(出来高!E129:I129),""),"")</f>
        <v>202440</v>
      </c>
      <c r="N9" s="326">
        <f>IF(C9&lt;&gt;"",IFERROR(AVERAGE(出来高!E129:AC129),""),"")</f>
        <v>179728</v>
      </c>
      <c r="O9" s="328">
        <f>IF(AND(J9&lt;&gt;"",M9&lt;&gt;"",M9&lt;&gt;0),J9/M9,"")</f>
        <v>0.80073108081406841</v>
      </c>
      <c r="P9" s="325" t="str">
        <f>IF(O9="","",IF(O9&gt;=2,"急増↑↑",IF(O9&gt;=1.5,"増加↑",IF(O9&gt;=1,"普通→","減少↓"))))</f>
        <v>減少↓</v>
      </c>
      <c r="Q9" s="325" t="str">
        <f>IF(E9="","",IF(AND(E9&lt;G9,O9&gt;=1.5),"売り▼",IF(E9&gt;G9,"様子見▲","中立→")))</f>
        <v>中立→</v>
      </c>
      <c r="R9" s="326">
        <f>IF(E9&lt;&gt;"",ROUND(E9*0.92,0),"")</f>
        <v>1767</v>
      </c>
      <c r="S9" s="326">
        <f>IF(E9&lt;&gt;"",ROUND(E9*1.04,0),"")</f>
        <v>1998</v>
      </c>
      <c r="T9" s="325">
        <f>IF(C9="","",IFERROR(IF(W9&gt;=70,3,IF(W9&gt;=60,2,IF(W9&gt;=50,1,0)))+IF(X9&lt;0,2,0)+IF(AD9="下降トレンド▼",3,IF(AD9="もみ合い→",1,0))+IF(V9="年初来安値圏●",3,IF(V9="安値圏",2,0))+IF(Q9="売り▼",2,0)+IF(P9="急増↑↑",2,IF(P9="増加↑",1,0))+IF(Z9&lt;0,1,0)+IF(L9&lt;=-30,2,IF(L9&lt;=-15,1,0))+IF(AE9="25日戻り売り★",2,IF(AE9="5日戻り売り○",1,0))+N(AL9)+N(AP9)+N(AU9),0))</f>
        <v>12</v>
      </c>
      <c r="U9" s="325" t="str">
        <f>IF(T9="","",IF(AND(T9&gt;=3,O9&gt;=1.5),"有効",IF(T9&gt;=3,"要確認","除外")))</f>
        <v>要確認</v>
      </c>
      <c r="V9" s="325" t="str">
        <f>IF(AND(I9&lt;&gt;"",K9&lt;&gt;""),IF(I9&lt;=K9*0.6,"年初来安値圏●",IF(I9&lt;=K9*0.75,"安値圏","通常")),"")</f>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IF(AF9="","",AF9&amp;" | "&amp;AD9&amp;IF(AE9&lt;&gt;"なし"," "&amp;AE9,"")&amp;IF(X9&lt;0," MACD-"," MACD+")&amp;" RSI:"&amp;TEXT(W9,"0.0")&amp;IF(W9&gt;=70," [過熱]",IF(W9&lt;=30," [売られ過ぎ]",""))&amp;" 前日比:"&amp;TEXT(Z9,"+0.0;-0.0;0.0")&amp;"%"&amp;IF(V9="年初来安値圏●"," [年初来安値圏]",IF(V9="安値圏"," [安値圏]",""))&amp;IF(OR(AO9="通常",AO9="-"),""," ["&amp;AO9&amp;"]")&amp;IF(OR(AT9="通常",AT9="-"),"","前日["&amp;AT9&amp;"]")&amp;" ["&amp;T9&amp;"点]")</f>
        <v>相場上昇・見送り | パーフェクト▲ MACD- RSI:50.1 前日比:-1.4% [年初来安値圏] [12点]</v>
      </c>
      <c r="Z9" s="331">
        <f>IF(AND(E9&lt;&gt;"",G9&lt;&gt;"",G9&lt;&gt;0),(E9-G9)/G9*100,"")</f>
        <v>-1.4366341713699333</v>
      </c>
      <c r="AA9" s="325" t="str">
        <f>IF(OR(C9="",E9="",E9=0),"",IF(E9&gt;G9,"上昇▲",IF(E9&lt;G9,"下落▼","横ばい→")))</f>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IF(OR(C9="",AB9="",AC9="",AB9=0,AC9=0),"",IF(AND(E9&gt;AB9,AB9&gt;AC9),"パーフェクト▲",IF(E9&gt;AC9,"上昇トレンド▲",IF(AND(E9&lt;AB9,AB9&lt;AC9),"下降トレンド▼","もみ合い→"))))</f>
        <v>パーフェクト▲</v>
      </c>
      <c r="AE9" s="325" t="str">
        <f>IF(OR(C9="",AB9="",AC9=""),"",IF(AND(ABS(E9-AC9)/AC9&lt;=0.02,E9&lt;AC9),"25日戻り売り★",IF(AND(ABS(E9-AB9)/AB9&lt;=0.01,E9&lt;AB9),"5日戻り売り○","なし")))</f>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IF(AND(T9&gt;=7,C9&lt;&gt;""),T9,0)</f>
        <v>12</v>
      </c>
      <c r="AH9">
        <f>IF(AG9&gt;0,AG9*10000-ROW(A9),0)</f>
        <v>119991</v>
      </c>
      <c r="AI9" s="373">
        <f t="array" ref="AI9">IF(C9="","",IFERROR((INDEX(終値!$E:$E,MATCH(TEXT(C9,"0"),終値!$A:$A,0))-INDEX(終値!$E:$CZ,MATCH(TEXT(C9,"0"),終値!$A:$A,0),$AN$2))/INDEX(終値!$E:$CZ,MATCH(TEXT(C9,"0"),終値!$A:$A,0),$AN$2)*100,""))</f>
        <v>-5.0889328063241104</v>
      </c>
      <c r="AJ9" s="373">
        <f t="array" ref="AJ9">IFERROR((終値!$E$5-INDEX(終値!$E$5:$IT$5,1,$AN$2))/INDEX(終値!$E$5:$IT$5,1,$AN$2)*100,"")</f>
        <v>1.0179378228534113</v>
      </c>
      <c r="AK9" s="374">
        <f>IF(OR(AI9="",AJ9=""),"",AI9-AJ9)</f>
        <v>-6.1068706291775214</v>
      </c>
      <c r="AL9" s="372">
        <f>IF(AK9="","",IF(AK9&lt;-5,3,IF(AK9&lt;0,1,IF(AK9&lt;3,-1,-2))))</f>
        <v>3</v>
      </c>
      <c r="AO9" s="376" t="str">
        <f>IF(OR($C9="",$E9="",$F9="",$H9="",$I9="",$H9-$I9&lt;=0),"-",IF(AND($H9-MAX($F9,$E9)&gt;=ABS($E9-$F9)*2,MIN($F9,$E9)-$I9&lt;=ABS($E9-$F9)*0.5,ABS($E9-$F9)&gt;0),"上ヒゲ陰線▼",IF(AND($E9&lt;$F9,ABS($E9-$F9)&gt;=($H9-$I9)*0.7),"大陰線▼",IF(AND(MIN($F9,$E9)-$I9&gt;=($H9-$I9)*0.5,$H9-MAX($F9,$E9)&lt;=($H9-$I9)*0.2),"長い下ヒゲ(反発警戒)","通常"))))</f>
        <v>通常</v>
      </c>
      <c r="AP9" s="377">
        <f>IF($AO9="上ヒゲ陰線▼",2,IF($AO9="大陰線▼",2,IF($AO9="長い下ヒゲ(反発警戒)",-2,0)))</f>
        <v>0</v>
      </c>
      <c r="AQ9">
        <f>IF(C9&lt;&gt;"",始値!F129,"")</f>
        <v>1888</v>
      </c>
      <c r="AR9">
        <f>IF(C9&lt;&gt;"",高値!F129,"")</f>
        <v>1958</v>
      </c>
      <c r="AS9">
        <f>IF(C9&lt;&gt;"",安値!F129,"")</f>
        <v>1853</v>
      </c>
      <c r="AT9" t="str">
        <f>IF(OR(C9="",AQ9="",AR9="",AS9="",AR9-AS9&lt;=0),"-",IF(AND(AR9-MAX(G9,AQ9)&gt;=ABS(G9-AQ9)*2,MIN(G9,AQ9)-AS9&lt;=ABS(G9-AQ9)*0.5,ABS(G9-AQ9)&gt;0),"上ヒゲ陰線▼",IF(AND(G9&lt;AQ9,ABS(G9-AQ9)&gt;=(AR9-AS9)*0.7),"大陰線▼",IF(AND(MIN(G9,AQ9)-AS9&gt;=(AR9-AS9)*0.5,AR9-MAX(G9,AQ9)&lt;=(AR9-AS9)*0.2),"長い下ヒゲ(反発)","通常"))))</f>
        <v>通常</v>
      </c>
      <c r="AU9">
        <f>IF(AT9="上ヒゲ陰線▼",2,IF(AT9="大陰線▼",2,IF(AT9="長い下ヒゲ(反発)",-2,0)))</f>
        <v>0</v>
      </c>
      <c r="BA9">
        <f>IFERROR((SUM(OFFSET(高値!$E$6,IFERROR(MATCH($C9,銘柄管理!$B$6:$B$305,0),MATCH(TEXT($C9,"0"),銘柄管理!$B$6:$B$305,0))-1,0,1,14))-SUM(OFFSET(安値!$E$6,IFERROR(MATCH($C9,銘柄管理!$B$6:$B$305,0),MATCH(TEXT($C9,"0"),銘柄管理!$B$6:$B$305,0))-1,0,1,14)))/SUM(OFFSET(終値!$E$6,IFERROR(MATCH($C9,銘柄管理!$B$6:$B$305,0),MATCH(TEXT($C9,"0"),銘柄管理!$B$6:$B$305,0))-1,0,1,14))*100,"")</f>
      </c>
      <c r="BB9">
        <f>IFERROR((MAX(OFFSET(高値!$E$6,IFERROR(MATCH($C9,銘柄管理!$B$6:$B$305,0),MATCH(TEXT($C9,"0"),銘柄管理!$B$6:$B$305,0))-1,0,1,25))-MIN(OFFSET(安値!$E$6,IFERROR(MATCH($C9,銘柄管理!$B$6:$B$305,0),MATCH(TEXT($C9,"0"),銘柄管理!$B$6:$B$305,0))-1,0,1,25)))/$E9*100,"")</f>
      </c>
      <c r="BC9">
        <f>IFERROR(($F9-$G9)/$G9*100,"")</f>
      </c>
      <c r="BD9">
        <f>IFERROR(($E9-MAX(OFFSET(高値!$E$6,IFERROR(MATCH($C9,銘柄管理!$B$6:$B$305,0),MATCH(TEXT($C9,"0"),銘柄管理!$B$6:$B$305,0))-1,0,1,25)))/MAX(OFFSET(高値!$E$6,IFERROR(MATCH($C9,銘柄管理!$B$6:$B$305,0),MATCH(TEXT($C9,"0"),銘柄管理!$B$6:$B$305,0))-1,0,1,25))*100,"")</f>
      </c>
      <c r="BE9">
        <f>IFERROR(($H9-$I9)/$F9*100,"")</f>
      </c>
      <c r="BF9">
        <f>IFERROR(-(($BA9-AVERAGE($BA$3:$BA$206))/STDEV($BA$3:$BA$206))-(($BE9-AVERAGE($BE$3:$BE$206))/STDEV($BE$3:$BE$206))-(($BB9-AVERAGE($BB$3:$BB$206))/STDEV($BB$3:$BB$206))-(($Z9-AVERAGE($Z$3:$Z$206))/STDEV($Z$3:$Z$206))-(($BC9-AVERAGE($BC$3:$BC$206))/STDEV($BC$3:$BC$206)),"")</f>
      </c>
      <c r="BG9">
        <f>IF(OR($C9="",$C9="TOPX",$BA9="",$BF9=""),0,IF(AND($BK$10=1,$BA9&lt;=$BK$2,$BB9&lt;=$BK$3,$BC9&lt;=$BK$4,$Z9&lt;=$BK$5,$Z9&gt;=$BK$6,$BD9&gt;=$BK$7,$BE9&lt;=$BK$8),1,0))</f>
      </c>
      <c r="BH9">
        <f>IF($C9="","",IF($BG9=1,"○ゲート通過",IF($BK$10&lt;&gt;1,"― この方向は停止中",IF($BA9&gt;$BK$2,"×値動きが荒い",IF($BB9&gt;$BK$3,"×レンジが広い",IF($BC9&gt;$BK$4,"×窓を開けて上昇",IF($Z9&gt;$BK$5,"×前日に急騰",IF($Z9&lt;$BK$6,"×前日に急落",IF($BD9&lt;$BK$7,"×高値から離れすぎ",IF($BE9&gt;$BK$8,"×当日の値幅が大きい","×")))))))))</f>
      </c>
      <c r="BJ9" t="inlineStr">
        <is>
          <t>1日の採用上限(件)</t>
        </is>
      </c>
      <c r="BK9">
        <v>3</v>
      </c>
    </row>
    <row r="10" spans="1:63"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IF(AND(E10&lt;&gt;"",K10&lt;&gt;"",K10&lt;&gt;0),(E10-K10)/K10*100,"")</f>
        <v>-47.483443708609272</v>
      </c>
      <c r="M10" s="333">
        <f>IF(C10&lt;&gt;"",IFERROR(AVERAGE(出来高!E145:I145),""),"")</f>
        <v>530680</v>
      </c>
      <c r="N10" s="333">
        <f>IF(C10&lt;&gt;"",IFERROR(AVERAGE(出来高!E145:AC145),""),"")</f>
        <v>460096</v>
      </c>
      <c r="O10" s="335">
        <f>IF(AND(J10&lt;&gt;"",M10&lt;&gt;"",M10&lt;&gt;0),J10/M10,"")</f>
        <v>1.1157382980327128</v>
      </c>
      <c r="P10" s="212" t="str">
        <f>IF(O10="","",IF(O10&gt;=2,"急増↑↑",IF(O10&gt;=1.5,"増加↑",IF(O10&gt;=1,"普通→","減少↓"))))</f>
        <v>普通→</v>
      </c>
      <c r="Q10" s="212" t="str">
        <f>IF(E10="","",IF(AND(E10&lt;G10,O10&gt;=1.5),"売り▼",IF(E10&gt;G10,"様子見▲","中立→")))</f>
        <v>中立→</v>
      </c>
      <c r="R10" s="333">
        <f>IF(E10&lt;&gt;"",ROUND(E10*0.92,0),"")</f>
        <v>21887</v>
      </c>
      <c r="S10" s="333">
        <f>IF(E10&lt;&gt;"",ROUND(E10*1.04,0),"")</f>
        <v>24742</v>
      </c>
      <c r="T10" s="325">
        <f>IF(C10="","",IFERROR(IF(W10&gt;=70,3,IF(W10&gt;=60,2,IF(W10&gt;=50,1,0)))+IF(X10&lt;0,2,0)+IF(AD10="下降トレンド▼",3,IF(AD10="もみ合い→",1,0))+IF(V10="年初来安値圏●",3,IF(V10="安値圏",2,0))+IF(Q10="売り▼",2,0)+IF(P10="急増↑↑",2,IF(P10="増加↑",1,0))+IF(Z10&lt;0,1,0)+IF(L10&lt;=-30,2,IF(L10&lt;=-15,1,0))+IF(AE10="25日戻り売り★",2,IF(AE10="5日戻り売り○",1,0))+N(AL10)+N(AP10)+N(AU10),0))</f>
        <v>11</v>
      </c>
      <c r="U10" s="212" t="str">
        <f>IF(T10="","",IF(AND(T10&gt;=3,O10&gt;=1.5),"有効",IF(T10&gt;=3,"要確認","除外")))</f>
        <v>要確認</v>
      </c>
      <c r="V10" s="212" t="str">
        <f>IF(AND(I10&lt;&gt;"",K10&lt;&gt;""),IF(I10&lt;=K10*0.6,"年初来安値圏●",IF(I10&lt;=K10*0.75,"安値圏","通常")),"")</f>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IF(AF10="","",AF10&amp;" | "&amp;AD10&amp;IF(AE10&lt;&gt;"なし"," "&amp;AE10,"")&amp;IF(X10&lt;0," MACD-"," MACD+")&amp;" RSI:"&amp;TEXT(W10,"0.0")&amp;IF(W10&gt;=70," [過熱]",IF(W10&lt;=30," [売られ過ぎ]",""))&amp;" 前日比:"&amp;TEXT(Z10,"+0.0;-0.0;0.0")&amp;"%"&amp;IF(V10="年初来安値圏●"," [年初来安値圏]",IF(V10="安値圏"," [安値圏]",""))&amp;IF(OR(AO10="通常",AO10="-"),""," ["&amp;AO10&amp;"]")&amp;IF(OR(AT10="通常",AT10="-"),"","前日["&amp;AT10&amp;"]")&amp;" ["&amp;T10&amp;"点]")</f>
        <v>相場上昇・見送り | パーフェクト▲ MACD- RSI:44.2 前日比:-4.1% [年初来安値圏] [11点]</v>
      </c>
      <c r="Z10" s="338">
        <f>IF(AND(E10&lt;&gt;"",G10&lt;&gt;"",G10&lt;&gt;0),(E10-G10)/G10*100,"")</f>
        <v>-4.07258064516129</v>
      </c>
      <c r="AA10" s="212" t="str">
        <f>IF(OR(C10="",E10="",E10=0),"",IF(E10&gt;G10,"上昇▲",IF(E10&lt;G10,"下落▼","横ばい→")))</f>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IF(OR(C10="",AB10="",AC10="",AB10=0,AC10=0),"",IF(AND(E10&gt;AB10,AB10&gt;AC10),"パーフェクト▲",IF(E10&gt;AC10,"上昇トレンド▲",IF(AND(E10&lt;AB10,AB10&lt;AC10),"下降トレンド▼","もみ合い→"))))</f>
        <v>パーフェクト▲</v>
      </c>
      <c r="AE10" s="212" t="str">
        <f>IF(OR(C10="",AB10="",AC10=""),"",IF(AND(ABS(E10-AC10)/AC10&lt;=0.02,E10&lt;AC10),"25日戻り売り★",IF(AND(ABS(E10-AB10)/AB10&lt;=0.01,E10&lt;AB10),"5日戻り売り○","なし")))</f>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IF(AND(T10&gt;=7,C10&lt;&gt;""),T10,0)</f>
        <v>11</v>
      </c>
      <c r="AH10">
        <f>IF(AG10&gt;0,AG10*10000-ROW(A10),0)</f>
        <v>109990</v>
      </c>
      <c r="AI10" s="373">
        <f t="array" ref="AI10">IF(C10="","",IFERROR((INDEX(終値!$E:$E,MATCH(TEXT(C10,"0"),終値!$A:$A,0))-INDEX(終値!$E:$CZ,MATCH(TEXT(C10,"0"),終値!$A:$A,0),$AN$2))/INDEX(終値!$E:$CZ,MATCH(TEXT(C10,"0"),終値!$A:$A,0),$AN$2)*100,""))</f>
        <v>-19.410569105691057</v>
      </c>
      <c r="AJ10" s="373">
        <f t="array" ref="AJ10">IFERROR((終値!$E$5-INDEX(終値!$E$5:$IT$5,1,$AN$2))/INDEX(終値!$E$5:$IT$5,1,$AN$2)*100,"")</f>
        <v>1.0179378228534113</v>
      </c>
      <c r="AK10" s="374">
        <f>IF(OR(AI10="",AJ10=""),"",AI10-AJ10)</f>
        <v>-20.428506928544468</v>
      </c>
      <c r="AL10" s="372">
        <f>IF(AK10="","",IF(AK10&lt;-5,3,IF(AK10&lt;0,1,IF(AK10&lt;3,-1,-2))))</f>
        <v>3</v>
      </c>
      <c r="AO10" s="376" t="str">
        <f>IF(OR($C10="",$E10="",$F10="",$H10="",$I10="",$H10-$I10&lt;=0),"-",IF(AND($H10-MAX($F10,$E10)&gt;=ABS($E10-$F10)*2,MIN($F10,$E10)-$I10&lt;=ABS($E10-$F10)*0.5,ABS($E10-$F10)&gt;0),"上ヒゲ陰線▼",IF(AND($E10&lt;$F10,ABS($E10-$F10)&gt;=($H10-$I10)*0.7),"大陰線▼",IF(AND(MIN($F10,$E10)-$I10&gt;=($H10-$I10)*0.5,$H10-MAX($F10,$E10)&lt;=($H10-$I10)*0.2),"長い下ヒゲ(反発警戒)","通常"))))</f>
        <v>通常</v>
      </c>
      <c r="AP10" s="377">
        <f>IF($AO10="上ヒゲ陰線▼",2,IF($AO10="大陰線▼",2,IF($AO10="長い下ヒゲ(反発警戒)",-2,0)))</f>
        <v>0</v>
      </c>
      <c r="AQ10">
        <f>IF(C10&lt;&gt;"",始値!F145,"")</f>
        <v>23340</v>
      </c>
      <c r="AR10">
        <f>IF(C10&lt;&gt;"",高値!F145,"")</f>
        <v>25060</v>
      </c>
      <c r="AS10">
        <f>IF(C10&lt;&gt;"",安値!F145,"")</f>
        <v>22980</v>
      </c>
      <c r="AT10" t="str">
        <f>IF(OR(C10="",AQ10="",AR10="",AS10="",AR10-AS10&lt;=0),"-",IF(AND(AR10-MAX(G10,AQ10)&gt;=ABS(G10-AQ10)*2,MIN(G10,AQ10)-AS10&lt;=ABS(G10-AQ10)*0.5,ABS(G10-AQ10)&gt;0),"上ヒゲ陰線▼",IF(AND(G10&lt;AQ10,ABS(G10-AQ10)&gt;=(AR10-AS10)*0.7),"大陰線▼",IF(AND(MIN(G10,AQ10)-AS10&gt;=(AR10-AS10)*0.5,AR10-MAX(G10,AQ10)&lt;=(AR10-AS10)*0.2),"長い下ヒゲ(反発)","通常"))))</f>
        <v>通常</v>
      </c>
      <c r="AU10">
        <f>IF(AT10="上ヒゲ陰線▼",2,IF(AT10="大陰線▼",2,IF(AT10="長い下ヒゲ(反発)",-2,0)))</f>
        <v>0</v>
      </c>
      <c r="BA10">
        <f>IFERROR((SUM(OFFSET(高値!$E$6,IFERROR(MATCH($C10,銘柄管理!$B$6:$B$305,0),MATCH(TEXT($C10,"0"),銘柄管理!$B$6:$B$305,0))-1,0,1,14))-SUM(OFFSET(安値!$E$6,IFERROR(MATCH($C10,銘柄管理!$B$6:$B$305,0),MATCH(TEXT($C10,"0"),銘柄管理!$B$6:$B$305,0))-1,0,1,14)))/SUM(OFFSET(終値!$E$6,IFERROR(MATCH($C10,銘柄管理!$B$6:$B$305,0),MATCH(TEXT($C10,"0"),銘柄管理!$B$6:$B$305,0))-1,0,1,14))*100,"")</f>
      </c>
      <c r="BB10">
        <f>IFERROR((MAX(OFFSET(高値!$E$6,IFERROR(MATCH($C10,銘柄管理!$B$6:$B$305,0),MATCH(TEXT($C10,"0"),銘柄管理!$B$6:$B$305,0))-1,0,1,25))-MIN(OFFSET(安値!$E$6,IFERROR(MATCH($C10,銘柄管理!$B$6:$B$305,0),MATCH(TEXT($C10,"0"),銘柄管理!$B$6:$B$305,0))-1,0,1,25)))/$E10*100,"")</f>
      </c>
      <c r="BC10">
        <f>IFERROR(($F10-$G10)/$G10*100,"")</f>
      </c>
      <c r="BD10">
        <f>IFERROR(($E10-MAX(OFFSET(高値!$E$6,IFERROR(MATCH($C10,銘柄管理!$B$6:$B$305,0),MATCH(TEXT($C10,"0"),銘柄管理!$B$6:$B$305,0))-1,0,1,25)))/MAX(OFFSET(高値!$E$6,IFERROR(MATCH($C10,銘柄管理!$B$6:$B$305,0),MATCH(TEXT($C10,"0"),銘柄管理!$B$6:$B$305,0))-1,0,1,25))*100,"")</f>
      </c>
      <c r="BE10">
        <f>IFERROR(($H10-$I10)/$F10*100,"")</f>
      </c>
      <c r="BF10">
        <f>IFERROR(-(($BA10-AVERAGE($BA$3:$BA$206))/STDEV($BA$3:$BA$206))-(($BE10-AVERAGE($BE$3:$BE$206))/STDEV($BE$3:$BE$206))-(($BB10-AVERAGE($BB$3:$BB$206))/STDEV($BB$3:$BB$206))-(($Z10-AVERAGE($Z$3:$Z$206))/STDEV($Z$3:$Z$206))-(($BC10-AVERAGE($BC$3:$BC$206))/STDEV($BC$3:$BC$206)),"")</f>
      </c>
      <c r="BG10">
        <f>IF(OR($C10="",$C10="TOPX",$BA10="",$BF10=""),0,IF(AND($BK$10=1,$BA10&lt;=$BK$2,$BB10&lt;=$BK$3,$BC10&lt;=$BK$4,$Z10&lt;=$BK$5,$Z10&gt;=$BK$6,$BD10&gt;=$BK$7,$BE10&lt;=$BK$8),1,0))</f>
      </c>
      <c r="BH10">
        <f>IF($C10="","",IF($BG10=1,"○ゲート通過",IF($BK$10&lt;&gt;1,"― この方向は停止中",IF($BA10&gt;$BK$2,"×値動きが荒い",IF($BB10&gt;$BK$3,"×レンジが広い",IF($BC10&gt;$BK$4,"×窓を開けて上昇",IF($Z10&gt;$BK$5,"×前日に急騰",IF($Z10&lt;$BK$6,"×前日に急落",IF($BD10&lt;$BK$7,"×高値から離れすぎ",IF($BE10&gt;$BK$8,"×当日の値幅が大きい","×")))))))))</f>
      </c>
      <c r="BJ10" t="inlineStr">
        <is>
          <t>この方向を使う 1=使う 0=停止</t>
        </is>
      </c>
      <c r="BK10">
        <v>0</v>
      </c>
    </row>
    <row r="11" spans="1:60"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IF(AND(E11&lt;&gt;"",K11&lt;&gt;"",K11&lt;&gt;0),(E11-K11)/K11*100,"")</f>
        <v>-44.592720970537265</v>
      </c>
      <c r="M11" s="326">
        <f>IF(C11&lt;&gt;"",IFERROR(AVERAGE(出来高!E6:I6),""),"")</f>
        <v>1407920</v>
      </c>
      <c r="N11" s="326">
        <f>IF(C11&lt;&gt;"",IFERROR(AVERAGE(出来高!E6:AC6),""),"")</f>
        <v>1315992</v>
      </c>
      <c r="O11" s="328">
        <f>IF(AND(J11&lt;&gt;"",M11&lt;&gt;"",M11&lt;&gt;0),J11/M11,"")</f>
        <v>0.97157508949372129</v>
      </c>
      <c r="P11" s="325" t="str">
        <f>IF(O11="","",IF(O11&gt;=2,"急増↑↑",IF(O11&gt;=1.5,"増加↑",IF(O11&gt;=1,"普通→","減少↓"))))</f>
        <v>減少↓</v>
      </c>
      <c r="Q11" s="325" t="str">
        <f>IF(E11="","",IF(AND(E11&lt;G11,O11&gt;=1.5),"売り▼",IF(E11&gt;G11,"様子見▲","中立→")))</f>
        <v>中立→</v>
      </c>
      <c r="R11" s="326">
        <f>IF(E11&lt;&gt;"",ROUND(E11*0.92,0),"")</f>
        <v>29412</v>
      </c>
      <c r="S11" s="326">
        <f>IF(E11&lt;&gt;"",ROUND(E11*1.04,0),"")</f>
        <v>33249</v>
      </c>
      <c r="T11" s="325">
        <f>IF(C11="","",IFERROR(IF(W11&gt;=70,3,IF(W11&gt;=60,2,IF(W11&gt;=50,1,0)))+IF(X11&lt;0,2,0)+IF(AD11="下降トレンド▼",3,IF(AD11="もみ合い→",1,0))+IF(V11="年初来安値圏●",3,IF(V11="安値圏",2,0))+IF(Q11="売り▼",2,0)+IF(P11="急増↑↑",2,IF(P11="増加↑",1,0))+IF(Z11&lt;0,1,0)+IF(L11&lt;=-30,2,IF(L11&lt;=-15,1,0))+IF(AE11="25日戻り売り★",2,IF(AE11="5日戻り売り○",1,0))+N(AL11)+N(AP11)+N(AU11),0))</f>
        <v>17</v>
      </c>
      <c r="U11" s="325" t="str">
        <f>IF(T11="","",IF(AND(T11&gt;=3,O11&gt;=1.5),"有効",IF(T11&gt;=3,"要確認","除外")))</f>
        <v>要確認</v>
      </c>
      <c r="V11" s="325" t="str">
        <f>IF(AND(I11&lt;&gt;"",K11&lt;&gt;""),IF(I11&lt;=K11*0.6,"年初来安値圏●",IF(I11&lt;=K11*0.75,"安値圏","通常")),"")</f>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IF(AF11="","",AF11&amp;" | "&amp;AD11&amp;IF(AE11&lt;&gt;"なし"," "&amp;AE11,"")&amp;IF(X11&lt;0," MACD-"," MACD+")&amp;" RSI:"&amp;TEXT(W11,"0.0")&amp;IF(W11&gt;=70," [過熱]",IF(W11&lt;=30," [売られ過ぎ]",""))&amp;" 前日比:"&amp;TEXT(Z11,"+0.0;-0.0;0.0")&amp;"%"&amp;IF(V11="年初来安値圏●"," [年初来安値圏]",IF(V11="安値圏"," [安値圏]",""))&amp;IF(OR(AO11="通常",AO11="-"),""," ["&amp;AO11&amp;"]")&amp;IF(OR(AT11="通常",AT11="-"),"","前日["&amp;AT11&amp;"]")&amp;" ["&amp;T11&amp;"点]")</f>
        <v>○逆張り売り | もみ合い→ 25日戻り売り★ MACD- RSI:50.7 前日比:-9.6% [年初来安値圏] [大陰線▼] [17点]</v>
      </c>
      <c r="Z11" s="331">
        <f>IF(AND(E11&lt;&gt;"",G11&lt;&gt;"",G11&lt;&gt;0),(E11-G11)/G11*100,"")</f>
        <v>-9.6382136800452241</v>
      </c>
      <c r="AA11" s="325" t="str">
        <f>IF(OR(C11="",E11="",E11=0),"",IF(E11&gt;G11,"上昇▲",IF(E11&lt;G11,"下落▼","横ばい→")))</f>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IF(OR(C11="",AB11="",AC11="",AB11=0,AC11=0),"",IF(AND(E11&gt;AB11,AB11&gt;AC11),"パーフェクト▲",IF(E11&gt;AC11,"上昇トレンド▲",IF(AND(E11&lt;AB11,AB11&lt;AC11),"下降トレンド▼","もみ合い→"))))</f>
        <v>もみ合い→</v>
      </c>
      <c r="AE11" s="325" t="str">
        <f>IF(OR(C11="",AB11="",AC11=""),"",IF(AND(ABS(E11-AC11)/AC11&lt;=0.02,E11&lt;AC11),"25日戻り売り★",IF(AND(ABS(E11-AB11)/AB11&lt;=0.01,E11&lt;AB11),"5日戻り売り○","なし")))</f>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IF(AND(T11&gt;=7,C11&lt;&gt;""),T11,0)</f>
        <v>17</v>
      </c>
      <c r="AH11">
        <f>IF(AG11&gt;0,AG11*10000-ROW(A11),0)</f>
        <v>169989</v>
      </c>
      <c r="AI11" s="373">
        <f t="array" ref="AI11">IF(C11="","",IFERROR((INDEX(終値!$E:$E,MATCH(TEXT(C11,"0"),終値!$A:$A,0))-INDEX(終値!$E:$CZ,MATCH(TEXT(C11,"0"),終値!$A:$A,0),$AN$2))/INDEX(終値!$E:$CZ,MATCH(TEXT(C11,"0"),終値!$A:$A,0),$AN$2)*100,""))</f>
        <v>-25.92678405931418</v>
      </c>
      <c r="AJ11" s="373">
        <f t="array" ref="AJ11">IFERROR((終値!$E$5-INDEX(終値!$E$5:$IT$5,1,$AN$2))/INDEX(終値!$E$5:$IT$5,1,$AN$2)*100,"")</f>
        <v>1.0179378228534113</v>
      </c>
      <c r="AK11" s="374">
        <f>IF(OR(AI11="",AJ11=""),"",AI11-AJ11)</f>
        <v>-26.944721882167592</v>
      </c>
      <c r="AL11" s="372">
        <f>IF(AK11="","",IF(AK11&lt;-5,3,IF(AK11&lt;0,1,IF(AK11&lt;3,-1,-2))))</f>
        <v>3</v>
      </c>
      <c r="AO11" s="376" t="str">
        <f>IF(OR($C11="",$E11="",$F11="",$H11="",$I11="",$H11-$I11&lt;=0),"-",IF(AND($H11-MAX($F11,$E11)&gt;=ABS($E11-$F11)*2,MIN($F11,$E11)-$I11&lt;=ABS($E11-$F11)*0.5,ABS($E11-$F11)&gt;0),"上ヒゲ陰線▼",IF(AND($E11&lt;$F11,ABS($E11-$F11)&gt;=($H11-$I11)*0.7),"大陰線▼",IF(AND(MIN($F11,$E11)-$I11&gt;=($H11-$I11)*0.5,$H11-MAX($F11,$E11)&lt;=($H11-$I11)*0.2),"長い下ヒゲ(反発警戒)","通常"))))</f>
        <v>大陰線▼</v>
      </c>
      <c r="AP11" s="377">
        <f>IF($AO11="上ヒゲ陰線▼",2,IF($AO11="大陰線▼",2,IF($AO11="長い下ヒゲ(反発警戒)",-2,0)))</f>
        <v>2</v>
      </c>
      <c r="AQ11">
        <f>IF(C11&lt;&gt;"",始値!F6,"")</f>
        <v>33900</v>
      </c>
      <c r="AR11">
        <f>IF(C11&lt;&gt;"",高値!F6,"")</f>
        <v>35440</v>
      </c>
      <c r="AS11">
        <f>IF(C11&lt;&gt;"",安値!F6,"")</f>
        <v>33370</v>
      </c>
      <c r="AT11" t="str">
        <f>IF(OR(C11="",AQ11="",AR11="",AS11="",AR11-AS11&lt;=0),"-",IF(AND(AR11-MAX(G11,AQ11)&gt;=ABS(G11-AQ11)*2,MIN(G11,AQ11)-AS11&lt;=ABS(G11-AQ11)*0.5,ABS(G11-AQ11)&gt;0),"上ヒゲ陰線▼",IF(AND(G11&lt;AQ11,ABS(G11-AQ11)&gt;=(AR11-AS11)*0.7),"大陰線▼",IF(AND(MIN(G11,AQ11)-AS11&gt;=(AR11-AS11)*0.5,AR11-MAX(G11,AQ11)&lt;=(AR11-AS11)*0.2),"長い下ヒゲ(反発)","通常"))))</f>
        <v>通常</v>
      </c>
      <c r="AU11">
        <f>IF(AT11="上ヒゲ陰線▼",2,IF(AT11="大陰線▼",2,IF(AT11="長い下ヒゲ(反発)",-2,0)))</f>
        <v>0</v>
      </c>
      <c r="BA11">
        <f>IFERROR((SUM(OFFSET(高値!$E$6,IFERROR(MATCH($C11,銘柄管理!$B$6:$B$305,0),MATCH(TEXT($C11,"0"),銘柄管理!$B$6:$B$305,0))-1,0,1,14))-SUM(OFFSET(安値!$E$6,IFERROR(MATCH($C11,銘柄管理!$B$6:$B$305,0),MATCH(TEXT($C11,"0"),銘柄管理!$B$6:$B$305,0))-1,0,1,14)))/SUM(OFFSET(終値!$E$6,IFERROR(MATCH($C11,銘柄管理!$B$6:$B$305,0),MATCH(TEXT($C11,"0"),銘柄管理!$B$6:$B$305,0))-1,0,1,14))*100,"")</f>
      </c>
      <c r="BB11">
        <f>IFERROR((MAX(OFFSET(高値!$E$6,IFERROR(MATCH($C11,銘柄管理!$B$6:$B$305,0),MATCH(TEXT($C11,"0"),銘柄管理!$B$6:$B$305,0))-1,0,1,25))-MIN(OFFSET(安値!$E$6,IFERROR(MATCH($C11,銘柄管理!$B$6:$B$305,0),MATCH(TEXT($C11,"0"),銘柄管理!$B$6:$B$305,0))-1,0,1,25)))/$E11*100,"")</f>
      </c>
      <c r="BC11">
        <f>IFERROR(($F11-$G11)/$G11*100,"")</f>
      </c>
      <c r="BD11">
        <f>IFERROR(($E11-MAX(OFFSET(高値!$E$6,IFERROR(MATCH($C11,銘柄管理!$B$6:$B$305,0),MATCH(TEXT($C11,"0"),銘柄管理!$B$6:$B$305,0))-1,0,1,25)))/MAX(OFFSET(高値!$E$6,IFERROR(MATCH($C11,銘柄管理!$B$6:$B$305,0),MATCH(TEXT($C11,"0"),銘柄管理!$B$6:$B$305,0))-1,0,1,25))*100,"")</f>
      </c>
      <c r="BE11">
        <f>IFERROR(($H11-$I11)/$F11*100,"")</f>
      </c>
      <c r="BF11">
        <f>IFERROR(-(($BA11-AVERAGE($BA$3:$BA$206))/STDEV($BA$3:$BA$206))-(($BE11-AVERAGE($BE$3:$BE$206))/STDEV($BE$3:$BE$206))-(($BB11-AVERAGE($BB$3:$BB$206))/STDEV($BB$3:$BB$206))-(($Z11-AVERAGE($Z$3:$Z$206))/STDEV($Z$3:$Z$206))-(($BC11-AVERAGE($BC$3:$BC$206))/STDEV($BC$3:$BC$206)),"")</f>
      </c>
      <c r="BG11">
        <f>IF(OR($C11="",$C11="TOPX",$BA11="",$BF11=""),0,IF(AND($BK$10=1,$BA11&lt;=$BK$2,$BB11&lt;=$BK$3,$BC11&lt;=$BK$4,$Z11&lt;=$BK$5,$Z11&gt;=$BK$6,$BD11&gt;=$BK$7,$BE11&lt;=$BK$8),1,0))</f>
      </c>
      <c r="BH11">
        <f>IF($C11="","",IF($BG11=1,"○ゲート通過",IF($BK$10&lt;&gt;1,"― この方向は停止中",IF($BA11&gt;$BK$2,"×値動きが荒い",IF($BB11&gt;$BK$3,"×レンジが広い",IF($BC11&gt;$BK$4,"×窓を開けて上昇",IF($Z11&gt;$BK$5,"×前日に急騰",IF($Z11&lt;$BK$6,"×前日に急落",IF($BD11&lt;$BK$7,"×高値から離れすぎ",IF($BE11&gt;$BK$8,"×当日の値幅が大きい","×")))))))))</f>
      </c>
    </row>
    <row r="12" spans="1:60"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IF(AND(E12&lt;&gt;"",K12&lt;&gt;"",K12&lt;&gt;0),(E12-K12)/K12*100,"")</f>
        <v>-31.284210526315793</v>
      </c>
      <c r="M12" s="333">
        <f>IF(C12&lt;&gt;"",IFERROR(AVERAGE(出来高!E21:I21),""),"")</f>
        <v>2113280</v>
      </c>
      <c r="N12" s="333">
        <f>IF(C12&lt;&gt;"",IFERROR(AVERAGE(出来高!E21:AC21),""),"")</f>
        <v>1391454.1666666667</v>
      </c>
      <c r="O12" s="335">
        <f>IF(AND(J12&lt;&gt;"",M12&lt;&gt;"",M12&lt;&gt;0),J12/M12,"")</f>
        <v>0.72148508479709272</v>
      </c>
      <c r="P12" s="212" t="str">
        <f>IF(O12="","",IF(O12&gt;=2,"急増↑↑",IF(O12&gt;=1.5,"増加↑",IF(O12&gt;=1,"普通→","減少↓"))))</f>
        <v>減少↓</v>
      </c>
      <c r="Q12" s="212" t="str">
        <f>IF(E12="","",IF(AND(E12&lt;G12,O12&gt;=1.5),"売り▼",IF(E12&gt;G12,"様子見▲","中立→")))</f>
        <v>中立→</v>
      </c>
      <c r="R12" s="333">
        <f>IF(E12&lt;&gt;"",ROUND(E12*0.92,0),"")</f>
        <v>6006</v>
      </c>
      <c r="S12" s="333">
        <f>IF(E12&lt;&gt;"",ROUND(E12*1.04,0),"")</f>
        <v>6789</v>
      </c>
      <c r="T12" s="325">
        <f>IF(C12="","",IFERROR(IF(W12&gt;=70,3,IF(W12&gt;=60,2,IF(W12&gt;=50,1,0)))+IF(X12&lt;0,2,0)+IF(AD12="下降トレンド▼",3,IF(AD12="もみ合い→",1,0))+IF(V12="年初来安値圏●",3,IF(V12="安値圏",2,0))+IF(Q12="売り▼",2,0)+IF(P12="急増↑↑",2,IF(P12="増加↑",1,0))+IF(Z12&lt;0,1,0)+IF(L12&lt;=-30,2,IF(L12&lt;=-15,1,0))+IF(AE12="25日戻り売り★",2,IF(AE12="5日戻り売り○",1,0))+N(AL12)+N(AP12)+N(AU12),0))</f>
        <v>11</v>
      </c>
      <c r="U12" s="212" t="str">
        <f>IF(T12="","",IF(AND(T12&gt;=3,O12&gt;=1.5),"有効",IF(T12&gt;=3,"要確認","除外")))</f>
        <v>要確認</v>
      </c>
      <c r="V12" s="212" t="str">
        <f>IF(AND(I12&lt;&gt;"",K12&lt;&gt;""),IF(I12&lt;=K12*0.6,"年初来安値圏●",IF(I12&lt;=K12*0.75,"安値圏","通常")),"")</f>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IF(AF12="","",AF12&amp;" | "&amp;AD12&amp;IF(AE12&lt;&gt;"なし"," "&amp;AE12,"")&amp;IF(X12&lt;0," MACD-"," MACD+")&amp;" RSI:"&amp;TEXT(W12,"0.0")&amp;IF(W12&gt;=70," [過熱]",IF(W12&lt;=30," [売られ過ぎ]",""))&amp;" 前日比:"&amp;TEXT(Z12,"+0.0;-0.0;0.0")&amp;"%"&amp;IF(V12="年初来安値圏●"," [年初来安値圏]",IF(V12="安値圏"," [安値圏]",""))&amp;IF(OR(AO12="通常",AO12="-"),""," ["&amp;AO12&amp;"]")&amp;IF(OR(AT12="通常",AT12="-"),"","前日["&amp;AT12&amp;"]")&amp;" ["&amp;T12&amp;"点]")</f>
        <v>相場上昇・見送り | もみ合い→ MACD- RSI:46.4 前日比:-1.7% [安値圏] [11点]</v>
      </c>
      <c r="Z12" s="338">
        <f>IF(AND(E12&lt;&gt;"",G12&lt;&gt;"",G12&lt;&gt;0),(E12-G12)/G12*100,"")</f>
        <v>-1.7459361830222759</v>
      </c>
      <c r="AA12" s="212" t="str">
        <f>IF(OR(C12="",E12="",E12=0),"",IF(E12&gt;G12,"上昇▲",IF(E12&lt;G12,"下落▼","横ばい→")))</f>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IF(OR(C12="",AB12="",AC12="",AB12=0,AC12=0),"",IF(AND(E12&gt;AB12,AB12&gt;AC12),"パーフェクト▲",IF(E12&gt;AC12,"上昇トレンド▲",IF(AND(E12&lt;AB12,AB12&lt;AC12),"下降トレンド▼","もみ合い→"))))</f>
        <v>もみ合い→</v>
      </c>
      <c r="AE12" s="212" t="str">
        <f>IF(OR(C12="",AB12="",AC12=""),"",IF(AND(ABS(E12-AC12)/AC12&lt;=0.02,E12&lt;AC12),"25日戻り売り★",IF(AND(ABS(E12-AB12)/AB12&lt;=0.01,E12&lt;AB12),"5日戻り売り○","なし")))</f>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IF(AND(T12&gt;=7,C12&lt;&gt;""),T12,0)</f>
        <v>11</v>
      </c>
      <c r="AH12">
        <f>IF(AG12&gt;0,AG12*10000-ROW(A12),0)</f>
        <v>109988</v>
      </c>
      <c r="AI12" s="373">
        <f t="array" ref="AI12">IF(C12="","",IFERROR((INDEX(終値!$E:$E,MATCH(TEXT(C12,"0"),終値!$A:$A,0))-INDEX(終値!$E:$CZ,MATCH(TEXT(C12,"0"),終値!$A:$A,0),$AN$2))/INDEX(終値!$E:$CZ,MATCH(TEXT(C12,"0"),終値!$A:$A,0),$AN$2)*100,""))</f>
        <v>-20.997216507321795</v>
      </c>
      <c r="AJ12" s="373">
        <f t="array" ref="AJ12">IFERROR((終値!$E$5-INDEX(終値!$E$5:$IT$5,1,$AN$2))/INDEX(終値!$E$5:$IT$5,1,$AN$2)*100,"")</f>
        <v>1.0179378228534113</v>
      </c>
      <c r="AK12" s="374">
        <f>IF(OR(AI12="",AJ12=""),"",AI12-AJ12)</f>
        <v>-22.015154330175207</v>
      </c>
      <c r="AL12" s="372">
        <f>IF(AK12="","",IF(AK12&lt;-5,3,IF(AK12&lt;0,1,IF(AK12&lt;3,-1,-2))))</f>
        <v>3</v>
      </c>
      <c r="AO12" s="376" t="str">
        <f>IF(OR($C12="",$E12="",$F12="",$H12="",$I12="",$H12-$I12&lt;=0),"-",IF(AND($H12-MAX($F12,$E12)&gt;=ABS($E12-$F12)*2,MIN($F12,$E12)-$I12&lt;=ABS($E12-$F12)*0.5,ABS($E12-$F12)&gt;0),"上ヒゲ陰線▼",IF(AND($E12&lt;$F12,ABS($E12-$F12)&gt;=($H12-$I12)*0.7),"大陰線▼",IF(AND(MIN($F12,$E12)-$I12&gt;=($H12-$I12)*0.5,$H12-MAX($F12,$E12)&lt;=($H12-$I12)*0.2),"長い下ヒゲ(反発警戒)","通常"))))</f>
        <v>通常</v>
      </c>
      <c r="AP12" s="377">
        <f>IF($AO12="上ヒゲ陰線▼",2,IF($AO12="大陰線▼",2,IF($AO12="長い下ヒゲ(反発警戒)",-2,0)))</f>
        <v>0</v>
      </c>
      <c r="AQ12">
        <f>IF(C12&lt;&gt;"",始値!F21,"")</f>
        <v>6352</v>
      </c>
      <c r="AR12">
        <f>IF(C12&lt;&gt;"",高値!F21,"")</f>
        <v>6662</v>
      </c>
      <c r="AS12">
        <f>IF(C12&lt;&gt;"",安値!F21,"")</f>
        <v>6344</v>
      </c>
      <c r="AT12" t="str">
        <f>IF(OR(C12="",AQ12="",AR12="",AS12="",AR12-AS12&lt;=0),"-",IF(AND(AR12-MAX(G12,AQ12)&gt;=ABS(G12-AQ12)*2,MIN(G12,AQ12)-AS12&lt;=ABS(G12-AQ12)*0.5,ABS(G12-AQ12)&gt;0),"上ヒゲ陰線▼",IF(AND(G12&lt;AQ12,ABS(G12-AQ12)&gt;=(AR12-AS12)*0.7),"大陰線▼",IF(AND(MIN(G12,AQ12)-AS12&gt;=(AR12-AS12)*0.5,AR12-MAX(G12,AQ12)&lt;=(AR12-AS12)*0.2),"長い下ヒゲ(反発)","通常"))))</f>
        <v>通常</v>
      </c>
      <c r="AU12">
        <f>IF(AT12="上ヒゲ陰線▼",2,IF(AT12="大陰線▼",2,IF(AT12="長い下ヒゲ(反発)",-2,0)))</f>
        <v>0</v>
      </c>
      <c r="BA12">
        <f>IFERROR((SUM(OFFSET(高値!$E$6,IFERROR(MATCH($C12,銘柄管理!$B$6:$B$305,0),MATCH(TEXT($C12,"0"),銘柄管理!$B$6:$B$305,0))-1,0,1,14))-SUM(OFFSET(安値!$E$6,IFERROR(MATCH($C12,銘柄管理!$B$6:$B$305,0),MATCH(TEXT($C12,"0"),銘柄管理!$B$6:$B$305,0))-1,0,1,14)))/SUM(OFFSET(終値!$E$6,IFERROR(MATCH($C12,銘柄管理!$B$6:$B$305,0),MATCH(TEXT($C12,"0"),銘柄管理!$B$6:$B$305,0))-1,0,1,14))*100,"")</f>
      </c>
      <c r="BB12">
        <f>IFERROR((MAX(OFFSET(高値!$E$6,IFERROR(MATCH($C12,銘柄管理!$B$6:$B$305,0),MATCH(TEXT($C12,"0"),銘柄管理!$B$6:$B$305,0))-1,0,1,25))-MIN(OFFSET(安値!$E$6,IFERROR(MATCH($C12,銘柄管理!$B$6:$B$305,0),MATCH(TEXT($C12,"0"),銘柄管理!$B$6:$B$305,0))-1,0,1,25)))/$E12*100,"")</f>
      </c>
      <c r="BC12">
        <f>IFERROR(($F12-$G12)/$G12*100,"")</f>
      </c>
      <c r="BD12">
        <f>IFERROR(($E12-MAX(OFFSET(高値!$E$6,IFERROR(MATCH($C12,銘柄管理!$B$6:$B$305,0),MATCH(TEXT($C12,"0"),銘柄管理!$B$6:$B$305,0))-1,0,1,25)))/MAX(OFFSET(高値!$E$6,IFERROR(MATCH($C12,銘柄管理!$B$6:$B$305,0),MATCH(TEXT($C12,"0"),銘柄管理!$B$6:$B$305,0))-1,0,1,25))*100,"")</f>
      </c>
      <c r="BE12">
        <f>IFERROR(($H12-$I12)/$F12*100,"")</f>
      </c>
      <c r="BF12">
        <f>IFERROR(-(($BA12-AVERAGE($BA$3:$BA$206))/STDEV($BA$3:$BA$206))-(($BE12-AVERAGE($BE$3:$BE$206))/STDEV($BE$3:$BE$206))-(($BB12-AVERAGE($BB$3:$BB$206))/STDEV($BB$3:$BB$206))-(($Z12-AVERAGE($Z$3:$Z$206))/STDEV($Z$3:$Z$206))-(($BC12-AVERAGE($BC$3:$BC$206))/STDEV($BC$3:$BC$206)),"")</f>
      </c>
      <c r="BG12">
        <f>IF(OR($C12="",$C12="TOPX",$BA12="",$BF12=""),0,IF(AND($BK$10=1,$BA12&lt;=$BK$2,$BB12&lt;=$BK$3,$BC12&lt;=$BK$4,$Z12&lt;=$BK$5,$Z12&gt;=$BK$6,$BD12&gt;=$BK$7,$BE12&lt;=$BK$8),1,0))</f>
      </c>
      <c r="BH12">
        <f>IF($C12="","",IF($BG12=1,"○ゲート通過",IF($BK$10&lt;&gt;1,"― この方向は停止中",IF($BA12&gt;$BK$2,"×値動きが荒い",IF($BB12&gt;$BK$3,"×レンジが広い",IF($BC12&gt;$BK$4,"×窓を開けて上昇",IF($Z12&gt;$BK$5,"×前日に急騰",IF($Z12&lt;$BK$6,"×前日に急落",IF($BD12&lt;$BK$7,"×高値から離れすぎ",IF($BE12&gt;$BK$8,"×当日の値幅が大きい","×")))))))))</f>
      </c>
    </row>
    <row r="13" spans="1:60"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IF(AND(E13&lt;&gt;"",K13&lt;&gt;"",K13&lt;&gt;0),(E13-K13)/K13*100,"")</f>
        <v>-0.61202767429483762</v>
      </c>
      <c r="M13" s="326">
        <f>IF(C13&lt;&gt;"",IFERROR(AVERAGE(出来高!E60:I60),""),"")</f>
        <v>310860</v>
      </c>
      <c r="N13" s="326">
        <f>IF(C13&lt;&gt;"",IFERROR(AVERAGE(出来高!E60:AC60),""),"")</f>
        <v>296464</v>
      </c>
      <c r="O13" s="328">
        <f>IF(AND(J13&lt;&gt;"",M13&lt;&gt;"",M13&lt;&gt;0),J13/M13,"")</f>
        <v>1.0419481438589719</v>
      </c>
      <c r="P13" s="325" t="str">
        <f>IF(O13="","",IF(O13&gt;=2,"急増↑↑",IF(O13&gt;=1.5,"増加↑",IF(O13&gt;=1,"普通→","減少↓"))))</f>
        <v>普通→</v>
      </c>
      <c r="Q13" s="325" t="str">
        <f>IF(E13="","",IF(AND(E13&lt;G13,O13&gt;=1.5),"売り▼",IF(E13&gt;G13,"様子見▲","中立→")))</f>
        <v>中立→</v>
      </c>
      <c r="R13" s="326">
        <f>IF(E13&lt;&gt;"",ROUND(E13*0.92,0),"")</f>
        <v>3436</v>
      </c>
      <c r="S13" s="326">
        <f>IF(E13&lt;&gt;"",ROUND(E13*1.04,0),"")</f>
        <v>3884</v>
      </c>
      <c r="T13" s="325">
        <f>IF(C13="","",IFERROR(IF(W13&gt;=70,3,IF(W13&gt;=60,2,IF(W13&gt;=50,1,0)))+IF(X13&lt;0,2,0)+IF(AD13="下降トレンド▼",3,IF(AD13="もみ合い→",1,0))+IF(V13="年初来安値圏●",3,IF(V13="安値圏",2,0))+IF(Q13="売り▼",2,0)+IF(P13="急増↑↑",2,IF(P13="増加↑",1,0))+IF(Z13&lt;0,1,0)+IF(L13&lt;=-30,2,IF(L13&lt;=-15,1,0))+IF(AE13="25日戻り売り★",2,IF(AE13="5日戻り売り○",1,0))+N(AL13)+N(AP13)+N(AU13),0))</f>
        <v>2</v>
      </c>
      <c r="U13" s="325" t="str">
        <f>IF(T13="","",IF(AND(T13&gt;=3,O13&gt;=1.5),"有効",IF(T13&gt;=3,"要確認","除外")))</f>
        <v>除外</v>
      </c>
      <c r="V13" s="325" t="str">
        <f>IF(AND(I13&lt;&gt;"",K13&lt;&gt;""),IF(I13&lt;=K13*0.6,"年初来安値圏●",IF(I13&lt;=K13*0.75,"安値圏","通常")),"")</f>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IF(AF13="","",AF13&amp;" | "&amp;AD13&amp;IF(AE13&lt;&gt;"なし"," "&amp;AE13,"")&amp;IF(X13&lt;0," MACD-"," MACD+")&amp;" RSI:"&amp;TEXT(W13,"0.0")&amp;IF(W13&gt;=70," [過熱]",IF(W13&lt;=30," [売られ過ぎ]",""))&amp;" 前日比:"&amp;TEXT(Z13,"+0.0;-0.0;0.0")&amp;"%"&amp;IF(V13="年初来安値圏●"," [年初来安値圏]",IF(V13="安値圏"," [安値圏]",""))&amp;IF(OR(AO13="通常",AO13="-"),""," ["&amp;AO13&amp;"]")&amp;IF(OR(AT13="通常",AT13="-"),"","前日["&amp;AT13&amp;"]")&amp;" ["&amp;T13&amp;"点]")</f>
        <v>◎反落確認 | パーフェクト▲ MACD+ RSI:71.1 [過熱] 前日比:-0.3% [2点]</v>
      </c>
      <c r="Z13" s="331">
        <f>IF(AND(E13&lt;&gt;"",G13&lt;&gt;"",G13&lt;&gt;0),(E13-G13)/G13*100,"")</f>
        <v>-0.34685165421558162</v>
      </c>
      <c r="AA13" s="325" t="str">
        <f>IF(OR(C13="",E13="",E13=0),"",IF(E13&gt;G13,"上昇▲",IF(E13&lt;G13,"下落▼","横ばい→")))</f>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IF(OR(C13="",AB13="",AC13="",AB13=0,AC13=0),"",IF(AND(E13&gt;AB13,AB13&gt;AC13),"パーフェクト▲",IF(E13&gt;AC13,"上昇トレンド▲",IF(AND(E13&lt;AB13,AB13&lt;AC13),"下降トレンド▼","もみ合い→"))))</f>
        <v>パーフェクト▲</v>
      </c>
      <c r="AE13" s="325" t="str">
        <f>IF(OR(C13="",AB13="",AC13=""),"",IF(AND(ABS(E13-AC13)/AC13&lt;=0.02,E13&lt;AC13),"25日戻り売り★",IF(AND(ABS(E13-AB13)/AB13&lt;=0.01,E13&lt;AB13),"5日戻り売り○","なし")))</f>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IF(AND(T13&gt;=7,C13&lt;&gt;""),T13,0)</f>
        <v>0</v>
      </c>
      <c r="AH13">
        <f>IF(AG13&gt;0,AG13*10000-ROW(A13),0)</f>
        <v>0</v>
      </c>
      <c r="AI13" s="373">
        <f t="array" ref="AI13">IF(C13="","",IFERROR((INDEX(終値!$E:$E,MATCH(TEXT(C13,"0"),終値!$A:$A,0))-INDEX(終値!$E:$CZ,MATCH(TEXT(C13,"0"),終値!$A:$A,0),$AN$2))/INDEX(終値!$E:$CZ,MATCH(TEXT(C13,"0"),終値!$A:$A,0),$AN$2)*100,""))</f>
        <v>9.3384074941451995</v>
      </c>
      <c r="AJ13" s="373">
        <f t="array" ref="AJ13">IFERROR((終値!$E$5-INDEX(終値!$E$5:$IT$5,1,$AN$2))/INDEX(終値!$E$5:$IT$5,1,$AN$2)*100,"")</f>
        <v>1.0179378228534113</v>
      </c>
      <c r="AK13" s="374">
        <f>IF(OR(AI13="",AJ13=""),"",AI13-AJ13)</f>
        <v>8.3204696712917876</v>
      </c>
      <c r="AL13" s="372">
        <f>IF(AK13="","",IF(AK13&lt;-5,3,IF(AK13&lt;0,1,IF(AK13&lt;3,-1,-2))))</f>
        <v>-2</v>
      </c>
      <c r="AO13" s="376" t="str">
        <f>IF(OR($C13="",$E13="",$F13="",$H13="",$I13="",$H13-$I13&lt;=0),"-",IF(AND($H13-MAX($F13,$E13)&gt;=ABS($E13-$F13)*2,MIN($F13,$E13)-$I13&lt;=ABS($E13-$F13)*0.5,ABS($E13-$F13)&gt;0),"上ヒゲ陰線▼",IF(AND($E13&lt;$F13,ABS($E13-$F13)&gt;=($H13-$I13)*0.7),"大陰線▼",IF(AND(MIN($F13,$E13)-$I13&gt;=($H13-$I13)*0.5,$H13-MAX($F13,$E13)&lt;=($H13-$I13)*0.2),"長い下ヒゲ(反発警戒)","通常"))))</f>
        <v>通常</v>
      </c>
      <c r="AP13" s="377">
        <f>IF($AO13="上ヒゲ陰線▼",2,IF($AO13="大陰線▼",2,IF($AO13="長い下ヒゲ(反発警戒)",-2,0)))</f>
        <v>0</v>
      </c>
      <c r="AQ13">
        <f>IF(C13&lt;&gt;"",始値!F60,"")</f>
        <v>3618</v>
      </c>
      <c r="AR13">
        <f>IF(C13&lt;&gt;"",高値!F60,"")</f>
        <v>3758</v>
      </c>
      <c r="AS13">
        <f>IF(C13&lt;&gt;"",安値!F60,"")</f>
        <v>3618</v>
      </c>
      <c r="AT13" t="str">
        <f>IF(OR(C13="",AQ13="",AR13="",AS13="",AR13-AS13&lt;=0),"-",IF(AND(AR13-MAX(G13,AQ13)&gt;=ABS(G13-AQ13)*2,MIN(G13,AQ13)-AS13&lt;=ABS(G13-AQ13)*0.5,ABS(G13-AQ13)&gt;0),"上ヒゲ陰線▼",IF(AND(G13&lt;AQ13,ABS(G13-AQ13)&gt;=(AR13-AS13)*0.7),"大陰線▼",IF(AND(MIN(G13,AQ13)-AS13&gt;=(AR13-AS13)*0.5,AR13-MAX(G13,AQ13)&lt;=(AR13-AS13)*0.2),"長い下ヒゲ(反発)","通常"))))</f>
        <v>通常</v>
      </c>
      <c r="AU13">
        <f>IF(AT13="上ヒゲ陰線▼",2,IF(AT13="大陰線▼",2,IF(AT13="長い下ヒゲ(反発)",-2,0)))</f>
        <v>0</v>
      </c>
      <c r="BA13">
        <f>IFERROR((SUM(OFFSET(高値!$E$6,IFERROR(MATCH($C13,銘柄管理!$B$6:$B$305,0),MATCH(TEXT($C13,"0"),銘柄管理!$B$6:$B$305,0))-1,0,1,14))-SUM(OFFSET(安値!$E$6,IFERROR(MATCH($C13,銘柄管理!$B$6:$B$305,0),MATCH(TEXT($C13,"0"),銘柄管理!$B$6:$B$305,0))-1,0,1,14)))/SUM(OFFSET(終値!$E$6,IFERROR(MATCH($C13,銘柄管理!$B$6:$B$305,0),MATCH(TEXT($C13,"0"),銘柄管理!$B$6:$B$305,0))-1,0,1,14))*100,"")</f>
      </c>
      <c r="BB13">
        <f>IFERROR((MAX(OFFSET(高値!$E$6,IFERROR(MATCH($C13,銘柄管理!$B$6:$B$305,0),MATCH(TEXT($C13,"0"),銘柄管理!$B$6:$B$305,0))-1,0,1,25))-MIN(OFFSET(安値!$E$6,IFERROR(MATCH($C13,銘柄管理!$B$6:$B$305,0),MATCH(TEXT($C13,"0"),銘柄管理!$B$6:$B$305,0))-1,0,1,25)))/$E13*100,"")</f>
      </c>
      <c r="BC13">
        <f>IFERROR(($F13-$G13)/$G13*100,"")</f>
      </c>
      <c r="BD13">
        <f>IFERROR(($E13-MAX(OFFSET(高値!$E$6,IFERROR(MATCH($C13,銘柄管理!$B$6:$B$305,0),MATCH(TEXT($C13,"0"),銘柄管理!$B$6:$B$305,0))-1,0,1,25)))/MAX(OFFSET(高値!$E$6,IFERROR(MATCH($C13,銘柄管理!$B$6:$B$305,0),MATCH(TEXT($C13,"0"),銘柄管理!$B$6:$B$305,0))-1,0,1,25))*100,"")</f>
      </c>
      <c r="BE13">
        <f>IFERROR(($H13-$I13)/$F13*100,"")</f>
      </c>
      <c r="BF13">
        <f>IFERROR(-(($BA13-AVERAGE($BA$3:$BA$206))/STDEV($BA$3:$BA$206))-(($BE13-AVERAGE($BE$3:$BE$206))/STDEV($BE$3:$BE$206))-(($BB13-AVERAGE($BB$3:$BB$206))/STDEV($BB$3:$BB$206))-(($Z13-AVERAGE($Z$3:$Z$206))/STDEV($Z$3:$Z$206))-(($BC13-AVERAGE($BC$3:$BC$206))/STDEV($BC$3:$BC$206)),"")</f>
      </c>
      <c r="BG13">
        <f>IF(OR($C13="",$C13="TOPX",$BA13="",$BF13=""),0,IF(AND($BK$10=1,$BA13&lt;=$BK$2,$BB13&lt;=$BK$3,$BC13&lt;=$BK$4,$Z13&lt;=$BK$5,$Z13&gt;=$BK$6,$BD13&gt;=$BK$7,$BE13&lt;=$BK$8),1,0))</f>
      </c>
      <c r="BH13">
        <f>IF($C13="","",IF($BG13=1,"○ゲート通過",IF($BK$10&lt;&gt;1,"― この方向は停止中",IF($BA13&gt;$BK$2,"×値動きが荒い",IF($BB13&gt;$BK$3,"×レンジが広い",IF($BC13&gt;$BK$4,"×窓を開けて上昇",IF($Z13&gt;$BK$5,"×前日に急騰",IF($Z13&lt;$BK$6,"×前日に急落",IF($BD13&lt;$BK$7,"×高値から離れすぎ",IF($BE13&gt;$BK$8,"×当日の値幅が大きい","×")))))))))</f>
      </c>
    </row>
    <row r="14" spans="1:60"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IF(AND(E14&lt;&gt;"",K14&lt;&gt;"",K14&lt;&gt;0),(E14-K14)/K14*100,"")</f>
        <v>-22.232030264817151</v>
      </c>
      <c r="M14" s="333">
        <f>IF(C14&lt;&gt;"",IFERROR(AVERAGE(出来高!E66:I66),""),"")</f>
        <v>10086480</v>
      </c>
      <c r="N14" s="333">
        <f>IF(C14&lt;&gt;"",IFERROR(AVERAGE(出来高!E66:AC66),""),"")</f>
        <v>8889956</v>
      </c>
      <c r="O14" s="335">
        <f>IF(AND(J14&lt;&gt;"",M14&lt;&gt;"",M14&lt;&gt;0),J14/M14,"")</f>
        <v>0.67193907091472937</v>
      </c>
      <c r="P14" s="212" t="str">
        <f>IF(O14="","",IF(O14&gt;=2,"急増↑↑",IF(O14&gt;=1.5,"増加↑",IF(O14&gt;=1,"普通→","減少↓"))))</f>
        <v>減少↓</v>
      </c>
      <c r="Q14" s="212" t="str">
        <f>IF(E14="","",IF(AND(E14&lt;G14,O14&gt;=1.5),"売り▼",IF(E14&gt;G14,"様子見▲","中立→")))</f>
        <v>様子見▲</v>
      </c>
      <c r="R14" s="333">
        <f>IF(E14&lt;&gt;"",ROUND(E14*0.92,0),"")</f>
        <v>5674</v>
      </c>
      <c r="S14" s="333">
        <f>IF(E14&lt;&gt;"",ROUND(E14*1.04,0),"")</f>
        <v>6414</v>
      </c>
      <c r="T14" s="325">
        <f>IF(C14="","",IFERROR(IF(W14&gt;=70,3,IF(W14&gt;=60,2,IF(W14&gt;=50,1,0)))+IF(X14&lt;0,2,0)+IF(AD14="下降トレンド▼",3,IF(AD14="もみ合い→",1,0))+IF(V14="年初来安値圏●",3,IF(V14="安値圏",2,0))+IF(Q14="売り▼",2,0)+IF(P14="急増↑↑",2,IF(P14="増加↑",1,0))+IF(Z14&lt;0,1,0)+IF(L14&lt;=-30,2,IF(L14&lt;=-15,1,0))+IF(AE14="25日戻り売り★",2,IF(AE14="5日戻り売り○",1,0))+N(AL14)+N(AP14)+N(AU14),0))</f>
        <v>7</v>
      </c>
      <c r="U14" s="212" t="str">
        <f>IF(T14="","",IF(AND(T14&gt;=3,O14&gt;=1.5),"有効",IF(T14&gt;=3,"要確認","除外")))</f>
        <v>要確認</v>
      </c>
      <c r="V14" s="212" t="str">
        <f>IF(AND(I14&lt;&gt;"",K14&lt;&gt;""),IF(I14&lt;=K14*0.6,"年初来安値圏●",IF(I14&lt;=K14*0.75,"安値圏","通常")),"")</f>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IF(AF14="","",AF14&amp;" | "&amp;AD14&amp;IF(AE14&lt;&gt;"なし"," "&amp;AE14,"")&amp;IF(X14&lt;0," MACD-"," MACD+")&amp;" RSI:"&amp;TEXT(W14,"0.0")&amp;IF(W14&gt;=70," [過熱]",IF(W14&lt;=30," [売られ過ぎ]",""))&amp;" 前日比:"&amp;TEXT(Z14,"+0.0;-0.0;0.0")&amp;"%"&amp;IF(V14="年初来安値圏●"," [年初来安値圏]",IF(V14="安値圏"," [安値圏]",""))&amp;IF(OR(AO14="通常",AO14="-"),""," ["&amp;AO14&amp;"]")&amp;IF(OR(AT14="通常",AT14="-"),"","前日["&amp;AT14&amp;"]")&amp;" ["&amp;T14&amp;"点]")</f>
        <v>相場上昇・見送り | もみ合い→ MACD- RSI:20.3 [売られ過ぎ] 前日比:+0.1% [7点]</v>
      </c>
      <c r="Z14" s="338">
        <f>IF(AND(E14&lt;&gt;"",G14&lt;&gt;"",G14&lt;&gt;0),(E14-G14)/G14*100,"")</f>
        <v>6.4903456109037805E-2</v>
      </c>
      <c r="AA14" s="212" t="str">
        <f>IF(OR(C14="",E14="",E14=0),"",IF(E14&gt;G14,"上昇▲",IF(E14&lt;G14,"下落▼","横ばい→")))</f>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IF(OR(C14="",AB14="",AC14="",AB14=0,AC14=0),"",IF(AND(E14&gt;AB14,AB14&gt;AC14),"パーフェクト▲",IF(E14&gt;AC14,"上昇トレンド▲",IF(AND(E14&lt;AB14,AB14&lt;AC14),"下降トレンド▼","もみ合い→"))))</f>
        <v>もみ合い→</v>
      </c>
      <c r="AE14" s="212" t="str">
        <f>IF(OR(C14="",AB14="",AC14=""),"",IF(AND(ABS(E14-AC14)/AC14&lt;=0.02,E14&lt;AC14),"25日戻り売り★",IF(AND(ABS(E14-AB14)/AB14&lt;=0.01,E14&lt;AB14),"5日戻り売り○","なし")))</f>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IF(AND(T14&gt;=7,C14&lt;&gt;""),T14,0)</f>
        <v>7</v>
      </c>
      <c r="AH14">
        <f>IF(AG14&gt;0,AG14*10000-ROW(A14),0)</f>
        <v>69986</v>
      </c>
      <c r="AI14" s="373">
        <f t="array" ref="AI14">IF(C14="","",IFERROR((INDEX(終値!$E:$E,MATCH(TEXT(C14,"0"),終値!$A:$A,0))-INDEX(終値!$E:$CZ,MATCH(TEXT(C14,"0"),終値!$A:$A,0),$AN$2))/INDEX(終値!$E:$CZ,MATCH(TEXT(C14,"0"),終値!$A:$A,0),$AN$2)*100,""))</f>
        <v>-15.043394406943106</v>
      </c>
      <c r="AJ14" s="373">
        <f t="array" ref="AJ14">IFERROR((終値!$E$5-INDEX(終値!$E$5:$IT$5,1,$AN$2))/INDEX(終値!$E$5:$IT$5,1,$AN$2)*100,"")</f>
        <v>1.0179378228534113</v>
      </c>
      <c r="AK14" s="374">
        <f>IF(OR(AI14="",AJ14=""),"",AI14-AJ14)</f>
        <v>-16.061332229796516</v>
      </c>
      <c r="AL14" s="372">
        <f>IF(AK14="","",IF(AK14&lt;-5,3,IF(AK14&lt;0,1,IF(AK14&lt;3,-1,-2))))</f>
        <v>3</v>
      </c>
      <c r="AO14" s="376" t="str">
        <f>IF(OR($C14="",$E14="",$F14="",$H14="",$I14="",$H14-$I14&lt;=0),"-",IF(AND($H14-MAX($F14,$E14)&gt;=ABS($E14-$F14)*2,MIN($F14,$E14)-$I14&lt;=ABS($E14-$F14)*0.5,ABS($E14-$F14)&gt;0),"上ヒゲ陰線▼",IF(AND($E14&lt;$F14,ABS($E14-$F14)&gt;=($H14-$I14)*0.7),"大陰線▼",IF(AND(MIN($F14,$E14)-$I14&gt;=($H14-$I14)*0.5,$H14-MAX($F14,$E14)&lt;=($H14-$I14)*0.2),"長い下ヒゲ(反発警戒)","通常"))))</f>
        <v>通常</v>
      </c>
      <c r="AP14" s="377">
        <f>IF($AO14="上ヒゲ陰線▼",2,IF($AO14="大陰線▼",2,IF($AO14="長い下ヒゲ(反発警戒)",-2,0)))</f>
        <v>0</v>
      </c>
      <c r="AQ14">
        <f>IF(C14&lt;&gt;"",始値!F66,"")</f>
        <v>6004</v>
      </c>
      <c r="AR14">
        <f>IF(C14&lt;&gt;"",高値!F66,"")</f>
        <v>6213</v>
      </c>
      <c r="AS14">
        <f>IF(C14&lt;&gt;"",安値!F66,"")</f>
        <v>6004</v>
      </c>
      <c r="AT14" t="str">
        <f>IF(OR(C14="",AQ14="",AR14="",AS14="",AR14-AS14&lt;=0),"-",IF(AND(AR14-MAX(G14,AQ14)&gt;=ABS(G14-AQ14)*2,MIN(G14,AQ14)-AS14&lt;=ABS(G14-AQ14)*0.5,ABS(G14-AQ14)&gt;0),"上ヒゲ陰線▼",IF(AND(G14&lt;AQ14,ABS(G14-AQ14)&gt;=(AR14-AS14)*0.7),"大陰線▼",IF(AND(MIN(G14,AQ14)-AS14&gt;=(AR14-AS14)*0.5,AR14-MAX(G14,AQ14)&lt;=(AR14-AS14)*0.2),"長い下ヒゲ(反発)","通常"))))</f>
        <v>通常</v>
      </c>
      <c r="AU14">
        <f>IF(AT14="上ヒゲ陰線▼",2,IF(AT14="大陰線▼",2,IF(AT14="長い下ヒゲ(反発)",-2,0)))</f>
        <v>0</v>
      </c>
      <c r="BA14">
        <f>IFERROR((SUM(OFFSET(高値!$E$6,IFERROR(MATCH($C14,銘柄管理!$B$6:$B$305,0),MATCH(TEXT($C14,"0"),銘柄管理!$B$6:$B$305,0))-1,0,1,14))-SUM(OFFSET(安値!$E$6,IFERROR(MATCH($C14,銘柄管理!$B$6:$B$305,0),MATCH(TEXT($C14,"0"),銘柄管理!$B$6:$B$305,0))-1,0,1,14)))/SUM(OFFSET(終値!$E$6,IFERROR(MATCH($C14,銘柄管理!$B$6:$B$305,0),MATCH(TEXT($C14,"0"),銘柄管理!$B$6:$B$305,0))-1,0,1,14))*100,"")</f>
      </c>
      <c r="BB14">
        <f>IFERROR((MAX(OFFSET(高値!$E$6,IFERROR(MATCH($C14,銘柄管理!$B$6:$B$305,0),MATCH(TEXT($C14,"0"),銘柄管理!$B$6:$B$305,0))-1,0,1,25))-MIN(OFFSET(安値!$E$6,IFERROR(MATCH($C14,銘柄管理!$B$6:$B$305,0),MATCH(TEXT($C14,"0"),銘柄管理!$B$6:$B$305,0))-1,0,1,25)))/$E14*100,"")</f>
      </c>
      <c r="BC14">
        <f>IFERROR(($F14-$G14)/$G14*100,"")</f>
      </c>
      <c r="BD14">
        <f>IFERROR(($E14-MAX(OFFSET(高値!$E$6,IFERROR(MATCH($C14,銘柄管理!$B$6:$B$305,0),MATCH(TEXT($C14,"0"),銘柄管理!$B$6:$B$305,0))-1,0,1,25)))/MAX(OFFSET(高値!$E$6,IFERROR(MATCH($C14,銘柄管理!$B$6:$B$305,0),MATCH(TEXT($C14,"0"),銘柄管理!$B$6:$B$305,0))-1,0,1,25))*100,"")</f>
      </c>
      <c r="BE14">
        <f>IFERROR(($H14-$I14)/$F14*100,"")</f>
      </c>
      <c r="BF14">
        <f>IFERROR(-(($BA14-AVERAGE($BA$3:$BA$206))/STDEV($BA$3:$BA$206))-(($BE14-AVERAGE($BE$3:$BE$206))/STDEV($BE$3:$BE$206))-(($BB14-AVERAGE($BB$3:$BB$206))/STDEV($BB$3:$BB$206))-(($Z14-AVERAGE($Z$3:$Z$206))/STDEV($Z$3:$Z$206))-(($BC14-AVERAGE($BC$3:$BC$206))/STDEV($BC$3:$BC$206)),"")</f>
      </c>
      <c r="BG14">
        <f>IF(OR($C14="",$C14="TOPX",$BA14="",$BF14=""),0,IF(AND($BK$10=1,$BA14&lt;=$BK$2,$BB14&lt;=$BK$3,$BC14&lt;=$BK$4,$Z14&lt;=$BK$5,$Z14&gt;=$BK$6,$BD14&gt;=$BK$7,$BE14&lt;=$BK$8),1,0))</f>
      </c>
      <c r="BH14">
        <f>IF($C14="","",IF($BG14=1,"○ゲート通過",IF($BK$10&lt;&gt;1,"― この方向は停止中",IF($BA14&gt;$BK$2,"×値動きが荒い",IF($BB14&gt;$BK$3,"×レンジが広い",IF($BC14&gt;$BK$4,"×窓を開けて上昇",IF($Z14&gt;$BK$5,"×前日に急騰",IF($Z14&lt;$BK$6,"×前日に急落",IF($BD14&lt;$BK$7,"×高値から離れすぎ",IF($BE14&gt;$BK$8,"×当日の値幅が大きい","×")))))))))</f>
      </c>
    </row>
    <row r="15" spans="1:60"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IF(AND(E15&lt;&gt;"",K15&lt;&gt;"",K15&lt;&gt;0),(E15-K15)/K15*100,"")</f>
        <v>-26.451612903225808</v>
      </c>
      <c r="M15" s="326">
        <f>IF(C15&lt;&gt;"",IFERROR(AVERAGE(出来高!E70:I70),""),"")</f>
        <v>1510420</v>
      </c>
      <c r="N15" s="326">
        <f>IF(C15&lt;&gt;"",IFERROR(AVERAGE(出来高!E70:AC70),""),"")</f>
        <v>1457612.5</v>
      </c>
      <c r="O15" s="328">
        <f>IF(AND(J15&lt;&gt;"",M15&lt;&gt;"",M15&lt;&gt;0),J15/M15,"")</f>
        <v>1.607897141192516</v>
      </c>
      <c r="P15" s="325" t="str">
        <f>IF(O15="","",IF(O15&gt;=2,"急増↑↑",IF(O15&gt;=1.5,"増加↑",IF(O15&gt;=1,"普通→","減少↓"))))</f>
        <v>増加↑</v>
      </c>
      <c r="Q15" s="325" t="str">
        <f>IF(E15="","",IF(AND(E15&lt;G15,O15&gt;=1.5),"売り▼",IF(E15&gt;G15,"様子見▲","中立→")))</f>
        <v>中立→</v>
      </c>
      <c r="R15" s="326">
        <f>IF(E15&lt;&gt;"",ROUND(E15*0.92,0),"")</f>
        <v>105</v>
      </c>
      <c r="S15" s="326">
        <f>IF(E15&lt;&gt;"",ROUND(E15*1.04,0),"")</f>
        <v>119</v>
      </c>
      <c r="T15" s="325">
        <f>IF(C15="","",IFERROR(IF(W15&gt;=70,3,IF(W15&gt;=60,2,IF(W15&gt;=50,1,0)))+IF(X15&lt;0,2,0)+IF(AD15="下降トレンド▼",3,IF(AD15="もみ合い→",1,0))+IF(V15="年初来安値圏●",3,IF(V15="安値圏",2,0))+IF(Q15="売り▼",2,0)+IF(P15="急増↑↑",2,IF(P15="増加↑",1,0))+IF(Z15&lt;0,1,0)+IF(L15&lt;=-30,2,IF(L15&lt;=-15,1,0))+IF(AE15="25日戻り売り★",2,IF(AE15="5日戻り売り○",1,0))+N(AL15)+N(AP15)+N(AU15),0))</f>
        <v>5</v>
      </c>
      <c r="U15" s="325" t="str">
        <f>IF(T15="","",IF(AND(T15&gt;=3,O15&gt;=1.5),"有効",IF(T15&gt;=3,"要確認","除外")))</f>
        <v>有効</v>
      </c>
      <c r="V15" s="325" t="str">
        <f>IF(AND(I15&lt;&gt;"",K15&lt;&gt;""),IF(I15&lt;=K15*0.6,"年初来安値圏●",IF(I15&lt;=K15*0.75,"安値圏","通常")),"")</f>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IF(AF15="","",AF15&amp;" | "&amp;AD15&amp;IF(AE15&lt;&gt;"なし"," "&amp;AE15,"")&amp;IF(X15&lt;0," MACD-"," MACD+")&amp;" RSI:"&amp;TEXT(W15,"0.0")&amp;IF(W15&gt;=70," [過熱]",IF(W15&lt;=30," [売られ過ぎ]",""))&amp;" 前日比:"&amp;TEXT(Z15,"+0.0;-0.0;0.0")&amp;"%"&amp;IF(V15="年初来安値圏●"," [年初来安値圏]",IF(V15="安値圏"," [安値圏]",""))&amp;IF(OR(AO15="通常",AO15="-"),""," ["&amp;AO15&amp;"]")&amp;IF(OR(AT15="通常",AT15="-"),"","前日["&amp;AT15&amp;"]")&amp;" ["&amp;T15&amp;"点]")</f>
        <v>相場上昇・見送り | 上昇トレンド▲ 5日戻り売り○ MACD- RSI:49.2 前日比:0.0% [安値圏] [5点]</v>
      </c>
      <c r="Z15" s="331">
        <f>IF(AND(E15&lt;&gt;"",G15&lt;&gt;"",G15&lt;&gt;0),(E15-G15)/G15*100,"")</f>
        <v>0</v>
      </c>
      <c r="AA15" s="325" t="str">
        <f>IF(OR(C15="",E15="",E15=0),"",IF(E15&gt;G15,"上昇▲",IF(E15&lt;G15,"下落▼","横ばい→")))</f>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IF(OR(C15="",AB15="",AC15="",AB15=0,AC15=0),"",IF(AND(E15&gt;AB15,AB15&gt;AC15),"パーフェクト▲",IF(E15&gt;AC15,"上昇トレンド▲",IF(AND(E15&lt;AB15,AB15&lt;AC15),"下降トレンド▼","もみ合い→"))))</f>
        <v>上昇トレンド▲</v>
      </c>
      <c r="AE15" s="325" t="str">
        <f>IF(OR(C15="",AB15="",AC15=""),"",IF(AND(ABS(E15-AC15)/AC15&lt;=0.02,E15&lt;AC15),"25日戻り売り★",IF(AND(ABS(E15-AB15)/AB15&lt;=0.01,E15&lt;AB15),"5日戻り売り○","なし")))</f>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IF(AND(T15&gt;=7,C15&lt;&gt;""),T15,0)</f>
        <v>0</v>
      </c>
      <c r="AH15">
        <f>IF(AG15&gt;0,AG15*10000-ROW(A15),0)</f>
        <v>0</v>
      </c>
      <c r="AI15" s="373">
        <f t="array" ref="AI15">IF(C15="","",IFERROR((INDEX(終値!$E:$E,MATCH(TEXT(C15,"0"),終値!$A:$A,0))-INDEX(終値!$E:$CZ,MATCH(TEXT(C15,"0"),終値!$A:$A,0),$AN$2))/INDEX(終値!$E:$CZ,MATCH(TEXT(C15,"0"),終値!$A:$A,0),$AN$2)*100,""))</f>
        <v>8.5714285714285712</v>
      </c>
      <c r="AJ15" s="373">
        <f t="array" ref="AJ15">IFERROR((終値!$E$5-INDEX(終値!$E$5:$IT$5,1,$AN$2))/INDEX(終値!$E$5:$IT$5,1,$AN$2)*100,"")</f>
        <v>1.0179378228534113</v>
      </c>
      <c r="AK15" s="374">
        <f>IF(OR(AI15="",AJ15=""),"",AI15-AJ15)</f>
        <v>7.5534907485751601</v>
      </c>
      <c r="AL15" s="372">
        <f>IF(AK15="","",IF(AK15&lt;-5,3,IF(AK15&lt;0,1,IF(AK15&lt;3,-1,-2))))</f>
        <v>-2</v>
      </c>
      <c r="AO15" s="376" t="str">
        <f>IF(OR($C15="",$E15="",$F15="",$H15="",$I15="",$H15-$I15&lt;=0),"-",IF(AND($H15-MAX($F15,$E15)&gt;=ABS($E15-$F15)*2,MIN($F15,$E15)-$I15&lt;=ABS($E15-$F15)*0.5,ABS($E15-$F15)&gt;0),"上ヒゲ陰線▼",IF(AND($E15&lt;$F15,ABS($E15-$F15)&gt;=($H15-$I15)*0.7),"大陰線▼",IF(AND(MIN($F15,$E15)-$I15&gt;=($H15-$I15)*0.5,$H15-MAX($F15,$E15)&lt;=($H15-$I15)*0.2),"長い下ヒゲ(反発警戒)","通常"))))</f>
        <v>通常</v>
      </c>
      <c r="AP15" s="377">
        <f>IF($AO15="上ヒゲ陰線▼",2,IF($AO15="大陰線▼",2,IF($AO15="長い下ヒゲ(反発警戒)",-2,0)))</f>
        <v>0</v>
      </c>
      <c r="AQ15">
        <f>IF(C15&lt;&gt;"",始値!F70,"")</f>
        <v>114</v>
      </c>
      <c r="AR15">
        <f>IF(C15&lt;&gt;"",高値!F70,"")</f>
        <v>116</v>
      </c>
      <c r="AS15">
        <f>IF(C15&lt;&gt;"",安値!F70,"")</f>
        <v>113</v>
      </c>
      <c r="AT15" t="str">
        <f>IF(OR(C15="",AQ15="",AR15="",AS15="",AR15-AS15&lt;=0),"-",IF(AND(AR15-MAX(G15,AQ15)&gt;=ABS(G15-AQ15)*2,MIN(G15,AQ15)-AS15&lt;=ABS(G15-AQ15)*0.5,ABS(G15-AQ15)&gt;0),"上ヒゲ陰線▼",IF(AND(G15&lt;AQ15,ABS(G15-AQ15)&gt;=(AR15-AS15)*0.7),"大陰線▼",IF(AND(MIN(G15,AQ15)-AS15&gt;=(AR15-AS15)*0.5,AR15-MAX(G15,AQ15)&lt;=(AR15-AS15)*0.2),"長い下ヒゲ(反発)","通常"))))</f>
        <v>通常</v>
      </c>
      <c r="AU15">
        <f>IF(AT15="上ヒゲ陰線▼",2,IF(AT15="大陰線▼",2,IF(AT15="長い下ヒゲ(反発)",-2,0)))</f>
        <v>0</v>
      </c>
      <c r="BA15">
        <f>IFERROR((SUM(OFFSET(高値!$E$6,IFERROR(MATCH($C15,銘柄管理!$B$6:$B$305,0),MATCH(TEXT($C15,"0"),銘柄管理!$B$6:$B$305,0))-1,0,1,14))-SUM(OFFSET(安値!$E$6,IFERROR(MATCH($C15,銘柄管理!$B$6:$B$305,0),MATCH(TEXT($C15,"0"),銘柄管理!$B$6:$B$305,0))-1,0,1,14)))/SUM(OFFSET(終値!$E$6,IFERROR(MATCH($C15,銘柄管理!$B$6:$B$305,0),MATCH(TEXT($C15,"0"),銘柄管理!$B$6:$B$305,0))-1,0,1,14))*100,"")</f>
      </c>
      <c r="BB15">
        <f>IFERROR((MAX(OFFSET(高値!$E$6,IFERROR(MATCH($C15,銘柄管理!$B$6:$B$305,0),MATCH(TEXT($C15,"0"),銘柄管理!$B$6:$B$305,0))-1,0,1,25))-MIN(OFFSET(安値!$E$6,IFERROR(MATCH($C15,銘柄管理!$B$6:$B$305,0),MATCH(TEXT($C15,"0"),銘柄管理!$B$6:$B$305,0))-1,0,1,25)))/$E15*100,"")</f>
      </c>
      <c r="BC15">
        <f>IFERROR(($F15-$G15)/$G15*100,"")</f>
      </c>
      <c r="BD15">
        <f>IFERROR(($E15-MAX(OFFSET(高値!$E$6,IFERROR(MATCH($C15,銘柄管理!$B$6:$B$305,0),MATCH(TEXT($C15,"0"),銘柄管理!$B$6:$B$305,0))-1,0,1,25)))/MAX(OFFSET(高値!$E$6,IFERROR(MATCH($C15,銘柄管理!$B$6:$B$305,0),MATCH(TEXT($C15,"0"),銘柄管理!$B$6:$B$305,0))-1,0,1,25))*100,"")</f>
      </c>
      <c r="BE15">
        <f>IFERROR(($H15-$I15)/$F15*100,"")</f>
      </c>
      <c r="BF15">
        <f>IFERROR(-(($BA15-AVERAGE($BA$3:$BA$206))/STDEV($BA$3:$BA$206))-(($BE15-AVERAGE($BE$3:$BE$206))/STDEV($BE$3:$BE$206))-(($BB15-AVERAGE($BB$3:$BB$206))/STDEV($BB$3:$BB$206))-(($Z15-AVERAGE($Z$3:$Z$206))/STDEV($Z$3:$Z$206))-(($BC15-AVERAGE($BC$3:$BC$206))/STDEV($BC$3:$BC$206)),"")</f>
      </c>
      <c r="BG15">
        <f>IF(OR($C15="",$C15="TOPX",$BA15="",$BF15=""),0,IF(AND($BK$10=1,$BA15&lt;=$BK$2,$BB15&lt;=$BK$3,$BC15&lt;=$BK$4,$Z15&lt;=$BK$5,$Z15&gt;=$BK$6,$BD15&gt;=$BK$7,$BE15&lt;=$BK$8),1,0))</f>
      </c>
      <c r="BH15">
        <f>IF($C15="","",IF($BG15=1,"○ゲート通過",IF($BK$10&lt;&gt;1,"― この方向は停止中",IF($BA15&gt;$BK$2,"×値動きが荒い",IF($BB15&gt;$BK$3,"×レンジが広い",IF($BC15&gt;$BK$4,"×窓を開けて上昇",IF($Z15&gt;$BK$5,"×前日に急騰",IF($Z15&lt;$BK$6,"×前日に急落",IF($BD15&lt;$BK$7,"×高値から離れすぎ",IF($BE15&gt;$BK$8,"×当日の値幅が大きい","×")))))))))</f>
      </c>
    </row>
    <row r="16" spans="1:60"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IF(AND(E16&lt;&gt;"",K16&lt;&gt;"",K16&lt;&gt;0),(E16-K16)/K16*100,"")</f>
        <v>-27.59009009009009</v>
      </c>
      <c r="M16" s="333">
        <f>IF(C16&lt;&gt;"",IFERROR(AVERAGE(出来高!E78:I78),""),"")</f>
        <v>11581080</v>
      </c>
      <c r="N16" s="333">
        <f>IF(C16&lt;&gt;"",IFERROR(AVERAGE(出来高!E78:AC78),""),"")</f>
        <v>6926760</v>
      </c>
      <c r="O16" s="335">
        <f>IF(AND(J16&lt;&gt;"",M16&lt;&gt;"",M16&lt;&gt;0),J16/M16,"")</f>
        <v>0.59456458292318159</v>
      </c>
      <c r="P16" s="212" t="str">
        <f>IF(O16="","",IF(O16&gt;=2,"急増↑↑",IF(O16&gt;=1.5,"増加↑",IF(O16&gt;=1,"普通→","減少↓"))))</f>
        <v>減少↓</v>
      </c>
      <c r="Q16" s="212" t="str">
        <f>IF(E16="","",IF(AND(E16&lt;G16,O16&gt;=1.5),"売り▼",IF(E16&gt;G16,"様子見▲","中立→")))</f>
        <v>中立→</v>
      </c>
      <c r="R16" s="333">
        <f>IF(E16&lt;&gt;"",ROUND(E16*0.92,0),"")</f>
        <v>5916</v>
      </c>
      <c r="S16" s="333">
        <f>IF(E16&lt;&gt;"",ROUND(E16*1.04,0),"")</f>
        <v>6687</v>
      </c>
      <c r="T16" s="325">
        <f>IF(C16="","",IFERROR(IF(W16&gt;=70,3,IF(W16&gt;=60,2,IF(W16&gt;=50,1,0)))+IF(X16&lt;0,2,0)+IF(AD16="下降トレンド▼",3,IF(AD16="もみ合い→",1,0))+IF(V16="年初来安値圏●",3,IF(V16="安値圏",2,0))+IF(Q16="売り▼",2,0)+IF(P16="急増↑↑",2,IF(P16="増加↑",1,0))+IF(Z16&lt;0,1,0)+IF(L16&lt;=-30,2,IF(L16&lt;=-15,1,0))+IF(AE16="25日戻り売り★",2,IF(AE16="5日戻り売り○",1,0))+N(AL16)+N(AP16)+N(AU16),0))</f>
        <v>8</v>
      </c>
      <c r="U16" s="212" t="str">
        <f>IF(T16="","",IF(AND(T16&gt;=3,O16&gt;=1.5),"有効",IF(T16&gt;=3,"要確認","除外")))</f>
        <v>要確認</v>
      </c>
      <c r="V16" s="212" t="str">
        <f>IF(AND(I16&lt;&gt;"",K16&lt;&gt;""),IF(I16&lt;=K16*0.6,"年初来安値圏●",IF(I16&lt;=K16*0.75,"安値圏","通常")),"")</f>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IF(AF16="","",AF16&amp;" | "&amp;AD16&amp;IF(AE16&lt;&gt;"なし"," "&amp;AE16,"")&amp;IF(X16&lt;0," MACD-"," MACD+")&amp;" RSI:"&amp;TEXT(W16,"0.0")&amp;IF(W16&gt;=70," [過熱]",IF(W16&lt;=30," [売られ過ぎ]",""))&amp;" 前日比:"&amp;TEXT(Z16,"+0.0;-0.0;0.0")&amp;"%"&amp;IF(V16="年初来安値圏●"," [年初来安値圏]",IF(V16="安値圏"," [安値圏]",""))&amp;IF(OR(AO16="通常",AO16="-"),""," ["&amp;AO16&amp;"]")&amp;IF(OR(AT16="通常",AT16="-"),"","前日["&amp;AT16&amp;"]")&amp;" ["&amp;T16&amp;"点]")</f>
        <v>相場上昇・見送り | もみ合い→ MACD- RSI:42.6 前日比:-0.5% [安値圏]前日[長い下ヒゲ(反発)] [8点]</v>
      </c>
      <c r="Z16" s="338">
        <f>IF(AND(E16&lt;&gt;"",G16&lt;&gt;"",G16&lt;&gt;0),(E16-G16)/G16*100,"")</f>
        <v>-0.46439628482972134</v>
      </c>
      <c r="AA16" s="212" t="str">
        <f>IF(OR(C16="",E16="",E16=0),"",IF(E16&gt;G16,"上昇▲",IF(E16&lt;G16,"下落▼","横ばい→")))</f>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IF(OR(C16="",AB16="",AC16="",AB16=0,AC16=0),"",IF(AND(E16&gt;AB16,AB16&gt;AC16),"パーフェクト▲",IF(E16&gt;AC16,"上昇トレンド▲",IF(AND(E16&lt;AB16,AB16&lt;AC16),"下降トレンド▼","もみ合い→"))))</f>
        <v>もみ合い→</v>
      </c>
      <c r="AE16" s="212" t="str">
        <f>IF(OR(C16="",AB16="",AC16=""),"",IF(AND(ABS(E16-AC16)/AC16&lt;=0.02,E16&lt;AC16),"25日戻り売り★",IF(AND(ABS(E16-AB16)/AB16&lt;=0.01,E16&lt;AB16),"5日戻り売り○","なし")))</f>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IF(AND(T16&gt;=7,C16&lt;&gt;""),T16,0)</f>
        <v>8</v>
      </c>
      <c r="AH16">
        <f>IF(AG16&gt;0,AG16*10000-ROW(A16),0)</f>
        <v>79984</v>
      </c>
      <c r="AI16" s="373">
        <f t="array" ref="AI16">IF(C16="","",IFERROR((INDEX(終値!$E:$E,MATCH(TEXT(C16,"0"),終値!$A:$A,0))-INDEX(終値!$E:$CZ,MATCH(TEXT(C16,"0"),終値!$A:$A,0),$AN$2))/INDEX(終値!$E:$CZ,MATCH(TEXT(C16,"0"),終値!$A:$A,0),$AN$2)*100,""))</f>
        <v>-13.283884018880649</v>
      </c>
      <c r="AJ16" s="373">
        <f t="array" ref="AJ16">IFERROR((終値!$E$5-INDEX(終値!$E$5:$IT$5,1,$AN$2))/INDEX(終値!$E$5:$IT$5,1,$AN$2)*100,"")</f>
        <v>1.0179378228534113</v>
      </c>
      <c r="AK16" s="374">
        <f>IF(OR(AI16="",AJ16=""),"",AI16-AJ16)</f>
        <v>-14.301821841734061</v>
      </c>
      <c r="AL16" s="372">
        <f>IF(AK16="","",IF(AK16&lt;-5,3,IF(AK16&lt;0,1,IF(AK16&lt;3,-1,-2))))</f>
        <v>3</v>
      </c>
      <c r="AO16" s="376" t="str">
        <f>IF(OR($C16="",$E16="",$F16="",$H16="",$I16="",$H16-$I16&lt;=0),"-",IF(AND($H16-MAX($F16,$E16)&gt;=ABS($E16-$F16)*2,MIN($F16,$E16)-$I16&lt;=ABS($E16-$F16)*0.5,ABS($E16-$F16)&gt;0),"上ヒゲ陰線▼",IF(AND($E16&lt;$F16,ABS($E16-$F16)&gt;=($H16-$I16)*0.7),"大陰線▼",IF(AND(MIN($F16,$E16)-$I16&gt;=($H16-$I16)*0.5,$H16-MAX($F16,$E16)&lt;=($H16-$I16)*0.2),"長い下ヒゲ(反発警戒)","通常"))))</f>
        <v>通常</v>
      </c>
      <c r="AP16" s="377">
        <f>IF($AO16="上ヒゲ陰線▼",2,IF($AO16="大陰線▼",2,IF($AO16="長い下ヒゲ(反発警戒)",-2,0)))</f>
        <v>0</v>
      </c>
      <c r="AQ16">
        <f>IF(C16&lt;&gt;"",始値!F78,"")</f>
        <v>6487</v>
      </c>
      <c r="AR16">
        <f>IF(C16&lt;&gt;"",高値!F78,"")</f>
        <v>6495</v>
      </c>
      <c r="AS16">
        <f>IF(C16&lt;&gt;"",安値!F78,"")</f>
        <v>6327</v>
      </c>
      <c r="AT16" t="str">
        <f>IF(OR(C16="",AQ16="",AR16="",AS16="",AR16-AS16&lt;=0),"-",IF(AND(AR16-MAX(G16,AQ16)&gt;=ABS(G16-AQ16)*2,MIN(G16,AQ16)-AS16&lt;=ABS(G16-AQ16)*0.5,ABS(G16-AQ16)&gt;0),"上ヒゲ陰線▼",IF(AND(G16&lt;AQ16,ABS(G16-AQ16)&gt;=(AR16-AS16)*0.7),"大陰線▼",IF(AND(MIN(G16,AQ16)-AS16&gt;=(AR16-AS16)*0.5,AR16-MAX(G16,AQ16)&lt;=(AR16-AS16)*0.2),"長い下ヒゲ(反発)","通常"))))</f>
        <v>長い下ヒゲ(反発)</v>
      </c>
      <c r="AU16">
        <f>IF(AT16="上ヒゲ陰線▼",2,IF(AT16="大陰線▼",2,IF(AT16="長い下ヒゲ(反発)",-2,0)))</f>
        <v>-2</v>
      </c>
      <c r="BA16">
        <f>IFERROR((SUM(OFFSET(高値!$E$6,IFERROR(MATCH($C16,銘柄管理!$B$6:$B$305,0),MATCH(TEXT($C16,"0"),銘柄管理!$B$6:$B$305,0))-1,0,1,14))-SUM(OFFSET(安値!$E$6,IFERROR(MATCH($C16,銘柄管理!$B$6:$B$305,0),MATCH(TEXT($C16,"0"),銘柄管理!$B$6:$B$305,0))-1,0,1,14)))/SUM(OFFSET(終値!$E$6,IFERROR(MATCH($C16,銘柄管理!$B$6:$B$305,0),MATCH(TEXT($C16,"0"),銘柄管理!$B$6:$B$305,0))-1,0,1,14))*100,"")</f>
      </c>
      <c r="BB16">
        <f>IFERROR((MAX(OFFSET(高値!$E$6,IFERROR(MATCH($C16,銘柄管理!$B$6:$B$305,0),MATCH(TEXT($C16,"0"),銘柄管理!$B$6:$B$305,0))-1,0,1,25))-MIN(OFFSET(安値!$E$6,IFERROR(MATCH($C16,銘柄管理!$B$6:$B$305,0),MATCH(TEXT($C16,"0"),銘柄管理!$B$6:$B$305,0))-1,0,1,25)))/$E16*100,"")</f>
      </c>
      <c r="BC16">
        <f>IFERROR(($F16-$G16)/$G16*100,"")</f>
      </c>
      <c r="BD16">
        <f>IFERROR(($E16-MAX(OFFSET(高値!$E$6,IFERROR(MATCH($C16,銘柄管理!$B$6:$B$305,0),MATCH(TEXT($C16,"0"),銘柄管理!$B$6:$B$305,0))-1,0,1,25)))/MAX(OFFSET(高値!$E$6,IFERROR(MATCH($C16,銘柄管理!$B$6:$B$305,0),MATCH(TEXT($C16,"0"),銘柄管理!$B$6:$B$305,0))-1,0,1,25))*100,"")</f>
      </c>
      <c r="BE16">
        <f>IFERROR(($H16-$I16)/$F16*100,"")</f>
      </c>
      <c r="BF16">
        <f>IFERROR(-(($BA16-AVERAGE($BA$3:$BA$206))/STDEV($BA$3:$BA$206))-(($BE16-AVERAGE($BE$3:$BE$206))/STDEV($BE$3:$BE$206))-(($BB16-AVERAGE($BB$3:$BB$206))/STDEV($BB$3:$BB$206))-(($Z16-AVERAGE($Z$3:$Z$206))/STDEV($Z$3:$Z$206))-(($BC16-AVERAGE($BC$3:$BC$206))/STDEV($BC$3:$BC$206)),"")</f>
      </c>
      <c r="BG16">
        <f>IF(OR($C16="",$C16="TOPX",$BA16="",$BF16=""),0,IF(AND($BK$10=1,$BA16&lt;=$BK$2,$BB16&lt;=$BK$3,$BC16&lt;=$BK$4,$Z16&lt;=$BK$5,$Z16&gt;=$BK$6,$BD16&gt;=$BK$7,$BE16&lt;=$BK$8),1,0))</f>
      </c>
      <c r="BH16">
        <f>IF($C16="","",IF($BG16=1,"○ゲート通過",IF($BK$10&lt;&gt;1,"― この方向は停止中",IF($BA16&gt;$BK$2,"×値動きが荒い",IF($BB16&gt;$BK$3,"×レンジが広い",IF($BC16&gt;$BK$4,"×窓を開けて上昇",IF($Z16&gt;$BK$5,"×前日に急騰",IF($Z16&lt;$BK$6,"×前日に急落",IF($BD16&lt;$BK$7,"×高値から離れすぎ",IF($BE16&gt;$BK$8,"×当日の値幅が大きい","×")))))))))</f>
      </c>
    </row>
    <row r="17" spans="1:60"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IF(AND(E17&lt;&gt;"",K17&lt;&gt;"",K17&lt;&gt;0),(E17-K17)/K17*100,"")</f>
        <v>-12.581790988969901</v>
      </c>
      <c r="M17" s="326">
        <f>IF(C17&lt;&gt;"",IFERROR(AVERAGE(出来高!E100:I100),""),"")</f>
        <v>2049380</v>
      </c>
      <c r="N17" s="326">
        <f>IF(C17&lt;&gt;"",IFERROR(AVERAGE(出来高!E100:AC100),""),"")</f>
        <v>1574395.8333333333</v>
      </c>
      <c r="O17" s="328">
        <f>IF(AND(J17&lt;&gt;"",M17&lt;&gt;"",M17&lt;&gt;0),J17/M17,"")</f>
        <v>0.73836965326098625</v>
      </c>
      <c r="P17" s="325" t="str">
        <f>IF(O17="","",IF(O17&gt;=2,"急増↑↑",IF(O17&gt;=1.5,"増加↑",IF(O17&gt;=1,"普通→","減少↓"))))</f>
        <v>減少↓</v>
      </c>
      <c r="Q17" s="325" t="str">
        <f>IF(E17="","",IF(AND(E17&lt;G17,O17&gt;=1.5),"売り▼",IF(E17&gt;G17,"様子見▲","中立→")))</f>
        <v>様子見▲</v>
      </c>
      <c r="R17" s="326">
        <f>IF(E17&lt;&gt;"",ROUND(E17*0.92,0),"")</f>
        <v>2151</v>
      </c>
      <c r="S17" s="326">
        <f>IF(E17&lt;&gt;"",ROUND(E17*1.04,0),"")</f>
        <v>2432</v>
      </c>
      <c r="T17" s="325">
        <f>IF(C17="","",IFERROR(IF(W17&gt;=70,3,IF(W17&gt;=60,2,IF(W17&gt;=50,1,0)))+IF(X17&lt;0,2,0)+IF(AD17="下降トレンド▼",3,IF(AD17="もみ合い→",1,0))+IF(V17="年初来安値圏●",3,IF(V17="安値圏",2,0))+IF(Q17="売り▼",2,0)+IF(P17="急増↑↑",2,IF(P17="増加↑",1,0))+IF(Z17&lt;0,1,0)+IF(L17&lt;=-30,2,IF(L17&lt;=-15,1,0))+IF(AE17="25日戻り売り★",2,IF(AE17="5日戻り売り○",1,0))+N(AL17)+N(AP17)+N(AU17),0))</f>
        <v>1</v>
      </c>
      <c r="U17" s="325" t="str">
        <f>IF(T17="","",IF(AND(T17&gt;=3,O17&gt;=1.5),"有効",IF(T17&gt;=3,"要確認","除外")))</f>
        <v>除外</v>
      </c>
      <c r="V17" s="325" t="str">
        <f>IF(AND(I17&lt;&gt;"",K17&lt;&gt;""),IF(I17&lt;=K17*0.6,"年初来安値圏●",IF(I17&lt;=K17*0.75,"安値圏","通常")),"")</f>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IF(AF17="","",AF17&amp;" | "&amp;AD17&amp;IF(AE17&lt;&gt;"なし"," "&amp;AE17,"")&amp;IF(X17&lt;0," MACD-"," MACD+")&amp;" RSI:"&amp;TEXT(W17,"0.0")&amp;IF(W17&gt;=70," [過熱]",IF(W17&lt;=30," [売られ過ぎ]",""))&amp;" 前日比:"&amp;TEXT(Z17,"+0.0;-0.0;0.0")&amp;"%"&amp;IF(V17="年初来安値圏●"," [年初来安値圏]",IF(V17="安値圏"," [安値圏]",""))&amp;IF(OR(AO17="通常",AO17="-"),""," ["&amp;AO17&amp;"]")&amp;IF(OR(AT17="通常",AT17="-"),"","前日["&amp;AT17&amp;"]")&amp;" ["&amp;T17&amp;"点]")</f>
        <v>相場上昇・見送り | パーフェクト▲ MACD- RSI:49.2 前日比:+1.6%前日[長い下ヒゲ(反発)] [1点]</v>
      </c>
      <c r="Z17" s="331">
        <f>IF(AND(E17&lt;&gt;"",G17&lt;&gt;"",G17&lt;&gt;0),(E17-G17)/G17*100,"")</f>
        <v>1.6079965232507605</v>
      </c>
      <c r="AA17" s="325" t="str">
        <f>IF(OR(C17="",E17="",E17=0),"",IF(E17&gt;G17,"上昇▲",IF(E17&lt;G17,"下落▼","横ばい→")))</f>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IF(OR(C17="",AB17="",AC17="",AB17=0,AC17=0),"",IF(AND(E17&gt;AB17,AB17&gt;AC17),"パーフェクト▲",IF(E17&gt;AC17,"上昇トレンド▲",IF(AND(E17&lt;AB17,AB17&lt;AC17),"下降トレンド▼","もみ合い→"))))</f>
        <v>パーフェクト▲</v>
      </c>
      <c r="AE17" s="325" t="str">
        <f>IF(OR(C17="",AB17="",AC17=""),"",IF(AND(ABS(E17-AC17)/AC17&lt;=0.02,E17&lt;AC17),"25日戻り売り★",IF(AND(ABS(E17-AB17)/AB17&lt;=0.01,E17&lt;AB17),"5日戻り売り○","なし")))</f>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IF(AND(T17&gt;=7,C17&lt;&gt;""),T17,0)</f>
        <v>0</v>
      </c>
      <c r="AH17">
        <f>IF(AG17&gt;0,AG17*10000-ROW(A17),0)</f>
        <v>0</v>
      </c>
      <c r="AI17" s="373">
        <f t="array" ref="AI17">IF(C17="","",IFERROR((INDEX(終値!$E:$E,MATCH(TEXT(C17,"0"),終値!$A:$A,0))-INDEX(終値!$E:$CZ,MATCH(TEXT(C17,"0"),終値!$A:$A,0),$AN$2))/INDEX(終値!$E:$CZ,MATCH(TEXT(C17,"0"),終値!$A:$A,0),$AN$2)*100,""))</f>
        <v>-1.2668918918918919</v>
      </c>
      <c r="AJ17" s="373">
        <f t="array" ref="AJ17">IFERROR((終値!$E$5-INDEX(終値!$E$5:$IT$5,1,$AN$2))/INDEX(終値!$E$5:$IT$5,1,$AN$2)*100,"")</f>
        <v>1.0179378228534113</v>
      </c>
      <c r="AK17" s="374">
        <f>IF(OR(AI17="",AJ17=""),"",AI17-AJ17)</f>
        <v>-2.2848297147453032</v>
      </c>
      <c r="AL17" s="372">
        <f>IF(AK17="","",IF(AK17&lt;-5,3,IF(AK17&lt;0,1,IF(AK17&lt;3,-1,-2))))</f>
        <v>1</v>
      </c>
      <c r="AO17" s="376" t="str">
        <f>IF(OR($C17="",$E17="",$F17="",$H17="",$I17="",$H17-$I17&lt;=0),"-",IF(AND($H17-MAX($F17,$E17)&gt;=ABS($E17-$F17)*2,MIN($F17,$E17)-$I17&lt;=ABS($E17-$F17)*0.5,ABS($E17-$F17)&gt;0),"上ヒゲ陰線▼",IF(AND($E17&lt;$F17,ABS($E17-$F17)&gt;=($H17-$I17)*0.7),"大陰線▼",IF(AND(MIN($F17,$E17)-$I17&gt;=($H17-$I17)*0.5,$H17-MAX($F17,$E17)&lt;=($H17-$I17)*0.2),"長い下ヒゲ(反発警戒)","通常"))))</f>
        <v>通常</v>
      </c>
      <c r="AP17" s="377">
        <f>IF($AO17="上ヒゲ陰線▼",2,IF($AO17="大陰線▼",2,IF($AO17="長い下ヒゲ(反発警戒)",-2,0)))</f>
        <v>0</v>
      </c>
      <c r="AQ17">
        <f>IF(C17&lt;&gt;"",始値!F100,"")</f>
        <v>2320</v>
      </c>
      <c r="AR17">
        <f>IF(C17&lt;&gt;"",高値!F100,"")</f>
        <v>2320</v>
      </c>
      <c r="AS17">
        <f>IF(C17&lt;&gt;"",安値!F100,"")</f>
        <v>2264.5</v>
      </c>
      <c r="AT17" t="str">
        <f>IF(OR(C17="",AQ17="",AR17="",AS17="",AR17-AS17&lt;=0),"-",IF(AND(AR17-MAX(G17,AQ17)&gt;=ABS(G17-AQ17)*2,MIN(G17,AQ17)-AS17&lt;=ABS(G17-AQ17)*0.5,ABS(G17-AQ17)&gt;0),"上ヒゲ陰線▼",IF(AND(G17&lt;AQ17,ABS(G17-AQ17)&gt;=(AR17-AS17)*0.7),"大陰線▼",IF(AND(MIN(G17,AQ17)-AS17&gt;=(AR17-AS17)*0.5,AR17-MAX(G17,AQ17)&lt;=(AR17-AS17)*0.2),"長い下ヒゲ(反発)","通常"))))</f>
        <v>長い下ヒゲ(反発)</v>
      </c>
      <c r="AU17">
        <f>IF(AT17="上ヒゲ陰線▼",2,IF(AT17="大陰線▼",2,IF(AT17="長い下ヒゲ(反発)",-2,0)))</f>
        <v>-2</v>
      </c>
      <c r="BA17">
        <f>IFERROR((SUM(OFFSET(高値!$E$6,IFERROR(MATCH($C17,銘柄管理!$B$6:$B$305,0),MATCH(TEXT($C17,"0"),銘柄管理!$B$6:$B$305,0))-1,0,1,14))-SUM(OFFSET(安値!$E$6,IFERROR(MATCH($C17,銘柄管理!$B$6:$B$305,0),MATCH(TEXT($C17,"0"),銘柄管理!$B$6:$B$305,0))-1,0,1,14)))/SUM(OFFSET(終値!$E$6,IFERROR(MATCH($C17,銘柄管理!$B$6:$B$305,0),MATCH(TEXT($C17,"0"),銘柄管理!$B$6:$B$305,0))-1,0,1,14))*100,"")</f>
      </c>
      <c r="BB17">
        <f>IFERROR((MAX(OFFSET(高値!$E$6,IFERROR(MATCH($C17,銘柄管理!$B$6:$B$305,0),MATCH(TEXT($C17,"0"),銘柄管理!$B$6:$B$305,0))-1,0,1,25))-MIN(OFFSET(安値!$E$6,IFERROR(MATCH($C17,銘柄管理!$B$6:$B$305,0),MATCH(TEXT($C17,"0"),銘柄管理!$B$6:$B$305,0))-1,0,1,25)))/$E17*100,"")</f>
      </c>
      <c r="BC17">
        <f>IFERROR(($F17-$G17)/$G17*100,"")</f>
      </c>
      <c r="BD17">
        <f>IFERROR(($E17-MAX(OFFSET(高値!$E$6,IFERROR(MATCH($C17,銘柄管理!$B$6:$B$305,0),MATCH(TEXT($C17,"0"),銘柄管理!$B$6:$B$305,0))-1,0,1,25)))/MAX(OFFSET(高値!$E$6,IFERROR(MATCH($C17,銘柄管理!$B$6:$B$305,0),MATCH(TEXT($C17,"0"),銘柄管理!$B$6:$B$305,0))-1,0,1,25))*100,"")</f>
      </c>
      <c r="BE17">
        <f>IFERROR(($H17-$I17)/$F17*100,"")</f>
      </c>
      <c r="BF17">
        <f>IFERROR(-(($BA17-AVERAGE($BA$3:$BA$206))/STDEV($BA$3:$BA$206))-(($BE17-AVERAGE($BE$3:$BE$206))/STDEV($BE$3:$BE$206))-(($BB17-AVERAGE($BB$3:$BB$206))/STDEV($BB$3:$BB$206))-(($Z17-AVERAGE($Z$3:$Z$206))/STDEV($Z$3:$Z$206))-(($BC17-AVERAGE($BC$3:$BC$206))/STDEV($BC$3:$BC$206)),"")</f>
      </c>
      <c r="BG17">
        <f>IF(OR($C17="",$C17="TOPX",$BA17="",$BF17=""),0,IF(AND($BK$10=1,$BA17&lt;=$BK$2,$BB17&lt;=$BK$3,$BC17&lt;=$BK$4,$Z17&lt;=$BK$5,$Z17&gt;=$BK$6,$BD17&gt;=$BK$7,$BE17&lt;=$BK$8),1,0))</f>
      </c>
      <c r="BH17">
        <f>IF($C17="","",IF($BG17=1,"○ゲート通過",IF($BK$10&lt;&gt;1,"― この方向は停止中",IF($BA17&gt;$BK$2,"×値動きが荒い",IF($BB17&gt;$BK$3,"×レンジが広い",IF($BC17&gt;$BK$4,"×窓を開けて上昇",IF($Z17&gt;$BK$5,"×前日に急騰",IF($Z17&lt;$BK$6,"×前日に急落",IF($BD17&lt;$BK$7,"×高値から離れすぎ",IF($BE17&gt;$BK$8,"×当日の値幅が大きい","×")))))))))</f>
      </c>
    </row>
    <row r="18" spans="1:60"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IF(AND(E18&lt;&gt;"",K18&lt;&gt;"",K18&lt;&gt;0),(E18-K18)/K18*100,"")</f>
        <v>-15.579540122008448</v>
      </c>
      <c r="M18" s="333">
        <f>IF(C18&lt;&gt;"",IFERROR(AVERAGE(出来高!E107:I107),""),"")</f>
        <v>683020</v>
      </c>
      <c r="N18" s="333">
        <f>IF(C18&lt;&gt;"",IFERROR(AVERAGE(出来高!E107:AC107),""),"")</f>
        <v>575776</v>
      </c>
      <c r="O18" s="335">
        <f>IF(AND(J18&lt;&gt;"",M18&lt;&gt;"",M18&lt;&gt;0),J18/M18,"")</f>
        <v>0.84990190623993445</v>
      </c>
      <c r="P18" s="212" t="str">
        <f>IF(O18="","",IF(O18&gt;=2,"急増↑↑",IF(O18&gt;=1.5,"増加↑",IF(O18&gt;=1,"普通→","減少↓"))))</f>
        <v>減少↓</v>
      </c>
      <c r="Q18" s="212" t="str">
        <f>IF(E18="","",IF(AND(E18&lt;G18,O18&gt;=1.5),"売り▼",IF(E18&gt;G18,"様子見▲","中立→")))</f>
        <v>中立→</v>
      </c>
      <c r="R18" s="333">
        <f>IF(E18&lt;&gt;"",ROUND(E18*0.92,0),"")</f>
        <v>16551</v>
      </c>
      <c r="S18" s="333">
        <f>IF(E18&lt;&gt;"",ROUND(E18*1.04,0),"")</f>
        <v>18710</v>
      </c>
      <c r="T18" s="325">
        <f>IF(C18="","",IFERROR(IF(W18&gt;=70,3,IF(W18&gt;=60,2,IF(W18&gt;=50,1,0)))+IF(X18&lt;0,2,0)+IF(AD18="下降トレンド▼",3,IF(AD18="もみ合い→",1,0))+IF(V18="年初来安値圏●",3,IF(V18="安値圏",2,0))+IF(Q18="売り▼",2,0)+IF(P18="急増↑↑",2,IF(P18="増加↑",1,0))+IF(Z18&lt;0,1,0)+IF(L18&lt;=-30,2,IF(L18&lt;=-15,1,0))+IF(AE18="25日戻り売り★",2,IF(AE18="5日戻り売り○",1,0))+N(AL18)+N(AP18)+N(AU18),0))</f>
        <v>8</v>
      </c>
      <c r="U18" s="212" t="str">
        <f>IF(T18="","",IF(AND(T18&gt;=3,O18&gt;=1.5),"有効",IF(T18&gt;=3,"要確認","除外")))</f>
        <v>要確認</v>
      </c>
      <c r="V18" s="212" t="str">
        <f>IF(AND(I18&lt;&gt;"",K18&lt;&gt;""),IF(I18&lt;=K18*0.6,"年初来安値圏●",IF(I18&lt;=K18*0.75,"安値圏","通常")),"")</f>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IF(AF18="","",AF18&amp;" | "&amp;AD18&amp;IF(AE18&lt;&gt;"なし"," "&amp;AE18,"")&amp;IF(X18&lt;0," MACD-"," MACD+")&amp;" RSI:"&amp;TEXT(W18,"0.0")&amp;IF(W18&gt;=70," [過熱]",IF(W18&lt;=30," [売られ過ぎ]",""))&amp;" 前日比:"&amp;TEXT(Z18,"+0.0;-0.0;0.0")&amp;"%"&amp;IF(V18="年初来安値圏●"," [年初来安値圏]",IF(V18="安値圏"," [安値圏]",""))&amp;IF(OR(AO18="通常",AO18="-"),""," ["&amp;AO18&amp;"]")&amp;IF(OR(AT18="通常",AT18="-"),"","前日["&amp;AT18&amp;"]")&amp;" ["&amp;T18&amp;"点]")</f>
        <v>相場上昇・見送り | 上昇トレンド▲ 5日戻り売り○ MACD- RSI:48.1 前日比:-4.1% [8点]</v>
      </c>
      <c r="Z18" s="338">
        <f>IF(AND(E18&lt;&gt;"",G18&lt;&gt;"",G18&lt;&gt;0),(E18-G18)/G18*100,"")</f>
        <v>-4.0789122900559853</v>
      </c>
      <c r="AA18" s="212" t="str">
        <f>IF(OR(C18="",E18="",E18=0),"",IF(E18&gt;G18,"上昇▲",IF(E18&lt;G18,"下落▼","横ばい→")))</f>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IF(OR(C18="",AB18="",AC18="",AB18=0,AC18=0),"",IF(AND(E18&gt;AB18,AB18&gt;AC18),"パーフェクト▲",IF(E18&gt;AC18,"上昇トレンド▲",IF(AND(E18&lt;AB18,AB18&lt;AC18),"下降トレンド▼","もみ合い→"))))</f>
        <v>上昇トレンド▲</v>
      </c>
      <c r="AE18" s="212" t="str">
        <f>IF(OR(C18="",AB18="",AC18=""),"",IF(AND(ABS(E18-AC18)/AC18&lt;=0.02,E18&lt;AC18),"25日戻り売り★",IF(AND(ABS(E18-AB18)/AB18&lt;=0.01,E18&lt;AB18),"5日戻り売り○","なし")))</f>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IF(AND(T18&gt;=7,C18&lt;&gt;""),T18,0)</f>
        <v>8</v>
      </c>
      <c r="AH18">
        <f>IF(AG18&gt;0,AG18*10000-ROW(A18),0)</f>
        <v>79982</v>
      </c>
      <c r="AI18" s="373">
        <f t="array" ref="AI18">IF(C18="","",IFERROR((INDEX(終値!$E:$E,MATCH(TEXT(C18,"0"),終値!$A:$A,0))-INDEX(終値!$E:$CZ,MATCH(TEXT(C18,"0"),終値!$A:$A,0),$AN$2))/INDEX(終値!$E:$CZ,MATCH(TEXT(C18,"0"),終値!$A:$A,0),$AN$2)*100,""))</f>
        <v>-14.005736137667304</v>
      </c>
      <c r="AJ18" s="373">
        <f t="array" ref="AJ18">IFERROR((終値!$E$5-INDEX(終値!$E$5:$IT$5,1,$AN$2))/INDEX(終値!$E$5:$IT$5,1,$AN$2)*100,"")</f>
        <v>1.0179378228534113</v>
      </c>
      <c r="AK18" s="374">
        <f>IF(OR(AI18="",AJ18=""),"",AI18-AJ18)</f>
        <v>-15.023673960520716</v>
      </c>
      <c r="AL18" s="372">
        <f>IF(AK18="","",IF(AK18&lt;-5,3,IF(AK18&lt;0,1,IF(AK18&lt;3,-1,-2))))</f>
        <v>3</v>
      </c>
      <c r="AO18" s="376" t="str">
        <f>IF(OR($C18="",$E18="",$F18="",$H18="",$I18="",$H18-$I18&lt;=0),"-",IF(AND($H18-MAX($F18,$E18)&gt;=ABS($E18-$F18)*2,MIN($F18,$E18)-$I18&lt;=ABS($E18-$F18)*0.5,ABS($E18-$F18)&gt;0),"上ヒゲ陰線▼",IF(AND($E18&lt;$F18,ABS($E18-$F18)&gt;=($H18-$I18)*0.7),"大陰線▼",IF(AND(MIN($F18,$E18)-$I18&gt;=($H18-$I18)*0.5,$H18-MAX($F18,$E18)&lt;=($H18-$I18)*0.2),"長い下ヒゲ(反発警戒)","通常"))))</f>
        <v>通常</v>
      </c>
      <c r="AP18" s="377">
        <f>IF($AO18="上ヒゲ陰線▼",2,IF($AO18="大陰線▼",2,IF($AO18="長い下ヒゲ(反発警戒)",-2,0)))</f>
        <v>0</v>
      </c>
      <c r="AQ18">
        <f>IF(C18&lt;&gt;"",始値!F107,"")</f>
        <v>18100</v>
      </c>
      <c r="AR18">
        <f>IF(C18&lt;&gt;"",高値!F107,"")</f>
        <v>18985</v>
      </c>
      <c r="AS18">
        <f>IF(C18&lt;&gt;"",安値!F107,"")</f>
        <v>17625</v>
      </c>
      <c r="AT18" t="str">
        <f>IF(OR(C18="",AQ18="",AR18="",AS18="",AR18-AS18&lt;=0),"-",IF(AND(AR18-MAX(G18,AQ18)&gt;=ABS(G18-AQ18)*2,MIN(G18,AQ18)-AS18&lt;=ABS(G18-AQ18)*0.5,ABS(G18-AQ18)&gt;0),"上ヒゲ陰線▼",IF(AND(G18&lt;AQ18,ABS(G18-AQ18)&gt;=(AR18-AS18)*0.7),"大陰線▼",IF(AND(MIN(G18,AQ18)-AS18&gt;=(AR18-AS18)*0.5,AR18-MAX(G18,AQ18)&lt;=(AR18-AS18)*0.2),"長い下ヒゲ(反発)","通常"))))</f>
        <v>通常</v>
      </c>
      <c r="AU18">
        <f>IF(AT18="上ヒゲ陰線▼",2,IF(AT18="大陰線▼",2,IF(AT18="長い下ヒゲ(反発)",-2,0)))</f>
        <v>0</v>
      </c>
      <c r="BA18">
        <f>IFERROR((SUM(OFFSET(高値!$E$6,IFERROR(MATCH($C18,銘柄管理!$B$6:$B$305,0),MATCH(TEXT($C18,"0"),銘柄管理!$B$6:$B$305,0))-1,0,1,14))-SUM(OFFSET(安値!$E$6,IFERROR(MATCH($C18,銘柄管理!$B$6:$B$305,0),MATCH(TEXT($C18,"0"),銘柄管理!$B$6:$B$305,0))-1,0,1,14)))/SUM(OFFSET(終値!$E$6,IFERROR(MATCH($C18,銘柄管理!$B$6:$B$305,0),MATCH(TEXT($C18,"0"),銘柄管理!$B$6:$B$305,0))-1,0,1,14))*100,"")</f>
      </c>
      <c r="BB18">
        <f>IFERROR((MAX(OFFSET(高値!$E$6,IFERROR(MATCH($C18,銘柄管理!$B$6:$B$305,0),MATCH(TEXT($C18,"0"),銘柄管理!$B$6:$B$305,0))-1,0,1,25))-MIN(OFFSET(安値!$E$6,IFERROR(MATCH($C18,銘柄管理!$B$6:$B$305,0),MATCH(TEXT($C18,"0"),銘柄管理!$B$6:$B$305,0))-1,0,1,25)))/$E18*100,"")</f>
      </c>
      <c r="BC18">
        <f>IFERROR(($F18-$G18)/$G18*100,"")</f>
      </c>
      <c r="BD18">
        <f>IFERROR(($E18-MAX(OFFSET(高値!$E$6,IFERROR(MATCH($C18,銘柄管理!$B$6:$B$305,0),MATCH(TEXT($C18,"0"),銘柄管理!$B$6:$B$305,0))-1,0,1,25)))/MAX(OFFSET(高値!$E$6,IFERROR(MATCH($C18,銘柄管理!$B$6:$B$305,0),MATCH(TEXT($C18,"0"),銘柄管理!$B$6:$B$305,0))-1,0,1,25))*100,"")</f>
      </c>
      <c r="BE18">
        <f>IFERROR(($H18-$I18)/$F18*100,"")</f>
      </c>
      <c r="BF18">
        <f>IFERROR(-(($BA18-AVERAGE($BA$3:$BA$206))/STDEV($BA$3:$BA$206))-(($BE18-AVERAGE($BE$3:$BE$206))/STDEV($BE$3:$BE$206))-(($BB18-AVERAGE($BB$3:$BB$206))/STDEV($BB$3:$BB$206))-(($Z18-AVERAGE($Z$3:$Z$206))/STDEV($Z$3:$Z$206))-(($BC18-AVERAGE($BC$3:$BC$206))/STDEV($BC$3:$BC$206)),"")</f>
      </c>
      <c r="BG18">
        <f>IF(OR($C18="",$C18="TOPX",$BA18="",$BF18=""),0,IF(AND($BK$10=1,$BA18&lt;=$BK$2,$BB18&lt;=$BK$3,$BC18&lt;=$BK$4,$Z18&lt;=$BK$5,$Z18&gt;=$BK$6,$BD18&gt;=$BK$7,$BE18&lt;=$BK$8),1,0))</f>
      </c>
      <c r="BH18">
        <f>IF($C18="","",IF($BG18=1,"○ゲート通過",IF($BK$10&lt;&gt;1,"― この方向は停止中",IF($BA18&gt;$BK$2,"×値動きが荒い",IF($BB18&gt;$BK$3,"×レンジが広い",IF($BC18&gt;$BK$4,"×窓を開けて上昇",IF($Z18&gt;$BK$5,"×前日に急騰",IF($Z18&lt;$BK$6,"×前日に急落",IF($BD18&lt;$BK$7,"×高値から離れすぎ",IF($BE18&gt;$BK$8,"×当日の値幅が大きい","×")))))))))</f>
      </c>
    </row>
    <row r="19" spans="1:60"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IF(AND(E19&lt;&gt;"",K19&lt;&gt;"",K19&lt;&gt;0),(E19-K19)/K19*100,"")</f>
        <v>-1.2686567164179103</v>
      </c>
      <c r="M19" s="326">
        <f>IF(C19&lt;&gt;"",IFERROR(AVERAGE(出来高!E164:I164),""),"")</f>
        <v>128980</v>
      </c>
      <c r="N19" s="326">
        <f>IF(C19&lt;&gt;"",IFERROR(AVERAGE(出来高!E164:AC164),""),"")</f>
        <v>95876</v>
      </c>
      <c r="O19" s="328">
        <f>IF(AND(J19&lt;&gt;"",M19&lt;&gt;"",M19&lt;&gt;0),J19/M19,"")</f>
        <v>0.37680260505504731</v>
      </c>
      <c r="P19" s="325" t="str">
        <f>IF(O19="","",IF(O19&gt;=2,"急増↑↑",IF(O19&gt;=1.5,"増加↑",IF(O19&gt;=1,"普通→","減少↓"))))</f>
        <v>減少↓</v>
      </c>
      <c r="Q19" s="325" t="str">
        <f>IF(E19="","",IF(AND(E19&lt;G19,O19&gt;=1.5),"売り▼",IF(E19&gt;G19,"様子見▲","中立→")))</f>
        <v>中立→</v>
      </c>
      <c r="R19" s="326">
        <f>IF(E19&lt;&gt;"",ROUND(E19*0.92,0),"")</f>
        <v>1217</v>
      </c>
      <c r="S19" s="326">
        <f>IF(E19&lt;&gt;"",ROUND(E19*1.04,0),"")</f>
        <v>1376</v>
      </c>
      <c r="T19" s="325">
        <f>IF(C19="","",IFERROR(IF(W19&gt;=70,3,IF(W19&gt;=60,2,IF(W19&gt;=50,1,0)))+IF(X19&lt;0,2,0)+IF(AD19="下降トレンド▼",3,IF(AD19="もみ合い→",1,0))+IF(V19="年初来安値圏●",3,IF(V19="安値圏",2,0))+IF(Q19="売り▼",2,0)+IF(P19="急増↑↑",2,IF(P19="増加↑",1,0))+IF(Z19&lt;0,1,0)+IF(L19&lt;=-30,2,IF(L19&lt;=-15,1,0))+IF(AE19="25日戻り売り★",2,IF(AE19="5日戻り売り○",1,0))+N(AL19)+N(AP19)+N(AU19),0))</f>
        <v>2</v>
      </c>
      <c r="U19" s="325" t="str">
        <f>IF(T19="","",IF(AND(T19&gt;=3,O19&gt;=1.5),"有効",IF(T19&gt;=3,"要確認","除外")))</f>
        <v>除外</v>
      </c>
      <c r="V19" s="325" t="str">
        <f>IF(AND(I19&lt;&gt;"",K19&lt;&gt;""),IF(I19&lt;=K19*0.6,"年初来安値圏●",IF(I19&lt;=K19*0.75,"安値圏","通常")),"")</f>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IF(AF19="","",AF19&amp;" | "&amp;AD19&amp;IF(AE19&lt;&gt;"なし"," "&amp;AE19,"")&amp;IF(X19&lt;0," MACD-"," MACD+")&amp;" RSI:"&amp;TEXT(W19,"0.0")&amp;IF(W19&gt;=70," [過熱]",IF(W19&lt;=30," [売られ過ぎ]",""))&amp;" 前日比:"&amp;TEXT(Z19,"+0.0;-0.0;0.0")&amp;"%"&amp;IF(V19="年初来安値圏●"," [年初来安値圏]",IF(V19="安値圏"," [安値圏]",""))&amp;IF(OR(AO19="通常",AO19="-"),""," ["&amp;AO19&amp;"]")&amp;IF(OR(AT19="通常",AT19="-"),"","前日["&amp;AT19&amp;"]")&amp;" ["&amp;T19&amp;"点]")</f>
        <v>相場上昇・見送り | パーフェクト▲ MACD+ RSI:51.9 前日比:-0.5% [上ヒゲ陰線▼] [2点]</v>
      </c>
      <c r="Z19" s="331">
        <f>IF(AND(E19&lt;&gt;"",G19&lt;&gt;"",G19&lt;&gt;0),(E19-G19)/G19*100,"")</f>
        <v>-0.45146726862302478</v>
      </c>
      <c r="AA19" s="325" t="str">
        <f>IF(OR(C19="",E19="",E19=0),"",IF(E19&gt;G19,"上昇▲",IF(E19&lt;G19,"下落▼","横ばい→")))</f>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IF(OR(C19="",AB19="",AC19="",AB19=0,AC19=0),"",IF(AND(E19&gt;AB19,AB19&gt;AC19),"パーフェクト▲",IF(E19&gt;AC19,"上昇トレンド▲",IF(AND(E19&lt;AB19,AB19&lt;AC19),"下降トレンド▼","もみ合い→"))))</f>
        <v>パーフェクト▲</v>
      </c>
      <c r="AE19" s="325" t="str">
        <f>IF(OR(C19="",AB19="",AC19=""),"",IF(AND(ABS(E19-AC19)/AC19&lt;=0.02,E19&lt;AC19),"25日戻り売り★",IF(AND(ABS(E19-AB19)/AB19&lt;=0.01,E19&lt;AB19),"5日戻り売り○","なし")))</f>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IF(AND(T19&gt;=7,C19&lt;&gt;""),T19,0)</f>
        <v>0</v>
      </c>
      <c r="AH19">
        <f>IF(AG19&gt;0,AG19*10000-ROW(A19),0)</f>
        <v>0</v>
      </c>
      <c r="AI19" s="373">
        <f t="array" ref="AI19">IF(C19="","",IFERROR((INDEX(終値!$E:$E,MATCH(TEXT(C19,"0"),終値!$A:$A,0))-INDEX(終値!$E:$CZ,MATCH(TEXT(C19,"0"),終値!$A:$A,0),$AN$2))/INDEX(終値!$E:$CZ,MATCH(TEXT(C19,"0"),終値!$A:$A,0),$AN$2)*100,""))</f>
        <v>9.5198675496688736</v>
      </c>
      <c r="AJ19" s="373">
        <f t="array" ref="AJ19">IFERROR((終値!$E$5-INDEX(終値!$E$5:$IT$5,1,$AN$2))/INDEX(終値!$E$5:$IT$5,1,$AN$2)*100,"")</f>
        <v>1.0179378228534113</v>
      </c>
      <c r="AK19" s="374">
        <f>IF(OR(AI19="",AJ19=""),"",AI19-AJ19)</f>
        <v>8.5019297268154617</v>
      </c>
      <c r="AL19" s="372">
        <f>IF(AK19="","",IF(AK19&lt;-5,3,IF(AK19&lt;0,1,IF(AK19&lt;3,-1,-2))))</f>
        <v>-2</v>
      </c>
      <c r="AO19" s="376" t="str">
        <f>IF(OR($C19="",$E19="",$F19="",$H19="",$I19="",$H19-$I19&lt;=0),"-",IF(AND($H19-MAX($F19,$E19)&gt;=ABS($E19-$F19)*2,MIN($F19,$E19)-$I19&lt;=ABS($E19-$F19)*0.5,ABS($E19-$F19)&gt;0),"上ヒゲ陰線▼",IF(AND($E19&lt;$F19,ABS($E19-$F19)&gt;=($H19-$I19)*0.7),"大陰線▼",IF(AND(MIN($F19,$E19)-$I19&gt;=($H19-$I19)*0.5,$H19-MAX($F19,$E19)&lt;=($H19-$I19)*0.2),"長い下ヒゲ(反発警戒)","通常"))))</f>
        <v>上ヒゲ陰線▼</v>
      </c>
      <c r="AP19" s="377">
        <f>IF($AO19="上ヒゲ陰線▼",2,IF($AO19="大陰線▼",2,IF($AO19="長い下ヒゲ(反発警戒)",-2,0)))</f>
        <v>2</v>
      </c>
      <c r="AQ19">
        <f>IF(C19&lt;&gt;"",始値!F164,"")</f>
        <v>1304</v>
      </c>
      <c r="AR19">
        <f>IF(C19&lt;&gt;"",高値!F164,"")</f>
        <v>1340</v>
      </c>
      <c r="AS19">
        <f>IF(C19&lt;&gt;"",安値!F164,"")</f>
        <v>1304</v>
      </c>
      <c r="AT19" t="str">
        <f>IF(OR(C19="",AQ19="",AR19="",AS19="",AR19-AS19&lt;=0),"-",IF(AND(AR19-MAX(G19,AQ19)&gt;=ABS(G19-AQ19)*2,MIN(G19,AQ19)-AS19&lt;=ABS(G19-AQ19)*0.5,ABS(G19-AQ19)&gt;0),"上ヒゲ陰線▼",IF(AND(G19&lt;AQ19,ABS(G19-AQ19)&gt;=(AR19-AS19)*0.7),"大陰線▼",IF(AND(MIN(G19,AQ19)-AS19&gt;=(AR19-AS19)*0.5,AR19-MAX(G19,AQ19)&lt;=(AR19-AS19)*0.2),"長い下ヒゲ(反発)","通常"))))</f>
        <v>通常</v>
      </c>
      <c r="AU19">
        <f>IF(AT19="上ヒゲ陰線▼",2,IF(AT19="大陰線▼",2,IF(AT19="長い下ヒゲ(反発)",-2,0)))</f>
        <v>0</v>
      </c>
      <c r="BA19">
        <f>IFERROR((SUM(OFFSET(高値!$E$6,IFERROR(MATCH($C19,銘柄管理!$B$6:$B$305,0),MATCH(TEXT($C19,"0"),銘柄管理!$B$6:$B$305,0))-1,0,1,14))-SUM(OFFSET(安値!$E$6,IFERROR(MATCH($C19,銘柄管理!$B$6:$B$305,0),MATCH(TEXT($C19,"0"),銘柄管理!$B$6:$B$305,0))-1,0,1,14)))/SUM(OFFSET(終値!$E$6,IFERROR(MATCH($C19,銘柄管理!$B$6:$B$305,0),MATCH(TEXT($C19,"0"),銘柄管理!$B$6:$B$305,0))-1,0,1,14))*100,"")</f>
      </c>
      <c r="BB19">
        <f>IFERROR((MAX(OFFSET(高値!$E$6,IFERROR(MATCH($C19,銘柄管理!$B$6:$B$305,0),MATCH(TEXT($C19,"0"),銘柄管理!$B$6:$B$305,0))-1,0,1,25))-MIN(OFFSET(安値!$E$6,IFERROR(MATCH($C19,銘柄管理!$B$6:$B$305,0),MATCH(TEXT($C19,"0"),銘柄管理!$B$6:$B$305,0))-1,0,1,25)))/$E19*100,"")</f>
      </c>
      <c r="BC19">
        <f>IFERROR(($F19-$G19)/$G19*100,"")</f>
      </c>
      <c r="BD19">
        <f>IFERROR(($E19-MAX(OFFSET(高値!$E$6,IFERROR(MATCH($C19,銘柄管理!$B$6:$B$305,0),MATCH(TEXT($C19,"0"),銘柄管理!$B$6:$B$305,0))-1,0,1,25)))/MAX(OFFSET(高値!$E$6,IFERROR(MATCH($C19,銘柄管理!$B$6:$B$305,0),MATCH(TEXT($C19,"0"),銘柄管理!$B$6:$B$305,0))-1,0,1,25))*100,"")</f>
      </c>
      <c r="BE19">
        <f>IFERROR(($H19-$I19)/$F19*100,"")</f>
      </c>
      <c r="BF19">
        <f>IFERROR(-(($BA19-AVERAGE($BA$3:$BA$206))/STDEV($BA$3:$BA$206))-(($BE19-AVERAGE($BE$3:$BE$206))/STDEV($BE$3:$BE$206))-(($BB19-AVERAGE($BB$3:$BB$206))/STDEV($BB$3:$BB$206))-(($Z19-AVERAGE($Z$3:$Z$206))/STDEV($Z$3:$Z$206))-(($BC19-AVERAGE($BC$3:$BC$206))/STDEV($BC$3:$BC$206)),"")</f>
      </c>
      <c r="BG19">
        <f>IF(OR($C19="",$C19="TOPX",$BA19="",$BF19=""),0,IF(AND($BK$10=1,$BA19&lt;=$BK$2,$BB19&lt;=$BK$3,$BC19&lt;=$BK$4,$Z19&lt;=$BK$5,$Z19&gt;=$BK$6,$BD19&gt;=$BK$7,$BE19&lt;=$BK$8),1,0))</f>
      </c>
      <c r="BH19">
        <f>IF($C19="","",IF($BG19=1,"○ゲート通過",IF($BK$10&lt;&gt;1,"― この方向は停止中",IF($BA19&gt;$BK$2,"×値動きが荒い",IF($BB19&gt;$BK$3,"×レンジが広い",IF($BC19&gt;$BK$4,"×窓を開けて上昇",IF($Z19&gt;$BK$5,"×前日に急騰",IF($Z19&lt;$BK$6,"×前日に急落",IF($BD19&lt;$BK$7,"×高値から離れすぎ",IF($BE19&gt;$BK$8,"×当日の値幅が大きい","×")))))))))</f>
      </c>
    </row>
    <row r="20" spans="1:60"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IF(AND(E20&lt;&gt;"",K20&lt;&gt;"",K20&lt;&gt;0),(E20-K20)/K20*100,"")</f>
        <v>-33.607075173720787</v>
      </c>
      <c r="M20" s="333">
        <f>IF(C20&lt;&gt;"",IFERROR(AVERAGE(出来高!E201:I201),""),"")</f>
        <v>6209960</v>
      </c>
      <c r="N20" s="333">
        <f>IF(C20&lt;&gt;"",IFERROR(AVERAGE(出来高!E201:AC201),""),"")</f>
        <v>7904032</v>
      </c>
      <c r="O20" s="335">
        <f>IF(AND(J20&lt;&gt;"",M20&lt;&gt;"",M20&lt;&gt;0),J20/M20,"")</f>
        <v>0.76050409342411218</v>
      </c>
      <c r="P20" s="212" t="str">
        <f>IF(O20="","",IF(O20&gt;=2,"急増↑↑",IF(O20&gt;=1.5,"増加↑",IF(O20&gt;=1,"普通→","減少↓"))))</f>
        <v>減少↓</v>
      </c>
      <c r="Q20" s="212" t="str">
        <f>IF(E20="","",IF(AND(E20&lt;G20,O20&gt;=1.5),"売り▼",IF(E20&gt;G20,"様子見▲","中立→")))</f>
        <v>中立→</v>
      </c>
      <c r="R20" s="333">
        <f>IF(E20&lt;&gt;"",ROUND(E20*0.92,0),"")</f>
        <v>4835</v>
      </c>
      <c r="S20" s="333">
        <f>IF(E20&lt;&gt;"",ROUND(E20*1.04,0),"")</f>
        <v>5465</v>
      </c>
      <c r="T20" s="325">
        <f>IF(C20="","",IFERROR(IF(W20&gt;=70,3,IF(W20&gt;=60,2,IF(W20&gt;=50,1,0)))+IF(X20&lt;0,2,0)+IF(AD20="下降トレンド▼",3,IF(AD20="もみ合い→",1,0))+IF(V20="年初来安値圏●",3,IF(V20="安値圏",2,0))+IF(Q20="売り▼",2,0)+IF(P20="急増↑↑",2,IF(P20="増加↑",1,0))+IF(Z20&lt;0,1,0)+IF(L20&lt;=-30,2,IF(L20&lt;=-15,1,0))+IF(AE20="25日戻り売り★",2,IF(AE20="5日戻り売り○",1,0))+N(AL20)+N(AP20)+N(AU20),0))</f>
        <v>13</v>
      </c>
      <c r="U20" s="212" t="str">
        <f>IF(T20="","",IF(AND(T20&gt;=3,O20&gt;=1.5),"有効",IF(T20&gt;=3,"要確認","除外")))</f>
        <v>要確認</v>
      </c>
      <c r="V20" s="212" t="str">
        <f>IF(AND(I20&lt;&gt;"",K20&lt;&gt;""),IF(I20&lt;=K20*0.6,"年初来安値圏●",IF(I20&lt;=K20*0.75,"安値圏","通常")),"")</f>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IF(AF20="","",AF20&amp;" | "&amp;AD20&amp;IF(AE20&lt;&gt;"なし"," "&amp;AE20,"")&amp;IF(X20&lt;0," MACD-"," MACD+")&amp;" RSI:"&amp;TEXT(W20,"0.0")&amp;IF(W20&gt;=70," [過熱]",IF(W20&lt;=30," [売られ過ぎ]",""))&amp;" 前日比:"&amp;TEXT(Z20,"+0.0;-0.0;0.0")&amp;"%"&amp;IF(V20="年初来安値圏●"," [年初来安値圏]",IF(V20="安値圏"," [安値圏]",""))&amp;IF(OR(AO20="通常",AO20="-"),""," ["&amp;AO20&amp;"]")&amp;IF(OR(AT20="通常",AT20="-"),"","前日["&amp;AT20&amp;"]")&amp;" ["&amp;T20&amp;"点]")</f>
        <v>○逆張り売り | もみ合い→ 25日戻り売り★ MACD- RSI:47.8 前日比:-2.4% [安値圏] [13点]</v>
      </c>
      <c r="Z20" s="338">
        <f>IF(AND(E20&lt;&gt;"",G20&lt;&gt;"",G20&lt;&gt;0),(E20-G20)/G20*100,"")</f>
        <v>-2.3597175771088814</v>
      </c>
      <c r="AA20" s="212" t="str">
        <f>IF(OR(C20="",E20="",E20=0),"",IF(E20&gt;G20,"上昇▲",IF(E20&lt;G20,"下落▼","横ばい→")))</f>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IF(OR(C20="",AB20="",AC20="",AB20=0,AC20=0),"",IF(AND(E20&gt;AB20,AB20&gt;AC20),"パーフェクト▲",IF(E20&gt;AC20,"上昇トレンド▲",IF(AND(E20&lt;AB20,AB20&lt;AC20),"下降トレンド▼","もみ合い→"))))</f>
        <v>もみ合い→</v>
      </c>
      <c r="AE20" s="212" t="str">
        <f>IF(OR(C20="",AB20="",AC20=""),"",IF(AND(ABS(E20-AC20)/AC20&lt;=0.02,E20&lt;AC20),"25日戻り売り★",IF(AND(ABS(E20-AB20)/AB20&lt;=0.01,E20&lt;AB20),"5日戻り売り○","なし")))</f>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IF(AND(T20&gt;=7,C20&lt;&gt;""),T20,0)</f>
        <v>13</v>
      </c>
      <c r="AH20">
        <f>IF(AG20&gt;0,AG20*10000-ROW(A20),0)</f>
        <v>129980</v>
      </c>
      <c r="AI20" s="373">
        <f t="array" ref="AI20">IF(C20="","",IFERROR((INDEX(終値!$E:$E,MATCH(TEXT(C20,"0"),終値!$A:$A,0))-INDEX(終値!$E:$CZ,MATCH(TEXT(C20,"0"),終値!$A:$A,0),$AN$2))/INDEX(終値!$E:$CZ,MATCH(TEXT(C20,"0"),終値!$A:$A,0),$AN$2)*100,""))</f>
        <v>-28.033415502602026</v>
      </c>
      <c r="AJ20" s="373">
        <f t="array" ref="AJ20">IFERROR((終値!$E$5-INDEX(終値!$E$5:$IT$5,1,$AN$2))/INDEX(終値!$E$5:$IT$5,1,$AN$2)*100,"")</f>
        <v>1.0179378228534113</v>
      </c>
      <c r="AK20" s="374">
        <f>IF(OR(AI20="",AJ20=""),"",AI20-AJ20)</f>
        <v>-29.051353325455437</v>
      </c>
      <c r="AL20" s="372">
        <f>IF(AK20="","",IF(AK20&lt;-5,3,IF(AK20&lt;0,1,IF(AK20&lt;3,-1,-2))))</f>
        <v>3</v>
      </c>
      <c r="AO20" s="376" t="str">
        <f>IF(OR($C20="",$E20="",$F20="",$H20="",$I20="",$H20-$I20&lt;=0),"-",IF(AND($H20-MAX($F20,$E20)&gt;=ABS($E20-$F20)*2,MIN($F20,$E20)-$I20&lt;=ABS($E20-$F20)*0.5,ABS($E20-$F20)&gt;0),"上ヒゲ陰線▼",IF(AND($E20&lt;$F20,ABS($E20-$F20)&gt;=($H20-$I20)*0.7),"大陰線▼",IF(AND(MIN($F20,$E20)-$I20&gt;=($H20-$I20)*0.5,$H20-MAX($F20,$E20)&lt;=($H20-$I20)*0.2),"長い下ヒゲ(反発警戒)","通常"))))</f>
        <v>通常</v>
      </c>
      <c r="AP20" s="377">
        <f>IF($AO20="上ヒゲ陰線▼",2,IF($AO20="大陰線▼",2,IF($AO20="長い下ヒゲ(反発警戒)",-2,0)))</f>
        <v>0</v>
      </c>
      <c r="AQ20">
        <f>IF(C20&lt;&gt;"",始値!F201,"")</f>
        <v>5231</v>
      </c>
      <c r="AR20">
        <f>IF(C20&lt;&gt;"",高値!F201,"")</f>
        <v>5405</v>
      </c>
      <c r="AS20">
        <f>IF(C20&lt;&gt;"",安値!F201,"")</f>
        <v>5211</v>
      </c>
      <c r="AT20" t="str">
        <f>IF(OR(C20="",AQ20="",AR20="",AS20="",AR20-AS20&lt;=0),"-",IF(AND(AR20-MAX(G20,AQ20)&gt;=ABS(G20-AQ20)*2,MIN(G20,AQ20)-AS20&lt;=ABS(G20-AQ20)*0.5,ABS(G20-AQ20)&gt;0),"上ヒゲ陰線▼",IF(AND(G20&lt;AQ20,ABS(G20-AQ20)&gt;=(AR20-AS20)*0.7),"大陰線▼",IF(AND(MIN(G20,AQ20)-AS20&gt;=(AR20-AS20)*0.5,AR20-MAX(G20,AQ20)&lt;=(AR20-AS20)*0.2),"長い下ヒゲ(反発)","通常"))))</f>
        <v>通常</v>
      </c>
      <c r="AU20">
        <f>IF(AT20="上ヒゲ陰線▼",2,IF(AT20="大陰線▼",2,IF(AT20="長い下ヒゲ(反発)",-2,0)))</f>
        <v>0</v>
      </c>
      <c r="BA20">
        <f>IFERROR((SUM(OFFSET(高値!$E$6,IFERROR(MATCH($C20,銘柄管理!$B$6:$B$305,0),MATCH(TEXT($C20,"0"),銘柄管理!$B$6:$B$305,0))-1,0,1,14))-SUM(OFFSET(安値!$E$6,IFERROR(MATCH($C20,銘柄管理!$B$6:$B$305,0),MATCH(TEXT($C20,"0"),銘柄管理!$B$6:$B$305,0))-1,0,1,14)))/SUM(OFFSET(終値!$E$6,IFERROR(MATCH($C20,銘柄管理!$B$6:$B$305,0),MATCH(TEXT($C20,"0"),銘柄管理!$B$6:$B$305,0))-1,0,1,14))*100,"")</f>
      </c>
      <c r="BB20">
        <f>IFERROR((MAX(OFFSET(高値!$E$6,IFERROR(MATCH($C20,銘柄管理!$B$6:$B$305,0),MATCH(TEXT($C20,"0"),銘柄管理!$B$6:$B$305,0))-1,0,1,25))-MIN(OFFSET(安値!$E$6,IFERROR(MATCH($C20,銘柄管理!$B$6:$B$305,0),MATCH(TEXT($C20,"0"),銘柄管理!$B$6:$B$305,0))-1,0,1,25)))/$E20*100,"")</f>
      </c>
      <c r="BC20">
        <f>IFERROR(($F20-$G20)/$G20*100,"")</f>
      </c>
      <c r="BD20">
        <f>IFERROR(($E20-MAX(OFFSET(高値!$E$6,IFERROR(MATCH($C20,銘柄管理!$B$6:$B$305,0),MATCH(TEXT($C20,"0"),銘柄管理!$B$6:$B$305,0))-1,0,1,25)))/MAX(OFFSET(高値!$E$6,IFERROR(MATCH($C20,銘柄管理!$B$6:$B$305,0),MATCH(TEXT($C20,"0"),銘柄管理!$B$6:$B$305,0))-1,0,1,25))*100,"")</f>
      </c>
      <c r="BE20">
        <f>IFERROR(($H20-$I20)/$F20*100,"")</f>
      </c>
      <c r="BF20">
        <f>IFERROR(-(($BA20-AVERAGE($BA$3:$BA$206))/STDEV($BA$3:$BA$206))-(($BE20-AVERAGE($BE$3:$BE$206))/STDEV($BE$3:$BE$206))-(($BB20-AVERAGE($BB$3:$BB$206))/STDEV($BB$3:$BB$206))-(($Z20-AVERAGE($Z$3:$Z$206))/STDEV($Z$3:$Z$206))-(($BC20-AVERAGE($BC$3:$BC$206))/STDEV($BC$3:$BC$206)),"")</f>
      </c>
      <c r="BG20">
        <f>IF(OR($C20="",$C20="TOPX",$BA20="",$BF20=""),0,IF(AND($BK$10=1,$BA20&lt;=$BK$2,$BB20&lt;=$BK$3,$BC20&lt;=$BK$4,$Z20&lt;=$BK$5,$Z20&gt;=$BK$6,$BD20&gt;=$BK$7,$BE20&lt;=$BK$8),1,0))</f>
      </c>
      <c r="BH20">
        <f>IF($C20="","",IF($BG20=1,"○ゲート通過",IF($BK$10&lt;&gt;1,"― この方向は停止中",IF($BA20&gt;$BK$2,"×値動きが荒い",IF($BB20&gt;$BK$3,"×レンジが広い",IF($BC20&gt;$BK$4,"×窓を開けて上昇",IF($Z20&gt;$BK$5,"×前日に急騰",IF($Z20&lt;$BK$6,"×前日に急落",IF($BD20&lt;$BK$7,"×高値から離れすぎ",IF($BE20&gt;$BK$8,"×当日の値幅が大きい","×")))))))))</f>
      </c>
    </row>
    <row r="21" spans="1:60"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IF(AND(E21&lt;&gt;"",K21&lt;&gt;"",K21&lt;&gt;0),(E21-K21)/K21*100,"")</f>
        <v>-15.32258064516129</v>
      </c>
      <c r="M21" s="326">
        <f>IF(C21&lt;&gt;"",IFERROR(AVERAGE(出来高!E32:I32),""),"")</f>
        <v>1277760</v>
      </c>
      <c r="N21" s="326">
        <f>IF(C21&lt;&gt;"",IFERROR(AVERAGE(出来高!E32:AC32),""),"")</f>
        <v>928488</v>
      </c>
      <c r="O21" s="328">
        <f>IF(AND(J21&lt;&gt;"",M21&lt;&gt;"",M21&lt;&gt;0),J21/M21,"")</f>
        <v>1.25313047833709</v>
      </c>
      <c r="P21" s="325" t="str">
        <f>IF(O21="","",IF(O21&gt;=2,"急増↑↑",IF(O21&gt;=1.5,"増加↑",IF(O21&gt;=1,"普通→","減少↓"))))</f>
        <v>普通→</v>
      </c>
      <c r="Q21" s="325" t="str">
        <f>IF(E21="","",IF(AND(E21&lt;G21,O21&gt;=1.5),"売り▼",IF(E21&gt;G21,"様子見▲","中立→")))</f>
        <v>様子見▲</v>
      </c>
      <c r="R21" s="326">
        <f>IF(E21&lt;&gt;"",ROUND(E21*0.92,0),"")</f>
        <v>1256</v>
      </c>
      <c r="S21" s="326">
        <f>IF(E21&lt;&gt;"",ROUND(E21*1.04,0),"")</f>
        <v>1420</v>
      </c>
      <c r="T21" s="325">
        <f>IF(C21="","",IFERROR(IF(W21&gt;=70,3,IF(W21&gt;=60,2,IF(W21&gt;=50,1,0)))+IF(X21&lt;0,2,0)+IF(AD21="下降トレンド▼",3,IF(AD21="もみ合い→",1,0))+IF(V21="年初来安値圏●",3,IF(V21="安値圏",2,0))+IF(Q21="売り▼",2,0)+IF(P21="急増↑↑",2,IF(P21="増加↑",1,0))+IF(Z21&lt;0,1,0)+IF(L21&lt;=-30,2,IF(L21&lt;=-15,1,0))+IF(AE21="25日戻り売り★",2,IF(AE21="5日戻り売り○",1,0))+N(AL21)+N(AP21)+N(AU21),0))</f>
        <v>2</v>
      </c>
      <c r="U21" s="325" t="str">
        <f>IF(T21="","",IF(AND(T21&gt;=3,O21&gt;=1.5),"有効",IF(T21&gt;=3,"要確認","除外")))</f>
        <v>除外</v>
      </c>
      <c r="V21" s="325" t="str">
        <f>IF(AND(I21&lt;&gt;"",K21&lt;&gt;""),IF(I21&lt;=K21*0.6,"年初来安値圏●",IF(I21&lt;=K21*0.75,"安値圏","通常")),"")</f>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IF(AF21="","",AF21&amp;" | "&amp;AD21&amp;IF(AE21&lt;&gt;"なし"," "&amp;AE21,"")&amp;IF(X21&lt;0," MACD-"," MACD+")&amp;" RSI:"&amp;TEXT(W21,"0.0")&amp;IF(W21&gt;=70," [過熱]",IF(W21&lt;=30," [売られ過ぎ]",""))&amp;" 前日比:"&amp;TEXT(Z21,"+0.0;-0.0;0.0")&amp;"%"&amp;IF(V21="年初来安値圏●"," [年初来安値圏]",IF(V21="安値圏"," [安値圏]",""))&amp;IF(OR(AO21="通常",AO21="-"),""," ["&amp;AO21&amp;"]")&amp;IF(OR(AT21="通常",AT21="-"),"","前日["&amp;AT21&amp;"]")&amp;" ["&amp;T21&amp;"点]")</f>
        <v>相場上昇・見送り | もみ合い→ MACD- RSI:39.6 前日比:+4.8% [2点]</v>
      </c>
      <c r="Z21" s="331">
        <f>IF(AND(E21&lt;&gt;"",G21&lt;&gt;"",G21&lt;&gt;0),(E21-G21)/G21*100,"")</f>
        <v>4.7582501918649278</v>
      </c>
      <c r="AA21" s="325" t="str">
        <f>IF(OR(C21="",E21="",E21=0),"",IF(E21&gt;G21,"上昇▲",IF(E21&lt;G21,"下落▼","横ばい→")))</f>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IF(OR(C21="",AB21="",AC21="",AB21=0,AC21=0),"",IF(AND(E21&gt;AB21,AB21&gt;AC21),"パーフェクト▲",IF(E21&gt;AC21,"上昇トレンド▲",IF(AND(E21&lt;AB21,AB21&lt;AC21),"下降トレンド▼","もみ合い→"))))</f>
        <v>もみ合い→</v>
      </c>
      <c r="AE21" s="325" t="str">
        <f>IF(OR(C21="",AB21="",AC21=""),"",IF(AND(ABS(E21-AC21)/AC21&lt;=0.02,E21&lt;AC21),"25日戻り売り★",IF(AND(ABS(E21-AB21)/AB21&lt;=0.01,E21&lt;AB21),"5日戻り売り○","なし")))</f>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IF(AND(T21&gt;=7,C21&lt;&gt;""),T21,0)</f>
        <v>0</v>
      </c>
      <c r="AH21">
        <f>IF(AG21&gt;0,AG21*10000-ROW(A21),0)</f>
        <v>0</v>
      </c>
      <c r="AI21" s="373">
        <f t="array" ref="AI21">IF(C21="","",IFERROR((INDEX(終値!$E:$E,MATCH(TEXT(C21,"0"),終値!$A:$A,0))-INDEX(終値!$E:$CZ,MATCH(TEXT(C21,"0"),終値!$A:$A,0),$AN$2))/INDEX(終値!$E:$CZ,MATCH(TEXT(C21,"0"),終値!$A:$A,0),$AN$2)*100,""))</f>
        <v>5.2428681572860443</v>
      </c>
      <c r="AJ21" s="373">
        <f t="array" ref="AJ21">IFERROR((終値!$E$5-INDEX(終値!$E$5:$IT$5,1,$AN$2))/INDEX(終値!$E$5:$IT$5,1,$AN$2)*100,"")</f>
        <v>1.0179378228534113</v>
      </c>
      <c r="AK21" s="374">
        <f>IF(OR(AI21="",AJ21=""),"",AI21-AJ21)</f>
        <v>4.2249303344326332</v>
      </c>
      <c r="AL21" s="372">
        <f>IF(AK21="","",IF(AK21&lt;-5,3,IF(AK21&lt;0,1,IF(AK21&lt;3,-1,-2))))</f>
        <v>-2</v>
      </c>
      <c r="AO21" s="376" t="str">
        <f>IF(OR($C21="",$E21="",$F21="",$H21="",$I21="",$H21-$I21&lt;=0),"-",IF(AND($H21-MAX($F21,$E21)&gt;=ABS($E21-$F21)*2,MIN($F21,$E21)-$I21&lt;=ABS($E21-$F21)*0.5,ABS($E21-$F21)&gt;0),"上ヒゲ陰線▼",IF(AND($E21&lt;$F21,ABS($E21-$F21)&gt;=($H21-$I21)*0.7),"大陰線▼",IF(AND(MIN($F21,$E21)-$I21&gt;=($H21-$I21)*0.5,$H21-MAX($F21,$E21)&lt;=($H21-$I21)*0.2),"長い下ヒゲ(反発警戒)","通常"))))</f>
        <v>通常</v>
      </c>
      <c r="AP21" s="377">
        <f>IF($AO21="上ヒゲ陰線▼",2,IF($AO21="大陰線▼",2,IF($AO21="長い下ヒゲ(反発警戒)",-2,0)))</f>
        <v>0</v>
      </c>
      <c r="AQ21">
        <f>IF(C21&lt;&gt;"",始値!F32,"")</f>
        <v>1325</v>
      </c>
      <c r="AR21">
        <f>IF(C21&lt;&gt;"",高値!F32,"")</f>
        <v>1373</v>
      </c>
      <c r="AS21">
        <f>IF(C21&lt;&gt;"",安値!F32,"")</f>
        <v>1263</v>
      </c>
      <c r="AT21" t="str">
        <f>IF(OR(C21="",AQ21="",AR21="",AS21="",AR21-AS21&lt;=0),"-",IF(AND(AR21-MAX(G21,AQ21)&gt;=ABS(G21-AQ21)*2,MIN(G21,AQ21)-AS21&lt;=ABS(G21-AQ21)*0.5,ABS(G21-AQ21)&gt;0),"上ヒゲ陰線▼",IF(AND(G21&lt;AQ21,ABS(G21-AQ21)&gt;=(AR21-AS21)*0.7),"大陰線▼",IF(AND(MIN(G21,AQ21)-AS21&gt;=(AR21-AS21)*0.5,AR21-MAX(G21,AQ21)&lt;=(AR21-AS21)*0.2),"長い下ヒゲ(反発)","通常"))))</f>
        <v>通常</v>
      </c>
      <c r="AU21">
        <f>IF(AT21="上ヒゲ陰線▼",2,IF(AT21="大陰線▼",2,IF(AT21="長い下ヒゲ(反発)",-2,0)))</f>
        <v>0</v>
      </c>
      <c r="BA21">
        <f>IFERROR((SUM(OFFSET(高値!$E$6,IFERROR(MATCH($C21,銘柄管理!$B$6:$B$305,0),MATCH(TEXT($C21,"0"),銘柄管理!$B$6:$B$305,0))-1,0,1,14))-SUM(OFFSET(安値!$E$6,IFERROR(MATCH($C21,銘柄管理!$B$6:$B$305,0),MATCH(TEXT($C21,"0"),銘柄管理!$B$6:$B$305,0))-1,0,1,14)))/SUM(OFFSET(終値!$E$6,IFERROR(MATCH($C21,銘柄管理!$B$6:$B$305,0),MATCH(TEXT($C21,"0"),銘柄管理!$B$6:$B$305,0))-1,0,1,14))*100,"")</f>
      </c>
      <c r="BB21">
        <f>IFERROR((MAX(OFFSET(高値!$E$6,IFERROR(MATCH($C21,銘柄管理!$B$6:$B$305,0),MATCH(TEXT($C21,"0"),銘柄管理!$B$6:$B$305,0))-1,0,1,25))-MIN(OFFSET(安値!$E$6,IFERROR(MATCH($C21,銘柄管理!$B$6:$B$305,0),MATCH(TEXT($C21,"0"),銘柄管理!$B$6:$B$305,0))-1,0,1,25)))/$E21*100,"")</f>
      </c>
      <c r="BC21">
        <f>IFERROR(($F21-$G21)/$G21*100,"")</f>
      </c>
      <c r="BD21">
        <f>IFERROR(($E21-MAX(OFFSET(高値!$E$6,IFERROR(MATCH($C21,銘柄管理!$B$6:$B$305,0),MATCH(TEXT($C21,"0"),銘柄管理!$B$6:$B$305,0))-1,0,1,25)))/MAX(OFFSET(高値!$E$6,IFERROR(MATCH($C21,銘柄管理!$B$6:$B$305,0),MATCH(TEXT($C21,"0"),銘柄管理!$B$6:$B$305,0))-1,0,1,25))*100,"")</f>
      </c>
      <c r="BE21">
        <f>IFERROR(($H21-$I21)/$F21*100,"")</f>
      </c>
      <c r="BF21">
        <f>IFERROR(-(($BA21-AVERAGE($BA$3:$BA$206))/STDEV($BA$3:$BA$206))-(($BE21-AVERAGE($BE$3:$BE$206))/STDEV($BE$3:$BE$206))-(($BB21-AVERAGE($BB$3:$BB$206))/STDEV($BB$3:$BB$206))-(($Z21-AVERAGE($Z$3:$Z$206))/STDEV($Z$3:$Z$206))-(($BC21-AVERAGE($BC$3:$BC$206))/STDEV($BC$3:$BC$206)),"")</f>
      </c>
      <c r="BG21">
        <f>IF(OR($C21="",$C21="TOPX",$BA21="",$BF21=""),0,IF(AND($BK$10=1,$BA21&lt;=$BK$2,$BB21&lt;=$BK$3,$BC21&lt;=$BK$4,$Z21&lt;=$BK$5,$Z21&gt;=$BK$6,$BD21&gt;=$BK$7,$BE21&lt;=$BK$8),1,0))</f>
      </c>
      <c r="BH21">
        <f>IF($C21="","",IF($BG21=1,"○ゲート通過",IF($BK$10&lt;&gt;1,"― この方向は停止中",IF($BA21&gt;$BK$2,"×値動きが荒い",IF($BB21&gt;$BK$3,"×レンジが広い",IF($BC21&gt;$BK$4,"×窓を開けて上昇",IF($Z21&gt;$BK$5,"×前日に急騰",IF($Z21&lt;$BK$6,"×前日に急落",IF($BD21&lt;$BK$7,"×高値から離れすぎ",IF($BE21&gt;$BK$8,"×当日の値幅が大きい","×")))))))))</f>
      </c>
    </row>
    <row r="22" spans="1:60"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IF(AND(E22&lt;&gt;"",K22&lt;&gt;"",K22&lt;&gt;0),(E22-K22)/K22*100,"")</f>
        <v>-52.5</v>
      </c>
      <c r="M22" s="333">
        <f>IF(C22&lt;&gt;"",IFERROR(AVERAGE(出来高!E56:I56),""),"")</f>
        <v>4240860</v>
      </c>
      <c r="N22" s="333">
        <f>IF(C22&lt;&gt;"",IFERROR(AVERAGE(出来高!E56:AC56),""),"")</f>
        <v>2814848</v>
      </c>
      <c r="O22" s="335">
        <f>IF(AND(J22&lt;&gt;"",M22&lt;&gt;"",M22&lt;&gt;0),J22/M22,"")</f>
        <v>1.0687454903014955</v>
      </c>
      <c r="P22" s="212" t="str">
        <f>IF(O22="","",IF(O22&gt;=2,"急増↑↑",IF(O22&gt;=1.5,"増加↑",IF(O22&gt;=1,"普通→","減少↓"))))</f>
        <v>普通→</v>
      </c>
      <c r="Q22" s="212" t="str">
        <f>IF(E22="","",IF(AND(E22&lt;G22,O22&gt;=1.5),"売り▼",IF(E22&gt;G22,"様子見▲","中立→")))</f>
        <v>中立→</v>
      </c>
      <c r="R22" s="333">
        <f>IF(E22&lt;&gt;"",ROUND(E22*0.92,0),"")</f>
        <v>2063</v>
      </c>
      <c r="S22" s="333">
        <f>IF(E22&lt;&gt;"",ROUND(E22*1.04,0),"")</f>
        <v>2332</v>
      </c>
      <c r="T22" s="325">
        <f>IF(C22="","",IFERROR(IF(W22&gt;=70,3,IF(W22&gt;=60,2,IF(W22&gt;=50,1,0)))+IF(X22&lt;0,2,0)+IF(AD22="下降トレンド▼",3,IF(AD22="もみ合い→",1,0))+IF(V22="年初来安値圏●",3,IF(V22="安値圏",2,0))+IF(Q22="売り▼",2,0)+IF(P22="急増↑↑",2,IF(P22="増加↑",1,0))+IF(Z22&lt;0,1,0)+IF(L22&lt;=-30,2,IF(L22&lt;=-15,1,0))+IF(AE22="25日戻り売り★",2,IF(AE22="5日戻り売り○",1,0))+N(AL22)+N(AP22)+N(AU22),0))</f>
        <v>15</v>
      </c>
      <c r="U22" s="212" t="str">
        <f>IF(T22="","",IF(AND(T22&gt;=3,O22&gt;=1.5),"有効",IF(T22&gt;=3,"要確認","除外")))</f>
        <v>要確認</v>
      </c>
      <c r="V22" s="212" t="str">
        <f>IF(AND(I22&lt;&gt;"",K22&lt;&gt;""),IF(I22&lt;=K22*0.6,"年初来安値圏●",IF(I22&lt;=K22*0.75,"安値圏","通常")),"")</f>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IF(AF22="","",AF22&amp;" | "&amp;AD22&amp;IF(AE22&lt;&gt;"なし"," "&amp;AE22,"")&amp;IF(X22&lt;0," MACD-"," MACD+")&amp;" RSI:"&amp;TEXT(W22,"0.0")&amp;IF(W22&gt;=70," [過熱]",IF(W22&lt;=30," [売られ過ぎ]",""))&amp;" 前日比:"&amp;TEXT(Z22,"+0.0;-0.0;0.0")&amp;"%"&amp;IF(V22="年初来安値圏●"," [年初来安値圏]",IF(V22="安値圏"," [安値圏]",""))&amp;IF(OR(AO22="通常",AO22="-"),""," ["&amp;AO22&amp;"]")&amp;IF(OR(AT22="通常",AT22="-"),"","前日["&amp;AT22&amp;"]")&amp;" ["&amp;T22&amp;"点]")</f>
        <v>相場上昇・見送り | 下降トレンド▼ MACD- RSI:53.6 前日比:-10.3% [年初来安値圏] [15点]</v>
      </c>
      <c r="Z22" s="338">
        <f>IF(AND(E22&lt;&gt;"",G22&lt;&gt;"",G22&lt;&gt;0),(E22-G22)/G22*100,"")</f>
        <v>-10.32</v>
      </c>
      <c r="AA22" s="212" t="str">
        <f>IF(OR(C22="",E22="",E22=0),"",IF(E22&gt;G22,"上昇▲",IF(E22&lt;G22,"下落▼","横ばい→")))</f>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IF(OR(C22="",AB22="",AC22="",AB22=0,AC22=0),"",IF(AND(E22&gt;AB22,AB22&gt;AC22),"パーフェクト▲",IF(E22&gt;AC22,"上昇トレンド▲",IF(AND(E22&lt;AB22,AB22&lt;AC22),"下降トレンド▼","もみ合い→"))))</f>
        <v>下降トレンド▼</v>
      </c>
      <c r="AE22" s="212" t="str">
        <f>IF(OR(C22="",AB22="",AC22=""),"",IF(AND(ABS(E22-AC22)/AC22&lt;=0.02,E22&lt;AC22),"25日戻り売り★",IF(AND(ABS(E22-AB22)/AB22&lt;=0.01,E22&lt;AB22),"5日戻り売り○","なし")))</f>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IF(AND(T22&gt;=7,C22&lt;&gt;""),T22,0)</f>
        <v>15</v>
      </c>
      <c r="AH22">
        <f>IF(AG22&gt;0,AG22*10000-ROW(A22),0)</f>
        <v>149978</v>
      </c>
      <c r="AI22" s="373">
        <f t="array" ref="AI22">IF(C22="","",IFERROR((INDEX(終値!$E:$E,MATCH(TEXT(C22,"0"),終値!$A:$A,0))-INDEX(終値!$E:$CZ,MATCH(TEXT(C22,"0"),終値!$A:$A,0),$AN$2))/INDEX(終値!$E:$CZ,MATCH(TEXT(C22,"0"),終値!$A:$A,0),$AN$2)*100,""))</f>
        <v>-12.147335423197491</v>
      </c>
      <c r="AJ22" s="373">
        <f t="array" ref="AJ22">IFERROR((終値!$E$5-INDEX(終値!$E$5:$IT$5,1,$AN$2))/INDEX(終値!$E$5:$IT$5,1,$AN$2)*100,"")</f>
        <v>1.0179378228534113</v>
      </c>
      <c r="AK22" s="374">
        <f>IF(OR(AI22="",AJ22=""),"",AI22-AJ22)</f>
        <v>-13.165273246050903</v>
      </c>
      <c r="AL22" s="372">
        <f>IF(AK22="","",IF(AK22&lt;-5,3,IF(AK22&lt;0,1,IF(AK22&lt;3,-1,-2))))</f>
        <v>3</v>
      </c>
      <c r="AO22" s="376" t="str">
        <f>IF(OR($C22="",$E22="",$F22="",$H22="",$I22="",$H22-$I22&lt;=0),"-",IF(AND($H22-MAX($F22,$E22)&gt;=ABS($E22-$F22)*2,MIN($F22,$E22)-$I22&lt;=ABS($E22-$F22)*0.5,ABS($E22-$F22)&gt;0),"上ヒゲ陰線▼",IF(AND($E22&lt;$F22,ABS($E22-$F22)&gt;=($H22-$I22)*0.7),"大陰線▼",IF(AND(MIN($F22,$E22)-$I22&gt;=($H22-$I22)*0.5,$H22-MAX($F22,$E22)&lt;=($H22-$I22)*0.2),"長い下ヒゲ(反発警戒)","通常"))))</f>
        <v>通常</v>
      </c>
      <c r="AP22" s="377">
        <f>IF($AO22="上ヒゲ陰線▼",2,IF($AO22="大陰線▼",2,IF($AO22="長い下ヒゲ(反発警戒)",-2,0)))</f>
        <v>0</v>
      </c>
      <c r="AQ22">
        <f>IF(C22&lt;&gt;"",始値!F56,"")</f>
        <v>2260</v>
      </c>
      <c r="AR22">
        <f>IF(C22&lt;&gt;"",高値!F56,"")</f>
        <v>2500</v>
      </c>
      <c r="AS22">
        <f>IF(C22&lt;&gt;"",安値!F56,"")</f>
        <v>2235</v>
      </c>
      <c r="AT22" t="str">
        <f>IF(OR(C22="",AQ22="",AR22="",AS22="",AR22-AS22&lt;=0),"-",IF(AND(AR22-MAX(G22,AQ22)&gt;=ABS(G22-AQ22)*2,MIN(G22,AQ22)-AS22&lt;=ABS(G22-AQ22)*0.5,ABS(G22-AQ22)&gt;0),"上ヒゲ陰線▼",IF(AND(G22&lt;AQ22,ABS(G22-AQ22)&gt;=(AR22-AS22)*0.7),"大陰線▼",IF(AND(MIN(G22,AQ22)-AS22&gt;=(AR22-AS22)*0.5,AR22-MAX(G22,AQ22)&lt;=(AR22-AS22)*0.2),"長い下ヒゲ(反発)","通常"))))</f>
        <v>通常</v>
      </c>
      <c r="AU22">
        <f>IF(AT22="上ヒゲ陰線▼",2,IF(AT22="大陰線▼",2,IF(AT22="長い下ヒゲ(反発)",-2,0)))</f>
        <v>0</v>
      </c>
      <c r="BA22">
        <f>IFERROR((SUM(OFFSET(高値!$E$6,IFERROR(MATCH($C22,銘柄管理!$B$6:$B$305,0),MATCH(TEXT($C22,"0"),銘柄管理!$B$6:$B$305,0))-1,0,1,14))-SUM(OFFSET(安値!$E$6,IFERROR(MATCH($C22,銘柄管理!$B$6:$B$305,0),MATCH(TEXT($C22,"0"),銘柄管理!$B$6:$B$305,0))-1,0,1,14)))/SUM(OFFSET(終値!$E$6,IFERROR(MATCH($C22,銘柄管理!$B$6:$B$305,0),MATCH(TEXT($C22,"0"),銘柄管理!$B$6:$B$305,0))-1,0,1,14))*100,"")</f>
      </c>
      <c r="BB22">
        <f>IFERROR((MAX(OFFSET(高値!$E$6,IFERROR(MATCH($C22,銘柄管理!$B$6:$B$305,0),MATCH(TEXT($C22,"0"),銘柄管理!$B$6:$B$305,0))-1,0,1,25))-MIN(OFFSET(安値!$E$6,IFERROR(MATCH($C22,銘柄管理!$B$6:$B$305,0),MATCH(TEXT($C22,"0"),銘柄管理!$B$6:$B$305,0))-1,0,1,25)))/$E22*100,"")</f>
      </c>
      <c r="BC22">
        <f>IFERROR(($F22-$G22)/$G22*100,"")</f>
      </c>
      <c r="BD22">
        <f>IFERROR(($E22-MAX(OFFSET(高値!$E$6,IFERROR(MATCH($C22,銘柄管理!$B$6:$B$305,0),MATCH(TEXT($C22,"0"),銘柄管理!$B$6:$B$305,0))-1,0,1,25)))/MAX(OFFSET(高値!$E$6,IFERROR(MATCH($C22,銘柄管理!$B$6:$B$305,0),MATCH(TEXT($C22,"0"),銘柄管理!$B$6:$B$305,0))-1,0,1,25))*100,"")</f>
      </c>
      <c r="BE22">
        <f>IFERROR(($H22-$I22)/$F22*100,"")</f>
      </c>
      <c r="BF22">
        <f>IFERROR(-(($BA22-AVERAGE($BA$3:$BA$206))/STDEV($BA$3:$BA$206))-(($BE22-AVERAGE($BE$3:$BE$206))/STDEV($BE$3:$BE$206))-(($BB22-AVERAGE($BB$3:$BB$206))/STDEV($BB$3:$BB$206))-(($Z22-AVERAGE($Z$3:$Z$206))/STDEV($Z$3:$Z$206))-(($BC22-AVERAGE($BC$3:$BC$206))/STDEV($BC$3:$BC$206)),"")</f>
      </c>
      <c r="BG22">
        <f>IF(OR($C22="",$C22="TOPX",$BA22="",$BF22=""),0,IF(AND($BK$10=1,$BA22&lt;=$BK$2,$BB22&lt;=$BK$3,$BC22&lt;=$BK$4,$Z22&lt;=$BK$5,$Z22&gt;=$BK$6,$BD22&gt;=$BK$7,$BE22&lt;=$BK$8),1,0))</f>
      </c>
      <c r="BH22">
        <f>IF($C22="","",IF($BG22=1,"○ゲート通過",IF($BK$10&lt;&gt;1,"― この方向は停止中",IF($BA22&gt;$BK$2,"×値動きが荒い",IF($BB22&gt;$BK$3,"×レンジが広い",IF($BC22&gt;$BK$4,"×窓を開けて上昇",IF($Z22&gt;$BK$5,"×前日に急騰",IF($Z22&lt;$BK$6,"×前日に急落",IF($BD22&lt;$BK$7,"×高値から離れすぎ",IF($BE22&gt;$BK$8,"×当日の値幅が大きい","×")))))))))</f>
      </c>
    </row>
    <row r="23" spans="1:60"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IF(AND(E23&lt;&gt;"",K23&lt;&gt;"",K23&lt;&gt;0),(E23-K23)/K23*100,"")</f>
        <v>-18.044164037854891</v>
      </c>
      <c r="M23" s="326">
        <f>IF(C23&lt;&gt;"",IFERROR(AVERAGE(出来高!E76:I76),""),"")</f>
        <v>5056460</v>
      </c>
      <c r="N23" s="326">
        <f>IF(C23&lt;&gt;"",IFERROR(AVERAGE(出来高!E76:AC76),""),"")</f>
        <v>4228524</v>
      </c>
      <c r="O23" s="328">
        <f>IF(AND(J23&lt;&gt;"",M23&lt;&gt;"",M23&lt;&gt;0),J23/M23,"")</f>
        <v>1.0875988339668463</v>
      </c>
      <c r="P23" s="325" t="str">
        <f>IF(O23="","",IF(O23&gt;=2,"急増↑↑",IF(O23&gt;=1.5,"増加↑",IF(O23&gt;=1,"普通→","減少↓"))))</f>
        <v>普通→</v>
      </c>
      <c r="Q23" s="325" t="str">
        <f>IF(E23="","",IF(AND(E23&lt;G23,O23&gt;=1.5),"売り▼",IF(E23&gt;G23,"様子見▲","中立→")))</f>
        <v>中立→</v>
      </c>
      <c r="R23" s="326">
        <f>IF(E23&lt;&gt;"",ROUND(E23*0.92,0),"")</f>
        <v>4780</v>
      </c>
      <c r="S23" s="326">
        <f>IF(E23&lt;&gt;"",ROUND(E23*1.04,0),"")</f>
        <v>5404</v>
      </c>
      <c r="T23" s="325">
        <f>IF(C23="","",IFERROR(IF(W23&gt;=70,3,IF(W23&gt;=60,2,IF(W23&gt;=50,1,0)))+IF(X23&lt;0,2,0)+IF(AD23="下降トレンド▼",3,IF(AD23="もみ合い→",1,0))+IF(V23="年初来安値圏●",3,IF(V23="安値圏",2,0))+IF(Q23="売り▼",2,0)+IF(P23="急増↑↑",2,IF(P23="増加↑",1,0))+IF(Z23&lt;0,1,0)+IF(L23&lt;=-30,2,IF(L23&lt;=-15,1,0))+IF(AE23="25日戻り売り★",2,IF(AE23="5日戻り売り○",1,0))+N(AL23)+N(AP23)+N(AU23),0))</f>
        <v>12</v>
      </c>
      <c r="U23" s="325" t="str">
        <f>IF(T23="","",IF(AND(T23&gt;=3,O23&gt;=1.5),"有効",IF(T23&gt;=3,"要確認","除外")))</f>
        <v>要確認</v>
      </c>
      <c r="V23" s="325" t="str">
        <f>IF(AND(I23&lt;&gt;"",K23&lt;&gt;""),IF(I23&lt;=K23*0.6,"年初来安値圏●",IF(I23&lt;=K23*0.75,"安値圏","通常")),"")</f>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IF(AF23="","",AF23&amp;" | "&amp;AD23&amp;IF(AE23&lt;&gt;"なし"," "&amp;AE23,"")&amp;IF(X23&lt;0," MACD-"," MACD+")&amp;" RSI:"&amp;TEXT(W23,"0.0")&amp;IF(W23&gt;=70," [過熱]",IF(W23&lt;=30," [売られ過ぎ]",""))&amp;" 前日比:"&amp;TEXT(Z23,"+0.0;-0.0;0.0")&amp;"%"&amp;IF(V23="年初来安値圏●"," [年初来安値圏]",IF(V23="安値圏"," [安値圏]",""))&amp;IF(OR(AO23="通常",AO23="-"),""," ["&amp;AO23&amp;"]")&amp;IF(OR(AT23="通常",AT23="-"),"","前日["&amp;AT23&amp;"]")&amp;" ["&amp;T23&amp;"点]")</f>
        <v>○逆張り売り | もみ合い→ 25日戻り売り★ MACD- RSI:41.0 前日比:-2.6% [大陰線▼] [12点]</v>
      </c>
      <c r="Z23" s="331">
        <f>IF(AND(E23&lt;&gt;"",G23&lt;&gt;"",G23&lt;&gt;0),(E23-G23)/G23*100,"")</f>
        <v>-2.568910556909807</v>
      </c>
      <c r="AA23" s="325" t="str">
        <f>IF(OR(C23="",E23="",E23=0),"",IF(E23&gt;G23,"上昇▲",IF(E23&lt;G23,"下落▼","横ばい→")))</f>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IF(OR(C23="",AB23="",AC23="",AB23=0,AC23=0),"",IF(AND(E23&gt;AB23,AB23&gt;AC23),"パーフェクト▲",IF(E23&gt;AC23,"上昇トレンド▲",IF(AND(E23&lt;AB23,AB23&lt;AC23),"下降トレンド▼","もみ合い→"))))</f>
        <v>もみ合い→</v>
      </c>
      <c r="AE23" s="325" t="str">
        <f>IF(OR(C23="",AB23="",AC23=""),"",IF(AND(ABS(E23-AC23)/AC23&lt;=0.02,E23&lt;AC23),"25日戻り売り★",IF(AND(ABS(E23-AB23)/AB23&lt;=0.01,E23&lt;AB23),"5日戻り売り○","なし")))</f>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IF(AND(T23&gt;=7,C23&lt;&gt;""),T23,0)</f>
        <v>12</v>
      </c>
      <c r="AH23">
        <f>IF(AG23&gt;0,AG23*10000-ROW(A23),0)</f>
        <v>119977</v>
      </c>
      <c r="AI23" s="373">
        <f t="array" ref="AI23">IF(C23="","",IFERROR((INDEX(終値!$E:$E,MATCH(TEXT(C23,"0"),終値!$A:$A,0))-INDEX(終値!$E:$CZ,MATCH(TEXT(C23,"0"),終値!$A:$A,0),$AN$2))/INDEX(終値!$E:$CZ,MATCH(TEXT(C23,"0"),終値!$A:$A,0),$AN$2)*100,""))</f>
        <v>-15.854251012145749</v>
      </c>
      <c r="AJ23" s="373">
        <f t="array" ref="AJ23">IFERROR((終値!$E$5-INDEX(終値!$E$5:$IT$5,1,$AN$2))/INDEX(終値!$E$5:$IT$5,1,$AN$2)*100,"")</f>
        <v>1.0179378228534113</v>
      </c>
      <c r="AK23" s="374">
        <f>IF(OR(AI23="",AJ23=""),"",AI23-AJ23)</f>
        <v>-16.872188834999161</v>
      </c>
      <c r="AL23" s="372">
        <f>IF(AK23="","",IF(AK23&lt;-5,3,IF(AK23&lt;0,1,IF(AK23&lt;3,-1,-2))))</f>
        <v>3</v>
      </c>
      <c r="AO23" s="376" t="str">
        <f>IF(OR($C23="",$E23="",$F23="",$H23="",$I23="",$H23-$I23&lt;=0),"-",IF(AND($H23-MAX($F23,$E23)&gt;=ABS($E23-$F23)*2,MIN($F23,$E23)-$I23&lt;=ABS($E23-$F23)*0.5,ABS($E23-$F23)&gt;0),"上ヒゲ陰線▼",IF(AND($E23&lt;$F23,ABS($E23-$F23)&gt;=($H23-$I23)*0.7),"大陰線▼",IF(AND(MIN($F23,$E23)-$I23&gt;=($H23-$I23)*0.5,$H23-MAX($F23,$E23)&lt;=($H23-$I23)*0.2),"長い下ヒゲ(反発警戒)","通常"))))</f>
        <v>大陰線▼</v>
      </c>
      <c r="AP23" s="377">
        <f>IF($AO23="上ヒゲ陰線▼",2,IF($AO23="大陰線▼",2,IF($AO23="長い下ヒゲ(反発警戒)",-2,0)))</f>
        <v>2</v>
      </c>
      <c r="AQ23">
        <f>IF(C23&lt;&gt;"",始値!F76,"")</f>
        <v>5198</v>
      </c>
      <c r="AR23">
        <f>IF(C23&lt;&gt;"",高値!F76,"")</f>
        <v>5350</v>
      </c>
      <c r="AS23">
        <f>IF(C23&lt;&gt;"",安値!F76,"")</f>
        <v>5127</v>
      </c>
      <c r="AT23" t="str">
        <f>IF(OR(C23="",AQ23="",AR23="",AS23="",AR23-AS23&lt;=0),"-",IF(AND(AR23-MAX(G23,AQ23)&gt;=ABS(G23-AQ23)*2,MIN(G23,AQ23)-AS23&lt;=ABS(G23-AQ23)*0.5,ABS(G23-AQ23)&gt;0),"上ヒゲ陰線▼",IF(AND(G23&lt;AQ23,ABS(G23-AQ23)&gt;=(AR23-AS23)*0.7),"大陰線▼",IF(AND(MIN(G23,AQ23)-AS23&gt;=(AR23-AS23)*0.5,AR23-MAX(G23,AQ23)&lt;=(AR23-AS23)*0.2),"長い下ヒゲ(反発)","通常"))))</f>
        <v>通常</v>
      </c>
      <c r="AU23">
        <f>IF(AT23="上ヒゲ陰線▼",2,IF(AT23="大陰線▼",2,IF(AT23="長い下ヒゲ(反発)",-2,0)))</f>
        <v>0</v>
      </c>
      <c r="BA23">
        <f>IFERROR((SUM(OFFSET(高値!$E$6,IFERROR(MATCH($C23,銘柄管理!$B$6:$B$305,0),MATCH(TEXT($C23,"0"),銘柄管理!$B$6:$B$305,0))-1,0,1,14))-SUM(OFFSET(安値!$E$6,IFERROR(MATCH($C23,銘柄管理!$B$6:$B$305,0),MATCH(TEXT($C23,"0"),銘柄管理!$B$6:$B$305,0))-1,0,1,14)))/SUM(OFFSET(終値!$E$6,IFERROR(MATCH($C23,銘柄管理!$B$6:$B$305,0),MATCH(TEXT($C23,"0"),銘柄管理!$B$6:$B$305,0))-1,0,1,14))*100,"")</f>
      </c>
      <c r="BB23">
        <f>IFERROR((MAX(OFFSET(高値!$E$6,IFERROR(MATCH($C23,銘柄管理!$B$6:$B$305,0),MATCH(TEXT($C23,"0"),銘柄管理!$B$6:$B$305,0))-1,0,1,25))-MIN(OFFSET(安値!$E$6,IFERROR(MATCH($C23,銘柄管理!$B$6:$B$305,0),MATCH(TEXT($C23,"0"),銘柄管理!$B$6:$B$305,0))-1,0,1,25)))/$E23*100,"")</f>
      </c>
      <c r="BC23">
        <f>IFERROR(($F23-$G23)/$G23*100,"")</f>
      </c>
      <c r="BD23">
        <f>IFERROR(($E23-MAX(OFFSET(高値!$E$6,IFERROR(MATCH($C23,銘柄管理!$B$6:$B$305,0),MATCH(TEXT($C23,"0"),銘柄管理!$B$6:$B$305,0))-1,0,1,25)))/MAX(OFFSET(高値!$E$6,IFERROR(MATCH($C23,銘柄管理!$B$6:$B$305,0),MATCH(TEXT($C23,"0"),銘柄管理!$B$6:$B$305,0))-1,0,1,25))*100,"")</f>
      </c>
      <c r="BE23">
        <f>IFERROR(($H23-$I23)/$F23*100,"")</f>
      </c>
      <c r="BF23">
        <f>IFERROR(-(($BA23-AVERAGE($BA$3:$BA$206))/STDEV($BA$3:$BA$206))-(($BE23-AVERAGE($BE$3:$BE$206))/STDEV($BE$3:$BE$206))-(($BB23-AVERAGE($BB$3:$BB$206))/STDEV($BB$3:$BB$206))-(($Z23-AVERAGE($Z$3:$Z$206))/STDEV($Z$3:$Z$206))-(($BC23-AVERAGE($BC$3:$BC$206))/STDEV($BC$3:$BC$206)),"")</f>
      </c>
      <c r="BG23">
        <f>IF(OR($C23="",$C23="TOPX",$BA23="",$BF23=""),0,IF(AND($BK$10=1,$BA23&lt;=$BK$2,$BB23&lt;=$BK$3,$BC23&lt;=$BK$4,$Z23&lt;=$BK$5,$Z23&gt;=$BK$6,$BD23&gt;=$BK$7,$BE23&lt;=$BK$8),1,0))</f>
      </c>
      <c r="BH23">
        <f>IF($C23="","",IF($BG23=1,"○ゲート通過",IF($BK$10&lt;&gt;1,"― この方向は停止中",IF($BA23&gt;$BK$2,"×値動きが荒い",IF($BB23&gt;$BK$3,"×レンジが広い",IF($BC23&gt;$BK$4,"×窓を開けて上昇",IF($Z23&gt;$BK$5,"×前日に急騰",IF($Z23&lt;$BK$6,"×前日に急落",IF($BD23&lt;$BK$7,"×高値から離れすぎ",IF($BE23&gt;$BK$8,"×当日の値幅が大きい","×")))))))))</f>
      </c>
    </row>
    <row r="24" spans="1:60"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IF(AND(E24&lt;&gt;"",K24&lt;&gt;"",K24&lt;&gt;0),(E24-K24)/K24*100,"")</f>
        <v>-29.602411908799699</v>
      </c>
      <c r="M24" s="333">
        <f>IF(C24&lt;&gt;"",IFERROR(AVERAGE(出来高!E79:I79),""),"")</f>
        <v>4232280</v>
      </c>
      <c r="N24" s="333">
        <f>IF(C24&lt;&gt;"",IFERROR(AVERAGE(出来高!E79:AC79),""),"")</f>
        <v>3520708</v>
      </c>
      <c r="O24" s="335">
        <f>IF(AND(J24&lt;&gt;"",M24&lt;&gt;"",M24&lt;&gt;0),J24/M24,"")</f>
        <v>1.5334760460082981</v>
      </c>
      <c r="P24" s="212" t="str">
        <f>IF(O24="","",IF(O24&gt;=2,"急増↑↑",IF(O24&gt;=1.5,"増加↑",IF(O24&gt;=1,"普通→","減少↓"))))</f>
        <v>増加↑</v>
      </c>
      <c r="Q24" s="212" t="str">
        <f>IF(E24="","",IF(AND(E24&lt;G24,O24&gt;=1.5),"売り▼",IF(E24&gt;G24,"様子見▲","中立→")))</f>
        <v>売り▼</v>
      </c>
      <c r="R24" s="333">
        <f>IF(E24&lt;&gt;"",ROUND(E24*0.92,0),"")</f>
        <v>3437</v>
      </c>
      <c r="S24" s="333">
        <f>IF(E24&lt;&gt;"",ROUND(E24*1.04,0),"")</f>
        <v>3885</v>
      </c>
      <c r="T24" s="325">
        <f>IF(C24="","",IFERROR(IF(W24&gt;=70,3,IF(W24&gt;=60,2,IF(W24&gt;=50,1,0)))+IF(X24&lt;0,2,0)+IF(AD24="下降トレンド▼",3,IF(AD24="もみ合い→",1,0))+IF(V24="年初来安値圏●",3,IF(V24="安値圏",2,0))+IF(Q24="売り▼",2,0)+IF(P24="急増↑↑",2,IF(P24="増加↑",1,0))+IF(Z24&lt;0,1,0)+IF(L24&lt;=-30,2,IF(L24&lt;=-15,1,0))+IF(AE24="25日戻り売り★",2,IF(AE24="5日戻り売り○",1,0))+N(AL24)+N(AP24)+N(AU24),0))</f>
        <v>15</v>
      </c>
      <c r="U24" s="212" t="str">
        <f>IF(T24="","",IF(AND(T24&gt;=3,O24&gt;=1.5),"有効",IF(T24&gt;=3,"要確認","除外")))</f>
        <v>有効</v>
      </c>
      <c r="V24" s="212" t="str">
        <f>IF(AND(I24&lt;&gt;"",K24&lt;&gt;""),IF(I24&lt;=K24*0.6,"年初来安値圏●",IF(I24&lt;=K24*0.75,"安値圏","通常")),"")</f>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IF(AF24="","",AF24&amp;" | "&amp;AD24&amp;IF(AE24&lt;&gt;"なし"," "&amp;AE24,"")&amp;IF(X24&lt;0," MACD-"," MACD+")&amp;" RSI:"&amp;TEXT(W24,"0.0")&amp;IF(W24&gt;=70," [過熱]",IF(W24&lt;=30," [売られ過ぎ]",""))&amp;" 前日比:"&amp;TEXT(Z24,"+0.0;-0.0;0.0")&amp;"%"&amp;IF(V24="年初来安値圏●"," [年初来安値圏]",IF(V24="安値圏"," [安値圏]",""))&amp;IF(OR(AO24="通常",AO24="-"),""," ["&amp;AO24&amp;"]")&amp;IF(OR(AT24="通常",AT24="-"),"","前日["&amp;AT24&amp;"]")&amp;" ["&amp;T24&amp;"点]")</f>
        <v>相場上昇・見送り | 下降トレンド▼ MACD- RSI:47.2 前日比:-8.8% [安値圏] [15点]</v>
      </c>
      <c r="Z24" s="338">
        <f>IF(AND(E24&lt;&gt;"",G24&lt;&gt;"",G24&lt;&gt;0),(E24-G24)/G24*100,"")</f>
        <v>-8.7890625</v>
      </c>
      <c r="AA24" s="212" t="str">
        <f>IF(OR(C24="",E24="",E24=0),"",IF(E24&gt;G24,"上昇▲",IF(E24&lt;G24,"下落▼","横ばい→")))</f>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IF(OR(C24="",AB24="",AC24="",AB24=0,AC24=0),"",IF(AND(E24&gt;AB24,AB24&gt;AC24),"パーフェクト▲",IF(E24&gt;AC24,"上昇トレンド▲",IF(AND(E24&lt;AB24,AB24&lt;AC24),"下降トレンド▼","もみ合い→"))))</f>
        <v>下降トレンド▼</v>
      </c>
      <c r="AE24" s="212" t="str">
        <f>IF(OR(C24="",AB24="",AC24=""),"",IF(AND(ABS(E24-AC24)/AC24&lt;=0.02,E24&lt;AC24),"25日戻り売り★",IF(AND(ABS(E24-AB24)/AB24&lt;=0.01,E24&lt;AB24),"5日戻り売り○","なし")))</f>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IF(AND(T24&gt;=7,C24&lt;&gt;""),T24,0)</f>
        <v>15</v>
      </c>
      <c r="AH24">
        <f>IF(AG24&gt;0,AG24*10000-ROW(A24),0)</f>
        <v>149976</v>
      </c>
      <c r="AI24" s="373">
        <f t="array" ref="AI24">IF(C24="","",IFERROR((INDEX(終値!$E:$E,MATCH(TEXT(C24,"0"),終値!$A:$A,0))-INDEX(終値!$E:$CZ,MATCH(TEXT(C24,"0"),終値!$A:$A,0),$AN$2))/INDEX(終値!$E:$CZ,MATCH(TEXT(C24,"0"),終値!$A:$A,0),$AN$2)*100,""))</f>
        <v>-25.250100040016004</v>
      </c>
      <c r="AJ24" s="373">
        <f t="array" ref="AJ24">IFERROR((終値!$E$5-INDEX(終値!$E$5:$IT$5,1,$AN$2))/INDEX(終値!$E$5:$IT$5,1,$AN$2)*100,"")</f>
        <v>1.0179378228534113</v>
      </c>
      <c r="AK24" s="374">
        <f>IF(OR(AI24="",AJ24=""),"",AI24-AJ24)</f>
        <v>-26.268037862869416</v>
      </c>
      <c r="AL24" s="372">
        <f>IF(AK24="","",IF(AK24&lt;-5,3,IF(AK24&lt;0,1,IF(AK24&lt;3,-1,-2))))</f>
        <v>3</v>
      </c>
      <c r="AO24" s="376" t="str">
        <f>IF(OR($C24="",$E24="",$F24="",$H24="",$I24="",$H24-$I24&lt;=0),"-",IF(AND($H24-MAX($F24,$E24)&gt;=ABS($E24-$F24)*2,MIN($F24,$E24)-$I24&lt;=ABS($E24-$F24)*0.5,ABS($E24-$F24)&gt;0),"上ヒゲ陰線▼",IF(AND($E24&lt;$F24,ABS($E24-$F24)&gt;=($H24-$I24)*0.7),"大陰線▼",IF(AND(MIN($F24,$E24)-$I24&gt;=($H24-$I24)*0.5,$H24-MAX($F24,$E24)&lt;=($H24-$I24)*0.2),"長い下ヒゲ(反発警戒)","通常"))))</f>
        <v>通常</v>
      </c>
      <c r="AP24" s="377">
        <f>IF($AO24="上ヒゲ陰線▼",2,IF($AO24="大陰線▼",2,IF($AO24="長い下ヒゲ(反発警戒)",-2,0)))</f>
        <v>0</v>
      </c>
      <c r="AQ24">
        <f>IF(C24&lt;&gt;"",始値!F79,"")</f>
        <v>3927</v>
      </c>
      <c r="AR24">
        <f>IF(C24&lt;&gt;"",高値!F79,"")</f>
        <v>4126</v>
      </c>
      <c r="AS24">
        <f>IF(C24&lt;&gt;"",安値!F79,"")</f>
        <v>3913</v>
      </c>
      <c r="AT24" t="str">
        <f>IF(OR(C24="",AQ24="",AR24="",AS24="",AR24-AS24&lt;=0),"-",IF(AND(AR24-MAX(G24,AQ24)&gt;=ABS(G24-AQ24)*2,MIN(G24,AQ24)-AS24&lt;=ABS(G24-AQ24)*0.5,ABS(G24-AQ24)&gt;0),"上ヒゲ陰線▼",IF(AND(G24&lt;AQ24,ABS(G24-AQ24)&gt;=(AR24-AS24)*0.7),"大陰線▼",IF(AND(MIN(G24,AQ24)-AS24&gt;=(AR24-AS24)*0.5,AR24-MAX(G24,AQ24)&lt;=(AR24-AS24)*0.2),"長い下ヒゲ(反発)","通常"))))</f>
        <v>通常</v>
      </c>
      <c r="AU24">
        <f>IF(AT24="上ヒゲ陰線▼",2,IF(AT24="大陰線▼",2,IF(AT24="長い下ヒゲ(反発)",-2,0)))</f>
        <v>0</v>
      </c>
      <c r="BA24">
        <f>IFERROR((SUM(OFFSET(高値!$E$6,IFERROR(MATCH($C24,銘柄管理!$B$6:$B$305,0),MATCH(TEXT($C24,"0"),銘柄管理!$B$6:$B$305,0))-1,0,1,14))-SUM(OFFSET(安値!$E$6,IFERROR(MATCH($C24,銘柄管理!$B$6:$B$305,0),MATCH(TEXT($C24,"0"),銘柄管理!$B$6:$B$305,0))-1,0,1,14)))/SUM(OFFSET(終値!$E$6,IFERROR(MATCH($C24,銘柄管理!$B$6:$B$305,0),MATCH(TEXT($C24,"0"),銘柄管理!$B$6:$B$305,0))-1,0,1,14))*100,"")</f>
      </c>
      <c r="BB24">
        <f>IFERROR((MAX(OFFSET(高値!$E$6,IFERROR(MATCH($C24,銘柄管理!$B$6:$B$305,0),MATCH(TEXT($C24,"0"),銘柄管理!$B$6:$B$305,0))-1,0,1,25))-MIN(OFFSET(安値!$E$6,IFERROR(MATCH($C24,銘柄管理!$B$6:$B$305,0),MATCH(TEXT($C24,"0"),銘柄管理!$B$6:$B$305,0))-1,0,1,25)))/$E24*100,"")</f>
      </c>
      <c r="BC24">
        <f>IFERROR(($F24-$G24)/$G24*100,"")</f>
      </c>
      <c r="BD24">
        <f>IFERROR(($E24-MAX(OFFSET(高値!$E$6,IFERROR(MATCH($C24,銘柄管理!$B$6:$B$305,0),MATCH(TEXT($C24,"0"),銘柄管理!$B$6:$B$305,0))-1,0,1,25)))/MAX(OFFSET(高値!$E$6,IFERROR(MATCH($C24,銘柄管理!$B$6:$B$305,0),MATCH(TEXT($C24,"0"),銘柄管理!$B$6:$B$305,0))-1,0,1,25))*100,"")</f>
      </c>
      <c r="BE24">
        <f>IFERROR(($H24-$I24)/$F24*100,"")</f>
      </c>
      <c r="BF24">
        <f>IFERROR(-(($BA24-AVERAGE($BA$3:$BA$206))/STDEV($BA$3:$BA$206))-(($BE24-AVERAGE($BE$3:$BE$206))/STDEV($BE$3:$BE$206))-(($BB24-AVERAGE($BB$3:$BB$206))/STDEV($BB$3:$BB$206))-(($Z24-AVERAGE($Z$3:$Z$206))/STDEV($Z$3:$Z$206))-(($BC24-AVERAGE($BC$3:$BC$206))/STDEV($BC$3:$BC$206)),"")</f>
      </c>
      <c r="BG24">
        <f>IF(OR($C24="",$C24="TOPX",$BA24="",$BF24=""),0,IF(AND($BK$10=1,$BA24&lt;=$BK$2,$BB24&lt;=$BK$3,$BC24&lt;=$BK$4,$Z24&lt;=$BK$5,$Z24&gt;=$BK$6,$BD24&gt;=$BK$7,$BE24&lt;=$BK$8),1,0))</f>
      </c>
      <c r="BH24">
        <f>IF($C24="","",IF($BG24=1,"○ゲート通過",IF($BK$10&lt;&gt;1,"― この方向は停止中",IF($BA24&gt;$BK$2,"×値動きが荒い",IF($BB24&gt;$BK$3,"×レンジが広い",IF($BC24&gt;$BK$4,"×窓を開けて上昇",IF($Z24&gt;$BK$5,"×前日に急騰",IF($Z24&lt;$BK$6,"×前日に急落",IF($BD24&lt;$BK$7,"×高値から離れすぎ",IF($BE24&gt;$BK$8,"×当日の値幅が大きい","×")))))))))</f>
      </c>
    </row>
    <row r="25" spans="1:60"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IF(AND(E25&lt;&gt;"",K25&lt;&gt;"",K25&lt;&gt;0),(E25-K25)/K25*100,"")</f>
        <v>-9.236274180923628</v>
      </c>
      <c r="M25" s="326">
        <f>IF(C25&lt;&gt;"",IFERROR(AVERAGE(出来高!E92:I92),""),"")</f>
        <v>1997180</v>
      </c>
      <c r="N25" s="326">
        <f>IF(C25&lt;&gt;"",IFERROR(AVERAGE(出来高!E92:AC92),""),"")</f>
        <v>1060564</v>
      </c>
      <c r="O25" s="328">
        <f>IF(AND(J25&lt;&gt;"",M25&lt;&gt;"",M25&lt;&gt;0),J25/M25,"")</f>
        <v>0.79747443895893211</v>
      </c>
      <c r="P25" s="325" t="str">
        <f>IF(O25="","",IF(O25&gt;=2,"急増↑↑",IF(O25&gt;=1.5,"増加↑",IF(O25&gt;=1,"普通→","減少↓"))))</f>
        <v>減少↓</v>
      </c>
      <c r="Q25" s="325" t="str">
        <f>IF(E25="","",IF(AND(E25&lt;G25,O25&gt;=1.5),"売り▼",IF(E25&gt;G25,"様子見▲","中立→")))</f>
        <v>中立→</v>
      </c>
      <c r="R25" s="326">
        <f>IF(E25&lt;&gt;"",ROUND(E25*0.92,0),"")</f>
        <v>7468</v>
      </c>
      <c r="S25" s="326">
        <f>IF(E25&lt;&gt;"",ROUND(E25*1.04,0),"")</f>
        <v>8442</v>
      </c>
      <c r="T25" s="325">
        <f>IF(C25="","",IFERROR(IF(W25&gt;=70,3,IF(W25&gt;=60,2,IF(W25&gt;=50,1,0)))+IF(X25&lt;0,2,0)+IF(AD25="下降トレンド▼",3,IF(AD25="もみ合い→",1,0))+IF(V25="年初来安値圏●",3,IF(V25="安値圏",2,0))+IF(Q25="売り▼",2,0)+IF(P25="急増↑↑",2,IF(P25="増加↑",1,0))+IF(Z25&lt;0,1,0)+IF(L25&lt;=-30,2,IF(L25&lt;=-15,1,0))+IF(AE25="25日戻り売り★",2,IF(AE25="5日戻り売り○",1,0))+N(AL25)+N(AP25)+N(AU25),0))</f>
        <v>7</v>
      </c>
      <c r="U25" s="325" t="str">
        <f>IF(T25="","",IF(AND(T25&gt;=3,O25&gt;=1.5),"有効",IF(T25&gt;=3,"要確認","除外")))</f>
        <v>要確認</v>
      </c>
      <c r="V25" s="325" t="str">
        <f>IF(AND(I25&lt;&gt;"",K25&lt;&gt;""),IF(I25&lt;=K25*0.6,"年初来安値圏●",IF(I25&lt;=K25*0.75,"安値圏","通常")),"")</f>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IF(AF25="","",AF25&amp;" | "&amp;AD25&amp;IF(AE25&lt;&gt;"なし"," "&amp;AE25,"")&amp;IF(X25&lt;0," MACD-"," MACD+")&amp;" RSI:"&amp;TEXT(W25,"0.0")&amp;IF(W25&gt;=70," [過熱]",IF(W25&lt;=30," [売られ過ぎ]",""))&amp;" 前日比:"&amp;TEXT(Z25,"+0.0;-0.0;0.0")&amp;"%"&amp;IF(V25="年初来安値圏●"," [年初来安値圏]",IF(V25="安値圏"," [安値圏]",""))&amp;IF(OR(AO25="通常",AO25="-"),""," ["&amp;AO25&amp;"]")&amp;IF(OR(AT25="通常",AT25="-"),"","前日["&amp;AT25&amp;"]")&amp;" ["&amp;T25&amp;"点]")</f>
        <v>相場上昇・見送り | パーフェクト▲ MACD- RSI:55.3 前日比:-4.3% [7点]</v>
      </c>
      <c r="Z25" s="331">
        <f>IF(AND(E25&lt;&gt;"",G25&lt;&gt;"",G25&lt;&gt;0),(E25-G25)/G25*100,"")</f>
        <v>-4.3370654095462582</v>
      </c>
      <c r="AA25" s="325" t="str">
        <f>IF(OR(C25="",E25="",E25=0),"",IF(E25&gt;G25,"上昇▲",IF(E25&lt;G25,"下落▼","横ばい→")))</f>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IF(OR(C25="",AB25="",AC25="",AB25=0,AC25=0),"",IF(AND(E25&gt;AB25,AB25&gt;AC25),"パーフェクト▲",IF(E25&gt;AC25,"上昇トレンド▲",IF(AND(E25&lt;AB25,AB25&lt;AC25),"下降トレンド▼","もみ合い→"))))</f>
        <v>パーフェクト▲</v>
      </c>
      <c r="AE25" s="325" t="str">
        <f>IF(OR(C25="",AB25="",AC25=""),"",IF(AND(ABS(E25-AC25)/AC25&lt;=0.02,E25&lt;AC25),"25日戻り売り★",IF(AND(ABS(E25-AB25)/AB25&lt;=0.01,E25&lt;AB25),"5日戻り売り○","なし")))</f>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IF(AND(T25&gt;=7,C25&lt;&gt;""),T25,0)</f>
        <v>7</v>
      </c>
      <c r="AH25">
        <f>IF(AG25&gt;0,AG25*10000-ROW(A25),0)</f>
        <v>69975</v>
      </c>
      <c r="AI25" s="373">
        <f t="array" ref="AI25">IF(C25="","",IFERROR((INDEX(終値!$E:$E,MATCH(TEXT(C25,"0"),終値!$A:$A,0))-INDEX(終値!$E:$CZ,MATCH(TEXT(C25,"0"),終値!$A:$A,0),$AN$2))/INDEX(終値!$E:$CZ,MATCH(TEXT(C25,"0"),終値!$A:$A,0),$AN$2)*100,""))</f>
        <v>-9.1244961934617113</v>
      </c>
      <c r="AJ25" s="373">
        <f t="array" ref="AJ25">IFERROR((終値!$E$5-INDEX(終値!$E$5:$IT$5,1,$AN$2))/INDEX(終値!$E$5:$IT$5,1,$AN$2)*100,"")</f>
        <v>1.0179378228534113</v>
      </c>
      <c r="AK25" s="374">
        <f>IF(OR(AI25="",AJ25=""),"",AI25-AJ25)</f>
        <v>-10.142434016315123</v>
      </c>
      <c r="AL25" s="372">
        <f>IF(AK25="","",IF(AK25&lt;-5,3,IF(AK25&lt;0,1,IF(AK25&lt;3,-1,-2))))</f>
        <v>3</v>
      </c>
      <c r="AO25" s="376" t="str">
        <f>IF(OR($C25="",$E25="",$F25="",$H25="",$I25="",$H25-$I25&lt;=0),"-",IF(AND($H25-MAX($F25,$E25)&gt;=ABS($E25-$F25)*2,MIN($F25,$E25)-$I25&lt;=ABS($E25-$F25)*0.5,ABS($E25-$F25)&gt;0),"上ヒゲ陰線▼",IF(AND($E25&lt;$F25,ABS($E25-$F25)&gt;=($H25-$I25)*0.7),"大陰線▼",IF(AND(MIN($F25,$E25)-$I25&gt;=($H25-$I25)*0.5,$H25-MAX($F25,$E25)&lt;=($H25-$I25)*0.2),"長い下ヒゲ(反発警戒)","通常"))))</f>
        <v>通常</v>
      </c>
      <c r="AP25" s="377">
        <f>IF($AO25="上ヒゲ陰線▼",2,IF($AO25="大陰線▼",2,IF($AO25="長い下ヒゲ(反発警戒)",-2,0)))</f>
        <v>0</v>
      </c>
      <c r="AQ25">
        <f>IF(C25&lt;&gt;"",始値!F92,"")</f>
        <v>8131</v>
      </c>
      <c r="AR25">
        <f>IF(C25&lt;&gt;"",高値!F92,"")</f>
        <v>8515</v>
      </c>
      <c r="AS25">
        <f>IF(C25&lt;&gt;"",安値!F92,"")</f>
        <v>7933</v>
      </c>
      <c r="AT25" t="str">
        <f>IF(OR(C25="",AQ25="",AR25="",AS25="",AR25-AS25&lt;=0),"-",IF(AND(AR25-MAX(G25,AQ25)&gt;=ABS(G25-AQ25)*2,MIN(G25,AQ25)-AS25&lt;=ABS(G25-AQ25)*0.5,ABS(G25-AQ25)&gt;0),"上ヒゲ陰線▼",IF(AND(G25&lt;AQ25,ABS(G25-AQ25)&gt;=(AR25-AS25)*0.7),"大陰線▼",IF(AND(MIN(G25,AQ25)-AS25&gt;=(AR25-AS25)*0.5,AR25-MAX(G25,AQ25)&lt;=(AR25-AS25)*0.2),"長い下ヒゲ(反発)","通常"))))</f>
        <v>通常</v>
      </c>
      <c r="AU25">
        <f>IF(AT25="上ヒゲ陰線▼",2,IF(AT25="大陰線▼",2,IF(AT25="長い下ヒゲ(反発)",-2,0)))</f>
        <v>0</v>
      </c>
      <c r="BA25">
        <f>IFERROR((SUM(OFFSET(高値!$E$6,IFERROR(MATCH($C25,銘柄管理!$B$6:$B$305,0),MATCH(TEXT($C25,"0"),銘柄管理!$B$6:$B$305,0))-1,0,1,14))-SUM(OFFSET(安値!$E$6,IFERROR(MATCH($C25,銘柄管理!$B$6:$B$305,0),MATCH(TEXT($C25,"0"),銘柄管理!$B$6:$B$305,0))-1,0,1,14)))/SUM(OFFSET(終値!$E$6,IFERROR(MATCH($C25,銘柄管理!$B$6:$B$305,0),MATCH(TEXT($C25,"0"),銘柄管理!$B$6:$B$305,0))-1,0,1,14))*100,"")</f>
      </c>
      <c r="BB25">
        <f>IFERROR((MAX(OFFSET(高値!$E$6,IFERROR(MATCH($C25,銘柄管理!$B$6:$B$305,0),MATCH(TEXT($C25,"0"),銘柄管理!$B$6:$B$305,0))-1,0,1,25))-MIN(OFFSET(安値!$E$6,IFERROR(MATCH($C25,銘柄管理!$B$6:$B$305,0),MATCH(TEXT($C25,"0"),銘柄管理!$B$6:$B$305,0))-1,0,1,25)))/$E25*100,"")</f>
      </c>
      <c r="BC25">
        <f>IFERROR(($F25-$G25)/$G25*100,"")</f>
      </c>
      <c r="BD25">
        <f>IFERROR(($E25-MAX(OFFSET(高値!$E$6,IFERROR(MATCH($C25,銘柄管理!$B$6:$B$305,0),MATCH(TEXT($C25,"0"),銘柄管理!$B$6:$B$305,0))-1,0,1,25)))/MAX(OFFSET(高値!$E$6,IFERROR(MATCH($C25,銘柄管理!$B$6:$B$305,0),MATCH(TEXT($C25,"0"),銘柄管理!$B$6:$B$305,0))-1,0,1,25))*100,"")</f>
      </c>
      <c r="BE25">
        <f>IFERROR(($H25-$I25)/$F25*100,"")</f>
      </c>
      <c r="BF25">
        <f>IFERROR(-(($BA25-AVERAGE($BA$3:$BA$206))/STDEV($BA$3:$BA$206))-(($BE25-AVERAGE($BE$3:$BE$206))/STDEV($BE$3:$BE$206))-(($BB25-AVERAGE($BB$3:$BB$206))/STDEV($BB$3:$BB$206))-(($Z25-AVERAGE($Z$3:$Z$206))/STDEV($Z$3:$Z$206))-(($BC25-AVERAGE($BC$3:$BC$206))/STDEV($BC$3:$BC$206)),"")</f>
      </c>
      <c r="BG25">
        <f>IF(OR($C25="",$C25="TOPX",$BA25="",$BF25=""),0,IF(AND($BK$10=1,$BA25&lt;=$BK$2,$BB25&lt;=$BK$3,$BC25&lt;=$BK$4,$Z25&lt;=$BK$5,$Z25&gt;=$BK$6,$BD25&gt;=$BK$7,$BE25&lt;=$BK$8),1,0))</f>
      </c>
      <c r="BH25">
        <f>IF($C25="","",IF($BG25=1,"○ゲート通過",IF($BK$10&lt;&gt;1,"― この方向は停止中",IF($BA25&gt;$BK$2,"×値動きが荒い",IF($BB25&gt;$BK$3,"×レンジが広い",IF($BC25&gt;$BK$4,"×窓を開けて上昇",IF($Z25&gt;$BK$5,"×前日に急騰",IF($Z25&lt;$BK$6,"×前日に急落",IF($BD25&lt;$BK$7,"×高値から離れすぎ",IF($BE25&gt;$BK$8,"×当日の値幅が大きい","×")))))))))</f>
      </c>
    </row>
    <row r="26" spans="1:60"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IF(AND(E26&lt;&gt;"",K26&lt;&gt;"",K26&lt;&gt;0),(E26-K26)/K26*100,"")</f>
        <v>-5.3713650676051117</v>
      </c>
      <c r="M26" s="333">
        <f>IF(C26&lt;&gt;"",IFERROR(AVERAGE(出来高!E123:I123),""),"")</f>
        <v>1915160</v>
      </c>
      <c r="N26" s="333">
        <f>IF(C26&lt;&gt;"",IFERROR(AVERAGE(出来高!E123:AC123),""),"")</f>
        <v>1476476</v>
      </c>
      <c r="O26" s="335">
        <f>IF(AND(J26&lt;&gt;"",M26&lt;&gt;"",M26&lt;&gt;0),J26/M26,"")</f>
        <v>1.3061049729526515</v>
      </c>
      <c r="P26" s="212" t="str">
        <f>IF(O26="","",IF(O26&gt;=2,"急増↑↑",IF(O26&gt;=1.5,"増加↑",IF(O26&gt;=1,"普通→","減少↓"))))</f>
        <v>普通→</v>
      </c>
      <c r="Q26" s="212" t="str">
        <f>IF(E26="","",IF(AND(E26&lt;G26,O26&gt;=1.5),"売り▼",IF(E26&gt;G26,"様子見▲","中立→")))</f>
        <v>中立→</v>
      </c>
      <c r="R26" s="333">
        <f>IF(E26&lt;&gt;"",ROUND(E26*0.92,0),"")</f>
        <v>2350</v>
      </c>
      <c r="S26" s="333">
        <f>IF(E26&lt;&gt;"",ROUND(E26*1.04,0),"")</f>
        <v>2657</v>
      </c>
      <c r="T26" s="325">
        <f>IF(C26="","",IFERROR(IF(W26&gt;=70,3,IF(W26&gt;=60,2,IF(W26&gt;=50,1,0)))+IF(X26&lt;0,2,0)+IF(AD26="下降トレンド▼",3,IF(AD26="もみ合い→",1,0))+IF(V26="年初来安値圏●",3,IF(V26="安値圏",2,0))+IF(Q26="売り▼",2,0)+IF(P26="急増↑↑",2,IF(P26="増加↑",1,0))+IF(Z26&lt;0,1,0)+IF(L26&lt;=-30,2,IF(L26&lt;=-15,1,0))+IF(AE26="25日戻り売り★",2,IF(AE26="5日戻り売り○",1,0))+N(AL26)+N(AP26)+N(AU26),0))</f>
        <v>4</v>
      </c>
      <c r="U26" s="212" t="str">
        <f>IF(T26="","",IF(AND(T26&gt;=3,O26&gt;=1.5),"有効",IF(T26&gt;=3,"要確認","除外")))</f>
        <v>要確認</v>
      </c>
      <c r="V26" s="212" t="str">
        <f>IF(AND(I26&lt;&gt;"",K26&lt;&gt;""),IF(I26&lt;=K26*0.6,"年初来安値圏●",IF(I26&lt;=K26*0.75,"安値圏","通常")),"")</f>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IF(AF26="","",AF26&amp;" | "&amp;AD26&amp;IF(AE26&lt;&gt;"なし"," "&amp;AE26,"")&amp;IF(X26&lt;0," MACD-"," MACD+")&amp;" RSI:"&amp;TEXT(W26,"0.0")&amp;IF(W26&gt;=70," [過熱]",IF(W26&lt;=30," [売られ過ぎ]",""))&amp;" 前日比:"&amp;TEXT(Z26,"+0.0;-0.0;0.0")&amp;"%"&amp;IF(V26="年初来安値圏●"," [年初来安値圏]",IF(V26="安値圏"," [安値圏]",""))&amp;IF(OR(AO26="通常",AO26="-"),""," ["&amp;AO26&amp;"]")&amp;IF(OR(AT26="通常",AT26="-"),"","前日["&amp;AT26&amp;"]")&amp;" ["&amp;T26&amp;"点]")</f>
        <v>○逆張り売り | もみ合い→ 25日戻り売り★ MACD- RSI:46.2 前日比:-1.0% [4点]</v>
      </c>
      <c r="Z26" s="338">
        <f>IF(AND(E26&lt;&gt;"",G26&lt;&gt;"",G26&lt;&gt;0),(E26-G26)/G26*100,"")</f>
        <v>-0.98837209302325579</v>
      </c>
      <c r="AA26" s="212" t="str">
        <f>IF(OR(C26="",E26="",E26=0),"",IF(E26&gt;G26,"上昇▲",IF(E26&lt;G26,"下落▼","横ばい→")))</f>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IF(OR(C26="",AB26="",AC26="",AB26=0,AC26=0),"",IF(AND(E26&gt;AB26,AB26&gt;AC26),"パーフェクト▲",IF(E26&gt;AC26,"上昇トレンド▲",IF(AND(E26&lt;AB26,AB26&lt;AC26),"下降トレンド▼","もみ合い→"))))</f>
        <v>もみ合い→</v>
      </c>
      <c r="AE26" s="212" t="str">
        <f>IF(OR(C26="",AB26="",AC26=""),"",IF(AND(ABS(E26-AC26)/AC26&lt;=0.02,E26&lt;AC26),"25日戻り売り★",IF(AND(ABS(E26-AB26)/AB26&lt;=0.01,E26&lt;AB26),"5日戻り売り○","なし")))</f>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IF(AND(T26&gt;=7,C26&lt;&gt;""),T26,0)</f>
        <v>0</v>
      </c>
      <c r="AH26">
        <f>IF(AG26&gt;0,AG26*10000-ROW(A26),0)</f>
        <v>0</v>
      </c>
      <c r="AI26" s="373">
        <f t="array" ref="AI26">IF(C26="","",IFERROR((INDEX(終値!$E:$E,MATCH(TEXT(C26,"0"),終値!$A:$A,0))-INDEX(終値!$E:$CZ,MATCH(TEXT(C26,"0"),終値!$A:$A,0),$AN$2))/INDEX(終値!$E:$CZ,MATCH(TEXT(C26,"0"),終値!$A:$A,0),$AN$2)*100,""))</f>
        <v>5.886010362694301</v>
      </c>
      <c r="AJ26" s="373">
        <f t="array" ref="AJ26">IFERROR((終値!$E$5-INDEX(終値!$E$5:$IT$5,1,$AN$2))/INDEX(終値!$E$5:$IT$5,1,$AN$2)*100,"")</f>
        <v>1.0179378228534113</v>
      </c>
      <c r="AK26" s="374">
        <f>IF(OR(AI26="",AJ26=""),"",AI26-AJ26)</f>
        <v>4.8680725398408899</v>
      </c>
      <c r="AL26" s="372">
        <f>IF(AK26="","",IF(AK26&lt;-5,3,IF(AK26&lt;0,1,IF(AK26&lt;3,-1,-2))))</f>
        <v>-2</v>
      </c>
      <c r="AO26" s="376" t="str">
        <f>IF(OR($C26="",$E26="",$F26="",$H26="",$I26="",$H26-$I26&lt;=0),"-",IF(AND($H26-MAX($F26,$E26)&gt;=ABS($E26-$F26)*2,MIN($F26,$E26)-$I26&lt;=ABS($E26-$F26)*0.5,ABS($E26-$F26)&gt;0),"上ヒゲ陰線▼",IF(AND($E26&lt;$F26,ABS($E26-$F26)&gt;=($H26-$I26)*0.7),"大陰線▼",IF(AND(MIN($F26,$E26)-$I26&gt;=($H26-$I26)*0.5,$H26-MAX($F26,$E26)&lt;=($H26-$I26)*0.2),"長い下ヒゲ(反発警戒)","通常"))))</f>
        <v>通常</v>
      </c>
      <c r="AP26" s="377">
        <f>IF($AO26="上ヒゲ陰線▼",2,IF($AO26="大陰線▼",2,IF($AO26="長い下ヒゲ(反発警戒)",-2,0)))</f>
        <v>0</v>
      </c>
      <c r="AQ26">
        <f>IF(C26&lt;&gt;"",始値!F123,"")</f>
        <v>2497</v>
      </c>
      <c r="AR26">
        <f>IF(C26&lt;&gt;"",高値!F123,"")</f>
        <v>2580</v>
      </c>
      <c r="AS26">
        <f>IF(C26&lt;&gt;"",安値!F123,"")</f>
        <v>2482</v>
      </c>
      <c r="AT26" t="str">
        <f>IF(OR(C26="",AQ26="",AR26="",AS26="",AR26-AS26&lt;=0),"-",IF(AND(AR26-MAX(G26,AQ26)&gt;=ABS(G26-AQ26)*2,MIN(G26,AQ26)-AS26&lt;=ABS(G26-AQ26)*0.5,ABS(G26-AQ26)&gt;0),"上ヒゲ陰線▼",IF(AND(G26&lt;AQ26,ABS(G26-AQ26)&gt;=(AR26-AS26)*0.7),"大陰線▼",IF(AND(MIN(G26,AQ26)-AS26&gt;=(AR26-AS26)*0.5,AR26-MAX(G26,AQ26)&lt;=(AR26-AS26)*0.2),"長い下ヒゲ(反発)","通常"))))</f>
        <v>通常</v>
      </c>
      <c r="AU26">
        <f>IF(AT26="上ヒゲ陰線▼",2,IF(AT26="大陰線▼",2,IF(AT26="長い下ヒゲ(反発)",-2,0)))</f>
        <v>0</v>
      </c>
      <c r="BA26">
        <f>IFERROR((SUM(OFFSET(高値!$E$6,IFERROR(MATCH($C26,銘柄管理!$B$6:$B$305,0),MATCH(TEXT($C26,"0"),銘柄管理!$B$6:$B$305,0))-1,0,1,14))-SUM(OFFSET(安値!$E$6,IFERROR(MATCH($C26,銘柄管理!$B$6:$B$305,0),MATCH(TEXT($C26,"0"),銘柄管理!$B$6:$B$305,0))-1,0,1,14)))/SUM(OFFSET(終値!$E$6,IFERROR(MATCH($C26,銘柄管理!$B$6:$B$305,0),MATCH(TEXT($C26,"0"),銘柄管理!$B$6:$B$305,0))-1,0,1,14))*100,"")</f>
      </c>
      <c r="BB26">
        <f>IFERROR((MAX(OFFSET(高値!$E$6,IFERROR(MATCH($C26,銘柄管理!$B$6:$B$305,0),MATCH(TEXT($C26,"0"),銘柄管理!$B$6:$B$305,0))-1,0,1,25))-MIN(OFFSET(安値!$E$6,IFERROR(MATCH($C26,銘柄管理!$B$6:$B$305,0),MATCH(TEXT($C26,"0"),銘柄管理!$B$6:$B$305,0))-1,0,1,25)))/$E26*100,"")</f>
      </c>
      <c r="BC26">
        <f>IFERROR(($F26-$G26)/$G26*100,"")</f>
      </c>
      <c r="BD26">
        <f>IFERROR(($E26-MAX(OFFSET(高値!$E$6,IFERROR(MATCH($C26,銘柄管理!$B$6:$B$305,0),MATCH(TEXT($C26,"0"),銘柄管理!$B$6:$B$305,0))-1,0,1,25)))/MAX(OFFSET(高値!$E$6,IFERROR(MATCH($C26,銘柄管理!$B$6:$B$305,0),MATCH(TEXT($C26,"0"),銘柄管理!$B$6:$B$305,0))-1,0,1,25))*100,"")</f>
      </c>
      <c r="BE26">
        <f>IFERROR(($H26-$I26)/$F26*100,"")</f>
      </c>
      <c r="BF26">
        <f>IFERROR(-(($BA26-AVERAGE($BA$3:$BA$206))/STDEV($BA$3:$BA$206))-(($BE26-AVERAGE($BE$3:$BE$206))/STDEV($BE$3:$BE$206))-(($BB26-AVERAGE($BB$3:$BB$206))/STDEV($BB$3:$BB$206))-(($Z26-AVERAGE($Z$3:$Z$206))/STDEV($Z$3:$Z$206))-(($BC26-AVERAGE($BC$3:$BC$206))/STDEV($BC$3:$BC$206)),"")</f>
      </c>
      <c r="BG26">
        <f>IF(OR($C26="",$C26="TOPX",$BA26="",$BF26=""),0,IF(AND($BK$10=1,$BA26&lt;=$BK$2,$BB26&lt;=$BK$3,$BC26&lt;=$BK$4,$Z26&lt;=$BK$5,$Z26&gt;=$BK$6,$BD26&gt;=$BK$7,$BE26&lt;=$BK$8),1,0))</f>
      </c>
      <c r="BH26">
        <f>IF($C26="","",IF($BG26=1,"○ゲート通過",IF($BK$10&lt;&gt;1,"― この方向は停止中",IF($BA26&gt;$BK$2,"×値動きが荒い",IF($BB26&gt;$BK$3,"×レンジが広い",IF($BC26&gt;$BK$4,"×窓を開けて上昇",IF($Z26&gt;$BK$5,"×前日に急騰",IF($Z26&lt;$BK$6,"×前日に急落",IF($BD26&lt;$BK$7,"×高値から離れすぎ",IF($BE26&gt;$BK$8,"×当日の値幅が大きい","×")))))))))</f>
      </c>
    </row>
    <row r="27" spans="1:60"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IF(AND(E27&lt;&gt;"",K27&lt;&gt;"",K27&lt;&gt;0),(E27-K27)/K27*100,"")</f>
        <v>-64.662447257383974</v>
      </c>
      <c r="M27" s="326">
        <f>IF(C27&lt;&gt;"",IFERROR(AVERAGE(出来高!E133:I133),""),"")</f>
        <v>727700</v>
      </c>
      <c r="N27" s="326">
        <f>IF(C27&lt;&gt;"",IFERROR(AVERAGE(出来高!E133:AC133),""),"")</f>
        <v>867991.66666666663</v>
      </c>
      <c r="O27" s="328">
        <f>IF(AND(J27&lt;&gt;"",M27&lt;&gt;"",M27&lt;&gt;0),J27/M27,"")</f>
        <v>0.61481379689432458</v>
      </c>
      <c r="P27" s="325" t="str">
        <f>IF(O27="","",IF(O27&gt;=2,"急増↑↑",IF(O27&gt;=1.5,"増加↑",IF(O27&gt;=1,"普通→","減少↓"))))</f>
        <v>減少↓</v>
      </c>
      <c r="Q27" s="325" t="str">
        <f>IF(E27="","",IF(AND(E27&lt;G27,O27&gt;=1.5),"売り▼",IF(E27&gt;G27,"様子見▲","中立→")))</f>
        <v>中立→</v>
      </c>
      <c r="R27" s="326">
        <f>IF(E27&lt;&gt;"",ROUND(E27*0.92,0),"")</f>
        <v>3082</v>
      </c>
      <c r="S27" s="326">
        <f>IF(E27&lt;&gt;"",ROUND(E27*1.04,0),"")</f>
        <v>3484</v>
      </c>
      <c r="T27" s="325">
        <f>IF(C27="","",IFERROR(IF(W27&gt;=70,3,IF(W27&gt;=60,2,IF(W27&gt;=50,1,0)))+IF(X27&lt;0,2,0)+IF(AD27="下降トレンド▼",3,IF(AD27="もみ合い→",1,0))+IF(V27="年初来安値圏●",3,IF(V27="安値圏",2,0))+IF(Q27="売り▼",2,0)+IF(P27="急増↑↑",2,IF(P27="増加↑",1,0))+IF(Z27&lt;0,1,0)+IF(L27&lt;=-30,2,IF(L27&lt;=-15,1,0))+IF(AE27="25日戻り売り★",2,IF(AE27="5日戻り売り○",1,0))+N(AL27)+N(AP27)+N(AU27),0))</f>
        <v>12</v>
      </c>
      <c r="U27" s="325" t="str">
        <f>IF(T27="","",IF(AND(T27&gt;=3,O27&gt;=1.5),"有効",IF(T27&gt;=3,"要確認","除外")))</f>
        <v>要確認</v>
      </c>
      <c r="V27" s="325" t="str">
        <f>IF(AND(I27&lt;&gt;"",K27&lt;&gt;""),IF(I27&lt;=K27*0.6,"年初来安値圏●",IF(I27&lt;=K27*0.75,"安値圏","通常")),"")</f>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IF(AF27="","",AF27&amp;" | "&amp;AD27&amp;IF(AE27&lt;&gt;"なし"," "&amp;AE27,"")&amp;IF(X27&lt;0," MACD-"," MACD+")&amp;" RSI:"&amp;TEXT(W27,"0.0")&amp;IF(W27&gt;=70," [過熱]",IF(W27&lt;=30," [売られ過ぎ]",""))&amp;" 前日比:"&amp;TEXT(Z27,"+0.0;-0.0;0.0")&amp;"%"&amp;IF(V27="年初来安値圏●"," [年初来安値圏]",IF(V27="安値圏"," [安値圏]",""))&amp;IF(OR(AO27="通常",AO27="-"),""," ["&amp;AO27&amp;"]")&amp;IF(OR(AT27="通常",AT27="-"),"","前日["&amp;AT27&amp;"]")&amp;" ["&amp;T27&amp;"点]")</f>
        <v>相場上昇・見送り | もみ合い→ MACD- RSI:41.5 前日比:-0.9% [年初来安値圏] [12点]</v>
      </c>
      <c r="Z27" s="331">
        <f>IF(AND(E27&lt;&gt;"",G27&lt;&gt;"",G27&lt;&gt;0),(E27-G27)/G27*100,"")</f>
        <v>-0.8875739644970414</v>
      </c>
      <c r="AA27" s="325" t="str">
        <f>IF(OR(C27="",E27="",E27=0),"",IF(E27&gt;G27,"上昇▲",IF(E27&lt;G27,"下落▼","横ばい→")))</f>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IF(OR(C27="",AB27="",AC27="",AB27=0,AC27=0),"",IF(AND(E27&gt;AB27,AB27&gt;AC27),"パーフェクト▲",IF(E27&gt;AC27,"上昇トレンド▲",IF(AND(E27&lt;AB27,AB27&lt;AC27),"下降トレンド▼","もみ合い→"))))</f>
        <v>もみ合い→</v>
      </c>
      <c r="AE27" s="325" t="str">
        <f>IF(OR(C27="",AB27="",AC27=""),"",IF(AND(ABS(E27-AC27)/AC27&lt;=0.02,E27&lt;AC27),"25日戻り売り★",IF(AND(ABS(E27-AB27)/AB27&lt;=0.01,E27&lt;AB27),"5日戻り売り○","なし")))</f>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IF(AND(T27&gt;=7,C27&lt;&gt;""),T27,0)</f>
        <v>12</v>
      </c>
      <c r="AH27">
        <f>IF(AG27&gt;0,AG27*10000-ROW(A27),0)</f>
        <v>119973</v>
      </c>
      <c r="AI27" s="373">
        <f t="array" ref="AI27">IF(C27="","",IFERROR((INDEX(終値!$E:$E,MATCH(TEXT(C27,"0"),終値!$A:$A,0))-INDEX(終値!$E:$CZ,MATCH(TEXT(C27,"0"),終値!$A:$A,0),$AN$2))/INDEX(終値!$E:$CZ,MATCH(TEXT(C27,"0"),終値!$A:$A,0),$AN$2)*100,""))</f>
        <v>-59.589867310012067</v>
      </c>
      <c r="AJ27" s="373">
        <f t="array" ref="AJ27">IFERROR((終値!$E$5-INDEX(終値!$E$5:$IT$5,1,$AN$2))/INDEX(終値!$E$5:$IT$5,1,$AN$2)*100,"")</f>
        <v>1.0179378228534113</v>
      </c>
      <c r="AK27" s="374">
        <f>IF(OR(AI27="",AJ27=""),"",AI27-AJ27)</f>
        <v>-60.607805132865479</v>
      </c>
      <c r="AL27" s="372">
        <f>IF(AK27="","",IF(AK27&lt;-5,3,IF(AK27&lt;0,1,IF(AK27&lt;3,-1,-2))))</f>
        <v>3</v>
      </c>
      <c r="AO27" s="376" t="str">
        <f>IF(OR($C27="",$E27="",$F27="",$H27="",$I27="",$H27-$I27&lt;=0),"-",IF(AND($H27-MAX($F27,$E27)&gt;=ABS($E27-$F27)*2,MIN($F27,$E27)-$I27&lt;=ABS($E27-$F27)*0.5,ABS($E27-$F27)&gt;0),"上ヒゲ陰線▼",IF(AND($E27&lt;$F27,ABS($E27-$F27)&gt;=($H27-$I27)*0.7),"大陰線▼",IF(AND(MIN($F27,$E27)-$I27&gt;=($H27-$I27)*0.5,$H27-MAX($F27,$E27)&lt;=($H27-$I27)*0.2),"長い下ヒゲ(反発警戒)","通常"))))</f>
        <v>通常</v>
      </c>
      <c r="AP27" s="377">
        <f>IF($AO27="上ヒゲ陰線▼",2,IF($AO27="大陰線▼",2,IF($AO27="長い下ヒゲ(反発警戒)",-2,0)))</f>
        <v>0</v>
      </c>
      <c r="AQ27">
        <f>IF(C27&lt;&gt;"",始値!F133,"")</f>
        <v>3415</v>
      </c>
      <c r="AR27">
        <f>IF(C27&lt;&gt;"",高値!F133,"")</f>
        <v>3500</v>
      </c>
      <c r="AS27">
        <f>IF(C27&lt;&gt;"",安値!F133,"")</f>
        <v>3215</v>
      </c>
      <c r="AT27" t="str">
        <f>IF(OR(C27="",AQ27="",AR27="",AS27="",AR27-AS27&lt;=0),"-",IF(AND(AR27-MAX(G27,AQ27)&gt;=ABS(G27-AQ27)*2,MIN(G27,AQ27)-AS27&lt;=ABS(G27-AQ27)*0.5,ABS(G27-AQ27)&gt;0),"上ヒゲ陰線▼",IF(AND(G27&lt;AQ27,ABS(G27-AQ27)&gt;=(AR27-AS27)*0.7),"大陰線▼",IF(AND(MIN(G27,AQ27)-AS27&gt;=(AR27-AS27)*0.5,AR27-MAX(G27,AQ27)&lt;=(AR27-AS27)*0.2),"長い下ヒゲ(反発)","通常"))))</f>
        <v>通常</v>
      </c>
      <c r="AU27">
        <f>IF(AT27="上ヒゲ陰線▼",2,IF(AT27="大陰線▼",2,IF(AT27="長い下ヒゲ(反発)",-2,0)))</f>
        <v>0</v>
      </c>
      <c r="BA27">
        <f>IFERROR((SUM(OFFSET(高値!$E$6,IFERROR(MATCH($C27,銘柄管理!$B$6:$B$305,0),MATCH(TEXT($C27,"0"),銘柄管理!$B$6:$B$305,0))-1,0,1,14))-SUM(OFFSET(安値!$E$6,IFERROR(MATCH($C27,銘柄管理!$B$6:$B$305,0),MATCH(TEXT($C27,"0"),銘柄管理!$B$6:$B$305,0))-1,0,1,14)))/SUM(OFFSET(終値!$E$6,IFERROR(MATCH($C27,銘柄管理!$B$6:$B$305,0),MATCH(TEXT($C27,"0"),銘柄管理!$B$6:$B$305,0))-1,0,1,14))*100,"")</f>
      </c>
      <c r="BB27">
        <f>IFERROR((MAX(OFFSET(高値!$E$6,IFERROR(MATCH($C27,銘柄管理!$B$6:$B$305,0),MATCH(TEXT($C27,"0"),銘柄管理!$B$6:$B$305,0))-1,0,1,25))-MIN(OFFSET(安値!$E$6,IFERROR(MATCH($C27,銘柄管理!$B$6:$B$305,0),MATCH(TEXT($C27,"0"),銘柄管理!$B$6:$B$305,0))-1,0,1,25)))/$E27*100,"")</f>
      </c>
      <c r="BC27">
        <f>IFERROR(($F27-$G27)/$G27*100,"")</f>
      </c>
      <c r="BD27">
        <f>IFERROR(($E27-MAX(OFFSET(高値!$E$6,IFERROR(MATCH($C27,銘柄管理!$B$6:$B$305,0),MATCH(TEXT($C27,"0"),銘柄管理!$B$6:$B$305,0))-1,0,1,25)))/MAX(OFFSET(高値!$E$6,IFERROR(MATCH($C27,銘柄管理!$B$6:$B$305,0),MATCH(TEXT($C27,"0"),銘柄管理!$B$6:$B$305,0))-1,0,1,25))*100,"")</f>
      </c>
      <c r="BE27">
        <f>IFERROR(($H27-$I27)/$F27*100,"")</f>
      </c>
      <c r="BF27">
        <f>IFERROR(-(($BA27-AVERAGE($BA$3:$BA$206))/STDEV($BA$3:$BA$206))-(($BE27-AVERAGE($BE$3:$BE$206))/STDEV($BE$3:$BE$206))-(($BB27-AVERAGE($BB$3:$BB$206))/STDEV($BB$3:$BB$206))-(($Z27-AVERAGE($Z$3:$Z$206))/STDEV($Z$3:$Z$206))-(($BC27-AVERAGE($BC$3:$BC$206))/STDEV($BC$3:$BC$206)),"")</f>
      </c>
      <c r="BG27">
        <f>IF(OR($C27="",$C27="TOPX",$BA27="",$BF27=""),0,IF(AND($BK$10=1,$BA27&lt;=$BK$2,$BB27&lt;=$BK$3,$BC27&lt;=$BK$4,$Z27&lt;=$BK$5,$Z27&gt;=$BK$6,$BD27&gt;=$BK$7,$BE27&lt;=$BK$8),1,0))</f>
      </c>
      <c r="BH27">
        <f>IF($C27="","",IF($BG27=1,"○ゲート通過",IF($BK$10&lt;&gt;1,"― この方向は停止中",IF($BA27&gt;$BK$2,"×値動きが荒い",IF($BB27&gt;$BK$3,"×レンジが広い",IF($BC27&gt;$BK$4,"×窓を開けて上昇",IF($Z27&gt;$BK$5,"×前日に急騰",IF($Z27&lt;$BK$6,"×前日に急落",IF($BD27&lt;$BK$7,"×高値から離れすぎ",IF($BE27&gt;$BK$8,"×当日の値幅が大きい","×")))))))))</f>
      </c>
    </row>
    <row r="28" spans="1:60"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IF(AND(E28&lt;&gt;"",K28&lt;&gt;"",K28&lt;&gt;0),(E28-K28)/K28*100,"")</f>
        <v>-57.941888619854723</v>
      </c>
      <c r="M28" s="333">
        <f>IF(C28&lt;&gt;"",IFERROR(AVERAGE(出来高!E135:I135),""),"")</f>
        <v>670220</v>
      </c>
      <c r="N28" s="333">
        <f>IF(C28&lt;&gt;"",IFERROR(AVERAGE(出来高!E135:AC135),""),"")</f>
        <v>841004</v>
      </c>
      <c r="O28" s="335">
        <f>IF(AND(J28&lt;&gt;"",M28&lt;&gt;"",M28&lt;&gt;0),J28/M28,"")</f>
        <v>0.64710095192623318</v>
      </c>
      <c r="P28" s="212" t="str">
        <f>IF(O28="","",IF(O28&gt;=2,"急増↑↑",IF(O28&gt;=1.5,"増加↑",IF(O28&gt;=1,"普通→","減少↓"))))</f>
        <v>減少↓</v>
      </c>
      <c r="Q28" s="212" t="str">
        <f>IF(E28="","",IF(AND(E28&lt;G28,O28&gt;=1.5),"売り▼",IF(E28&gt;G28,"様子見▲","中立→")))</f>
        <v>中立→</v>
      </c>
      <c r="R28" s="333">
        <f>IF(E28&lt;&gt;"",ROUND(E28*0.92,0),"")</f>
        <v>1598</v>
      </c>
      <c r="S28" s="333">
        <f>IF(E28&lt;&gt;"",ROUND(E28*1.04,0),"")</f>
        <v>1806</v>
      </c>
      <c r="T28" s="325">
        <f>IF(C28="","",IFERROR(IF(W28&gt;=70,3,IF(W28&gt;=60,2,IF(W28&gt;=50,1,0)))+IF(X28&lt;0,2,0)+IF(AD28="下降トレンド▼",3,IF(AD28="もみ合い→",1,0))+IF(V28="年初来安値圏●",3,IF(V28="安値圏",2,0))+IF(Q28="売り▼",2,0)+IF(P28="急増↑↑",2,IF(P28="増加↑",1,0))+IF(Z28&lt;0,1,0)+IF(L28&lt;=-30,2,IF(L28&lt;=-15,1,0))+IF(AE28="25日戻り売り★",2,IF(AE28="5日戻り売り○",1,0))+N(AL28)+N(AP28)+N(AU28),0))</f>
        <v>16</v>
      </c>
      <c r="U28" s="212" t="str">
        <f>IF(T28="","",IF(AND(T28&gt;=3,O28&gt;=1.5),"有効",IF(T28&gt;=3,"要確認","除外")))</f>
        <v>要確認</v>
      </c>
      <c r="V28" s="212" t="str">
        <f>IF(AND(I28&lt;&gt;"",K28&lt;&gt;""),IF(I28&lt;=K28*0.6,"年初来安値圏●",IF(I28&lt;=K28*0.75,"安値圏","通常")),"")</f>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IF(AF28="","",AF28&amp;" | "&amp;AD28&amp;IF(AE28&lt;&gt;"なし"," "&amp;AE28,"")&amp;IF(X28&lt;0," MACD-"," MACD+")&amp;" RSI:"&amp;TEXT(W28,"0.0")&amp;IF(W28&gt;=70," [過熱]",IF(W28&lt;=30," [売られ過ぎ]",""))&amp;" 前日比:"&amp;TEXT(Z28,"+0.0;-0.0;0.0")&amp;"%"&amp;IF(V28="年初来安値圏●"," [年初来安値圏]",IF(V28="安値圏"," [安値圏]",""))&amp;IF(OR(AO28="通常",AO28="-"),""," ["&amp;AO28&amp;"]")&amp;IF(OR(AT28="通常",AT28="-"),"","前日["&amp;AT28&amp;"]")&amp;" ["&amp;T28&amp;"点]")</f>
        <v>相場上昇・見送り | 下降トレンド▼ MACD- RSI:29.8 [売られ過ぎ] 前日比:-5.1% [年初来安値圏] [大陰線▼] [16点]</v>
      </c>
      <c r="Z28" s="338">
        <f>IF(AND(E28&lt;&gt;"",G28&lt;&gt;"",G28&lt;&gt;0),(E28-G28)/G28*100,"")</f>
        <v>-5.081967213114754</v>
      </c>
      <c r="AA28" s="212" t="str">
        <f>IF(OR(C28="",E28="",E28=0),"",IF(E28&gt;G28,"上昇▲",IF(E28&lt;G28,"下落▼","横ばい→")))</f>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IF(OR(C28="",AB28="",AC28="",AB28=0,AC28=0),"",IF(AND(E28&gt;AB28,AB28&gt;AC28),"パーフェクト▲",IF(E28&gt;AC28,"上昇トレンド▲",IF(AND(E28&lt;AB28,AB28&lt;AC28),"下降トレンド▼","もみ合い→"))))</f>
        <v>下降トレンド▼</v>
      </c>
      <c r="AE28" s="212" t="str">
        <f>IF(OR(C28="",AB28="",AC28=""),"",IF(AND(ABS(E28-AC28)/AC28&lt;=0.02,E28&lt;AC28),"25日戻り売り★",IF(AND(ABS(E28-AB28)/AB28&lt;=0.01,E28&lt;AB28),"5日戻り売り○","なし")))</f>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IF(AND(T28&gt;=7,C28&lt;&gt;""),T28,0)</f>
        <v>16</v>
      </c>
      <c r="AH28">
        <f>IF(AG28&gt;0,AG28*10000-ROW(A28),0)</f>
        <v>159972</v>
      </c>
      <c r="AI28" s="373">
        <f t="array" ref="AI28">IF(C28="","",IFERROR((INDEX(終値!$E:$E,MATCH(TEXT(C28,"0"),終値!$A:$A,0))-INDEX(終値!$E:$CZ,MATCH(TEXT(C28,"0"),終値!$A:$A,0),$AN$2))/INDEX(終値!$E:$CZ,MATCH(TEXT(C28,"0"),終値!$A:$A,0),$AN$2)*100,""))</f>
        <v>-79.047044632086852</v>
      </c>
      <c r="AJ28" s="373">
        <f t="array" ref="AJ28">IFERROR((終値!$E$5-INDEX(終値!$E$5:$IT$5,1,$AN$2))/INDEX(終値!$E$5:$IT$5,1,$AN$2)*100,"")</f>
        <v>1.0179378228534113</v>
      </c>
      <c r="AK28" s="374">
        <f>IF(OR(AI28="",AJ28=""),"",AI28-AJ28)</f>
        <v>-80.064982454940264</v>
      </c>
      <c r="AL28" s="372">
        <f>IF(AK28="","",IF(AK28&lt;-5,3,IF(AK28&lt;0,1,IF(AK28&lt;3,-1,-2))))</f>
        <v>3</v>
      </c>
      <c r="AO28" s="376" t="str">
        <f>IF(OR($C28="",$E28="",$F28="",$H28="",$I28="",$H28-$I28&lt;=0),"-",IF(AND($H28-MAX($F28,$E28)&gt;=ABS($E28-$F28)*2,MIN($F28,$E28)-$I28&lt;=ABS($E28-$F28)*0.5,ABS($E28-$F28)&gt;0),"上ヒゲ陰線▼",IF(AND($E28&lt;$F28,ABS($E28-$F28)&gt;=($H28-$I28)*0.7),"大陰線▼",IF(AND(MIN($F28,$E28)-$I28&gt;=($H28-$I28)*0.5,$H28-MAX($F28,$E28)&lt;=($H28-$I28)*0.2),"長い下ヒゲ(反発警戒)","通常"))))</f>
        <v>大陰線▼</v>
      </c>
      <c r="AP28" s="377">
        <f>IF($AO28="上ヒゲ陰線▼",2,IF($AO28="大陰線▼",2,IF($AO28="長い下ヒゲ(反発警戒)",-2,0)))</f>
        <v>2</v>
      </c>
      <c r="AQ28">
        <f>IF(C28&lt;&gt;"",始値!F135,"")</f>
        <v>1750</v>
      </c>
      <c r="AR28">
        <f>IF(C28&lt;&gt;"",高値!F135,"")</f>
        <v>1840</v>
      </c>
      <c r="AS28">
        <f>IF(C28&lt;&gt;"",安値!F135,"")</f>
        <v>1731</v>
      </c>
      <c r="AT28" t="str">
        <f>IF(OR(C28="",AQ28="",AR28="",AS28="",AR28-AS28&lt;=0),"-",IF(AND(AR28-MAX(G28,AQ28)&gt;=ABS(G28-AQ28)*2,MIN(G28,AQ28)-AS28&lt;=ABS(G28-AQ28)*0.5,ABS(G28-AQ28)&gt;0),"上ヒゲ陰線▼",IF(AND(G28&lt;AQ28,ABS(G28-AQ28)&gt;=(AR28-AS28)*0.7),"大陰線▼",IF(AND(MIN(G28,AQ28)-AS28&gt;=(AR28-AS28)*0.5,AR28-MAX(G28,AQ28)&lt;=(AR28-AS28)*0.2),"長い下ヒゲ(反発)","通常"))))</f>
        <v>通常</v>
      </c>
      <c r="AU28">
        <f>IF(AT28="上ヒゲ陰線▼",2,IF(AT28="大陰線▼",2,IF(AT28="長い下ヒゲ(反発)",-2,0)))</f>
        <v>0</v>
      </c>
      <c r="BA28">
        <f>IFERROR((SUM(OFFSET(高値!$E$6,IFERROR(MATCH($C28,銘柄管理!$B$6:$B$305,0),MATCH(TEXT($C28,"0"),銘柄管理!$B$6:$B$305,0))-1,0,1,14))-SUM(OFFSET(安値!$E$6,IFERROR(MATCH($C28,銘柄管理!$B$6:$B$305,0),MATCH(TEXT($C28,"0"),銘柄管理!$B$6:$B$305,0))-1,0,1,14)))/SUM(OFFSET(終値!$E$6,IFERROR(MATCH($C28,銘柄管理!$B$6:$B$305,0),MATCH(TEXT($C28,"0"),銘柄管理!$B$6:$B$305,0))-1,0,1,14))*100,"")</f>
      </c>
      <c r="BB28">
        <f>IFERROR((MAX(OFFSET(高値!$E$6,IFERROR(MATCH($C28,銘柄管理!$B$6:$B$305,0),MATCH(TEXT($C28,"0"),銘柄管理!$B$6:$B$305,0))-1,0,1,25))-MIN(OFFSET(安値!$E$6,IFERROR(MATCH($C28,銘柄管理!$B$6:$B$305,0),MATCH(TEXT($C28,"0"),銘柄管理!$B$6:$B$305,0))-1,0,1,25)))/$E28*100,"")</f>
      </c>
      <c r="BC28">
        <f>IFERROR(($F28-$G28)/$G28*100,"")</f>
      </c>
      <c r="BD28">
        <f>IFERROR(($E28-MAX(OFFSET(高値!$E$6,IFERROR(MATCH($C28,銘柄管理!$B$6:$B$305,0),MATCH(TEXT($C28,"0"),銘柄管理!$B$6:$B$305,0))-1,0,1,25)))/MAX(OFFSET(高値!$E$6,IFERROR(MATCH($C28,銘柄管理!$B$6:$B$305,0),MATCH(TEXT($C28,"0"),銘柄管理!$B$6:$B$305,0))-1,0,1,25))*100,"")</f>
      </c>
      <c r="BE28">
        <f>IFERROR(($H28-$I28)/$F28*100,"")</f>
      </c>
      <c r="BF28">
        <f>IFERROR(-(($BA28-AVERAGE($BA$3:$BA$206))/STDEV($BA$3:$BA$206))-(($BE28-AVERAGE($BE$3:$BE$206))/STDEV($BE$3:$BE$206))-(($BB28-AVERAGE($BB$3:$BB$206))/STDEV($BB$3:$BB$206))-(($Z28-AVERAGE($Z$3:$Z$206))/STDEV($Z$3:$Z$206))-(($BC28-AVERAGE($BC$3:$BC$206))/STDEV($BC$3:$BC$206)),"")</f>
      </c>
      <c r="BG28">
        <f>IF(OR($C28="",$C28="TOPX",$BA28="",$BF28=""),0,IF(AND($BK$10=1,$BA28&lt;=$BK$2,$BB28&lt;=$BK$3,$BC28&lt;=$BK$4,$Z28&lt;=$BK$5,$Z28&gt;=$BK$6,$BD28&gt;=$BK$7,$BE28&lt;=$BK$8),1,0))</f>
      </c>
      <c r="BH28">
        <f>IF($C28="","",IF($BG28=1,"○ゲート通過",IF($BK$10&lt;&gt;1,"― この方向は停止中",IF($BA28&gt;$BK$2,"×値動きが荒い",IF($BB28&gt;$BK$3,"×レンジが広い",IF($BC28&gt;$BK$4,"×窓を開けて上昇",IF($Z28&gt;$BK$5,"×前日に急騰",IF($Z28&lt;$BK$6,"×前日に急落",IF($BD28&lt;$BK$7,"×高値から離れすぎ",IF($BE28&gt;$BK$8,"×当日の値幅が大きい","×")))))))))</f>
      </c>
    </row>
    <row r="29" spans="1:60"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IF(AND(E29&lt;&gt;"",K29&lt;&gt;"",K29&lt;&gt;0),(E29-K29)/K29*100,"")</f>
        <v>-24.746192893401016</v>
      </c>
      <c r="M29" s="326">
        <f>IF(C29&lt;&gt;"",IFERROR(AVERAGE(出来高!E151:I151),""),"")</f>
        <v>231080</v>
      </c>
      <c r="N29" s="326">
        <f>IF(C29&lt;&gt;"",IFERROR(AVERAGE(出来高!E151:AC151),""),"")</f>
        <v>189450</v>
      </c>
      <c r="O29" s="328">
        <f>IF(AND(J29&lt;&gt;"",M29&lt;&gt;"",M29&lt;&gt;0),J29/M29,"")</f>
        <v>0.76120823957071149</v>
      </c>
      <c r="P29" s="325" t="str">
        <f>IF(O29="","",IF(O29&gt;=2,"急増↑↑",IF(O29&gt;=1.5,"増加↑",IF(O29&gt;=1,"普通→","減少↓"))))</f>
        <v>減少↓</v>
      </c>
      <c r="Q29" s="325" t="str">
        <f>IF(E29="","",IF(AND(E29&lt;G29,O29&gt;=1.5),"売り▼",IF(E29&gt;G29,"様子見▲","中立→")))</f>
        <v>中立→</v>
      </c>
      <c r="R29" s="326">
        <f>IF(E29&lt;&gt;"",ROUND(E29*0.92,0),"")</f>
        <v>5456</v>
      </c>
      <c r="S29" s="326">
        <f>IF(E29&lt;&gt;"",ROUND(E29*1.04,0),"")</f>
        <v>6167</v>
      </c>
      <c r="T29" s="325">
        <f>IF(C29="","",IFERROR(IF(W29&gt;=70,3,IF(W29&gt;=60,2,IF(W29&gt;=50,1,0)))+IF(X29&lt;0,2,0)+IF(AD29="下降トレンド▼",3,IF(AD29="もみ合い→",1,0))+IF(V29="年初来安値圏●",3,IF(V29="安値圏",2,0))+IF(Q29="売り▼",2,0)+IF(P29="急増↑↑",2,IF(P29="増加↑",1,0))+IF(Z29&lt;0,1,0)+IF(L29&lt;=-30,2,IF(L29&lt;=-15,1,0))+IF(AE29="25日戻り売り★",2,IF(AE29="5日戻り売り○",1,0))+N(AL29)+N(AP29)+N(AU29),0))</f>
        <v>10</v>
      </c>
      <c r="U29" s="325" t="str">
        <f>IF(T29="","",IF(AND(T29&gt;=3,O29&gt;=1.5),"有効",IF(T29&gt;=3,"要確認","除外")))</f>
        <v>要確認</v>
      </c>
      <c r="V29" s="325" t="str">
        <f>IF(AND(I29&lt;&gt;"",K29&lt;&gt;""),IF(I29&lt;=K29*0.6,"年初来安値圏●",IF(I29&lt;=K29*0.75,"安値圏","通常")),"")</f>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IF(AF29="","",AF29&amp;" | "&amp;AD29&amp;IF(AE29&lt;&gt;"なし"," "&amp;AE29,"")&amp;IF(X29&lt;0," MACD-"," MACD+")&amp;" RSI:"&amp;TEXT(W29,"0.0")&amp;IF(W29&gt;=70," [過熱]",IF(W29&lt;=30," [売られ過ぎ]",""))&amp;" 前日比:"&amp;TEXT(Z29,"+0.0;-0.0;0.0")&amp;"%"&amp;IF(V29="年初来安値圏●"," [年初来安値圏]",IF(V29="安値圏"," [安値圏]",""))&amp;IF(OR(AO29="通常",AO29="-"),""," ["&amp;AO29&amp;"]")&amp;IF(OR(AT29="通常",AT29="-"),"","前日["&amp;AT29&amp;"]")&amp;" ["&amp;T29&amp;"点]")</f>
        <v>相場上昇・見送り | パーフェクト▲ MACD- RSI:50.6 前日比:-2.6% [安値圏] [10点]</v>
      </c>
      <c r="Z29" s="331">
        <f>IF(AND(E29&lt;&gt;"",G29&lt;&gt;"",G29&lt;&gt;0),(E29-G29)/G29*100,"")</f>
        <v>-2.6272577996715927</v>
      </c>
      <c r="AA29" s="325" t="str">
        <f>IF(OR(C29="",E29="",E29=0),"",IF(E29&gt;G29,"上昇▲",IF(E29&lt;G29,"下落▼","横ばい→")))</f>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IF(OR(C29="",AB29="",AC29="",AB29=0,AC29=0),"",IF(AND(E29&gt;AB29,AB29&gt;AC29),"パーフェクト▲",IF(E29&gt;AC29,"上昇トレンド▲",IF(AND(E29&lt;AB29,AB29&lt;AC29),"下降トレンド▼","もみ合い→"))))</f>
        <v>パーフェクト▲</v>
      </c>
      <c r="AE29" s="325" t="str">
        <f>IF(OR(C29="",AB29="",AC29=""),"",IF(AND(ABS(E29-AC29)/AC29&lt;=0.02,E29&lt;AC29),"25日戻り売り★",IF(AND(ABS(E29-AB29)/AB29&lt;=0.01,E29&lt;AB29),"5日戻り売り○","なし")))</f>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IF(AND(T29&gt;=7,C29&lt;&gt;""),T29,0)</f>
        <v>10</v>
      </c>
      <c r="AH29">
        <f>IF(AG29&gt;0,AG29*10000-ROW(A29),0)</f>
        <v>99971</v>
      </c>
      <c r="AI29" s="373">
        <f t="array" ref="AI29">IF(C29="","",IFERROR((INDEX(終値!$E:$E,MATCH(TEXT(C29,"0"),終値!$A:$A,0))-INDEX(終値!$E:$CZ,MATCH(TEXT(C29,"0"),終値!$A:$A,0),$AN$2))/INDEX(終値!$E:$CZ,MATCH(TEXT(C29,"0"),終値!$A:$A,0),$AN$2)*100,""))</f>
        <v>-9.8784194528875382</v>
      </c>
      <c r="AJ29" s="373">
        <f t="array" ref="AJ29">IFERROR((終値!$E$5-INDEX(終値!$E$5:$IT$5,1,$AN$2))/INDEX(終値!$E$5:$IT$5,1,$AN$2)*100,"")</f>
        <v>1.0179378228534113</v>
      </c>
      <c r="AK29" s="374">
        <f>IF(OR(AI29="",AJ29=""),"",AI29-AJ29)</f>
        <v>-10.89635727574095</v>
      </c>
      <c r="AL29" s="372">
        <f>IF(AK29="","",IF(AK29&lt;-5,3,IF(AK29&lt;0,1,IF(AK29&lt;3,-1,-2))))</f>
        <v>3</v>
      </c>
      <c r="AO29" s="376" t="str">
        <f>IF(OR($C29="",$E29="",$F29="",$H29="",$I29="",$H29-$I29&lt;=0),"-",IF(AND($H29-MAX($F29,$E29)&gt;=ABS($E29-$F29)*2,MIN($F29,$E29)-$I29&lt;=ABS($E29-$F29)*0.5,ABS($E29-$F29)&gt;0),"上ヒゲ陰線▼",IF(AND($E29&lt;$F29,ABS($E29-$F29)&gt;=($H29-$I29)*0.7),"大陰線▼",IF(AND(MIN($F29,$E29)-$I29&gt;=($H29-$I29)*0.5,$H29-MAX($F29,$E29)&lt;=($H29-$I29)*0.2),"長い下ヒゲ(反発警戒)","通常"))))</f>
        <v>通常</v>
      </c>
      <c r="AP29" s="377">
        <f>IF($AO29="上ヒゲ陰線▼",2,IF($AO29="大陰線▼",2,IF($AO29="長い下ヒゲ(反発警戒)",-2,0)))</f>
        <v>0</v>
      </c>
      <c r="AQ29">
        <f>IF(C29&lt;&gt;"",始値!F151,"")</f>
        <v>5990</v>
      </c>
      <c r="AR29">
        <f>IF(C29&lt;&gt;"",高値!F151,"")</f>
        <v>6190</v>
      </c>
      <c r="AS29">
        <f>IF(C29&lt;&gt;"",安値!F151,"")</f>
        <v>5920</v>
      </c>
      <c r="AT29" t="str">
        <f>IF(OR(C29="",AQ29="",AR29="",AS29="",AR29-AS29&lt;=0),"-",IF(AND(AR29-MAX(G29,AQ29)&gt;=ABS(G29-AQ29)*2,MIN(G29,AQ29)-AS29&lt;=ABS(G29-AQ29)*0.5,ABS(G29-AQ29)&gt;0),"上ヒゲ陰線▼",IF(AND(G29&lt;AQ29,ABS(G29-AQ29)&gt;=(AR29-AS29)*0.7),"大陰線▼",IF(AND(MIN(G29,AQ29)-AS29&gt;=(AR29-AS29)*0.5,AR29-MAX(G29,AQ29)&lt;=(AR29-AS29)*0.2),"長い下ヒゲ(反発)","通常"))))</f>
        <v>通常</v>
      </c>
      <c r="AU29">
        <f>IF(AT29="上ヒゲ陰線▼",2,IF(AT29="大陰線▼",2,IF(AT29="長い下ヒゲ(反発)",-2,0)))</f>
        <v>0</v>
      </c>
      <c r="BA29">
        <f>IFERROR((SUM(OFFSET(高値!$E$6,IFERROR(MATCH($C29,銘柄管理!$B$6:$B$305,0),MATCH(TEXT($C29,"0"),銘柄管理!$B$6:$B$305,0))-1,0,1,14))-SUM(OFFSET(安値!$E$6,IFERROR(MATCH($C29,銘柄管理!$B$6:$B$305,0),MATCH(TEXT($C29,"0"),銘柄管理!$B$6:$B$305,0))-1,0,1,14)))/SUM(OFFSET(終値!$E$6,IFERROR(MATCH($C29,銘柄管理!$B$6:$B$305,0),MATCH(TEXT($C29,"0"),銘柄管理!$B$6:$B$305,0))-1,0,1,14))*100,"")</f>
      </c>
      <c r="BB29">
        <f>IFERROR((MAX(OFFSET(高値!$E$6,IFERROR(MATCH($C29,銘柄管理!$B$6:$B$305,0),MATCH(TEXT($C29,"0"),銘柄管理!$B$6:$B$305,0))-1,0,1,25))-MIN(OFFSET(安値!$E$6,IFERROR(MATCH($C29,銘柄管理!$B$6:$B$305,0),MATCH(TEXT($C29,"0"),銘柄管理!$B$6:$B$305,0))-1,0,1,25)))/$E29*100,"")</f>
      </c>
      <c r="BC29">
        <f>IFERROR(($F29-$G29)/$G29*100,"")</f>
      </c>
      <c r="BD29">
        <f>IFERROR(($E29-MAX(OFFSET(高値!$E$6,IFERROR(MATCH($C29,銘柄管理!$B$6:$B$305,0),MATCH(TEXT($C29,"0"),銘柄管理!$B$6:$B$305,0))-1,0,1,25)))/MAX(OFFSET(高値!$E$6,IFERROR(MATCH($C29,銘柄管理!$B$6:$B$305,0),MATCH(TEXT($C29,"0"),銘柄管理!$B$6:$B$305,0))-1,0,1,25))*100,"")</f>
      </c>
      <c r="BE29">
        <f>IFERROR(($H29-$I29)/$F29*100,"")</f>
      </c>
      <c r="BF29">
        <f>IFERROR(-(($BA29-AVERAGE($BA$3:$BA$206))/STDEV($BA$3:$BA$206))-(($BE29-AVERAGE($BE$3:$BE$206))/STDEV($BE$3:$BE$206))-(($BB29-AVERAGE($BB$3:$BB$206))/STDEV($BB$3:$BB$206))-(($Z29-AVERAGE($Z$3:$Z$206))/STDEV($Z$3:$Z$206))-(($BC29-AVERAGE($BC$3:$BC$206))/STDEV($BC$3:$BC$206)),"")</f>
      </c>
      <c r="BG29">
        <f>IF(OR($C29="",$C29="TOPX",$BA29="",$BF29=""),0,IF(AND($BK$10=1,$BA29&lt;=$BK$2,$BB29&lt;=$BK$3,$BC29&lt;=$BK$4,$Z29&lt;=$BK$5,$Z29&gt;=$BK$6,$BD29&gt;=$BK$7,$BE29&lt;=$BK$8),1,0))</f>
      </c>
      <c r="BH29">
        <f>IF($C29="","",IF($BG29=1,"○ゲート通過",IF($BK$10&lt;&gt;1,"― この方向は停止中",IF($BA29&gt;$BK$2,"×値動きが荒い",IF($BB29&gt;$BK$3,"×レンジが広い",IF($BC29&gt;$BK$4,"×窓を開けて上昇",IF($Z29&gt;$BK$5,"×前日に急騰",IF($Z29&lt;$BK$6,"×前日に急落",IF($BD29&lt;$BK$7,"×高値から離れすぎ",IF($BE29&gt;$BK$8,"×当日の値幅が大きい","×")))))))))</f>
      </c>
    </row>
    <row r="30" spans="1:60"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IF(AND(E30&lt;&gt;"",K30&lt;&gt;"",K30&lt;&gt;0),(E30-K30)/K30*100,"")</f>
        <v>-42.450562233423803</v>
      </c>
      <c r="M30" s="333">
        <f>IF(C30&lt;&gt;"",IFERROR(AVERAGE(出来高!E154:I154),""),"")</f>
        <v>29371300</v>
      </c>
      <c r="N30" s="333">
        <f>IF(C30&lt;&gt;"",IFERROR(AVERAGE(出来高!E154:AC154),""),"")</f>
        <v>31748592</v>
      </c>
      <c r="O30" s="335">
        <f>IF(AND(J30&lt;&gt;"",M30&lt;&gt;"",M30&lt;&gt;0),J30/M30,"")</f>
        <v>1.2343273876198875</v>
      </c>
      <c r="P30" s="212" t="str">
        <f>IF(O30="","",IF(O30&gt;=2,"急増↑↑",IF(O30&gt;=1.5,"増加↑",IF(O30&gt;=1,"普通→","減少↓"))))</f>
        <v>普通→</v>
      </c>
      <c r="Q30" s="212" t="str">
        <f>IF(E30="","",IF(AND(E30&lt;G30,O30&gt;=1.5),"売り▼",IF(E30&gt;G30,"様子見▲","中立→")))</f>
        <v>中立→</v>
      </c>
      <c r="R30" s="333">
        <f>IF(E30&lt;&gt;"",ROUND(E30*0.92,0),"")</f>
        <v>6827</v>
      </c>
      <c r="S30" s="333">
        <f>IF(E30&lt;&gt;"",ROUND(E30*1.04,0),"")</f>
        <v>7718</v>
      </c>
      <c r="T30" s="325">
        <f>IF(C30="","",IFERROR(IF(W30&gt;=70,3,IF(W30&gt;=60,2,IF(W30&gt;=50,1,0)))+IF(X30&lt;0,2,0)+IF(AD30="下降トレンド▼",3,IF(AD30="もみ合い→",1,0))+IF(V30="年初来安値圏●",3,IF(V30="安値圏",2,0))+IF(Q30="売り▼",2,0)+IF(P30="急増↑↑",2,IF(P30="増加↑",1,0))+IF(Z30&lt;0,1,0)+IF(L30&lt;=-30,2,IF(L30&lt;=-15,1,0))+IF(AE30="25日戻り売り★",2,IF(AE30="5日戻り売り○",1,0))+N(AL30)+N(AP30)+N(AU30),0))</f>
        <v>13</v>
      </c>
      <c r="U30" s="212" t="str">
        <f>IF(T30="","",IF(AND(T30&gt;=3,O30&gt;=1.5),"有効",IF(T30&gt;=3,"要確認","除外")))</f>
        <v>要確認</v>
      </c>
      <c r="V30" s="212" t="str">
        <f>IF(AND(I30&lt;&gt;"",K30&lt;&gt;""),IF(I30&lt;=K30*0.6,"年初来安値圏●",IF(I30&lt;=K30*0.75,"安値圏","通常")),"")</f>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IF(AF30="","",AF30&amp;" | "&amp;AD30&amp;IF(AE30&lt;&gt;"なし"," "&amp;AE30,"")&amp;IF(X30&lt;0," MACD-"," MACD+")&amp;" RSI:"&amp;TEXT(W30,"0.0")&amp;IF(W30&gt;=70," [過熱]",IF(W30&lt;=30," [売られ過ぎ]",""))&amp;" 前日比:"&amp;TEXT(Z30,"+0.0;-0.0;0.0")&amp;"%"&amp;IF(V30="年初来安値圏●"," [年初来安値圏]",IF(V30="安値圏"," [安値圏]",""))&amp;IF(OR(AO30="通常",AO30="-"),""," ["&amp;AO30&amp;"]")&amp;IF(OR(AT30="通常",AT30="-"),"","前日["&amp;AT30&amp;"]")&amp;" ["&amp;T30&amp;"点]")</f>
        <v>★逆張り売り | 下降トレンド▼ 5日戻り売り○ MACD- RSI:40.7 前日比:-5.2% [年初来安値圏] [長い下ヒゲ(反発警戒)] [13点]</v>
      </c>
      <c r="Z30" s="338">
        <f>IF(AND(E30&lt;&gt;"",G30&lt;&gt;"",G30&lt;&gt;0),(E30-G30)/G30*100,"")</f>
        <v>-5.2113935368501725</v>
      </c>
      <c r="AA30" s="212" t="str">
        <f>IF(OR(C30="",E30="",E30=0),"",IF(E30&gt;G30,"上昇▲",IF(E30&lt;G30,"下落▼","横ばい→")))</f>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IF(OR(C30="",AB30="",AC30="",AB30=0,AC30=0),"",IF(AND(E30&gt;AB30,AB30&gt;AC30),"パーフェクト▲",IF(E30&gt;AC30,"上昇トレンド▲",IF(AND(E30&lt;AB30,AB30&lt;AC30),"下降トレンド▼","もみ合い→"))))</f>
        <v>下降トレンド▼</v>
      </c>
      <c r="AE30" s="212" t="str">
        <f>IF(OR(C30="",AB30="",AC30=""),"",IF(AND(ABS(E30-AC30)/AC30&lt;=0.02,E30&lt;AC30),"25日戻り売り★",IF(AND(ABS(E30-AB30)/AB30&lt;=0.01,E30&lt;AB30),"5日戻り売り○","なし")))</f>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IF(AND(T30&gt;=7,C30&lt;&gt;""),T30,0)</f>
        <v>13</v>
      </c>
      <c r="AH30">
        <f>IF(AG30&gt;0,AG30*10000-ROW(A30),0)</f>
        <v>129970</v>
      </c>
      <c r="AI30" s="373">
        <f t="array" ref="AI30">IF(C30="","",IFERROR((INDEX(終値!$E:$E,MATCH(TEXT(C30,"0"),終値!$A:$A,0))-INDEX(終値!$E:$CZ,MATCH(TEXT(C30,"0"),終値!$A:$A,0),$AN$2))/INDEX(終値!$E:$CZ,MATCH(TEXT(C30,"0"),終値!$A:$A,0),$AN$2)*100,""))</f>
        <v>-37.586206896551722</v>
      </c>
      <c r="AJ30" s="373">
        <f t="array" ref="AJ30">IFERROR((終値!$E$5-INDEX(終値!$E$5:$IT$5,1,$AN$2))/INDEX(終値!$E$5:$IT$5,1,$AN$2)*100,"")</f>
        <v>1.0179378228534113</v>
      </c>
      <c r="AK30" s="374">
        <f>IF(OR(AI30="",AJ30=""),"",AI30-AJ30)</f>
        <v>-38.604144719405134</v>
      </c>
      <c r="AL30" s="372">
        <f>IF(AK30="","",IF(AK30&lt;-5,3,IF(AK30&lt;0,1,IF(AK30&lt;3,-1,-2))))</f>
        <v>3</v>
      </c>
      <c r="AO30" s="376" t="str">
        <f>IF(OR($C30="",$E30="",$F30="",$H30="",$I30="",$H30-$I30&lt;=0),"-",IF(AND($H30-MAX($F30,$E30)&gt;=ABS($E30-$F30)*2,MIN($F30,$E30)-$I30&lt;=ABS($E30-$F30)*0.5,ABS($E30-$F30)&gt;0),"上ヒゲ陰線▼",IF(AND($E30&lt;$F30,ABS($E30-$F30)&gt;=($H30-$I30)*0.7),"大陰線▼",IF(AND(MIN($F30,$E30)-$I30&gt;=($H30-$I30)*0.5,$H30-MAX($F30,$E30)&lt;=($H30-$I30)*0.2),"長い下ヒゲ(反発警戒)","通常"))))</f>
        <v>長い下ヒゲ(反発警戒)</v>
      </c>
      <c r="AP30" s="377">
        <f>IF($AO30="上ヒゲ陰線▼",2,IF($AO30="大陰線▼",2,IF($AO30="長い下ヒゲ(反発警戒)",-2,0)))</f>
        <v>-2</v>
      </c>
      <c r="AQ30">
        <f>IF(C30&lt;&gt;"",始値!F154,"")</f>
        <v>7351</v>
      </c>
      <c r="AR30">
        <f>IF(C30&lt;&gt;"",高値!F154,"")</f>
        <v>7915</v>
      </c>
      <c r="AS30">
        <f>IF(C30&lt;&gt;"",安値!F154,"")</f>
        <v>7305</v>
      </c>
      <c r="AT30" t="str">
        <f>IF(OR(C30="",AQ30="",AR30="",AS30="",AR30-AS30&lt;=0),"-",IF(AND(AR30-MAX(G30,AQ30)&gt;=ABS(G30-AQ30)*2,MIN(G30,AQ30)-AS30&lt;=ABS(G30-AQ30)*0.5,ABS(G30-AQ30)&gt;0),"上ヒゲ陰線▼",IF(AND(G30&lt;AQ30,ABS(G30-AQ30)&gt;=(AR30-AS30)*0.7),"大陰線▼",IF(AND(MIN(G30,AQ30)-AS30&gt;=(AR30-AS30)*0.5,AR30-MAX(G30,AQ30)&lt;=(AR30-AS30)*0.2),"長い下ヒゲ(反発)","通常"))))</f>
        <v>通常</v>
      </c>
      <c r="AU30">
        <f>IF(AT30="上ヒゲ陰線▼",2,IF(AT30="大陰線▼",2,IF(AT30="長い下ヒゲ(反発)",-2,0)))</f>
        <v>0</v>
      </c>
      <c r="BA30">
        <f>IFERROR((SUM(OFFSET(高値!$E$6,IFERROR(MATCH($C30,銘柄管理!$B$6:$B$305,0),MATCH(TEXT($C30,"0"),銘柄管理!$B$6:$B$305,0))-1,0,1,14))-SUM(OFFSET(安値!$E$6,IFERROR(MATCH($C30,銘柄管理!$B$6:$B$305,0),MATCH(TEXT($C30,"0"),銘柄管理!$B$6:$B$305,0))-1,0,1,14)))/SUM(OFFSET(終値!$E$6,IFERROR(MATCH($C30,銘柄管理!$B$6:$B$305,0),MATCH(TEXT($C30,"0"),銘柄管理!$B$6:$B$305,0))-1,0,1,14))*100,"")</f>
      </c>
      <c r="BB30">
        <f>IFERROR((MAX(OFFSET(高値!$E$6,IFERROR(MATCH($C30,銘柄管理!$B$6:$B$305,0),MATCH(TEXT($C30,"0"),銘柄管理!$B$6:$B$305,0))-1,0,1,25))-MIN(OFFSET(安値!$E$6,IFERROR(MATCH($C30,銘柄管理!$B$6:$B$305,0),MATCH(TEXT($C30,"0"),銘柄管理!$B$6:$B$305,0))-1,0,1,25)))/$E30*100,"")</f>
      </c>
      <c r="BC30">
        <f>IFERROR(($F30-$G30)/$G30*100,"")</f>
      </c>
      <c r="BD30">
        <f>IFERROR(($E30-MAX(OFFSET(高値!$E$6,IFERROR(MATCH($C30,銘柄管理!$B$6:$B$305,0),MATCH(TEXT($C30,"0"),銘柄管理!$B$6:$B$305,0))-1,0,1,25)))/MAX(OFFSET(高値!$E$6,IFERROR(MATCH($C30,銘柄管理!$B$6:$B$305,0),MATCH(TEXT($C30,"0"),銘柄管理!$B$6:$B$305,0))-1,0,1,25))*100,"")</f>
      </c>
      <c r="BE30">
        <f>IFERROR(($H30-$I30)/$F30*100,"")</f>
      </c>
      <c r="BF30">
        <f>IFERROR(-(($BA30-AVERAGE($BA$3:$BA$206))/STDEV($BA$3:$BA$206))-(($BE30-AVERAGE($BE$3:$BE$206))/STDEV($BE$3:$BE$206))-(($BB30-AVERAGE($BB$3:$BB$206))/STDEV($BB$3:$BB$206))-(($Z30-AVERAGE($Z$3:$Z$206))/STDEV($Z$3:$Z$206))-(($BC30-AVERAGE($BC$3:$BC$206))/STDEV($BC$3:$BC$206)),"")</f>
      </c>
      <c r="BG30">
        <f>IF(OR($C30="",$C30="TOPX",$BA30="",$BF30=""),0,IF(AND($BK$10=1,$BA30&lt;=$BK$2,$BB30&lt;=$BK$3,$BC30&lt;=$BK$4,$Z30&lt;=$BK$5,$Z30&gt;=$BK$6,$BD30&gt;=$BK$7,$BE30&lt;=$BK$8),1,0))</f>
      </c>
      <c r="BH30">
        <f>IF($C30="","",IF($BG30=1,"○ゲート通過",IF($BK$10&lt;&gt;1,"― この方向は停止中",IF($BA30&gt;$BK$2,"×値動きが荒い",IF($BB30&gt;$BK$3,"×レンジが広い",IF($BC30&gt;$BK$4,"×窓を開けて上昇",IF($Z30&gt;$BK$5,"×前日に急騰",IF($Z30&lt;$BK$6,"×前日に急落",IF($BD30&lt;$BK$7,"×高値から離れすぎ",IF($BE30&gt;$BK$8,"×当日の値幅が大きい","×")))))))))</f>
      </c>
    </row>
    <row r="31" spans="1:60"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IF(AND(E31&lt;&gt;"",K31&lt;&gt;"",K31&lt;&gt;0),(E31-K31)/K31*100,"")</f>
        <v>-27.394438722966015</v>
      </c>
      <c r="M31" s="326">
        <f>IF(C31&lt;&gt;"",IFERROR(AVERAGE(出来高!E155:I155),""),"")</f>
        <v>2720060</v>
      </c>
      <c r="N31" s="326">
        <f>IF(C31&lt;&gt;"",IFERROR(AVERAGE(出来高!E155:AC155),""),"")</f>
        <v>1742029.1666666667</v>
      </c>
      <c r="O31" s="328">
        <f>IF(AND(J31&lt;&gt;"",M31&lt;&gt;"",M31&lt;&gt;0),J31/M31,"")</f>
        <v>0.76869627875855684</v>
      </c>
      <c r="P31" s="325" t="str">
        <f>IF(O31="","",IF(O31&gt;=2,"急増↑↑",IF(O31&gt;=1.5,"増加↑",IF(O31&gt;=1,"普通→","減少↓"))))</f>
        <v>減少↓</v>
      </c>
      <c r="Q31" s="325" t="str">
        <f>IF(E31="","",IF(AND(E31&lt;G31,O31&gt;=1.5),"売り▼",IF(E31&gt;G31,"様子見▲","中立→")))</f>
        <v>中立→</v>
      </c>
      <c r="R31" s="326">
        <f>IF(E31&lt;&gt;"",ROUND(E31*0.92,0),"")</f>
        <v>3243</v>
      </c>
      <c r="S31" s="326">
        <f>IF(E31&lt;&gt;"",ROUND(E31*1.04,0),"")</f>
        <v>3666</v>
      </c>
      <c r="T31" s="325">
        <f>IF(C31="","",IFERROR(IF(W31&gt;=70,3,IF(W31&gt;=60,2,IF(W31&gt;=50,1,0)))+IF(X31&lt;0,2,0)+IF(AD31="下降トレンド▼",3,IF(AD31="もみ合い→",1,0))+IF(V31="年初来安値圏●",3,IF(V31="安値圏",2,0))+IF(Q31="売り▼",2,0)+IF(P31="急増↑↑",2,IF(P31="増加↑",1,0))+IF(Z31&lt;0,1,0)+IF(L31&lt;=-30,2,IF(L31&lt;=-15,1,0))+IF(AE31="25日戻り売り★",2,IF(AE31="5日戻り売り○",1,0))+N(AL31)+N(AP31)+N(AU31),0))</f>
        <v>10</v>
      </c>
      <c r="U31" s="325" t="str">
        <f>IF(T31="","",IF(AND(T31&gt;=3,O31&gt;=1.5),"有効",IF(T31&gt;=3,"要確認","除外")))</f>
        <v>要確認</v>
      </c>
      <c r="V31" s="325" t="str">
        <f>IF(AND(I31&lt;&gt;"",K31&lt;&gt;""),IF(I31&lt;=K31*0.6,"年初来安値圏●",IF(I31&lt;=K31*0.75,"安値圏","通常")),"")</f>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IF(AF31="","",AF31&amp;" | "&amp;AD31&amp;IF(AE31&lt;&gt;"なし"," "&amp;AE31,"")&amp;IF(X31&lt;0," MACD-"," MACD+")&amp;" RSI:"&amp;TEXT(W31,"0.0")&amp;IF(W31&gt;=70," [過熱]",IF(W31&lt;=30," [売られ過ぎ]",""))&amp;" 前日比:"&amp;TEXT(Z31,"+0.0;-0.0;0.0")&amp;"%"&amp;IF(V31="年初来安値圏●"," [年初来安値圏]",IF(V31="安値圏"," [安値圏]",""))&amp;IF(OR(AO31="通常",AO31="-"),""," ["&amp;AO31&amp;"]")&amp;IF(OR(AT31="通常",AT31="-"),"","前日["&amp;AT31&amp;"]")&amp;" ["&amp;T31&amp;"点]")</f>
        <v>相場上昇・見送り | もみ合い→ MACD- RSI:48.7 前日比:-8.0% [安値圏] [10点]</v>
      </c>
      <c r="Z31" s="331">
        <f>IF(AND(E31&lt;&gt;"",G31&lt;&gt;"",G31&lt;&gt;0),(E31-G31)/G31*100,"")</f>
        <v>-8.0354813462040173</v>
      </c>
      <c r="AA31" s="325" t="str">
        <f>IF(OR(C31="",E31="",E31=0),"",IF(E31&gt;G31,"上昇▲",IF(E31&lt;G31,"下落▼","横ばい→")))</f>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IF(OR(C31="",AB31="",AC31="",AB31=0,AC31=0),"",IF(AND(E31&gt;AB31,AB31&gt;AC31),"パーフェクト▲",IF(E31&gt;AC31,"上昇トレンド▲",IF(AND(E31&lt;AB31,AB31&lt;AC31),"下降トレンド▼","もみ合い→"))))</f>
        <v>もみ合い→</v>
      </c>
      <c r="AE31" s="325" t="str">
        <f>IF(OR(C31="",AB31="",AC31=""),"",IF(AND(ABS(E31-AC31)/AC31&lt;=0.02,E31&lt;AC31),"25日戻り売り★",IF(AND(ABS(E31-AB31)/AB31&lt;=0.01,E31&lt;AB31),"5日戻り売り○","なし")))</f>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IF(AND(T31&gt;=7,C31&lt;&gt;""),T31,0)</f>
        <v>10</v>
      </c>
      <c r="AH31">
        <f>IF(AG31&gt;0,AG31*10000-ROW(A31),0)</f>
        <v>99969</v>
      </c>
      <c r="AI31" s="373">
        <f t="array" ref="AI31">IF(C31="","",IFERROR((INDEX(終値!$E:$E,MATCH(TEXT(C31,"0"),終値!$A:$A,0))-INDEX(終値!$E:$CZ,MATCH(TEXT(C31,"0"),終値!$A:$A,0),$AN$2))/INDEX(終値!$E:$CZ,MATCH(TEXT(C31,"0"),終値!$A:$A,0),$AN$2)*100,""))</f>
        <v>-24.808020477815703</v>
      </c>
      <c r="AJ31" s="373">
        <f t="array" ref="AJ31">IFERROR((終値!$E$5-INDEX(終値!$E$5:$IT$5,1,$AN$2))/INDEX(終値!$E$5:$IT$5,1,$AN$2)*100,"")</f>
        <v>1.0179378228534113</v>
      </c>
      <c r="AK31" s="374">
        <f>IF(OR(AI31="",AJ31=""),"",AI31-AJ31)</f>
        <v>-25.825958300669114</v>
      </c>
      <c r="AL31" s="372">
        <f>IF(AK31="","",IF(AK31&lt;-5,3,IF(AK31&lt;0,1,IF(AK31&lt;3,-1,-2))))</f>
        <v>3</v>
      </c>
      <c r="AO31" s="376" t="str">
        <f>IF(OR($C31="",$E31="",$F31="",$H31="",$I31="",$H31-$I31&lt;=0),"-",IF(AND($H31-MAX($F31,$E31)&gt;=ABS($E31-$F31)*2,MIN($F31,$E31)-$I31&lt;=ABS($E31-$F31)*0.5,ABS($E31-$F31)&gt;0),"上ヒゲ陰線▼",IF(AND($E31&lt;$F31,ABS($E31-$F31)&gt;=($H31-$I31)*0.7),"大陰線▼",IF(AND(MIN($F31,$E31)-$I31&gt;=($H31-$I31)*0.5,$H31-MAX($F31,$E31)&lt;=($H31-$I31)*0.2),"長い下ヒゲ(反発警戒)","通常"))))</f>
        <v>通常</v>
      </c>
      <c r="AP31" s="377">
        <f>IF($AO31="上ヒゲ陰線▼",2,IF($AO31="大陰線▼",2,IF($AO31="長い下ヒゲ(反発警戒)",-2,0)))</f>
        <v>0</v>
      </c>
      <c r="AQ31">
        <f>IF(C31&lt;&gt;"",始値!F155,"")</f>
        <v>3635</v>
      </c>
      <c r="AR31">
        <f>IF(C31&lt;&gt;"",高値!F155,"")</f>
        <v>3873</v>
      </c>
      <c r="AS31">
        <f>IF(C31&lt;&gt;"",安値!F155,"")</f>
        <v>3630</v>
      </c>
      <c r="AT31" t="str">
        <f>IF(OR(C31="",AQ31="",AR31="",AS31="",AR31-AS31&lt;=0),"-",IF(AND(AR31-MAX(G31,AQ31)&gt;=ABS(G31-AQ31)*2,MIN(G31,AQ31)-AS31&lt;=ABS(G31-AQ31)*0.5,ABS(G31-AQ31)&gt;0),"上ヒゲ陰線▼",IF(AND(G31&lt;AQ31,ABS(G31-AQ31)&gt;=(AR31-AS31)*0.7),"大陰線▼",IF(AND(MIN(G31,AQ31)-AS31&gt;=(AR31-AS31)*0.5,AR31-MAX(G31,AQ31)&lt;=(AR31-AS31)*0.2),"長い下ヒゲ(反発)","通常"))))</f>
        <v>通常</v>
      </c>
      <c r="AU31">
        <f>IF(AT31="上ヒゲ陰線▼",2,IF(AT31="大陰線▼",2,IF(AT31="長い下ヒゲ(反発)",-2,0)))</f>
        <v>0</v>
      </c>
      <c r="BA31">
        <f>IFERROR((SUM(OFFSET(高値!$E$6,IFERROR(MATCH($C31,銘柄管理!$B$6:$B$305,0),MATCH(TEXT($C31,"0"),銘柄管理!$B$6:$B$305,0))-1,0,1,14))-SUM(OFFSET(安値!$E$6,IFERROR(MATCH($C31,銘柄管理!$B$6:$B$305,0),MATCH(TEXT($C31,"0"),銘柄管理!$B$6:$B$305,0))-1,0,1,14)))/SUM(OFFSET(終値!$E$6,IFERROR(MATCH($C31,銘柄管理!$B$6:$B$305,0),MATCH(TEXT($C31,"0"),銘柄管理!$B$6:$B$305,0))-1,0,1,14))*100,"")</f>
      </c>
      <c r="BB31">
        <f>IFERROR((MAX(OFFSET(高値!$E$6,IFERROR(MATCH($C31,銘柄管理!$B$6:$B$305,0),MATCH(TEXT($C31,"0"),銘柄管理!$B$6:$B$305,0))-1,0,1,25))-MIN(OFFSET(安値!$E$6,IFERROR(MATCH($C31,銘柄管理!$B$6:$B$305,0),MATCH(TEXT($C31,"0"),銘柄管理!$B$6:$B$305,0))-1,0,1,25)))/$E31*100,"")</f>
      </c>
      <c r="BC31">
        <f>IFERROR(($F31-$G31)/$G31*100,"")</f>
      </c>
      <c r="BD31">
        <f>IFERROR(($E31-MAX(OFFSET(高値!$E$6,IFERROR(MATCH($C31,銘柄管理!$B$6:$B$305,0),MATCH(TEXT($C31,"0"),銘柄管理!$B$6:$B$305,0))-1,0,1,25)))/MAX(OFFSET(高値!$E$6,IFERROR(MATCH($C31,銘柄管理!$B$6:$B$305,0),MATCH(TEXT($C31,"0"),銘柄管理!$B$6:$B$305,0))-1,0,1,25))*100,"")</f>
      </c>
      <c r="BE31">
        <f>IFERROR(($H31-$I31)/$F31*100,"")</f>
      </c>
      <c r="BF31">
        <f>IFERROR(-(($BA31-AVERAGE($BA$3:$BA$206))/STDEV($BA$3:$BA$206))-(($BE31-AVERAGE($BE$3:$BE$206))/STDEV($BE$3:$BE$206))-(($BB31-AVERAGE($BB$3:$BB$206))/STDEV($BB$3:$BB$206))-(($Z31-AVERAGE($Z$3:$Z$206))/STDEV($Z$3:$Z$206))-(($BC31-AVERAGE($BC$3:$BC$206))/STDEV($BC$3:$BC$206)),"")</f>
      </c>
      <c r="BG31">
        <f>IF(OR($C31="",$C31="TOPX",$BA31="",$BF31=""),0,IF(AND($BK$10=1,$BA31&lt;=$BK$2,$BB31&lt;=$BK$3,$BC31&lt;=$BK$4,$Z31&lt;=$BK$5,$Z31&gt;=$BK$6,$BD31&gt;=$BK$7,$BE31&lt;=$BK$8),1,0))</f>
      </c>
      <c r="BH31">
        <f>IF($C31="","",IF($BG31=1,"○ゲート通過",IF($BK$10&lt;&gt;1,"― この方向は停止中",IF($BA31&gt;$BK$2,"×値動きが荒い",IF($BB31&gt;$BK$3,"×レンジが広い",IF($BC31&gt;$BK$4,"×窓を開けて上昇",IF($Z31&gt;$BK$5,"×前日に急騰",IF($Z31&lt;$BK$6,"×前日に急落",IF($BD31&lt;$BK$7,"×高値から離れすぎ",IF($BE31&gt;$BK$8,"×当日の値幅が大きい","×")))))))))</f>
      </c>
    </row>
    <row r="32" spans="1:60"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IF(AND(E32&lt;&gt;"",K32&lt;&gt;"",K32&lt;&gt;0),(E32-K32)/K32*100,"")</f>
        <v>-24.369973190348524</v>
      </c>
      <c r="M32" s="333">
        <f>IF(C32&lt;&gt;"",IFERROR(AVERAGE(出来高!E175:I175),""),"")</f>
        <v>2491540</v>
      </c>
      <c r="N32" s="333">
        <f>IF(C32&lt;&gt;"",IFERROR(AVERAGE(出来高!E175:AC175),""),"")</f>
        <v>1277292</v>
      </c>
      <c r="O32" s="335">
        <f>IF(AND(J32&lt;&gt;"",M32&lt;&gt;"",M32&lt;&gt;0),J32/M32,"")</f>
        <v>0.59826452715990919</v>
      </c>
      <c r="P32" s="212" t="str">
        <f>IF(O32="","",IF(O32&gt;=2,"急増↑↑",IF(O32&gt;=1.5,"増加↑",IF(O32&gt;=1,"普通→","減少↓"))))</f>
        <v>減少↓</v>
      </c>
      <c r="Q32" s="212" t="str">
        <f>IF(E32="","",IF(AND(E32&lt;G32,O32&gt;=1.5),"売り▼",IF(E32&gt;G32,"様子見▲","中立→")))</f>
        <v>中立→</v>
      </c>
      <c r="R32" s="333">
        <f>IF(E32&lt;&gt;"",ROUND(E32*0.92,0),"")</f>
        <v>5191</v>
      </c>
      <c r="S32" s="333">
        <f>IF(E32&lt;&gt;"",ROUND(E32*1.04,0),"")</f>
        <v>5868</v>
      </c>
      <c r="T32" s="325">
        <f>IF(C32="","",IFERROR(IF(W32&gt;=70,3,IF(W32&gt;=60,2,IF(W32&gt;=50,1,0)))+IF(X32&lt;0,2,0)+IF(AD32="下降トレンド▼",3,IF(AD32="もみ合い→",1,0))+IF(V32="年初来安値圏●",3,IF(V32="安値圏",2,0))+IF(Q32="売り▼",2,0)+IF(P32="急増↑↑",2,IF(P32="増加↑",1,0))+IF(Z32&lt;0,1,0)+IF(L32&lt;=-30,2,IF(L32&lt;=-15,1,0))+IF(AE32="25日戻り売り★",2,IF(AE32="5日戻り売り○",1,0))+N(AL32)+N(AP32)+N(AU32),0))</f>
        <v>10</v>
      </c>
      <c r="U32" s="212" t="str">
        <f>IF(T32="","",IF(AND(T32&gt;=3,O32&gt;=1.5),"有効",IF(T32&gt;=3,"要確認","除外")))</f>
        <v>要確認</v>
      </c>
      <c r="V32" s="212" t="str">
        <f>IF(AND(I32&lt;&gt;"",K32&lt;&gt;""),IF(I32&lt;=K32*0.6,"年初来安値圏●",IF(I32&lt;=K32*0.75,"安値圏","通常")),"")</f>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IF(AF32="","",AF32&amp;" | "&amp;AD32&amp;IF(AE32&lt;&gt;"なし"," "&amp;AE32,"")&amp;IF(X32&lt;0," MACD-"," MACD+")&amp;" RSI:"&amp;TEXT(W32,"0.0")&amp;IF(W32&gt;=70," [過熱]",IF(W32&lt;=30," [売られ過ぎ]",""))&amp;" 前日比:"&amp;TEXT(Z32,"+0.0;-0.0;0.0")&amp;"%"&amp;IF(V32="年初来安値圏●"," [年初来安値圏]",IF(V32="安値圏"," [安値圏]",""))&amp;IF(OR(AO32="通常",AO32="-"),""," ["&amp;AO32&amp;"]")&amp;IF(OR(AT32="通常",AT32="-"),"","前日["&amp;AT32&amp;"]")&amp;" ["&amp;T32&amp;"点]")</f>
        <v>相場上昇・見送り | もみ合い→ MACD- RSI:32.8 前日比:-0.7% [大陰線▼] [10点]</v>
      </c>
      <c r="Z32" s="338">
        <f>IF(AND(E32&lt;&gt;"",G32&lt;&gt;"",G32&lt;&gt;0),(E32-G32)/G32*100,"")</f>
        <v>-0.73891625615763545</v>
      </c>
      <c r="AA32" s="212" t="str">
        <f>IF(OR(C32="",E32="",E32=0),"",IF(E32&gt;G32,"上昇▲",IF(E32&lt;G32,"下落▼","横ばい→")))</f>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IF(OR(C32="",AB32="",AC32="",AB32=0,AC32=0),"",IF(AND(E32&gt;AB32,AB32&gt;AC32),"パーフェクト▲",IF(E32&gt;AC32,"上昇トレンド▲",IF(AND(E32&lt;AB32,AB32&lt;AC32),"下降トレンド▼","もみ合い→"))))</f>
        <v>もみ合い→</v>
      </c>
      <c r="AE32" s="212" t="str">
        <f>IF(OR(C32="",AB32="",AC32=""),"",IF(AND(ABS(E32-AC32)/AC32&lt;=0.02,E32&lt;AC32),"25日戻り売り★",IF(AND(ABS(E32-AB32)/AB32&lt;=0.01,E32&lt;AB32),"5日戻り売り○","なし")))</f>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IF(AND(T32&gt;=7,C32&lt;&gt;""),T32,0)</f>
        <v>10</v>
      </c>
      <c r="AH32">
        <f>IF(AG32&gt;0,AG32*10000-ROW(A32),0)</f>
        <v>99968</v>
      </c>
      <c r="AI32" s="373">
        <f t="array" ref="AI32">IF(C32="","",IFERROR((INDEX(終値!$E:$E,MATCH(TEXT(C32,"0"),終値!$A:$A,0))-INDEX(終値!$E:$CZ,MATCH(TEXT(C32,"0"),終値!$A:$A,0),$AN$2))/INDEX(終値!$E:$CZ,MATCH(TEXT(C32,"0"),終値!$A:$A,0),$AN$2)*100,""))</f>
        <v>-16.116562592922985</v>
      </c>
      <c r="AJ32" s="373">
        <f t="array" ref="AJ32">IFERROR((終値!$E$5-INDEX(終値!$E$5:$IT$5,1,$AN$2))/INDEX(終値!$E$5:$IT$5,1,$AN$2)*100,"")</f>
        <v>1.0179378228534113</v>
      </c>
      <c r="AK32" s="374">
        <f>IF(OR(AI32="",AJ32=""),"",AI32-AJ32)</f>
        <v>-17.134500415776397</v>
      </c>
      <c r="AL32" s="372">
        <f>IF(AK32="","",IF(AK32&lt;-5,3,IF(AK32&lt;0,1,IF(AK32&lt;3,-1,-2))))</f>
        <v>3</v>
      </c>
      <c r="AO32" s="376" t="str">
        <f>IF(OR($C32="",$E32="",$F32="",$H32="",$I32="",$H32-$I32&lt;=0),"-",IF(AND($H32-MAX($F32,$E32)&gt;=ABS($E32-$F32)*2,MIN($F32,$E32)-$I32&lt;=ABS($E32-$F32)*0.5,ABS($E32-$F32)&gt;0),"上ヒゲ陰線▼",IF(AND($E32&lt;$F32,ABS($E32-$F32)&gt;=($H32-$I32)*0.7),"大陰線▼",IF(AND(MIN($F32,$E32)-$I32&gt;=($H32-$I32)*0.5,$H32-MAX($F32,$E32)&lt;=($H32-$I32)*0.2),"長い下ヒゲ(反発警戒)","通常"))))</f>
        <v>大陰線▼</v>
      </c>
      <c r="AP32" s="377">
        <f>IF($AO32="上ヒゲ陰線▼",2,IF($AO32="大陰線▼",2,IF($AO32="長い下ヒゲ(反発警戒)",-2,0)))</f>
        <v>2</v>
      </c>
      <c r="AQ32">
        <f>IF(C32&lt;&gt;"",始値!F175,"")</f>
        <v>5584</v>
      </c>
      <c r="AR32">
        <f>IF(C32&lt;&gt;"",高値!F175,"")</f>
        <v>5704</v>
      </c>
      <c r="AS32">
        <f>IF(C32&lt;&gt;"",安値!F175,"")</f>
        <v>5496</v>
      </c>
      <c r="AT32" t="str">
        <f>IF(OR(C32="",AQ32="",AR32="",AS32="",AR32-AS32&lt;=0),"-",IF(AND(AR32-MAX(G32,AQ32)&gt;=ABS(G32-AQ32)*2,MIN(G32,AQ32)-AS32&lt;=ABS(G32-AQ32)*0.5,ABS(G32-AQ32)&gt;0),"上ヒゲ陰線▼",IF(AND(G32&lt;AQ32,ABS(G32-AQ32)&gt;=(AR32-AS32)*0.7),"大陰線▼",IF(AND(MIN(G32,AQ32)-AS32&gt;=(AR32-AS32)*0.5,AR32-MAX(G32,AQ32)&lt;=(AR32-AS32)*0.2),"長い下ヒゲ(反発)","通常"))))</f>
        <v>通常</v>
      </c>
      <c r="AU32">
        <f>IF(AT32="上ヒゲ陰線▼",2,IF(AT32="大陰線▼",2,IF(AT32="長い下ヒゲ(反発)",-2,0)))</f>
        <v>0</v>
      </c>
      <c r="BA32">
        <f>IFERROR((SUM(OFFSET(高値!$E$6,IFERROR(MATCH($C32,銘柄管理!$B$6:$B$305,0),MATCH(TEXT($C32,"0"),銘柄管理!$B$6:$B$305,0))-1,0,1,14))-SUM(OFFSET(安値!$E$6,IFERROR(MATCH($C32,銘柄管理!$B$6:$B$305,0),MATCH(TEXT($C32,"0"),銘柄管理!$B$6:$B$305,0))-1,0,1,14)))/SUM(OFFSET(終値!$E$6,IFERROR(MATCH($C32,銘柄管理!$B$6:$B$305,0),MATCH(TEXT($C32,"0"),銘柄管理!$B$6:$B$305,0))-1,0,1,14))*100,"")</f>
      </c>
      <c r="BB32">
        <f>IFERROR((MAX(OFFSET(高値!$E$6,IFERROR(MATCH($C32,銘柄管理!$B$6:$B$305,0),MATCH(TEXT($C32,"0"),銘柄管理!$B$6:$B$305,0))-1,0,1,25))-MIN(OFFSET(安値!$E$6,IFERROR(MATCH($C32,銘柄管理!$B$6:$B$305,0),MATCH(TEXT($C32,"0"),銘柄管理!$B$6:$B$305,0))-1,0,1,25)))/$E32*100,"")</f>
      </c>
      <c r="BC32">
        <f>IFERROR(($F32-$G32)/$G32*100,"")</f>
      </c>
      <c r="BD32">
        <f>IFERROR(($E32-MAX(OFFSET(高値!$E$6,IFERROR(MATCH($C32,銘柄管理!$B$6:$B$305,0),MATCH(TEXT($C32,"0"),銘柄管理!$B$6:$B$305,0))-1,0,1,25)))/MAX(OFFSET(高値!$E$6,IFERROR(MATCH($C32,銘柄管理!$B$6:$B$305,0),MATCH(TEXT($C32,"0"),銘柄管理!$B$6:$B$305,0))-1,0,1,25))*100,"")</f>
      </c>
      <c r="BE32">
        <f>IFERROR(($H32-$I32)/$F32*100,"")</f>
      </c>
      <c r="BF32">
        <f>IFERROR(-(($BA32-AVERAGE($BA$3:$BA$206))/STDEV($BA$3:$BA$206))-(($BE32-AVERAGE($BE$3:$BE$206))/STDEV($BE$3:$BE$206))-(($BB32-AVERAGE($BB$3:$BB$206))/STDEV($BB$3:$BB$206))-(($Z32-AVERAGE($Z$3:$Z$206))/STDEV($Z$3:$Z$206))-(($BC32-AVERAGE($BC$3:$BC$206))/STDEV($BC$3:$BC$206)),"")</f>
      </c>
      <c r="BG32">
        <f>IF(OR($C32="",$C32="TOPX",$BA32="",$BF32=""),0,IF(AND($BK$10=1,$BA32&lt;=$BK$2,$BB32&lt;=$BK$3,$BC32&lt;=$BK$4,$Z32&lt;=$BK$5,$Z32&gt;=$BK$6,$BD32&gt;=$BK$7,$BE32&lt;=$BK$8),1,0))</f>
      </c>
      <c r="BH32">
        <f>IF($C32="","",IF($BG32=1,"○ゲート通過",IF($BK$10&lt;&gt;1,"― この方向は停止中",IF($BA32&gt;$BK$2,"×値動きが荒い",IF($BB32&gt;$BK$3,"×レンジが広い",IF($BC32&gt;$BK$4,"×窓を開けて上昇",IF($Z32&gt;$BK$5,"×前日に急騰",IF($Z32&lt;$BK$6,"×前日に急落",IF($BD32&lt;$BK$7,"×高値から離れすぎ",IF($BE32&gt;$BK$8,"×当日の値幅が大きい","×")))))))))</f>
      </c>
    </row>
    <row r="33" spans="1:60"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IF(AND(E33&lt;&gt;"",K33&lt;&gt;"",K33&lt;&gt;0),(E33-K33)/K33*100,"")</f>
        <v>-24.102564102564102</v>
      </c>
      <c r="M33" s="326">
        <f>IF(C33&lt;&gt;"",IFERROR(AVERAGE(出来高!E195:I195),""),"")</f>
        <v>1656380</v>
      </c>
      <c r="N33" s="326">
        <f>IF(C33&lt;&gt;"",IFERROR(AVERAGE(出来高!E195:AC195),""),"")</f>
        <v>1634152</v>
      </c>
      <c r="O33" s="328">
        <f>IF(AND(J33&lt;&gt;"",M33&lt;&gt;"",M33&lt;&gt;0),J33/M33,"")</f>
        <v>0.81967905915309291</v>
      </c>
      <c r="P33" s="325" t="str">
        <f>IF(O33="","",IF(O33&gt;=2,"急増↑↑",IF(O33&gt;=1.5,"増加↑",IF(O33&gt;=1,"普通→","減少↓"))))</f>
        <v>減少↓</v>
      </c>
      <c r="Q33" s="325" t="str">
        <f>IF(E33="","",IF(AND(E33&lt;G33,O33&gt;=1.5),"売り▼",IF(E33&gt;G33,"様子見▲","中立→")))</f>
        <v>中立→</v>
      </c>
      <c r="R33" s="326">
        <f>IF(E33&lt;&gt;"",ROUND(E33*0.92,0),"")</f>
        <v>8170</v>
      </c>
      <c r="S33" s="326">
        <f>IF(E33&lt;&gt;"",ROUND(E33*1.04,0),"")</f>
        <v>9235</v>
      </c>
      <c r="T33" s="325">
        <f>IF(C33="","",IFERROR(IF(W33&gt;=70,3,IF(W33&gt;=60,2,IF(W33&gt;=50,1,0)))+IF(X33&lt;0,2,0)+IF(AD33="下降トレンド▼",3,IF(AD33="もみ合い→",1,0))+IF(V33="年初来安値圏●",3,IF(V33="安値圏",2,0))+IF(Q33="売り▼",2,0)+IF(P33="急増↑↑",2,IF(P33="増加↑",1,0))+IF(Z33&lt;0,1,0)+IF(L33&lt;=-30,2,IF(L33&lt;=-15,1,0))+IF(AE33="25日戻り売り★",2,IF(AE33="5日戻り売り○",1,0))+N(AL33)+N(AP33)+N(AU33),0))</f>
        <v>8</v>
      </c>
      <c r="U33" s="325" t="str">
        <f>IF(T33="","",IF(AND(T33&gt;=3,O33&gt;=1.5),"有効",IF(T33&gt;=3,"要確認","除外")))</f>
        <v>要確認</v>
      </c>
      <c r="V33" s="325" t="str">
        <f>IF(AND(I33&lt;&gt;"",K33&lt;&gt;""),IF(I33&lt;=K33*0.6,"年初来安値圏●",IF(I33&lt;=K33*0.75,"安値圏","通常")),"")</f>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IF(AF33="","",AF33&amp;" | "&amp;AD33&amp;IF(AE33&lt;&gt;"なし"," "&amp;AE33,"")&amp;IF(X33&lt;0," MACD-"," MACD+")&amp;" RSI:"&amp;TEXT(W33,"0.0")&amp;IF(W33&gt;=70," [過熱]",IF(W33&lt;=30," [売られ過ぎ]",""))&amp;" 前日比:"&amp;TEXT(Z33,"+0.0;-0.0;0.0")&amp;"%"&amp;IF(V33="年初来安値圏●"," [年初来安値圏]",IF(V33="安値圏"," [安値圏]",""))&amp;IF(OR(AO33="通常",AO33="-"),""," ["&amp;AO33&amp;"]")&amp;IF(OR(AT33="通常",AT33="-"),"","前日["&amp;AT33&amp;"]")&amp;" ["&amp;T33&amp;"点]")</f>
        <v>相場上昇・見送り | パーフェクト▲ MACD+ RSI:57.5 前日比:-5.2% [安値圏] [8点]</v>
      </c>
      <c r="Z33" s="331">
        <f>IF(AND(E33&lt;&gt;"",G33&lt;&gt;"",G33&lt;&gt;0),(E33-G33)/G33*100,"")</f>
        <v>-5.2294557097118464</v>
      </c>
      <c r="AA33" s="325" t="str">
        <f>IF(OR(C33="",E33="",E33=0),"",IF(E33&gt;G33,"上昇▲",IF(E33&lt;G33,"下落▼","横ばい→")))</f>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IF(OR(C33="",AB33="",AC33="",AB33=0,AC33=0),"",IF(AND(E33&gt;AB33,AB33&gt;AC33),"パーフェクト▲",IF(E33&gt;AC33,"上昇トレンド▲",IF(AND(E33&lt;AB33,AB33&lt;AC33),"下降トレンド▼","もみ合い→"))))</f>
        <v>パーフェクト▲</v>
      </c>
      <c r="AE33" s="325" t="str">
        <f>IF(OR(C33="",AB33="",AC33=""),"",IF(AND(ABS(E33-AC33)/AC33&lt;=0.02,E33&lt;AC33),"25日戻り売り★",IF(AND(ABS(E33-AB33)/AB33&lt;=0.01,E33&lt;AB33),"5日戻り売り○","なし")))</f>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IF(AND(T33&gt;=7,C33&lt;&gt;""),T33,0)</f>
        <v>8</v>
      </c>
      <c r="AH33">
        <f>IF(AG33&gt;0,AG33*10000-ROW(A33),0)</f>
        <v>79967</v>
      </c>
      <c r="AI33" s="373">
        <f t="array" ref="AI33">IF(C33="","",IFERROR((INDEX(終値!$E:$E,MATCH(TEXT(C33,"0"),終値!$A:$A,0))-INDEX(終値!$E:$CZ,MATCH(TEXT(C33,"0"),終値!$A:$A,0),$AN$2))/INDEX(終値!$E:$CZ,MATCH(TEXT(C33,"0"),終値!$A:$A,0),$AN$2)*100,""))</f>
        <v>-8.6419753086419746</v>
      </c>
      <c r="AJ33" s="373">
        <f t="array" ref="AJ33">IFERROR((終値!$E$5-INDEX(終値!$E$5:$IT$5,1,$AN$2))/INDEX(終値!$E$5:$IT$5,1,$AN$2)*100,"")</f>
        <v>1.0179378228534113</v>
      </c>
      <c r="AK33" s="374">
        <f>IF(OR(AI33="",AJ33=""),"",AI33-AJ33)</f>
        <v>-9.6599131314953866</v>
      </c>
      <c r="AL33" s="372">
        <f>IF(AK33="","",IF(AK33&lt;-5,3,IF(AK33&lt;0,1,IF(AK33&lt;3,-1,-2))))</f>
        <v>3</v>
      </c>
      <c r="AO33" s="376" t="str">
        <f>IF(OR($C33="",$E33="",$F33="",$H33="",$I33="",$H33-$I33&lt;=0),"-",IF(AND($H33-MAX($F33,$E33)&gt;=ABS($E33-$F33)*2,MIN($F33,$E33)-$I33&lt;=ABS($E33-$F33)*0.5,ABS($E33-$F33)&gt;0),"上ヒゲ陰線▼",IF(AND($E33&lt;$F33,ABS($E33-$F33)&gt;=($H33-$I33)*0.7),"大陰線▼",IF(AND(MIN($F33,$E33)-$I33&gt;=($H33-$I33)*0.5,$H33-MAX($F33,$E33)&lt;=($H33-$I33)*0.2),"長い下ヒゲ(反発警戒)","通常"))))</f>
        <v>通常</v>
      </c>
      <c r="AP33" s="377">
        <f>IF($AO33="上ヒゲ陰線▼",2,IF($AO33="大陰線▼",2,IF($AO33="長い下ヒゲ(反発警戒)",-2,0)))</f>
        <v>0</v>
      </c>
      <c r="AQ33">
        <f>IF(C33&lt;&gt;"",始値!F195,"")</f>
        <v>8980</v>
      </c>
      <c r="AR33">
        <f>IF(C33&lt;&gt;"",高値!F195,"")</f>
        <v>9420</v>
      </c>
      <c r="AS33">
        <f>IF(C33&lt;&gt;"",安値!F195,"")</f>
        <v>8700</v>
      </c>
      <c r="AT33" t="str">
        <f>IF(OR(C33="",AQ33="",AR33="",AS33="",AR33-AS33&lt;=0),"-",IF(AND(AR33-MAX(G33,AQ33)&gt;=ABS(G33-AQ33)*2,MIN(G33,AQ33)-AS33&lt;=ABS(G33-AQ33)*0.5,ABS(G33-AQ33)&gt;0),"上ヒゲ陰線▼",IF(AND(G33&lt;AQ33,ABS(G33-AQ33)&gt;=(AR33-AS33)*0.7),"大陰線▼",IF(AND(MIN(G33,AQ33)-AS33&gt;=(AR33-AS33)*0.5,AR33-MAX(G33,AQ33)&lt;=(AR33-AS33)*0.2),"長い下ヒゲ(反発)","通常"))))</f>
        <v>通常</v>
      </c>
      <c r="AU33">
        <f>IF(AT33="上ヒゲ陰線▼",2,IF(AT33="大陰線▼",2,IF(AT33="長い下ヒゲ(反発)",-2,0)))</f>
        <v>0</v>
      </c>
      <c r="BA33">
        <f>IFERROR((SUM(OFFSET(高値!$E$6,IFERROR(MATCH($C33,銘柄管理!$B$6:$B$305,0),MATCH(TEXT($C33,"0"),銘柄管理!$B$6:$B$305,0))-1,0,1,14))-SUM(OFFSET(安値!$E$6,IFERROR(MATCH($C33,銘柄管理!$B$6:$B$305,0),MATCH(TEXT($C33,"0"),銘柄管理!$B$6:$B$305,0))-1,0,1,14)))/SUM(OFFSET(終値!$E$6,IFERROR(MATCH($C33,銘柄管理!$B$6:$B$305,0),MATCH(TEXT($C33,"0"),銘柄管理!$B$6:$B$305,0))-1,0,1,14))*100,"")</f>
      </c>
      <c r="BB33">
        <f>IFERROR((MAX(OFFSET(高値!$E$6,IFERROR(MATCH($C33,銘柄管理!$B$6:$B$305,0),MATCH(TEXT($C33,"0"),銘柄管理!$B$6:$B$305,0))-1,0,1,25))-MIN(OFFSET(安値!$E$6,IFERROR(MATCH($C33,銘柄管理!$B$6:$B$305,0),MATCH(TEXT($C33,"0"),銘柄管理!$B$6:$B$305,0))-1,0,1,25)))/$E33*100,"")</f>
      </c>
      <c r="BC33">
        <f>IFERROR(($F33-$G33)/$G33*100,"")</f>
      </c>
      <c r="BD33">
        <f>IFERROR(($E33-MAX(OFFSET(高値!$E$6,IFERROR(MATCH($C33,銘柄管理!$B$6:$B$305,0),MATCH(TEXT($C33,"0"),銘柄管理!$B$6:$B$305,0))-1,0,1,25)))/MAX(OFFSET(高値!$E$6,IFERROR(MATCH($C33,銘柄管理!$B$6:$B$305,0),MATCH(TEXT($C33,"0"),銘柄管理!$B$6:$B$305,0))-1,0,1,25))*100,"")</f>
      </c>
      <c r="BE33">
        <f>IFERROR(($H33-$I33)/$F33*100,"")</f>
      </c>
      <c r="BF33">
        <f>IFERROR(-(($BA33-AVERAGE($BA$3:$BA$206))/STDEV($BA$3:$BA$206))-(($BE33-AVERAGE($BE$3:$BE$206))/STDEV($BE$3:$BE$206))-(($BB33-AVERAGE($BB$3:$BB$206))/STDEV($BB$3:$BB$206))-(($Z33-AVERAGE($Z$3:$Z$206))/STDEV($Z$3:$Z$206))-(($BC33-AVERAGE($BC$3:$BC$206))/STDEV($BC$3:$BC$206)),"")</f>
      </c>
      <c r="BG33">
        <f>IF(OR($C33="",$C33="TOPX",$BA33="",$BF33=""),0,IF(AND($BK$10=1,$BA33&lt;=$BK$2,$BB33&lt;=$BK$3,$BC33&lt;=$BK$4,$Z33&lt;=$BK$5,$Z33&gt;=$BK$6,$BD33&gt;=$BK$7,$BE33&lt;=$BK$8),1,0))</f>
      </c>
      <c r="BH33">
        <f>IF($C33="","",IF($BG33=1,"○ゲート通過",IF($BK$10&lt;&gt;1,"― この方向は停止中",IF($BA33&gt;$BK$2,"×値動きが荒い",IF($BB33&gt;$BK$3,"×レンジが広い",IF($BC33&gt;$BK$4,"×窓を開けて上昇",IF($Z33&gt;$BK$5,"×前日に急騰",IF($Z33&lt;$BK$6,"×前日に急落",IF($BD33&lt;$BK$7,"×高値から離れすぎ",IF($BE33&gt;$BK$8,"×当日の値幅が大きい","×")))))))))</f>
      </c>
    </row>
    <row r="34" spans="1:60"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IF(AND(E34&lt;&gt;"",K34&lt;&gt;"",K34&lt;&gt;0),(E34-K34)/K34*100,"")</f>
        <v>-14.456559971860711</v>
      </c>
      <c r="M34" s="333">
        <f>IF(C34&lt;&gt;"",IFERROR(AVERAGE(出来高!E196:I196),""),"")</f>
        <v>102540</v>
      </c>
      <c r="N34" s="333">
        <f>IF(C34&lt;&gt;"",IFERROR(AVERAGE(出来高!E196:AC196),""),"")</f>
        <v>85104</v>
      </c>
      <c r="O34" s="335">
        <f>IF(AND(J34&lt;&gt;"",M34&lt;&gt;"",M34&lt;&gt;0),J34/M34,"")</f>
        <v>1.0386190754827385</v>
      </c>
      <c r="P34" s="212" t="str">
        <f>IF(O34="","",IF(O34&gt;=2,"急増↑↑",IF(O34&gt;=1.5,"増加↑",IF(O34&gt;=1,"普通→","減少↓"))))</f>
        <v>普通→</v>
      </c>
      <c r="Q34" s="212" t="str">
        <f>IF(E34="","",IF(AND(E34&lt;G34,O34&gt;=1.5),"売り▼",IF(E34&gt;G34,"様子見▲","中立→")))</f>
        <v>中立→</v>
      </c>
      <c r="R34" s="333">
        <f>IF(E34&lt;&gt;"",ROUND(E34*0.92,0),"")</f>
        <v>22374</v>
      </c>
      <c r="S34" s="333">
        <f>IF(E34&lt;&gt;"",ROUND(E34*1.04,0),"")</f>
        <v>25293</v>
      </c>
      <c r="T34" s="325">
        <f>IF(C34="","",IFERROR(IF(W34&gt;=70,3,IF(W34&gt;=60,2,IF(W34&gt;=50,1,0)))+IF(X34&lt;0,2,0)+IF(AD34="下降トレンド▼",3,IF(AD34="もみ合い→",1,0))+IF(V34="年初来安値圏●",3,IF(V34="安値圏",2,0))+IF(Q34="売り▼",2,0)+IF(P34="急増↑↑",2,IF(P34="増加↑",1,0))+IF(Z34&lt;0,1,0)+IF(L34&lt;=-30,2,IF(L34&lt;=-15,1,0))+IF(AE34="25日戻り売り★",2,IF(AE34="5日戻り売り○",1,0))+N(AL34)+N(AP34)+N(AU34),0))</f>
        <v>7</v>
      </c>
      <c r="U34" s="212" t="str">
        <f>IF(T34="","",IF(AND(T34&gt;=3,O34&gt;=1.5),"有効",IF(T34&gt;=3,"要確認","除外")))</f>
        <v>要確認</v>
      </c>
      <c r="V34" s="212" t="str">
        <f>IF(AND(I34&lt;&gt;"",K34&lt;&gt;""),IF(I34&lt;=K34*0.6,"年初来安値圏●",IF(I34&lt;=K34*0.75,"安値圏","通常")),"")</f>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IF(AF34="","",AF34&amp;" | "&amp;AD34&amp;IF(AE34&lt;&gt;"なし"," "&amp;AE34,"")&amp;IF(X34&lt;0," MACD-"," MACD+")&amp;" RSI:"&amp;TEXT(W34,"0.0")&amp;IF(W34&gt;=70," [過熱]",IF(W34&lt;=30," [売られ過ぎ]",""))&amp;" 前日比:"&amp;TEXT(Z34,"+0.0;-0.0;0.0")&amp;"%"&amp;IF(V34="年初来安値圏●"," [年初来安値圏]",IF(V34="安値圏"," [安値圏]",""))&amp;IF(OR(AO34="通常",AO34="-"),""," ["&amp;AO34&amp;"]")&amp;IF(OR(AT34="通常",AT34="-"),"","前日["&amp;AT34&amp;"]")&amp;" ["&amp;T34&amp;"点]")</f>
        <v>相場上昇・見送り | パーフェクト▲ MACD- RSI:51.0 前日比:-4.6% [7点]</v>
      </c>
      <c r="Z34" s="338">
        <f>IF(AND(E34&lt;&gt;"",G34&lt;&gt;"",G34&lt;&gt;0),(E34-G34)/G34*100,"")</f>
        <v>-4.6274509803921564</v>
      </c>
      <c r="AA34" s="212" t="str">
        <f>IF(OR(C34="",E34="",E34=0),"",IF(E34&gt;G34,"上昇▲",IF(E34&lt;G34,"下落▼","横ばい→")))</f>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IF(OR(C34="",AB34="",AC34="",AB34=0,AC34=0),"",IF(AND(E34&gt;AB34,AB34&gt;AC34),"パーフェクト▲",IF(E34&gt;AC34,"上昇トレンド▲",IF(AND(E34&lt;AB34,AB34&lt;AC34),"下降トレンド▼","もみ合い→"))))</f>
        <v>パーフェクト▲</v>
      </c>
      <c r="AE34" s="212" t="str">
        <f>IF(OR(C34="",AB34="",AC34=""),"",IF(AND(ABS(E34-AC34)/AC34&lt;=0.02,E34&lt;AC34),"25日戻り売り★",IF(AND(ABS(E34-AB34)/AB34&lt;=0.01,E34&lt;AB34),"5日戻り売り○","なし")))</f>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IF(AND(T34&gt;=7,C34&lt;&gt;""),T34,0)</f>
        <v>7</v>
      </c>
      <c r="AH34">
        <f>IF(AG34&gt;0,AG34*10000-ROW(A34),0)</f>
        <v>69966</v>
      </c>
      <c r="AI34" s="373">
        <f t="array" ref="AI34">IF(C34="","",IFERROR((INDEX(終値!$E:$E,MATCH(TEXT(C34,"0"),終値!$A:$A,0))-INDEX(終値!$E:$CZ,MATCH(TEXT(C34,"0"),終値!$A:$A,0),$AN$2))/INDEX(終値!$E:$CZ,MATCH(TEXT(C34,"0"),終値!$A:$A,0),$AN$2)*100,""))</f>
        <v>-11.915972473741398</v>
      </c>
      <c r="AJ34" s="373">
        <f t="array" ref="AJ34">IFERROR((終値!$E$5-INDEX(終値!$E$5:$IT$5,1,$AN$2))/INDEX(終値!$E$5:$IT$5,1,$AN$2)*100,"")</f>
        <v>1.0179378228534113</v>
      </c>
      <c r="AK34" s="374">
        <f>IF(OR(AI34="",AJ34=""),"",AI34-AJ34)</f>
        <v>-12.93391029659481</v>
      </c>
      <c r="AL34" s="372">
        <f>IF(AK34="","",IF(AK34&lt;-5,3,IF(AK34&lt;0,1,IF(AK34&lt;3,-1,-2))))</f>
        <v>3</v>
      </c>
      <c r="AO34" s="376" t="str">
        <f>IF(OR($C34="",$E34="",$F34="",$H34="",$I34="",$H34-$I34&lt;=0),"-",IF(AND($H34-MAX($F34,$E34)&gt;=ABS($E34-$F34)*2,MIN($F34,$E34)-$I34&lt;=ABS($E34-$F34)*0.5,ABS($E34-$F34)&gt;0),"上ヒゲ陰線▼",IF(AND($E34&lt;$F34,ABS($E34-$F34)&gt;=($H34-$I34)*0.7),"大陰線▼",IF(AND(MIN($F34,$E34)-$I34&gt;=($H34-$I34)*0.5,$H34-MAX($F34,$E34)&lt;=($H34-$I34)*0.2),"長い下ヒゲ(反発警戒)","通常"))))</f>
        <v>通常</v>
      </c>
      <c r="AP34" s="377">
        <f>IF($AO34="上ヒゲ陰線▼",2,IF($AO34="大陰線▼",2,IF($AO34="長い下ヒゲ(反発警戒)",-2,0)))</f>
        <v>0</v>
      </c>
      <c r="AQ34">
        <f>IF(C34&lt;&gt;"",始値!F196,"")</f>
        <v>24790</v>
      </c>
      <c r="AR34">
        <f>IF(C34&lt;&gt;"",高値!F196,"")</f>
        <v>25750</v>
      </c>
      <c r="AS34">
        <f>IF(C34&lt;&gt;"",安値!F196,"")</f>
        <v>24710</v>
      </c>
      <c r="AT34" t="str">
        <f>IF(OR(C34="",AQ34="",AR34="",AS34="",AR34-AS34&lt;=0),"-",IF(AND(AR34-MAX(G34,AQ34)&gt;=ABS(G34-AQ34)*2,MIN(G34,AQ34)-AS34&lt;=ABS(G34-AQ34)*0.5,ABS(G34-AQ34)&gt;0),"上ヒゲ陰線▼",IF(AND(G34&lt;AQ34,ABS(G34-AQ34)&gt;=(AR34-AS34)*0.7),"大陰線▼",IF(AND(MIN(G34,AQ34)-AS34&gt;=(AR34-AS34)*0.5,AR34-MAX(G34,AQ34)&lt;=(AR34-AS34)*0.2),"長い下ヒゲ(反発)","通常"))))</f>
        <v>通常</v>
      </c>
      <c r="AU34">
        <f>IF(AT34="上ヒゲ陰線▼",2,IF(AT34="大陰線▼",2,IF(AT34="長い下ヒゲ(反発)",-2,0)))</f>
        <v>0</v>
      </c>
      <c r="BA34">
        <f>IFERROR((SUM(OFFSET(高値!$E$6,IFERROR(MATCH($C34,銘柄管理!$B$6:$B$305,0),MATCH(TEXT($C34,"0"),銘柄管理!$B$6:$B$305,0))-1,0,1,14))-SUM(OFFSET(安値!$E$6,IFERROR(MATCH($C34,銘柄管理!$B$6:$B$305,0),MATCH(TEXT($C34,"0"),銘柄管理!$B$6:$B$305,0))-1,0,1,14)))/SUM(OFFSET(終値!$E$6,IFERROR(MATCH($C34,銘柄管理!$B$6:$B$305,0),MATCH(TEXT($C34,"0"),銘柄管理!$B$6:$B$305,0))-1,0,1,14))*100,"")</f>
      </c>
      <c r="BB34">
        <f>IFERROR((MAX(OFFSET(高値!$E$6,IFERROR(MATCH($C34,銘柄管理!$B$6:$B$305,0),MATCH(TEXT($C34,"0"),銘柄管理!$B$6:$B$305,0))-1,0,1,25))-MIN(OFFSET(安値!$E$6,IFERROR(MATCH($C34,銘柄管理!$B$6:$B$305,0),MATCH(TEXT($C34,"0"),銘柄管理!$B$6:$B$305,0))-1,0,1,25)))/$E34*100,"")</f>
      </c>
      <c r="BC34">
        <f>IFERROR(($F34-$G34)/$G34*100,"")</f>
      </c>
      <c r="BD34">
        <f>IFERROR(($E34-MAX(OFFSET(高値!$E$6,IFERROR(MATCH($C34,銘柄管理!$B$6:$B$305,0),MATCH(TEXT($C34,"0"),銘柄管理!$B$6:$B$305,0))-1,0,1,25)))/MAX(OFFSET(高値!$E$6,IFERROR(MATCH($C34,銘柄管理!$B$6:$B$305,0),MATCH(TEXT($C34,"0"),銘柄管理!$B$6:$B$305,0))-1,0,1,25))*100,"")</f>
      </c>
      <c r="BE34">
        <f>IFERROR(($H34-$I34)/$F34*100,"")</f>
      </c>
      <c r="BF34">
        <f>IFERROR(-(($BA34-AVERAGE($BA$3:$BA$206))/STDEV($BA$3:$BA$206))-(($BE34-AVERAGE($BE$3:$BE$206))/STDEV($BE$3:$BE$206))-(($BB34-AVERAGE($BB$3:$BB$206))/STDEV($BB$3:$BB$206))-(($Z34-AVERAGE($Z$3:$Z$206))/STDEV($Z$3:$Z$206))-(($BC34-AVERAGE($BC$3:$BC$206))/STDEV($BC$3:$BC$206)),"")</f>
      </c>
      <c r="BG34">
        <f>IF(OR($C34="",$C34="TOPX",$BA34="",$BF34=""),0,IF(AND($BK$10=1,$BA34&lt;=$BK$2,$BB34&lt;=$BK$3,$BC34&lt;=$BK$4,$Z34&lt;=$BK$5,$Z34&gt;=$BK$6,$BD34&gt;=$BK$7,$BE34&lt;=$BK$8),1,0))</f>
      </c>
      <c r="BH34">
        <f>IF($C34="","",IF($BG34=1,"○ゲート通過",IF($BK$10&lt;&gt;1,"― この方向は停止中",IF($BA34&gt;$BK$2,"×値動きが荒い",IF($BB34&gt;$BK$3,"×レンジが広い",IF($BC34&gt;$BK$4,"×窓を開けて上昇",IF($Z34&gt;$BK$5,"×前日に急騰",IF($Z34&lt;$BK$6,"×前日に急落",IF($BD34&lt;$BK$7,"×高値から離れすぎ",IF($BE34&gt;$BK$8,"×当日の値幅が大きい","×")))))))))</f>
      </c>
    </row>
    <row r="35" spans="1:60"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IF(AND(E35&lt;&gt;"",K35&lt;&gt;"",K35&lt;&gt;0),(E35-K35)/K35*100,"")</f>
        <v>-31.909918779227169</v>
      </c>
      <c r="M35" s="326">
        <f>IF(C35&lt;&gt;"",IFERROR(AVERAGE(出来高!E198:I198),""),"")</f>
        <v>5880800</v>
      </c>
      <c r="N35" s="326">
        <f>IF(C35&lt;&gt;"",IFERROR(AVERAGE(出来高!E198:AC198),""),"")</f>
        <v>4666372</v>
      </c>
      <c r="O35" s="328">
        <f>IF(AND(J35&lt;&gt;"",M35&lt;&gt;"",M35&lt;&gt;0),J35/M35,"")</f>
        <v>0.61265474085158478</v>
      </c>
      <c r="P35" s="325" t="str">
        <f>IF(O35="","",IF(O35&gt;=2,"急増↑↑",IF(O35&gt;=1.5,"増加↑",IF(O35&gt;=1,"普通→","減少↓"))))</f>
        <v>減少↓</v>
      </c>
      <c r="Q35" s="325" t="str">
        <f>IF(E35="","",IF(AND(E35&lt;G35,O35&gt;=1.5),"売り▼",IF(E35&gt;G35,"様子見▲","中立→")))</f>
        <v>中立→</v>
      </c>
      <c r="R35" s="326">
        <f>IF(E35&lt;&gt;"",ROUND(E35*0.92,0),"")</f>
        <v>50904</v>
      </c>
      <c r="S35" s="326">
        <f>IF(E35&lt;&gt;"",ROUND(E35*1.04,0),"")</f>
        <v>57543</v>
      </c>
      <c r="T35" s="325">
        <f>IF(C35="","",IFERROR(IF(W35&gt;=70,3,IF(W35&gt;=60,2,IF(W35&gt;=50,1,0)))+IF(X35&lt;0,2,0)+IF(AD35="下降トレンド▼",3,IF(AD35="もみ合い→",1,0))+IF(V35="年初来安値圏●",3,IF(V35="安値圏",2,0))+IF(Q35="売り▼",2,0)+IF(P35="急増↑↑",2,IF(P35="増加↑",1,0))+IF(Z35&lt;0,1,0)+IF(L35&lt;=-30,2,IF(L35&lt;=-15,1,0))+IF(AE35="25日戻り売り★",2,IF(AE35="5日戻り売り○",1,0))+N(AL35)+N(AP35)+N(AU35),0))</f>
        <v>13</v>
      </c>
      <c r="U35" s="325" t="str">
        <f>IF(T35="","",IF(AND(T35&gt;=3,O35&gt;=1.5),"有効",IF(T35&gt;=3,"要確認","除外")))</f>
        <v>要確認</v>
      </c>
      <c r="V35" s="325" t="str">
        <f>IF(AND(I35&lt;&gt;"",K35&lt;&gt;""),IF(I35&lt;=K35*0.6,"年初来安値圏●",IF(I35&lt;=K35*0.75,"安値圏","通常")),"")</f>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IF(AF35="","",AF35&amp;" | "&amp;AD35&amp;IF(AE35&lt;&gt;"なし"," "&amp;AE35,"")&amp;IF(X35&lt;0," MACD-"," MACD+")&amp;" RSI:"&amp;TEXT(W35,"0.0")&amp;IF(W35&gt;=70," [過熱]",IF(W35&lt;=30," [売られ過ぎ]",""))&amp;" 前日比:"&amp;TEXT(Z35,"+0.0;-0.0;0.0")&amp;"%"&amp;IF(V35="年初来安値圏●"," [年初来安値圏]",IF(V35="安値圏"," [安値圏]",""))&amp;IF(OR(AO35="通常",AO35="-"),""," ["&amp;AO35&amp;"]")&amp;IF(OR(AT35="通常",AT35="-"),"","前日["&amp;AT35&amp;"]")&amp;" ["&amp;T35&amp;"点]")</f>
        <v>相場上昇・見送り | 下降トレンド▼ MACD- RSI:28.8 [売られ過ぎ] 前日比:-5.5% [安値圏] [13点]</v>
      </c>
      <c r="Z35" s="331">
        <f>IF(AND(E35&lt;&gt;"",G35&lt;&gt;"",G35&lt;&gt;0),(E35-G35)/G35*100,"")</f>
        <v>-5.499573014517507</v>
      </c>
      <c r="AA35" s="325" t="str">
        <f>IF(OR(C35="",E35="",E35=0),"",IF(E35&gt;G35,"上昇▲",IF(E35&lt;G35,"下落▼","横ばい→")))</f>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IF(OR(C35="",AB35="",AC35="",AB35=0,AC35=0),"",IF(AND(E35&gt;AB35,AB35&gt;AC35),"パーフェクト▲",IF(E35&gt;AC35,"上昇トレンド▲",IF(AND(E35&lt;AB35,AB35&lt;AC35),"下降トレンド▼","もみ合い→"))))</f>
        <v>下降トレンド▼</v>
      </c>
      <c r="AE35" s="325" t="str">
        <f>IF(OR(C35="",AB35="",AC35=""),"",IF(AND(ABS(E35-AC35)/AC35&lt;=0.02,E35&lt;AC35),"25日戻り売り★",IF(AND(ABS(E35-AB35)/AB35&lt;=0.01,E35&lt;AB35),"5日戻り売り○","なし")))</f>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IF(AND(T35&gt;=7,C35&lt;&gt;""),T35,0)</f>
        <v>13</v>
      </c>
      <c r="AH35">
        <f>IF(AG35&gt;0,AG35*10000-ROW(A35),0)</f>
        <v>129965</v>
      </c>
      <c r="AI35" s="373">
        <f t="array" ref="AI35">IF(C35="","",IFERROR((INDEX(終値!$E:$E,MATCH(TEXT(C35,"0"),終値!$A:$A,0))-INDEX(終値!$E:$CZ,MATCH(TEXT(C35,"0"),終値!$A:$A,0),$AN$2))/INDEX(終値!$E:$CZ,MATCH(TEXT(C35,"0"),終値!$A:$A,0),$AN$2)*100,""))</f>
        <v>-29.784263959390859</v>
      </c>
      <c r="AJ35" s="373">
        <f t="array" ref="AJ35">IFERROR((終値!$E$5-INDEX(終値!$E$5:$IT$5,1,$AN$2))/INDEX(終値!$E$5:$IT$5,1,$AN$2)*100,"")</f>
        <v>1.0179378228534113</v>
      </c>
      <c r="AK35" s="374">
        <f>IF(OR(AI35="",AJ35=""),"",AI35-AJ35)</f>
        <v>-30.802201782244271</v>
      </c>
      <c r="AL35" s="372">
        <f>IF(AK35="","",IF(AK35&lt;-5,3,IF(AK35&lt;0,1,IF(AK35&lt;3,-1,-2))))</f>
        <v>3</v>
      </c>
      <c r="AO35" s="376" t="str">
        <f>IF(OR($C35="",$E35="",$F35="",$H35="",$I35="",$H35-$I35&lt;=0),"-",IF(AND($H35-MAX($F35,$E35)&gt;=ABS($E35-$F35)*2,MIN($F35,$E35)-$I35&lt;=ABS($E35-$F35)*0.5,ABS($E35-$F35)&gt;0),"上ヒゲ陰線▼",IF(AND($E35&lt;$F35,ABS($E35-$F35)&gt;=($H35-$I35)*0.7),"大陰線▼",IF(AND(MIN($F35,$E35)-$I35&gt;=($H35-$I35)*0.5,$H35-MAX($F35,$E35)&lt;=($H35-$I35)*0.2),"長い下ヒゲ(反発警戒)","通常"))))</f>
        <v>通常</v>
      </c>
      <c r="AP35" s="377">
        <f>IF($AO35="上ヒゲ陰線▼",2,IF($AO35="大陰線▼",2,IF($AO35="長い下ヒゲ(反発警戒)",-2,0)))</f>
        <v>0</v>
      </c>
      <c r="AQ35">
        <f>IF(C35&lt;&gt;"",始値!F198,"")</f>
        <v>59000</v>
      </c>
      <c r="AR35">
        <f>IF(C35&lt;&gt;"",高値!F198,"")</f>
        <v>59700</v>
      </c>
      <c r="AS35">
        <f>IF(C35&lt;&gt;"",安値!F198,"")</f>
        <v>58300</v>
      </c>
      <c r="AT35" t="str">
        <f>IF(OR(C35="",AQ35="",AR35="",AS35="",AR35-AS35&lt;=0),"-",IF(AND(AR35-MAX(G35,AQ35)&gt;=ABS(G35-AQ35)*2,MIN(G35,AQ35)-AS35&lt;=ABS(G35-AQ35)*0.5,ABS(G35-AQ35)&gt;0),"上ヒゲ陰線▼",IF(AND(G35&lt;AQ35,ABS(G35-AQ35)&gt;=(AR35-AS35)*0.7),"大陰線▼",IF(AND(MIN(G35,AQ35)-AS35&gt;=(AR35-AS35)*0.5,AR35-MAX(G35,AQ35)&lt;=(AR35-AS35)*0.2),"長い下ヒゲ(反発)","通常"))))</f>
        <v>通常</v>
      </c>
      <c r="AU35">
        <f>IF(AT35="上ヒゲ陰線▼",2,IF(AT35="大陰線▼",2,IF(AT35="長い下ヒゲ(反発)",-2,0)))</f>
        <v>0</v>
      </c>
      <c r="BA35">
        <f>IFERROR((SUM(OFFSET(高値!$E$6,IFERROR(MATCH($C35,銘柄管理!$B$6:$B$305,0),MATCH(TEXT($C35,"0"),銘柄管理!$B$6:$B$305,0))-1,0,1,14))-SUM(OFFSET(安値!$E$6,IFERROR(MATCH($C35,銘柄管理!$B$6:$B$305,0),MATCH(TEXT($C35,"0"),銘柄管理!$B$6:$B$305,0))-1,0,1,14)))/SUM(OFFSET(終値!$E$6,IFERROR(MATCH($C35,銘柄管理!$B$6:$B$305,0),MATCH(TEXT($C35,"0"),銘柄管理!$B$6:$B$305,0))-1,0,1,14))*100,"")</f>
      </c>
      <c r="BB35">
        <f>IFERROR((MAX(OFFSET(高値!$E$6,IFERROR(MATCH($C35,銘柄管理!$B$6:$B$305,0),MATCH(TEXT($C35,"0"),銘柄管理!$B$6:$B$305,0))-1,0,1,25))-MIN(OFFSET(安値!$E$6,IFERROR(MATCH($C35,銘柄管理!$B$6:$B$305,0),MATCH(TEXT($C35,"0"),銘柄管理!$B$6:$B$305,0))-1,0,1,25)))/$E35*100,"")</f>
      </c>
      <c r="BC35">
        <f>IFERROR(($F35-$G35)/$G35*100,"")</f>
      </c>
      <c r="BD35">
        <f>IFERROR(($E35-MAX(OFFSET(高値!$E$6,IFERROR(MATCH($C35,銘柄管理!$B$6:$B$305,0),MATCH(TEXT($C35,"0"),銘柄管理!$B$6:$B$305,0))-1,0,1,25)))/MAX(OFFSET(高値!$E$6,IFERROR(MATCH($C35,銘柄管理!$B$6:$B$305,0),MATCH(TEXT($C35,"0"),銘柄管理!$B$6:$B$305,0))-1,0,1,25))*100,"")</f>
      </c>
      <c r="BE35">
        <f>IFERROR(($H35-$I35)/$F35*100,"")</f>
      </c>
      <c r="BF35">
        <f>IFERROR(-(($BA35-AVERAGE($BA$3:$BA$206))/STDEV($BA$3:$BA$206))-(($BE35-AVERAGE($BE$3:$BE$206))/STDEV($BE$3:$BE$206))-(($BB35-AVERAGE($BB$3:$BB$206))/STDEV($BB$3:$BB$206))-(($Z35-AVERAGE($Z$3:$Z$206))/STDEV($Z$3:$Z$206))-(($BC35-AVERAGE($BC$3:$BC$206))/STDEV($BC$3:$BC$206)),"")</f>
      </c>
      <c r="BG35">
        <f>IF(OR($C35="",$C35="TOPX",$BA35="",$BF35=""),0,IF(AND($BK$10=1,$BA35&lt;=$BK$2,$BB35&lt;=$BK$3,$BC35&lt;=$BK$4,$Z35&lt;=$BK$5,$Z35&gt;=$BK$6,$BD35&gt;=$BK$7,$BE35&lt;=$BK$8),1,0))</f>
      </c>
      <c r="BH35">
        <f>IF($C35="","",IF($BG35=1,"○ゲート通過",IF($BK$10&lt;&gt;1,"― この方向は停止中",IF($BA35&gt;$BK$2,"×値動きが荒い",IF($BB35&gt;$BK$3,"×レンジが広い",IF($BC35&gt;$BK$4,"×窓を開けて上昇",IF($Z35&gt;$BK$5,"×前日に急騰",IF($Z35&lt;$BK$6,"×前日に急落",IF($BD35&lt;$BK$7,"×高値から離れすぎ",IF($BE35&gt;$BK$8,"×当日の値幅が大きい","×")))))))))</f>
      </c>
    </row>
    <row r="36" spans="1:60"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IF(AND(E36&lt;&gt;"",K36&lt;&gt;"",K36&lt;&gt;0),(E36-K36)/K36*100,"")</f>
        <v>-1.9762568819756281</v>
      </c>
      <c r="M36" s="333">
        <f>IF(C36&lt;&gt;"",IFERROR(AVERAGE(出来高!E5:I5),""),"")</f>
        <v>312958.2</v>
      </c>
      <c r="N36" s="333">
        <f>IF(C36&lt;&gt;"",IFERROR(AVERAGE(出来高!E5:AC5),""),"")</f>
        <v>276185.03999999998</v>
      </c>
      <c r="O36" s="335">
        <f>IF(AND(J36&lt;&gt;"",M36&lt;&gt;"",M36&lt;&gt;0),J36/M36,"")</f>
        <v>0.95773173542025736</v>
      </c>
      <c r="P36" s="212" t="str">
        <f>IF(O36="","",IF(O36&gt;=2,"急増↑↑",IF(O36&gt;=1.5,"増加↑",IF(O36&gt;=1,"普通→","減少↓"))))</f>
        <v>減少↓</v>
      </c>
      <c r="Q36" s="212" t="str">
        <f>IF(E36="","",IF(AND(E36&lt;G36,O36&gt;=1.5),"売り▼",IF(E36&gt;G36,"様子見▲","中立→")))</f>
        <v>様子見▲</v>
      </c>
      <c r="R36" s="333">
        <f>IF(E36&lt;&gt;"",ROUND(E36*0.92,0),"")</f>
        <v>3731</v>
      </c>
      <c r="S36" s="333">
        <f>IF(E36&lt;&gt;"",ROUND(E36*1.04,0),"")</f>
        <v>4218</v>
      </c>
      <c r="T36" s="325">
        <f>IF(C36="","",IFERROR(IF(W36&gt;=70,3,IF(W36&gt;=60,2,IF(W36&gt;=50,1,0)))+IF(X36&lt;0,2,0)+IF(AD36="下降トレンド▼",3,IF(AD36="もみ合い→",1,0))+IF(V36="年初来安値圏●",3,IF(V36="安値圏",2,0))+IF(Q36="売り▼",2,0)+IF(P36="急増↑↑",2,IF(P36="増加↑",1,0))+IF(Z36&lt;0,1,0)+IF(L36&lt;=-30,2,IF(L36&lt;=-15,1,0))+IF(AE36="25日戻り売り★",2,IF(AE36="5日戻り売り○",1,0))+N(AL36)+N(AP36)+N(AU36),0))</f>
        <v>3</v>
      </c>
      <c r="U36" s="212" t="str">
        <f>IF(T36="","",IF(AND(T36&gt;=3,O36&gt;=1.5),"有効",IF(T36&gt;=3,"要確認","除外")))</f>
        <v>要確認</v>
      </c>
      <c r="V36" s="212" t="str">
        <f>IF(AND(I36&lt;&gt;"",K36&lt;&gt;""),IF(I36&lt;=K36*0.6,"年初来安値圏●",IF(I36&lt;=K36*0.75,"安値圏","通常")),"")</f>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IF(AF36="","",AF36&amp;" | "&amp;AD36&amp;IF(AE36&lt;&gt;"なし"," "&amp;AE36,"")&amp;IF(X36&lt;0," MACD-"," MACD+")&amp;" RSI:"&amp;TEXT(W36,"0.0")&amp;IF(W36&gt;=70," [過熱]",IF(W36&lt;=30," [売られ過ぎ]",""))&amp;" 前日比:"&amp;TEXT(Z36,"+0.0;-0.0;0.0")&amp;"%"&amp;IF(V36="年初来安値圏●"," [年初来安値圏]",IF(V36="安値圏"," [安値圏]",""))&amp;IF(OR(AO36="通常",AO36="-"),""," ["&amp;AO36&amp;"]")&amp;IF(OR(AT36="通常",AT36="-"),"","前日["&amp;AT36&amp;"]")&amp;" ["&amp;T36&amp;"点]")</f>
        <v>相場上昇・見送り |   MACD- RSI:61.6 前日比:+0.2% [3点]</v>
      </c>
      <c r="Z36" s="338">
        <f>IF(AND(E36&lt;&gt;"",G36&lt;&gt;"",G36&lt;&gt;0),(E36-G36)/G36*100,"")</f>
        <v>0.23923858859118216</v>
      </c>
      <c r="AA36" s="212" t="str">
        <f>IF(OR(C36="",E36="",E36=0),"",IF(E36&gt;G36,"上昇▲",IF(E36&lt;G36,"下落▼","横ばい→")))</f>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IF(OR(C36="",AB36="",AC36="",AB36=0,AC36=0),"",IF(AND(E36&gt;AB36,AB36&gt;AC36),"パーフェクト▲",IF(E36&gt;AC36,"上昇トレンド▲",IF(AND(E36&lt;AB36,AB36&lt;AC36),"下降トレンド▼","もみ合い→"))))</f>
        <v/>
      </c>
      <c r="AE36" s="212" t="str">
        <f>IF(OR(C36="",AB36="",AC36=""),"",IF(AND(ABS(E36-AC36)/AC36&lt;=0.02,E36&lt;AC36),"25日戻り売り★",IF(AND(ABS(E36-AB36)/AB36&lt;=0.01,E36&lt;AB36),"5日戻り売り○","なし")))</f>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IF(AND(T36&gt;=7,C36&lt;&gt;""),T36,0)</f>
        <v>0</v>
      </c>
      <c r="AH36">
        <f>IF(AG36&gt;0,AG36*10000-ROW(A36),0)</f>
        <v>0</v>
      </c>
      <c r="AI36" s="373">
        <f t="array" ref="AI36">IF(C36="","",IFERROR((INDEX(終値!$E:$E,MATCH(TEXT(C36,"0"),終値!$A:$A,0))-INDEX(終値!$E:$CZ,MATCH(TEXT(C36,"0"),終値!$A:$A,0),$AN$2))/INDEX(終値!$E:$CZ,MATCH(TEXT(C36,"0"),終値!$A:$A,0),$AN$2)*100,""))</f>
        <v>1.0179378228534113</v>
      </c>
      <c r="AJ36" s="373">
        <f t="array" ref="AJ36">IFERROR((終値!$E$5-INDEX(終値!$E$5:$IT$5,1,$AN$2))/INDEX(終値!$E$5:$IT$5,1,$AN$2)*100,"")</f>
        <v>1.0179378228534113</v>
      </c>
      <c r="AK36" s="374">
        <f>IF(OR(AI36="",AJ36=""),"",AI36-AJ36)</f>
        <v>0</v>
      </c>
      <c r="AL36" s="372">
        <f>IF(AK36="","",IF(AK36&lt;-5,3,IF(AK36&lt;0,1,IF(AK36&lt;3,-1,-2))))</f>
        <v>-1</v>
      </c>
      <c r="AO36" s="376" t="str">
        <f>IF(OR($C36="",$E36="",$F36="",$H36="",$I36="",$H36-$I36&lt;=0),"-",IF(AND($H36-MAX($F36,$E36)&gt;=ABS($E36-$F36)*2,MIN($F36,$E36)-$I36&lt;=ABS($E36-$F36)*0.5,ABS($E36-$F36)&gt;0),"上ヒゲ陰線▼",IF(AND($E36&lt;$F36,ABS($E36-$F36)&gt;=($H36-$I36)*0.7),"大陰線▼",IF(AND(MIN($F36,$E36)-$I36&gt;=($H36-$I36)*0.5,$H36-MAX($F36,$E36)&lt;=($H36-$I36)*0.2),"長い下ヒゲ(反発警戒)","通常"))))</f>
        <v>通常</v>
      </c>
      <c r="AP36" s="377">
        <f>IF($AO36="上ヒゲ陰線▼",2,IF($AO36="大陰線▼",2,IF($AO36="長い下ヒゲ(反発警戒)",-2,0)))</f>
        <v>0</v>
      </c>
      <c r="AQ36">
        <f>IF(C36&lt;&gt;"",始値!F5,"")</f>
        <v>3985.63</v>
      </c>
      <c r="AR36">
        <f>IF(C36&lt;&gt;"",高値!F5,"")</f>
        <v>4047.77</v>
      </c>
      <c r="AS36">
        <f>IF(C36&lt;&gt;"",安値!F5,"")</f>
        <v>3980.38</v>
      </c>
      <c r="AT36" t="str">
        <f>IF(OR(C36="",AQ36="",AR36="",AS36="",AR36-AS36&lt;=0),"-",IF(AND(AR36-MAX(G36,AQ36)&gt;=ABS(G36-AQ36)*2,MIN(G36,AQ36)-AS36&lt;=ABS(G36-AQ36)*0.5,ABS(G36-AQ36)&gt;0),"上ヒゲ陰線▼",IF(AND(G36&lt;AQ36,ABS(G36-AQ36)&gt;=(AR36-AS36)*0.7),"大陰線▼",IF(AND(MIN(G36,AQ36)-AS36&gt;=(AR36-AS36)*0.5,AR36-MAX(G36,AQ36)&lt;=(AR36-AS36)*0.2),"長い下ヒゲ(反発)","通常"))))</f>
        <v>通常</v>
      </c>
      <c r="AU36">
        <f>IF(AT36="上ヒゲ陰線▼",2,IF(AT36="大陰線▼",2,IF(AT36="長い下ヒゲ(反発)",-2,0)))</f>
        <v>0</v>
      </c>
      <c r="BA36">
        <f>IFERROR((SUM(OFFSET(高値!$E$6,IFERROR(MATCH($C36,銘柄管理!$B$6:$B$305,0),MATCH(TEXT($C36,"0"),銘柄管理!$B$6:$B$305,0))-1,0,1,14))-SUM(OFFSET(安値!$E$6,IFERROR(MATCH($C36,銘柄管理!$B$6:$B$305,0),MATCH(TEXT($C36,"0"),銘柄管理!$B$6:$B$305,0))-1,0,1,14)))/SUM(OFFSET(終値!$E$6,IFERROR(MATCH($C36,銘柄管理!$B$6:$B$305,0),MATCH(TEXT($C36,"0"),銘柄管理!$B$6:$B$305,0))-1,0,1,14))*100,"")</f>
      </c>
      <c r="BB36">
        <f>IFERROR((MAX(OFFSET(高値!$E$6,IFERROR(MATCH($C36,銘柄管理!$B$6:$B$305,0),MATCH(TEXT($C36,"0"),銘柄管理!$B$6:$B$305,0))-1,0,1,25))-MIN(OFFSET(安値!$E$6,IFERROR(MATCH($C36,銘柄管理!$B$6:$B$305,0),MATCH(TEXT($C36,"0"),銘柄管理!$B$6:$B$305,0))-1,0,1,25)))/$E36*100,"")</f>
      </c>
      <c r="BC36">
        <f>IFERROR(($F36-$G36)/$G36*100,"")</f>
      </c>
      <c r="BD36">
        <f>IFERROR(($E36-MAX(OFFSET(高値!$E$6,IFERROR(MATCH($C36,銘柄管理!$B$6:$B$305,0),MATCH(TEXT($C36,"0"),銘柄管理!$B$6:$B$305,0))-1,0,1,25)))/MAX(OFFSET(高値!$E$6,IFERROR(MATCH($C36,銘柄管理!$B$6:$B$305,0),MATCH(TEXT($C36,"0"),銘柄管理!$B$6:$B$305,0))-1,0,1,25))*100,"")</f>
      </c>
      <c r="BE36">
        <f>IFERROR(($H36-$I36)/$F36*100,"")</f>
      </c>
      <c r="BF36">
        <f>IFERROR(-(($BA36-AVERAGE($BA$3:$BA$206))/STDEV($BA$3:$BA$206))-(($BE36-AVERAGE($BE$3:$BE$206))/STDEV($BE$3:$BE$206))-(($BB36-AVERAGE($BB$3:$BB$206))/STDEV($BB$3:$BB$206))-(($Z36-AVERAGE($Z$3:$Z$206))/STDEV($Z$3:$Z$206))-(($BC36-AVERAGE($BC$3:$BC$206))/STDEV($BC$3:$BC$206)),"")</f>
      </c>
      <c r="BG36">
        <f>IF(OR($C36="",$C36="TOPX",$BA36="",$BF36=""),0,IF(AND($BK$10=1,$BA36&lt;=$BK$2,$BB36&lt;=$BK$3,$BC36&lt;=$BK$4,$Z36&lt;=$BK$5,$Z36&gt;=$BK$6,$BD36&gt;=$BK$7,$BE36&lt;=$BK$8),1,0))</f>
      </c>
      <c r="BH36">
        <f>IF($C36="","",IF($BG36=1,"○ゲート通過",IF($BK$10&lt;&gt;1,"― この方向は停止中",IF($BA36&gt;$BK$2,"×値動きが荒い",IF($BB36&gt;$BK$3,"×レンジが広い",IF($BC36&gt;$BK$4,"×窓を開けて上昇",IF($Z36&gt;$BK$5,"×前日に急騰",IF($Z36&lt;$BK$6,"×前日に急落",IF($BD36&lt;$BK$7,"×高値から離れすぎ",IF($BE36&gt;$BK$8,"×当日の値幅が大きい","×")))))))))</f>
      </c>
    </row>
    <row r="37" spans="1:60"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IF(AND(E37&lt;&gt;"",K37&lt;&gt;"",K37&lt;&gt;0),(E37-K37)/K37*100,"")</f>
        <v>-26.881175576387129</v>
      </c>
      <c r="M37" s="326">
        <f>IF(C37&lt;&gt;"",IFERROR(AVERAGE(出来高!E17:I17),""),"")</f>
        <v>2227420</v>
      </c>
      <c r="N37" s="326">
        <f>IF(C37&lt;&gt;"",IFERROR(AVERAGE(出来高!E17:AC17),""),"")</f>
        <v>1910688</v>
      </c>
      <c r="O37" s="328">
        <f>IF(AND(J37&lt;&gt;"",M37&lt;&gt;"",M37&lt;&gt;0),J37/M37,"")</f>
        <v>0.74301209471047225</v>
      </c>
      <c r="P37" s="325" t="str">
        <f>IF(O37="","",IF(O37&gt;=2,"急増↑↑",IF(O37&gt;=1.5,"増加↑",IF(O37&gt;=1,"普通→","減少↓"))))</f>
        <v>減少↓</v>
      </c>
      <c r="Q37" s="325" t="str">
        <f>IF(E37="","",IF(AND(E37&lt;G37,O37&gt;=1.5),"売り▼",IF(E37&gt;G37,"様子見▲","中立→")))</f>
        <v>中立→</v>
      </c>
      <c r="R37" s="326">
        <f>IF(E37&lt;&gt;"",ROUND(E37*0.92,0),"")</f>
        <v>5310</v>
      </c>
      <c r="S37" s="326">
        <f>IF(E37&lt;&gt;"",ROUND(E37*1.04,0),"")</f>
        <v>6003</v>
      </c>
      <c r="T37" s="325">
        <f>IF(C37="","",IFERROR(IF(W37&gt;=70,3,IF(W37&gt;=60,2,IF(W37&gt;=50,1,0)))+IF(X37&lt;0,2,0)+IF(AD37="下降トレンド▼",3,IF(AD37="もみ合い→",1,0))+IF(V37="年初来安値圏●",3,IF(V37="安値圏",2,0))+IF(Q37="売り▼",2,0)+IF(P37="急増↑↑",2,IF(P37="増加↑",1,0))+IF(Z37&lt;0,1,0)+IF(L37&lt;=-30,2,IF(L37&lt;=-15,1,0))+IF(AE37="25日戻り売り★",2,IF(AE37="5日戻り売り○",1,0))+N(AL37)+N(AP37)+N(AU37),0))</f>
        <v>10</v>
      </c>
      <c r="U37" s="325" t="str">
        <f>IF(T37="","",IF(AND(T37&gt;=3,O37&gt;=1.5),"有効",IF(T37&gt;=3,"要確認","除外")))</f>
        <v>要確認</v>
      </c>
      <c r="V37" s="325" t="str">
        <f>IF(AND(I37&lt;&gt;"",K37&lt;&gt;""),IF(I37&lt;=K37*0.6,"年初来安値圏●",IF(I37&lt;=K37*0.75,"安値圏","通常")),"")</f>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IF(AF37="","",AF37&amp;" | "&amp;AD37&amp;IF(AE37&lt;&gt;"なし"," "&amp;AE37,"")&amp;IF(X37&lt;0," MACD-"," MACD+")&amp;" RSI:"&amp;TEXT(W37,"0.0")&amp;IF(W37&gt;=70," [過熱]",IF(W37&lt;=30," [売られ過ぎ]",""))&amp;" 前日比:"&amp;TEXT(Z37,"+0.0;-0.0;0.0")&amp;"%"&amp;IF(V37="年初来安値圏●"," [年初来安値圏]",IF(V37="安値圏"," [安値圏]",""))&amp;IF(OR(AO37="通常",AO37="-"),""," ["&amp;AO37&amp;"]")&amp;IF(OR(AT37="通常",AT37="-"),"","前日["&amp;AT37&amp;"]")&amp;" ["&amp;T37&amp;"点]")</f>
        <v>相場上昇・見送り | もみ合い→ MACD- RSI:35.6 前日比:-2.6% [安値圏] [10点]</v>
      </c>
      <c r="Z37" s="331">
        <f>IF(AND(E37&lt;&gt;"",G37&lt;&gt;"",G37&lt;&gt;0),(E37-G37)/G37*100,"")</f>
        <v>-2.6315789473684208</v>
      </c>
      <c r="AA37" s="325" t="str">
        <f>IF(OR(C37="",E37="",E37=0),"",IF(E37&gt;G37,"上昇▲",IF(E37&lt;G37,"下落▼","横ばい→")))</f>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IF(OR(C37="",AB37="",AC37="",AB37=0,AC37=0),"",IF(AND(E37&gt;AB37,AB37&gt;AC37),"パーフェクト▲",IF(E37&gt;AC37,"上昇トレンド▲",IF(AND(E37&lt;AB37,AB37&lt;AC37),"下降トレンド▼","もみ合い→"))))</f>
        <v>もみ合い→</v>
      </c>
      <c r="AE37" s="325" t="str">
        <f>IF(OR(C37="",AB37="",AC37=""),"",IF(AND(ABS(E37-AC37)/AC37&lt;=0.02,E37&lt;AC37),"25日戻り売り★",IF(AND(ABS(E37-AB37)/AB37&lt;=0.01,E37&lt;AB37),"5日戻り売り○","なし")))</f>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IF(AND(T37&gt;=7,C37&lt;&gt;""),T37,0)</f>
        <v>10</v>
      </c>
      <c r="AH37">
        <f>IF(AG37&gt;0,AG37*10000-ROW(A37),0)</f>
        <v>99963</v>
      </c>
      <c r="AI37" s="373">
        <f t="array" ref="AI37">IF(C37="","",IFERROR((INDEX(終値!$E:$E,MATCH(TEXT(C37,"0"),終値!$A:$A,0))-INDEX(終値!$E:$CZ,MATCH(TEXT(C37,"0"),終値!$A:$A,0),$AN$2))/INDEX(終値!$E:$CZ,MATCH(TEXT(C37,"0"),終値!$A:$A,0),$AN$2)*100,""))</f>
        <v>-24.64751958224543</v>
      </c>
      <c r="AJ37" s="373">
        <f t="array" ref="AJ37">IFERROR((終値!$E$5-INDEX(終値!$E$5:$IT$5,1,$AN$2))/INDEX(終値!$E$5:$IT$5,1,$AN$2)*100,"")</f>
        <v>1.0179378228534113</v>
      </c>
      <c r="AK37" s="374">
        <f>IF(OR(AI37="",AJ37=""),"",AI37-AJ37)</f>
        <v>-25.665457405098842</v>
      </c>
      <c r="AL37" s="372">
        <f>IF(AK37="","",IF(AK37&lt;-5,3,IF(AK37&lt;0,1,IF(AK37&lt;3,-1,-2))))</f>
        <v>3</v>
      </c>
      <c r="AO37" s="376" t="str">
        <f>IF(OR($C37="",$E37="",$F37="",$H37="",$I37="",$H37-$I37&lt;=0),"-",IF(AND($H37-MAX($F37,$E37)&gt;=ABS($E37-$F37)*2,MIN($F37,$E37)-$I37&lt;=ABS($E37-$F37)*0.5,ABS($E37-$F37)&gt;0),"上ヒゲ陰線▼",IF(AND($E37&lt;$F37,ABS($E37-$F37)&gt;=($H37-$I37)*0.7),"大陰線▼",IF(AND(MIN($F37,$E37)-$I37&gt;=($H37-$I37)*0.5,$H37-MAX($F37,$E37)&lt;=($H37-$I37)*0.2),"長い下ヒゲ(反発警戒)","通常"))))</f>
        <v>通常</v>
      </c>
      <c r="AP37" s="377">
        <f>IF($AO37="上ヒゲ陰線▼",2,IF($AO37="大陰線▼",2,IF($AO37="長い下ヒゲ(反発警戒)",-2,0)))</f>
        <v>0</v>
      </c>
      <c r="AQ37">
        <f>IF(C37&lt;&gt;"",始値!F17,"")</f>
        <v>5796</v>
      </c>
      <c r="AR37">
        <f>IF(C37&lt;&gt;"",高値!F17,"")</f>
        <v>5963</v>
      </c>
      <c r="AS37">
        <f>IF(C37&lt;&gt;"",安値!F17,"")</f>
        <v>5702</v>
      </c>
      <c r="AT37" t="str">
        <f>IF(OR(C37="",AQ37="",AR37="",AS37="",AR37-AS37&lt;=0),"-",IF(AND(AR37-MAX(G37,AQ37)&gt;=ABS(G37-AQ37)*2,MIN(G37,AQ37)-AS37&lt;=ABS(G37-AQ37)*0.5,ABS(G37-AQ37)&gt;0),"上ヒゲ陰線▼",IF(AND(G37&lt;AQ37,ABS(G37-AQ37)&gt;=(AR37-AS37)*0.7),"大陰線▼",IF(AND(MIN(G37,AQ37)-AS37&gt;=(AR37-AS37)*0.5,AR37-MAX(G37,AQ37)&lt;=(AR37-AS37)*0.2),"長い下ヒゲ(反発)","通常"))))</f>
        <v>通常</v>
      </c>
      <c r="AU37">
        <f>IF(AT37="上ヒゲ陰線▼",2,IF(AT37="大陰線▼",2,IF(AT37="長い下ヒゲ(反発)",-2,0)))</f>
        <v>0</v>
      </c>
      <c r="BA37">
        <f>IFERROR((SUM(OFFSET(高値!$E$6,IFERROR(MATCH($C37,銘柄管理!$B$6:$B$305,0),MATCH(TEXT($C37,"0"),銘柄管理!$B$6:$B$305,0))-1,0,1,14))-SUM(OFFSET(安値!$E$6,IFERROR(MATCH($C37,銘柄管理!$B$6:$B$305,0),MATCH(TEXT($C37,"0"),銘柄管理!$B$6:$B$305,0))-1,0,1,14)))/SUM(OFFSET(終値!$E$6,IFERROR(MATCH($C37,銘柄管理!$B$6:$B$305,0),MATCH(TEXT($C37,"0"),銘柄管理!$B$6:$B$305,0))-1,0,1,14))*100,"")</f>
      </c>
      <c r="BB37">
        <f>IFERROR((MAX(OFFSET(高値!$E$6,IFERROR(MATCH($C37,銘柄管理!$B$6:$B$305,0),MATCH(TEXT($C37,"0"),銘柄管理!$B$6:$B$305,0))-1,0,1,25))-MIN(OFFSET(安値!$E$6,IFERROR(MATCH($C37,銘柄管理!$B$6:$B$305,0),MATCH(TEXT($C37,"0"),銘柄管理!$B$6:$B$305,0))-1,0,1,25)))/$E37*100,"")</f>
      </c>
      <c r="BC37">
        <f>IFERROR(($F37-$G37)/$G37*100,"")</f>
      </c>
      <c r="BD37">
        <f>IFERROR(($E37-MAX(OFFSET(高値!$E$6,IFERROR(MATCH($C37,銘柄管理!$B$6:$B$305,0),MATCH(TEXT($C37,"0"),銘柄管理!$B$6:$B$305,0))-1,0,1,25)))/MAX(OFFSET(高値!$E$6,IFERROR(MATCH($C37,銘柄管理!$B$6:$B$305,0),MATCH(TEXT($C37,"0"),銘柄管理!$B$6:$B$305,0))-1,0,1,25))*100,"")</f>
      </c>
      <c r="BE37">
        <f>IFERROR(($H37-$I37)/$F37*100,"")</f>
      </c>
      <c r="BF37">
        <f>IFERROR(-(($BA37-AVERAGE($BA$3:$BA$206))/STDEV($BA$3:$BA$206))-(($BE37-AVERAGE($BE$3:$BE$206))/STDEV($BE$3:$BE$206))-(($BB37-AVERAGE($BB$3:$BB$206))/STDEV($BB$3:$BB$206))-(($Z37-AVERAGE($Z$3:$Z$206))/STDEV($Z$3:$Z$206))-(($BC37-AVERAGE($BC$3:$BC$206))/STDEV($BC$3:$BC$206)),"")</f>
      </c>
      <c r="BG37">
        <f>IF(OR($C37="",$C37="TOPX",$BA37="",$BF37=""),0,IF(AND($BK$10=1,$BA37&lt;=$BK$2,$BB37&lt;=$BK$3,$BC37&lt;=$BK$4,$Z37&lt;=$BK$5,$Z37&gt;=$BK$6,$BD37&gt;=$BK$7,$BE37&lt;=$BK$8),1,0))</f>
      </c>
      <c r="BH37">
        <f>IF($C37="","",IF($BG37=1,"○ゲート通過",IF($BK$10&lt;&gt;1,"― この方向は停止中",IF($BA37&gt;$BK$2,"×値動きが荒い",IF($BB37&gt;$BK$3,"×レンジが広い",IF($BC37&gt;$BK$4,"×窓を開けて上昇",IF($Z37&gt;$BK$5,"×前日に急騰",IF($Z37&lt;$BK$6,"×前日に急落",IF($BD37&lt;$BK$7,"×高値から離れすぎ",IF($BE37&gt;$BK$8,"×当日の値幅が大きい","×")))))))))</f>
      </c>
    </row>
    <row r="38" spans="1:60"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IF(AND(E38&lt;&gt;"",K38&lt;&gt;"",K38&lt;&gt;0),(E38-K38)/K38*100,"")</f>
        <v>-10.983515465826997</v>
      </c>
      <c r="M38" s="333">
        <f>IF(C38&lt;&gt;"",IFERROR(AVERAGE(出来高!E47:I47),""),"")</f>
        <v>1505340</v>
      </c>
      <c r="N38" s="333">
        <f>IF(C38&lt;&gt;"",IFERROR(AVERAGE(出来高!E47:AC47),""),"")</f>
        <v>1400124</v>
      </c>
      <c r="O38" s="335">
        <f>IF(AND(J38&lt;&gt;"",M38&lt;&gt;"",M38&lt;&gt;0),J38/M38,"")</f>
        <v>0.74149361606015918</v>
      </c>
      <c r="P38" s="212" t="str">
        <f>IF(O38="","",IF(O38&gt;=2,"急増↑↑",IF(O38&gt;=1.5,"増加↑",IF(O38&gt;=1,"普通→","減少↓"))))</f>
        <v>減少↓</v>
      </c>
      <c r="Q38" s="212" t="str">
        <f>IF(E38="","",IF(AND(E38&lt;G38,O38&gt;=1.5),"売り▼",IF(E38&gt;G38,"様子見▲","中立→")))</f>
        <v>様子見▲</v>
      </c>
      <c r="R38" s="333">
        <f>IF(E38&lt;&gt;"",ROUND(E38*0.92,0),"")</f>
        <v>442</v>
      </c>
      <c r="S38" s="333">
        <f>IF(E38&lt;&gt;"",ROUND(E38*1.04,0),"")</f>
        <v>500</v>
      </c>
      <c r="T38" s="325">
        <f>IF(C38="","",IFERROR(IF(W38&gt;=70,3,IF(W38&gt;=60,2,IF(W38&gt;=50,1,0)))+IF(X38&lt;0,2,0)+IF(AD38="下降トレンド▼",3,IF(AD38="もみ合い→",1,0))+IF(V38="年初来安値圏●",3,IF(V38="安値圏",2,0))+IF(Q38="売り▼",2,0)+IF(P38="急増↑↑",2,IF(P38="増加↑",1,0))+IF(Z38&lt;0,1,0)+IF(L38&lt;=-30,2,IF(L38&lt;=-15,1,0))+IF(AE38="25日戻り売り★",2,IF(AE38="5日戻り売り○",1,0))+N(AL38)+N(AP38)+N(AU38),0))</f>
        <v>3</v>
      </c>
      <c r="U38" s="212" t="str">
        <f>IF(T38="","",IF(AND(T38&gt;=3,O38&gt;=1.5),"有効",IF(T38&gt;=3,"要確認","除外")))</f>
        <v>要確認</v>
      </c>
      <c r="V38" s="212" t="str">
        <f>IF(AND(I38&lt;&gt;"",K38&lt;&gt;""),IF(I38&lt;=K38*0.6,"年初来安値圏●",IF(I38&lt;=K38*0.75,"安値圏","通常")),"")</f>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IF(AF38="","",AF38&amp;" | "&amp;AD38&amp;IF(AE38&lt;&gt;"なし"," "&amp;AE38,"")&amp;IF(X38&lt;0," MACD-"," MACD+")&amp;" RSI:"&amp;TEXT(W38,"0.0")&amp;IF(W38&gt;=70," [過熱]",IF(W38&lt;=30," [売られ過ぎ]",""))&amp;" 前日比:"&amp;TEXT(Z38,"+0.0;-0.0;0.0")&amp;"%"&amp;IF(V38="年初来安値圏●"," [年初来安値圏]",IF(V38="安値圏"," [安値圏]",""))&amp;IF(OR(AO38="通常",AO38="-"),""," ["&amp;AO38&amp;"]")&amp;IF(OR(AT38="通常",AT38="-"),"","前日["&amp;AT38&amp;"]")&amp;" ["&amp;T38&amp;"点]")</f>
        <v>○逆張り売り | もみ合い→ 25日戻り売り★ MACD- RSI:39.5 前日比:+1.3% [3点]</v>
      </c>
      <c r="Z38" s="338">
        <f>IF(AND(E38&lt;&gt;"",G38&lt;&gt;"",G38&lt;&gt;0),(E38-G38)/G38*100,"")</f>
        <v>1.2855637513171809</v>
      </c>
      <c r="AA38" s="212" t="str">
        <f>IF(OR(C38="",E38="",E38=0),"",IF(E38&gt;G38,"上昇▲",IF(E38&lt;G38,"下落▼","横ばい→")))</f>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IF(OR(C38="",AB38="",AC38="",AB38=0,AC38=0),"",IF(AND(E38&gt;AB38,AB38&gt;AC38),"パーフェクト▲",IF(E38&gt;AC38,"上昇トレンド▲",IF(AND(E38&lt;AB38,AB38&lt;AC38),"下降トレンド▼","もみ合い→"))))</f>
        <v>もみ合い→</v>
      </c>
      <c r="AE38" s="212" t="str">
        <f>IF(OR(C38="",AB38="",AC38=""),"",IF(AND(ABS(E38-AC38)/AC38&lt;=0.02,E38&lt;AC38),"25日戻り売り★",IF(AND(ABS(E38-AB38)/AB38&lt;=0.01,E38&lt;AB38),"5日戻り売り○","なし")))</f>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IF(AND(T38&gt;=7,C38&lt;&gt;""),T38,0)</f>
        <v>0</v>
      </c>
      <c r="AH38">
        <f>IF(AG38&gt;0,AG38*10000-ROW(A38),0)</f>
        <v>0</v>
      </c>
      <c r="AI38" s="373">
        <f t="array" ref="AI38">IF(C38="","",IFERROR((INDEX(終値!$E:$E,MATCH(TEXT(C38,"0"),終値!$A:$A,0))-INDEX(終値!$E:$CZ,MATCH(TEXT(C38,"0"),終値!$A:$A,0),$AN$2))/INDEX(終値!$E:$CZ,MATCH(TEXT(C38,"0"),終値!$A:$A,0),$AN$2)*100,""))</f>
        <v>5.4641211323239052</v>
      </c>
      <c r="AJ38" s="373">
        <f t="array" ref="AJ38">IFERROR((終値!$E$5-INDEX(終値!$E$5:$IT$5,1,$AN$2))/INDEX(終値!$E$5:$IT$5,1,$AN$2)*100,"")</f>
        <v>1.0179378228534113</v>
      </c>
      <c r="AK38" s="374">
        <f>IF(OR(AI38="",AJ38=""),"",AI38-AJ38)</f>
        <v>4.4461833094704941</v>
      </c>
      <c r="AL38" s="372">
        <f>IF(AK38="","",IF(AK38&lt;-5,3,IF(AK38&lt;0,1,IF(AK38&lt;3,-1,-2))))</f>
        <v>-2</v>
      </c>
      <c r="AO38" s="376" t="str">
        <f>IF(OR($C38="",$E38="",$F38="",$H38="",$I38="",$H38-$I38&lt;=0),"-",IF(AND($H38-MAX($F38,$E38)&gt;=ABS($E38-$F38)*2,MIN($F38,$E38)-$I38&lt;=ABS($E38-$F38)*0.5,ABS($E38-$F38)&gt;0),"上ヒゲ陰線▼",IF(AND($E38&lt;$F38,ABS($E38-$F38)&gt;=($H38-$I38)*0.7),"大陰線▼",IF(AND(MIN($F38,$E38)-$I38&gt;=($H38-$I38)*0.5,$H38-MAX($F38,$E38)&lt;=($H38-$I38)*0.2),"長い下ヒゲ(反発警戒)","通常"))))</f>
        <v>通常</v>
      </c>
      <c r="AP38" s="377">
        <f>IF($AO38="上ヒゲ陰線▼",2,IF($AO38="大陰線▼",2,IF($AO38="長い下ヒゲ(反発警戒)",-2,0)))</f>
        <v>0</v>
      </c>
      <c r="AQ38">
        <f>IF(C38&lt;&gt;"",始値!F47,"")</f>
        <v>476</v>
      </c>
      <c r="AR38">
        <f>IF(C38&lt;&gt;"",高値!F47,"")</f>
        <v>480</v>
      </c>
      <c r="AS38">
        <f>IF(C38&lt;&gt;"",安値!F47,"")</f>
        <v>473</v>
      </c>
      <c r="AT38" t="str">
        <f>IF(OR(C38="",AQ38="",AR38="",AS38="",AR38-AS38&lt;=0),"-",IF(AND(AR38-MAX(G38,AQ38)&gt;=ABS(G38-AQ38)*2,MIN(G38,AQ38)-AS38&lt;=ABS(G38-AQ38)*0.5,ABS(G38-AQ38)&gt;0),"上ヒゲ陰線▼",IF(AND(G38&lt;AQ38,ABS(G38-AQ38)&gt;=(AR38-AS38)*0.7),"大陰線▼",IF(AND(MIN(G38,AQ38)-AS38&gt;=(AR38-AS38)*0.5,AR38-MAX(G38,AQ38)&lt;=(AR38-AS38)*0.2),"長い下ヒゲ(反発)","通常"))))</f>
        <v>通常</v>
      </c>
      <c r="AU38">
        <f>IF(AT38="上ヒゲ陰線▼",2,IF(AT38="大陰線▼",2,IF(AT38="長い下ヒゲ(反発)",-2,0)))</f>
        <v>0</v>
      </c>
      <c r="BA38">
        <f>IFERROR((SUM(OFFSET(高値!$E$6,IFERROR(MATCH($C38,銘柄管理!$B$6:$B$305,0),MATCH(TEXT($C38,"0"),銘柄管理!$B$6:$B$305,0))-1,0,1,14))-SUM(OFFSET(安値!$E$6,IFERROR(MATCH($C38,銘柄管理!$B$6:$B$305,0),MATCH(TEXT($C38,"0"),銘柄管理!$B$6:$B$305,0))-1,0,1,14)))/SUM(OFFSET(終値!$E$6,IFERROR(MATCH($C38,銘柄管理!$B$6:$B$305,0),MATCH(TEXT($C38,"0"),銘柄管理!$B$6:$B$305,0))-1,0,1,14))*100,"")</f>
      </c>
      <c r="BB38">
        <f>IFERROR((MAX(OFFSET(高値!$E$6,IFERROR(MATCH($C38,銘柄管理!$B$6:$B$305,0),MATCH(TEXT($C38,"0"),銘柄管理!$B$6:$B$305,0))-1,0,1,25))-MIN(OFFSET(安値!$E$6,IFERROR(MATCH($C38,銘柄管理!$B$6:$B$305,0),MATCH(TEXT($C38,"0"),銘柄管理!$B$6:$B$305,0))-1,0,1,25)))/$E38*100,"")</f>
      </c>
      <c r="BC38">
        <f>IFERROR(($F38-$G38)/$G38*100,"")</f>
      </c>
      <c r="BD38">
        <f>IFERROR(($E38-MAX(OFFSET(高値!$E$6,IFERROR(MATCH($C38,銘柄管理!$B$6:$B$305,0),MATCH(TEXT($C38,"0"),銘柄管理!$B$6:$B$305,0))-1,0,1,25)))/MAX(OFFSET(高値!$E$6,IFERROR(MATCH($C38,銘柄管理!$B$6:$B$305,0),MATCH(TEXT($C38,"0"),銘柄管理!$B$6:$B$305,0))-1,0,1,25))*100,"")</f>
      </c>
      <c r="BE38">
        <f>IFERROR(($H38-$I38)/$F38*100,"")</f>
      </c>
      <c r="BF38">
        <f>IFERROR(-(($BA38-AVERAGE($BA$3:$BA$206))/STDEV($BA$3:$BA$206))-(($BE38-AVERAGE($BE$3:$BE$206))/STDEV($BE$3:$BE$206))-(($BB38-AVERAGE($BB$3:$BB$206))/STDEV($BB$3:$BB$206))-(($Z38-AVERAGE($Z$3:$Z$206))/STDEV($Z$3:$Z$206))-(($BC38-AVERAGE($BC$3:$BC$206))/STDEV($BC$3:$BC$206)),"")</f>
      </c>
      <c r="BG38">
        <f>IF(OR($C38="",$C38="TOPX",$BA38="",$BF38=""),0,IF(AND($BK$10=1,$BA38&lt;=$BK$2,$BB38&lt;=$BK$3,$BC38&lt;=$BK$4,$Z38&lt;=$BK$5,$Z38&gt;=$BK$6,$BD38&gt;=$BK$7,$BE38&lt;=$BK$8),1,0))</f>
      </c>
      <c r="BH38">
        <f>IF($C38="","",IF($BG38=1,"○ゲート通過",IF($BK$10&lt;&gt;1,"― この方向は停止中",IF($BA38&gt;$BK$2,"×値動きが荒い",IF($BB38&gt;$BK$3,"×レンジが広い",IF($BC38&gt;$BK$4,"×窓を開けて上昇",IF($Z38&gt;$BK$5,"×前日に急騰",IF($Z38&lt;$BK$6,"×前日に急落",IF($BD38&lt;$BK$7,"×高値から離れすぎ",IF($BE38&gt;$BK$8,"×当日の値幅が大きい","×")))))))))</f>
      </c>
    </row>
    <row r="39" spans="1:60"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IF(AND(E39&lt;&gt;"",K39&lt;&gt;"",K39&lt;&gt;0),(E39-K39)/K39*100,"")</f>
        <v>-12.204606640741849</v>
      </c>
      <c r="M39" s="326">
        <f>IF(C39&lt;&gt;"",IFERROR(AVERAGE(出来高!E68:I68),""),"")</f>
        <v>9011900</v>
      </c>
      <c r="N39" s="326">
        <f>IF(C39&lt;&gt;"",IFERROR(AVERAGE(出来高!E68:AC68),""),"")</f>
        <v>6110416</v>
      </c>
      <c r="O39" s="328">
        <f>IF(AND(J39&lt;&gt;"",M39&lt;&gt;"",M39&lt;&gt;0),J39/M39,"")</f>
        <v>0.81090558039924987</v>
      </c>
      <c r="P39" s="325" t="str">
        <f>IF(O39="","",IF(O39&gt;=2,"急増↑↑",IF(O39&gt;=1.5,"増加↑",IF(O39&gt;=1,"普通→","減少↓"))))</f>
        <v>減少↓</v>
      </c>
      <c r="Q39" s="325" t="str">
        <f>IF(E39="","",IF(AND(E39&lt;G39,O39&gt;=1.5),"売り▼",IF(E39&gt;G39,"様子見▲","中立→")))</f>
        <v>様子見▲</v>
      </c>
      <c r="R39" s="326">
        <f>IF(E39&lt;&gt;"",ROUND(E39*0.92,0),"")</f>
        <v>5400</v>
      </c>
      <c r="S39" s="326">
        <f>IF(E39&lt;&gt;"",ROUND(E39*1.04,0),"")</f>
        <v>6105</v>
      </c>
      <c r="T39" s="325">
        <f>IF(C39="","",IFERROR(IF(W39&gt;=70,3,IF(W39&gt;=60,2,IF(W39&gt;=50,1,0)))+IF(X39&lt;0,2,0)+IF(AD39="下降トレンド▼",3,IF(AD39="もみ合い→",1,0))+IF(V39="年初来安値圏●",3,IF(V39="安値圏",2,0))+IF(Q39="売り▼",2,0)+IF(P39="急増↑↑",2,IF(P39="増加↑",1,0))+IF(Z39&lt;0,1,0)+IF(L39&lt;=-30,2,IF(L39&lt;=-15,1,0))+IF(AE39="25日戻り売り★",2,IF(AE39="5日戻り売り○",1,0))+N(AL39)+N(AP39)+N(AU39),0))</f>
        <v>4</v>
      </c>
      <c r="U39" s="325" t="str">
        <f>IF(T39="","",IF(AND(T39&gt;=3,O39&gt;=1.5),"有効",IF(T39&gt;=3,"要確認","除外")))</f>
        <v>要確認</v>
      </c>
      <c r="V39" s="325" t="str">
        <f>IF(AND(I39&lt;&gt;"",K39&lt;&gt;""),IF(I39&lt;=K39*0.6,"年初来安値圏●",IF(I39&lt;=K39*0.75,"安値圏","通常")),"")</f>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IF(AF39="","",AF39&amp;" | "&amp;AD39&amp;IF(AE39&lt;&gt;"なし"," "&amp;AE39,"")&amp;IF(X39&lt;0," MACD-"," MACD+")&amp;" RSI:"&amp;TEXT(W39,"0.0")&amp;IF(W39&gt;=70," [過熱]",IF(W39&lt;=30," [売られ過ぎ]",""))&amp;" 前日比:"&amp;TEXT(Z39,"+0.0;-0.0;0.0")&amp;"%"&amp;IF(V39="年初来安値圏●"," [年初来安値圏]",IF(V39="安値圏"," [安値圏]",""))&amp;IF(OR(AO39="通常",AO39="-"),""," ["&amp;AO39&amp;"]")&amp;IF(OR(AT39="通常",AT39="-"),"","前日["&amp;AT39&amp;"]")&amp;" ["&amp;T39&amp;"点]")</f>
        <v>相場上昇・見送り | パーフェクト▲ MACD- RSI:51.5 前日比:+0.4% [4点]</v>
      </c>
      <c r="Z39" s="331">
        <f>IF(AND(E39&lt;&gt;"",G39&lt;&gt;"",G39&lt;&gt;0),(E39-G39)/G39*100,"")</f>
        <v>0.37619699042407662</v>
      </c>
      <c r="AA39" s="325" t="str">
        <f>IF(OR(C39="",E39="",E39=0),"",IF(E39&gt;G39,"上昇▲",IF(E39&lt;G39,"下落▼","横ばい→")))</f>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IF(OR(C39="",AB39="",AC39="",AB39=0,AC39=0),"",IF(AND(E39&gt;AB39,AB39&gt;AC39),"パーフェクト▲",IF(E39&gt;AC39,"上昇トレンド▲",IF(AND(E39&lt;AB39,AB39&lt;AC39),"下降トレンド▼","もみ合い→"))))</f>
        <v>パーフェクト▲</v>
      </c>
      <c r="AE39" s="325" t="str">
        <f>IF(OR(C39="",AB39="",AC39=""),"",IF(AND(ABS(E39-AC39)/AC39&lt;=0.02,E39&lt;AC39),"25日戻り売り★",IF(AND(ABS(E39-AB39)/AB39&lt;=0.01,E39&lt;AB39),"5日戻り売り○","なし")))</f>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IF(AND(T39&gt;=7,C39&lt;&gt;""),T39,0)</f>
        <v>0</v>
      </c>
      <c r="AH39">
        <f>IF(AG39&gt;0,AG39*10000-ROW(A39),0)</f>
        <v>0</v>
      </c>
      <c r="AI39" s="373">
        <f t="array" ref="AI39">IF(C39="","",IFERROR((INDEX(終値!$E:$E,MATCH(TEXT(C39,"0"),終値!$A:$A,0))-INDEX(終値!$E:$CZ,MATCH(TEXT(C39,"0"),終値!$A:$A,0),$AN$2))/INDEX(終値!$E:$CZ,MATCH(TEXT(C39,"0"),終値!$A:$A,0),$AN$2)*100,""))</f>
        <v>-2.7179317202519058</v>
      </c>
      <c r="AJ39" s="373">
        <f t="array" ref="AJ39">IFERROR((終値!$E$5-INDEX(終値!$E$5:$IT$5,1,$AN$2))/INDEX(終値!$E$5:$IT$5,1,$AN$2)*100,"")</f>
        <v>1.0179378228534113</v>
      </c>
      <c r="AK39" s="374">
        <f>IF(OR(AI39="",AJ39=""),"",AI39-AJ39)</f>
        <v>-3.7358695431053173</v>
      </c>
      <c r="AL39" s="372">
        <f>IF(AK39="","",IF(AK39&lt;-5,3,IF(AK39&lt;0,1,IF(AK39&lt;3,-1,-2))))</f>
        <v>1</v>
      </c>
      <c r="AO39" s="376" t="str">
        <f>IF(OR($C39="",$E39="",$F39="",$H39="",$I39="",$H39-$I39&lt;=0),"-",IF(AND($H39-MAX($F39,$E39)&gt;=ABS($E39-$F39)*2,MIN($F39,$E39)-$I39&lt;=ABS($E39-$F39)*0.5,ABS($E39-$F39)&gt;0),"上ヒゲ陰線▼",IF(AND($E39&lt;$F39,ABS($E39-$F39)&gt;=($H39-$I39)*0.7),"大陰線▼",IF(AND(MIN($F39,$E39)-$I39&gt;=($H39-$I39)*0.5,$H39-MAX($F39,$E39)&lt;=($H39-$I39)*0.2),"長い下ヒゲ(反発警戒)","通常"))))</f>
        <v>通常</v>
      </c>
      <c r="AP39" s="377">
        <f>IF($AO39="上ヒゲ陰線▼",2,IF($AO39="大陰線▼",2,IF($AO39="長い下ヒゲ(反発警戒)",-2,0)))</f>
        <v>0</v>
      </c>
      <c r="AQ39">
        <f>IF(C39&lt;&gt;"",始値!F68,"")</f>
        <v>5748</v>
      </c>
      <c r="AR39">
        <f>IF(C39&lt;&gt;"",高値!F68,"")</f>
        <v>5866</v>
      </c>
      <c r="AS39">
        <f>IF(C39&lt;&gt;"",安値!F68,"")</f>
        <v>5678</v>
      </c>
      <c r="AT39" t="str">
        <f>IF(OR(C39="",AQ39="",AR39="",AS39="",AR39-AS39&lt;=0),"-",IF(AND(AR39-MAX(G39,AQ39)&gt;=ABS(G39-AQ39)*2,MIN(G39,AQ39)-AS39&lt;=ABS(G39-AQ39)*0.5,ABS(G39-AQ39)&gt;0),"上ヒゲ陰線▼",IF(AND(G39&lt;AQ39,ABS(G39-AQ39)&gt;=(AR39-AS39)*0.7),"大陰線▼",IF(AND(MIN(G39,AQ39)-AS39&gt;=(AR39-AS39)*0.5,AR39-MAX(G39,AQ39)&lt;=(AR39-AS39)*0.2),"長い下ヒゲ(反発)","通常"))))</f>
        <v>通常</v>
      </c>
      <c r="AU39">
        <f>IF(AT39="上ヒゲ陰線▼",2,IF(AT39="大陰線▼",2,IF(AT39="長い下ヒゲ(反発)",-2,0)))</f>
        <v>0</v>
      </c>
      <c r="BA39">
        <f>IFERROR((SUM(OFFSET(高値!$E$6,IFERROR(MATCH($C39,銘柄管理!$B$6:$B$305,0),MATCH(TEXT($C39,"0"),銘柄管理!$B$6:$B$305,0))-1,0,1,14))-SUM(OFFSET(安値!$E$6,IFERROR(MATCH($C39,銘柄管理!$B$6:$B$305,0),MATCH(TEXT($C39,"0"),銘柄管理!$B$6:$B$305,0))-1,0,1,14)))/SUM(OFFSET(終値!$E$6,IFERROR(MATCH($C39,銘柄管理!$B$6:$B$305,0),MATCH(TEXT($C39,"0"),銘柄管理!$B$6:$B$305,0))-1,0,1,14))*100,"")</f>
      </c>
      <c r="BB39">
        <f>IFERROR((MAX(OFFSET(高値!$E$6,IFERROR(MATCH($C39,銘柄管理!$B$6:$B$305,0),MATCH(TEXT($C39,"0"),銘柄管理!$B$6:$B$305,0))-1,0,1,25))-MIN(OFFSET(安値!$E$6,IFERROR(MATCH($C39,銘柄管理!$B$6:$B$305,0),MATCH(TEXT($C39,"0"),銘柄管理!$B$6:$B$305,0))-1,0,1,25)))/$E39*100,"")</f>
      </c>
      <c r="BC39">
        <f>IFERROR(($F39-$G39)/$G39*100,"")</f>
      </c>
      <c r="BD39">
        <f>IFERROR(($E39-MAX(OFFSET(高値!$E$6,IFERROR(MATCH($C39,銘柄管理!$B$6:$B$305,0),MATCH(TEXT($C39,"0"),銘柄管理!$B$6:$B$305,0))-1,0,1,25)))/MAX(OFFSET(高値!$E$6,IFERROR(MATCH($C39,銘柄管理!$B$6:$B$305,0),MATCH(TEXT($C39,"0"),銘柄管理!$B$6:$B$305,0))-1,0,1,25))*100,"")</f>
      </c>
      <c r="BE39">
        <f>IFERROR(($H39-$I39)/$F39*100,"")</f>
      </c>
      <c r="BF39">
        <f>IFERROR(-(($BA39-AVERAGE($BA$3:$BA$206))/STDEV($BA$3:$BA$206))-(($BE39-AVERAGE($BE$3:$BE$206))/STDEV($BE$3:$BE$206))-(($BB39-AVERAGE($BB$3:$BB$206))/STDEV($BB$3:$BB$206))-(($Z39-AVERAGE($Z$3:$Z$206))/STDEV($Z$3:$Z$206))-(($BC39-AVERAGE($BC$3:$BC$206))/STDEV($BC$3:$BC$206)),"")</f>
      </c>
      <c r="BG39">
        <f>IF(OR($C39="",$C39="TOPX",$BA39="",$BF39=""),0,IF(AND($BK$10=1,$BA39&lt;=$BK$2,$BB39&lt;=$BK$3,$BC39&lt;=$BK$4,$Z39&lt;=$BK$5,$Z39&gt;=$BK$6,$BD39&gt;=$BK$7,$BE39&lt;=$BK$8),1,0))</f>
      </c>
      <c r="BH39">
        <f>IF($C39="","",IF($BG39=1,"○ゲート通過",IF($BK$10&lt;&gt;1,"― この方向は停止中",IF($BA39&gt;$BK$2,"×値動きが荒い",IF($BB39&gt;$BK$3,"×レンジが広い",IF($BC39&gt;$BK$4,"×窓を開けて上昇",IF($Z39&gt;$BK$5,"×前日に急騰",IF($Z39&lt;$BK$6,"×前日に急落",IF($BD39&lt;$BK$7,"×高値から離れすぎ",IF($BE39&gt;$BK$8,"×当日の値幅が大きい","×")))))))))</f>
      </c>
    </row>
    <row r="40" spans="1:60"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IF(AND(E40&lt;&gt;"",K40&lt;&gt;"",K40&lt;&gt;0),(E40-K40)/K40*100,"")</f>
        <v>-21.229718189581554</v>
      </c>
      <c r="M40" s="333">
        <f>IF(C40&lt;&gt;"",IFERROR(AVERAGE(出来高!E86:I86),""),"")</f>
        <v>1332820</v>
      </c>
      <c r="N40" s="333">
        <f>IF(C40&lt;&gt;"",IFERROR(AVERAGE(出来高!E86:AC86),""),"")</f>
        <v>1629862.5</v>
      </c>
      <c r="O40" s="335">
        <f>IF(AND(J40&lt;&gt;"",M40&lt;&gt;"",M40&lt;&gt;0),J40/M40,"")</f>
        <v>0.73198181299800424</v>
      </c>
      <c r="P40" s="212" t="str">
        <f>IF(O40="","",IF(O40&gt;=2,"急増↑↑",IF(O40&gt;=1.5,"増加↑",IF(O40&gt;=1,"普通→","減少↓"))))</f>
        <v>減少↓</v>
      </c>
      <c r="Q40" s="212" t="str">
        <f>IF(E40="","",IF(AND(E40&lt;G40,O40&gt;=1.5),"売り▼",IF(E40&gt;G40,"様子見▲","中立→")))</f>
        <v>中立→</v>
      </c>
      <c r="R40" s="333">
        <f>IF(E40&lt;&gt;"",ROUND(E40*0.92,0),"")</f>
        <v>2122</v>
      </c>
      <c r="S40" s="333">
        <f>IF(E40&lt;&gt;"",ROUND(E40*1.04,0),"")</f>
        <v>2398</v>
      </c>
      <c r="T40" s="325">
        <f>IF(C40="","",IFERROR(IF(W40&gt;=70,3,IF(W40&gt;=60,2,IF(W40&gt;=50,1,0)))+IF(X40&lt;0,2,0)+IF(AD40="下降トレンド▼",3,IF(AD40="もみ合い→",1,0))+IF(V40="年初来安値圏●",3,IF(V40="安値圏",2,0))+IF(Q40="売り▼",2,0)+IF(P40="急増↑↑",2,IF(P40="増加↑",1,0))+IF(Z40&lt;0,1,0)+IF(L40&lt;=-30,2,IF(L40&lt;=-15,1,0))+IF(AE40="25日戻り売り★",2,IF(AE40="5日戻り売り○",1,0))+N(AL40)+N(AP40)+N(AU40),0))</f>
        <v>8</v>
      </c>
      <c r="U40" s="212" t="str">
        <f>IF(T40="","",IF(AND(T40&gt;=3,O40&gt;=1.5),"有効",IF(T40&gt;=3,"要確認","除外")))</f>
        <v>要確認</v>
      </c>
      <c r="V40" s="212" t="str">
        <f>IF(AND(I40&lt;&gt;"",K40&lt;&gt;""),IF(I40&lt;=K40*0.6,"年初来安値圏●",IF(I40&lt;=K40*0.75,"安値圏","通常")),"")</f>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IF(AF40="","",AF40&amp;" | "&amp;AD40&amp;IF(AE40&lt;&gt;"なし"," "&amp;AE40,"")&amp;IF(X40&lt;0," MACD-"," MACD+")&amp;" RSI:"&amp;TEXT(W40,"0.0")&amp;IF(W40&gt;=70," [過熱]",IF(W40&lt;=30," [売られ過ぎ]",""))&amp;" 前日比:"&amp;TEXT(Z40,"+0.0;-0.0;0.0")&amp;"%"&amp;IF(V40="年初来安値圏●"," [年初来安値圏]",IF(V40="安値圏"," [安値圏]",""))&amp;IF(OR(AO40="通常",AO40="-"),""," ["&amp;AO40&amp;"]")&amp;IF(OR(AT40="通常",AT40="-"),"","前日["&amp;AT40&amp;"]")&amp;" ["&amp;T40&amp;"点]")</f>
        <v>相場上昇・見送り | パーフェクト▲ MACD- RSI:50.0 前日比:-0.9% [8点]</v>
      </c>
      <c r="Z40" s="338">
        <f>IF(AND(E40&lt;&gt;"",G40&lt;&gt;"",G40&lt;&gt;0),(E40-G40)/G40*100,"")</f>
        <v>-0.9024495058014611</v>
      </c>
      <c r="AA40" s="212" t="str">
        <f>IF(OR(C40="",E40="",E40=0),"",IF(E40&gt;G40,"上昇▲",IF(E40&lt;G40,"下落▼","横ばい→")))</f>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IF(OR(C40="",AB40="",AC40="",AB40=0,AC40=0),"",IF(AND(E40&gt;AB40,AB40&gt;AC40),"パーフェクト▲",IF(E40&gt;AC40,"上昇トレンド▲",IF(AND(E40&lt;AB40,AB40&lt;AC40),"下降トレンド▼","もみ合い→"))))</f>
        <v>パーフェクト▲</v>
      </c>
      <c r="AE40" s="212" t="str">
        <f>IF(OR(C40="",AB40="",AC40=""),"",IF(AND(ABS(E40-AC40)/AC40&lt;=0.02,E40&lt;AC40),"25日戻り売り★",IF(AND(ABS(E40-AB40)/AB40&lt;=0.01,E40&lt;AB40),"5日戻り売り○","なし")))</f>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IF(AND(T40&gt;=7,C40&lt;&gt;""),T40,0)</f>
        <v>8</v>
      </c>
      <c r="AH40">
        <f>IF(AG40&gt;0,AG40*10000-ROW(A40),0)</f>
        <v>79960</v>
      </c>
      <c r="AI40" s="373">
        <f t="array" ref="AI40">IF(C40="","",IFERROR((INDEX(終値!$E:$E,MATCH(TEXT(C40,"0"),終値!$A:$A,0))-INDEX(終値!$E:$CZ,MATCH(TEXT(C40,"0"),終値!$A:$A,0),$AN$2))/INDEX(終値!$E:$CZ,MATCH(TEXT(C40,"0"),終値!$A:$A,0),$AN$2)*100,""))</f>
        <v>-7.1097683786505534</v>
      </c>
      <c r="AJ40" s="373">
        <f t="array" ref="AJ40">IFERROR((終値!$E$5-INDEX(終値!$E$5:$IT$5,1,$AN$2))/INDEX(終値!$E$5:$IT$5,1,$AN$2)*100,"")</f>
        <v>1.0179378228534113</v>
      </c>
      <c r="AK40" s="374">
        <f>IF(OR(AI40="",AJ40=""),"",AI40-AJ40)</f>
        <v>-8.1277062015039654</v>
      </c>
      <c r="AL40" s="372">
        <f>IF(AK40="","",IF(AK40&lt;-5,3,IF(AK40&lt;0,1,IF(AK40&lt;3,-1,-2))))</f>
        <v>3</v>
      </c>
      <c r="AO40" s="376" t="str">
        <f>IF(OR($C40="",$E40="",$F40="",$H40="",$I40="",$H40-$I40&lt;=0),"-",IF(AND($H40-MAX($F40,$E40)&gt;=ABS($E40-$F40)*2,MIN($F40,$E40)-$I40&lt;=ABS($E40-$F40)*0.5,ABS($E40-$F40)&gt;0),"上ヒゲ陰線▼",IF(AND($E40&lt;$F40,ABS($E40-$F40)&gt;=($H40-$I40)*0.7),"大陰線▼",IF(AND(MIN($F40,$E40)-$I40&gt;=($H40-$I40)*0.5,$H40-MAX($F40,$E40)&lt;=($H40-$I40)*0.2),"長い下ヒゲ(反発警戒)","通常"))))</f>
        <v>通常</v>
      </c>
      <c r="AP40" s="377">
        <f>IF($AO40="上ヒゲ陰線▼",2,IF($AO40="大陰線▼",2,IF($AO40="長い下ヒゲ(反発警戒)",-2,0)))</f>
        <v>0</v>
      </c>
      <c r="AQ40">
        <f>IF(C40&lt;&gt;"",始値!F86,"")</f>
        <v>2310</v>
      </c>
      <c r="AR40">
        <f>IF(C40&lt;&gt;"",高値!F86,"")</f>
        <v>2355.5</v>
      </c>
      <c r="AS40">
        <f>IF(C40&lt;&gt;"",安値!F86,"")</f>
        <v>2302.5</v>
      </c>
      <c r="AT40" t="str">
        <f>IF(OR(C40="",AQ40="",AR40="",AS40="",AR40-AS40&lt;=0),"-",IF(AND(AR40-MAX(G40,AQ40)&gt;=ABS(G40-AQ40)*2,MIN(G40,AQ40)-AS40&lt;=ABS(G40-AQ40)*0.5,ABS(G40-AQ40)&gt;0),"上ヒゲ陰線▼",IF(AND(G40&lt;AQ40,ABS(G40-AQ40)&gt;=(AR40-AS40)*0.7),"大陰線▼",IF(AND(MIN(G40,AQ40)-AS40&gt;=(AR40-AS40)*0.5,AR40-MAX(G40,AQ40)&lt;=(AR40-AS40)*0.2),"長い下ヒゲ(反発)","通常"))))</f>
        <v>通常</v>
      </c>
      <c r="AU40">
        <f>IF(AT40="上ヒゲ陰線▼",2,IF(AT40="大陰線▼",2,IF(AT40="長い下ヒゲ(反発)",-2,0)))</f>
        <v>0</v>
      </c>
      <c r="BA40">
        <f>IFERROR((SUM(OFFSET(高値!$E$6,IFERROR(MATCH($C40,銘柄管理!$B$6:$B$305,0),MATCH(TEXT($C40,"0"),銘柄管理!$B$6:$B$305,0))-1,0,1,14))-SUM(OFFSET(安値!$E$6,IFERROR(MATCH($C40,銘柄管理!$B$6:$B$305,0),MATCH(TEXT($C40,"0"),銘柄管理!$B$6:$B$305,0))-1,0,1,14)))/SUM(OFFSET(終値!$E$6,IFERROR(MATCH($C40,銘柄管理!$B$6:$B$305,0),MATCH(TEXT($C40,"0"),銘柄管理!$B$6:$B$305,0))-1,0,1,14))*100,"")</f>
      </c>
      <c r="BB40">
        <f>IFERROR((MAX(OFFSET(高値!$E$6,IFERROR(MATCH($C40,銘柄管理!$B$6:$B$305,0),MATCH(TEXT($C40,"0"),銘柄管理!$B$6:$B$305,0))-1,0,1,25))-MIN(OFFSET(安値!$E$6,IFERROR(MATCH($C40,銘柄管理!$B$6:$B$305,0),MATCH(TEXT($C40,"0"),銘柄管理!$B$6:$B$305,0))-1,0,1,25)))/$E40*100,"")</f>
      </c>
      <c r="BC40">
        <f>IFERROR(($F40-$G40)/$G40*100,"")</f>
      </c>
      <c r="BD40">
        <f>IFERROR(($E40-MAX(OFFSET(高値!$E$6,IFERROR(MATCH($C40,銘柄管理!$B$6:$B$305,0),MATCH(TEXT($C40,"0"),銘柄管理!$B$6:$B$305,0))-1,0,1,25)))/MAX(OFFSET(高値!$E$6,IFERROR(MATCH($C40,銘柄管理!$B$6:$B$305,0),MATCH(TEXT($C40,"0"),銘柄管理!$B$6:$B$305,0))-1,0,1,25))*100,"")</f>
      </c>
      <c r="BE40">
        <f>IFERROR(($H40-$I40)/$F40*100,"")</f>
      </c>
      <c r="BF40">
        <f>IFERROR(-(($BA40-AVERAGE($BA$3:$BA$206))/STDEV($BA$3:$BA$206))-(($BE40-AVERAGE($BE$3:$BE$206))/STDEV($BE$3:$BE$206))-(($BB40-AVERAGE($BB$3:$BB$206))/STDEV($BB$3:$BB$206))-(($Z40-AVERAGE($Z$3:$Z$206))/STDEV($Z$3:$Z$206))-(($BC40-AVERAGE($BC$3:$BC$206))/STDEV($BC$3:$BC$206)),"")</f>
      </c>
      <c r="BG40">
        <f>IF(OR($C40="",$C40="TOPX",$BA40="",$BF40=""),0,IF(AND($BK$10=1,$BA40&lt;=$BK$2,$BB40&lt;=$BK$3,$BC40&lt;=$BK$4,$Z40&lt;=$BK$5,$Z40&gt;=$BK$6,$BD40&gt;=$BK$7,$BE40&lt;=$BK$8),1,0))</f>
      </c>
      <c r="BH40">
        <f>IF($C40="","",IF($BG40=1,"○ゲート通過",IF($BK$10&lt;&gt;1,"― この方向は停止中",IF($BA40&gt;$BK$2,"×値動きが荒い",IF($BB40&gt;$BK$3,"×レンジが広い",IF($BC40&gt;$BK$4,"×窓を開けて上昇",IF($Z40&gt;$BK$5,"×前日に急騰",IF($Z40&lt;$BK$6,"×前日に急落",IF($BD40&lt;$BK$7,"×高値から離れすぎ",IF($BE40&gt;$BK$8,"×当日の値幅が大きい","×")))))))))</f>
      </c>
    </row>
    <row r="41" spans="1:60"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IF(AND(E41&lt;&gt;"",K41&lt;&gt;"",K41&lt;&gt;0),(E41-K41)/K41*100,"")</f>
        <v>-19.888440084631657</v>
      </c>
      <c r="M41" s="326">
        <f>IF(C41&lt;&gt;"",IFERROR(AVERAGE(出来高!E90:I90),""),"")</f>
        <v>3380340</v>
      </c>
      <c r="N41" s="326">
        <f>IF(C41&lt;&gt;"",IFERROR(AVERAGE(出来高!E90:AC90),""),"")</f>
        <v>3331148</v>
      </c>
      <c r="O41" s="328">
        <f>IF(AND(J41&lt;&gt;"",M41&lt;&gt;"",M41&lt;&gt;0),J41/M41,"")</f>
        <v>0.5882248531212837</v>
      </c>
      <c r="P41" s="325" t="str">
        <f>IF(O41="","",IF(O41&gt;=2,"急増↑↑",IF(O41&gt;=1.5,"増加↑",IF(O41&gt;=1,"普通→","減少↓"))))</f>
        <v>減少↓</v>
      </c>
      <c r="Q41" s="325" t="str">
        <f>IF(E41="","",IF(AND(E41&lt;G41,O41&gt;=1.5),"売り▼",IF(E41&gt;G41,"様子見▲","中立→")))</f>
        <v>中立→</v>
      </c>
      <c r="R41" s="326">
        <f>IF(E41&lt;&gt;"",ROUND(E41*0.92,0),"")</f>
        <v>3832</v>
      </c>
      <c r="S41" s="326">
        <f>IF(E41&lt;&gt;"",ROUND(E41*1.04,0),"")</f>
        <v>4332</v>
      </c>
      <c r="T41" s="325">
        <f>IF(C41="","",IFERROR(IF(W41&gt;=70,3,IF(W41&gt;=60,2,IF(W41&gt;=50,1,0)))+IF(X41&lt;0,2,0)+IF(AD41="下降トレンド▼",3,IF(AD41="もみ合い→",1,0))+IF(V41="年初来安値圏●",3,IF(V41="安値圏",2,0))+IF(Q41="売り▼",2,0)+IF(P41="急増↑↑",2,IF(P41="増加↑",1,0))+IF(Z41&lt;0,1,0)+IF(L41&lt;=-30,2,IF(L41&lt;=-15,1,0))+IF(AE41="25日戻り売り★",2,IF(AE41="5日戻り売り○",1,0))+N(AL41)+N(AP41)+N(AU41),0))</f>
        <v>10</v>
      </c>
      <c r="U41" s="325" t="str">
        <f>IF(T41="","",IF(AND(T41&gt;=3,O41&gt;=1.5),"有効",IF(T41&gt;=3,"要確認","除外")))</f>
        <v>要確認</v>
      </c>
      <c r="V41" s="325" t="str">
        <f>IF(AND(I41&lt;&gt;"",K41&lt;&gt;""),IF(I41&lt;=K41*0.6,"年初来安値圏●",IF(I41&lt;=K41*0.75,"安値圏","通常")),"")</f>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IF(AF41="","",AF41&amp;" | "&amp;AD41&amp;IF(AE41&lt;&gt;"なし"," "&amp;AE41,"")&amp;IF(X41&lt;0," MACD-"," MACD+")&amp;" RSI:"&amp;TEXT(W41,"0.0")&amp;IF(W41&gt;=70," [過熱]",IF(W41&lt;=30," [売られ過ぎ]",""))&amp;" 前日比:"&amp;TEXT(Z41,"+0.0;-0.0;0.0")&amp;"%"&amp;IF(V41="年初来安値圏●"," [年初来安値圏]",IF(V41="安値圏"," [安値圏]",""))&amp;IF(OR(AO41="通常",AO41="-"),""," ["&amp;AO41&amp;"]")&amp;IF(OR(AT41="通常",AT41="-"),"","前日["&amp;AT41&amp;"]")&amp;" ["&amp;T41&amp;"点]")</f>
        <v>相場上昇・見送り | 下降トレンド▼ MACD- RSI:43.5 前日比:-7.4% [10点]</v>
      </c>
      <c r="Z41" s="331">
        <f>IF(AND(E41&lt;&gt;"",G41&lt;&gt;"",G41&lt;&gt;0),(E41-G41)/G41*100,"")</f>
        <v>-7.4032903512672306</v>
      </c>
      <c r="AA41" s="325" t="str">
        <f>IF(OR(C41="",E41="",E41=0),"",IF(E41&gt;G41,"上昇▲",IF(E41&lt;G41,"下落▼","横ばい→")))</f>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IF(OR(C41="",AB41="",AC41="",AB41=0,AC41=0),"",IF(AND(E41&gt;AB41,AB41&gt;AC41),"パーフェクト▲",IF(E41&gt;AC41,"上昇トレンド▲",IF(AND(E41&lt;AB41,AB41&lt;AC41),"下降トレンド▼","もみ合い→"))))</f>
        <v>下降トレンド▼</v>
      </c>
      <c r="AE41" s="325" t="str">
        <f>IF(OR(C41="",AB41="",AC41=""),"",IF(AND(ABS(E41-AC41)/AC41&lt;=0.02,E41&lt;AC41),"25日戻り売り★",IF(AND(ABS(E41-AB41)/AB41&lt;=0.01,E41&lt;AB41),"5日戻り売り○","なし")))</f>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IF(AND(T41&gt;=7,C41&lt;&gt;""),T41,0)</f>
        <v>10</v>
      </c>
      <c r="AH41">
        <f>IF(AG41&gt;0,AG41*10000-ROW(A41),0)</f>
        <v>99959</v>
      </c>
      <c r="AI41" s="373">
        <f t="array" ref="AI41">IF(C41="","",IFERROR((INDEX(終値!$E:$E,MATCH(TEXT(C41,"0"),終値!$A:$A,0))-INDEX(終値!$E:$CZ,MATCH(TEXT(C41,"0"),終値!$A:$A,0),$AN$2))/INDEX(終値!$E:$CZ,MATCH(TEXT(C41,"0"),終値!$A:$A,0),$AN$2)*100,""))</f>
        <v>-18.011811023622048</v>
      </c>
      <c r="AJ41" s="373">
        <f t="array" ref="AJ41">IFERROR((終値!$E$5-INDEX(終値!$E$5:$IT$5,1,$AN$2))/INDEX(終値!$E$5:$IT$5,1,$AN$2)*100,"")</f>
        <v>1.0179378228534113</v>
      </c>
      <c r="AK41" s="374">
        <f>IF(OR(AI41="",AJ41=""),"",AI41-AJ41)</f>
        <v>-19.02974884647546</v>
      </c>
      <c r="AL41" s="372">
        <f>IF(AK41="","",IF(AK41&lt;-5,3,IF(AK41&lt;0,1,IF(AK41&lt;3,-1,-2))))</f>
        <v>3</v>
      </c>
      <c r="AO41" s="376" t="str">
        <f>IF(OR($C41="",$E41="",$F41="",$H41="",$I41="",$H41-$I41&lt;=0),"-",IF(AND($H41-MAX($F41,$E41)&gt;=ABS($E41-$F41)*2,MIN($F41,$E41)-$I41&lt;=ABS($E41-$F41)*0.5,ABS($E41-$F41)&gt;0),"上ヒゲ陰線▼",IF(AND($E41&lt;$F41,ABS($E41-$F41)&gt;=($H41-$I41)*0.7),"大陰線▼",IF(AND(MIN($F41,$E41)-$I41&gt;=($H41-$I41)*0.5,$H41-MAX($F41,$E41)&lt;=($H41-$I41)*0.2),"長い下ヒゲ(反発警戒)","通常"))))</f>
        <v>通常</v>
      </c>
      <c r="AP41" s="377">
        <f>IF($AO41="上ヒゲ陰線▼",2,IF($AO41="大陰線▼",2,IF($AO41="長い下ヒゲ(反発警戒)",-2,0)))</f>
        <v>0</v>
      </c>
      <c r="AQ41">
        <f>IF(C41&lt;&gt;"",始値!F90,"")</f>
        <v>4400</v>
      </c>
      <c r="AR41">
        <f>IF(C41&lt;&gt;"",高値!F90,"")</f>
        <v>4524</v>
      </c>
      <c r="AS41">
        <f>IF(C41&lt;&gt;"",安値!F90,"")</f>
        <v>4372</v>
      </c>
      <c r="AT41" t="str">
        <f>IF(OR(C41="",AQ41="",AR41="",AS41="",AR41-AS41&lt;=0),"-",IF(AND(AR41-MAX(G41,AQ41)&gt;=ABS(G41-AQ41)*2,MIN(G41,AQ41)-AS41&lt;=ABS(G41-AQ41)*0.5,ABS(G41-AQ41)&gt;0),"上ヒゲ陰線▼",IF(AND(G41&lt;AQ41,ABS(G41-AQ41)&gt;=(AR41-AS41)*0.7),"大陰線▼",IF(AND(MIN(G41,AQ41)-AS41&gt;=(AR41-AS41)*0.5,AR41-MAX(G41,AQ41)&lt;=(AR41-AS41)*0.2),"長い下ヒゲ(反発)","通常"))))</f>
        <v>通常</v>
      </c>
      <c r="AU41">
        <f>IF(AT41="上ヒゲ陰線▼",2,IF(AT41="大陰線▼",2,IF(AT41="長い下ヒゲ(反発)",-2,0)))</f>
        <v>0</v>
      </c>
      <c r="BA41">
        <f>IFERROR((SUM(OFFSET(高値!$E$6,IFERROR(MATCH($C41,銘柄管理!$B$6:$B$305,0),MATCH(TEXT($C41,"0"),銘柄管理!$B$6:$B$305,0))-1,0,1,14))-SUM(OFFSET(安値!$E$6,IFERROR(MATCH($C41,銘柄管理!$B$6:$B$305,0),MATCH(TEXT($C41,"0"),銘柄管理!$B$6:$B$305,0))-1,0,1,14)))/SUM(OFFSET(終値!$E$6,IFERROR(MATCH($C41,銘柄管理!$B$6:$B$305,0),MATCH(TEXT($C41,"0"),銘柄管理!$B$6:$B$305,0))-1,0,1,14))*100,"")</f>
      </c>
      <c r="BB41">
        <f>IFERROR((MAX(OFFSET(高値!$E$6,IFERROR(MATCH($C41,銘柄管理!$B$6:$B$305,0),MATCH(TEXT($C41,"0"),銘柄管理!$B$6:$B$305,0))-1,0,1,25))-MIN(OFFSET(安値!$E$6,IFERROR(MATCH($C41,銘柄管理!$B$6:$B$305,0),MATCH(TEXT($C41,"0"),銘柄管理!$B$6:$B$305,0))-1,0,1,25)))/$E41*100,"")</f>
      </c>
      <c r="BC41">
        <f>IFERROR(($F41-$G41)/$G41*100,"")</f>
      </c>
      <c r="BD41">
        <f>IFERROR(($E41-MAX(OFFSET(高値!$E$6,IFERROR(MATCH($C41,銘柄管理!$B$6:$B$305,0),MATCH(TEXT($C41,"0"),銘柄管理!$B$6:$B$305,0))-1,0,1,25)))/MAX(OFFSET(高値!$E$6,IFERROR(MATCH($C41,銘柄管理!$B$6:$B$305,0),MATCH(TEXT($C41,"0"),銘柄管理!$B$6:$B$305,0))-1,0,1,25))*100,"")</f>
      </c>
      <c r="BE41">
        <f>IFERROR(($H41-$I41)/$F41*100,"")</f>
      </c>
      <c r="BF41">
        <f>IFERROR(-(($BA41-AVERAGE($BA$3:$BA$206))/STDEV($BA$3:$BA$206))-(($BE41-AVERAGE($BE$3:$BE$206))/STDEV($BE$3:$BE$206))-(($BB41-AVERAGE($BB$3:$BB$206))/STDEV($BB$3:$BB$206))-(($Z41-AVERAGE($Z$3:$Z$206))/STDEV($Z$3:$Z$206))-(($BC41-AVERAGE($BC$3:$BC$206))/STDEV($BC$3:$BC$206)),"")</f>
      </c>
      <c r="BG41">
        <f>IF(OR($C41="",$C41="TOPX",$BA41="",$BF41=""),0,IF(AND($BK$10=1,$BA41&lt;=$BK$2,$BB41&lt;=$BK$3,$BC41&lt;=$BK$4,$Z41&lt;=$BK$5,$Z41&gt;=$BK$6,$BD41&gt;=$BK$7,$BE41&lt;=$BK$8),1,0))</f>
      </c>
      <c r="BH41">
        <f>IF($C41="","",IF($BG41=1,"○ゲート通過",IF($BK$10&lt;&gt;1,"― この方向は停止中",IF($BA41&gt;$BK$2,"×値動きが荒い",IF($BB41&gt;$BK$3,"×レンジが広い",IF($BC41&gt;$BK$4,"×窓を開けて上昇",IF($Z41&gt;$BK$5,"×前日に急騰",IF($Z41&lt;$BK$6,"×前日に急落",IF($BD41&lt;$BK$7,"×高値から離れすぎ",IF($BE41&gt;$BK$8,"×当日の値幅が大きい","×")))))))))</f>
      </c>
    </row>
    <row r="42" spans="1:60"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IF(AND(E42&lt;&gt;"",K42&lt;&gt;"",K42&lt;&gt;0),(E42-K42)/K42*100,"")</f>
        <v>-20.739736638264912</v>
      </c>
      <c r="M42" s="333">
        <f>IF(C42&lt;&gt;"",IFERROR(AVERAGE(出来高!E105:I105),""),"")</f>
        <v>703800</v>
      </c>
      <c r="N42" s="333">
        <f>IF(C42&lt;&gt;"",IFERROR(AVERAGE(出来高!E105:AC105),""),"")</f>
        <v>522040</v>
      </c>
      <c r="O42" s="335">
        <f>IF(AND(J42&lt;&gt;"",M42&lt;&gt;"",M42&lt;&gt;0),J42/M42,"")</f>
        <v>0.91503267973856206</v>
      </c>
      <c r="P42" s="212" t="str">
        <f>IF(O42="","",IF(O42&gt;=2,"急増↑↑",IF(O42&gt;=1.5,"増加↑",IF(O42&gt;=1,"普通→","減少↓"))))</f>
        <v>減少↓</v>
      </c>
      <c r="Q42" s="212" t="str">
        <f>IF(E42="","",IF(AND(E42&lt;G42,O42&gt;=1.5),"売り▼",IF(E42&gt;G42,"様子見▲","中立→")))</f>
        <v>中立→</v>
      </c>
      <c r="R42" s="333">
        <f>IF(E42&lt;&gt;"",ROUND(E42*0.92,0),"")</f>
        <v>3766</v>
      </c>
      <c r="S42" s="333">
        <f>IF(E42&lt;&gt;"",ROUND(E42*1.04,0),"")</f>
        <v>4257</v>
      </c>
      <c r="T42" s="325">
        <f>IF(C42="","",IFERROR(IF(W42&gt;=70,3,IF(W42&gt;=60,2,IF(W42&gt;=50,1,0)))+IF(X42&lt;0,2,0)+IF(AD42="下降トレンド▼",3,IF(AD42="もみ合い→",1,0))+IF(V42="年初来安値圏●",3,IF(V42="安値圏",2,0))+IF(Q42="売り▼",2,0)+IF(P42="急増↑↑",2,IF(P42="増加↑",1,0))+IF(Z42&lt;0,1,0)+IF(L42&lt;=-30,2,IF(L42&lt;=-15,1,0))+IF(AE42="25日戻り売り★",2,IF(AE42="5日戻り売り○",1,0))+N(AL42)+N(AP42)+N(AU42),0))</f>
        <v>10</v>
      </c>
      <c r="U42" s="212" t="str">
        <f>IF(T42="","",IF(AND(T42&gt;=3,O42&gt;=1.5),"有効",IF(T42&gt;=3,"要確認","除外")))</f>
        <v>要確認</v>
      </c>
      <c r="V42" s="212" t="str">
        <f>IF(AND(I42&lt;&gt;"",K42&lt;&gt;""),IF(I42&lt;=K42*0.6,"年初来安値圏●",IF(I42&lt;=K42*0.75,"安値圏","通常")),"")</f>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IF(AF42="","",AF42&amp;" | "&amp;AD42&amp;IF(AE42&lt;&gt;"なし"," "&amp;AE42,"")&amp;IF(X42&lt;0," MACD-"," MACD+")&amp;" RSI:"&amp;TEXT(W42,"0.0")&amp;IF(W42&gt;=70," [過熱]",IF(W42&lt;=30," [売られ過ぎ]",""))&amp;" 前日比:"&amp;TEXT(Z42,"+0.0;-0.0;0.0")&amp;"%"&amp;IF(V42="年初来安値圏●"," [年初来安値圏]",IF(V42="安値圏"," [安値圏]",""))&amp;IF(OR(AO42="通常",AO42="-"),""," ["&amp;AO42&amp;"]")&amp;IF(OR(AT42="通常",AT42="-"),"","前日["&amp;AT42&amp;"]")&amp;" ["&amp;T42&amp;"点]")</f>
        <v>相場上昇・見送り | パーフェクト▲ MACD- RSI:52.8 前日比:-6.1% [上ヒゲ陰線▼] [10点]</v>
      </c>
      <c r="Z42" s="338">
        <f>IF(AND(E42&lt;&gt;"",G42&lt;&gt;"",G42&lt;&gt;0),(E42-G42)/G42*100,"")</f>
        <v>-6.123853211009175</v>
      </c>
      <c r="AA42" s="212" t="str">
        <f>IF(OR(C42="",E42="",E42=0),"",IF(E42&gt;G42,"上昇▲",IF(E42&lt;G42,"下落▼","横ばい→")))</f>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IF(OR(C42="",AB42="",AC42="",AB42=0,AC42=0),"",IF(AND(E42&gt;AB42,AB42&gt;AC42),"パーフェクト▲",IF(E42&gt;AC42,"上昇トレンド▲",IF(AND(E42&lt;AB42,AB42&lt;AC42),"下降トレンド▼","もみ合い→"))))</f>
        <v>パーフェクト▲</v>
      </c>
      <c r="AE42" s="212" t="str">
        <f>IF(OR(C42="",AB42="",AC42=""),"",IF(AND(ABS(E42-AC42)/AC42&lt;=0.02,E42&lt;AC42),"25日戻り売り★",IF(AND(ABS(E42-AB42)/AB42&lt;=0.01,E42&lt;AB42),"5日戻り売り○","なし")))</f>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IF(AND(T42&gt;=7,C42&lt;&gt;""),T42,0)</f>
        <v>10</v>
      </c>
      <c r="AH42">
        <f>IF(AG42&gt;0,AG42*10000-ROW(A42),0)</f>
        <v>99958</v>
      </c>
      <c r="AI42" s="373">
        <f t="array" ref="AI42">IF(C42="","",IFERROR((INDEX(終値!$E:$E,MATCH(TEXT(C42,"0"),終値!$A:$A,0))-INDEX(終値!$E:$CZ,MATCH(TEXT(C42,"0"),終値!$A:$A,0),$AN$2))/INDEX(終値!$E:$CZ,MATCH(TEXT(C42,"0"),終値!$A:$A,0),$AN$2)*100,""))</f>
        <v>-15.223695111847558</v>
      </c>
      <c r="AJ42" s="373">
        <f t="array" ref="AJ42">IFERROR((終値!$E$5-INDEX(終値!$E$5:$IT$5,1,$AN$2))/INDEX(終値!$E$5:$IT$5,1,$AN$2)*100,"")</f>
        <v>1.0179378228534113</v>
      </c>
      <c r="AK42" s="374">
        <f>IF(OR(AI42="",AJ42=""),"",AI42-AJ42)</f>
        <v>-16.24163293470097</v>
      </c>
      <c r="AL42" s="372">
        <f>IF(AK42="","",IF(AK42&lt;-5,3,IF(AK42&lt;0,1,IF(AK42&lt;3,-1,-2))))</f>
        <v>3</v>
      </c>
      <c r="AO42" s="376" t="str">
        <f>IF(OR($C42="",$E42="",$F42="",$H42="",$I42="",$H42-$I42&lt;=0),"-",IF(AND($H42-MAX($F42,$E42)&gt;=ABS($E42-$F42)*2,MIN($F42,$E42)-$I42&lt;=ABS($E42-$F42)*0.5,ABS($E42-$F42)&gt;0),"上ヒゲ陰線▼",IF(AND($E42&lt;$F42,ABS($E42-$F42)&gt;=($H42-$I42)*0.7),"大陰線▼",IF(AND(MIN($F42,$E42)-$I42&gt;=($H42-$I42)*0.5,$H42-MAX($F42,$E42)&lt;=($H42-$I42)*0.2),"長い下ヒゲ(反発警戒)","通常"))))</f>
        <v>上ヒゲ陰線▼</v>
      </c>
      <c r="AP42" s="377">
        <f>IF($AO42="上ヒゲ陰線▼",2,IF($AO42="大陰線▼",2,IF($AO42="長い下ヒゲ(反発警戒)",-2,0)))</f>
        <v>2</v>
      </c>
      <c r="AQ42">
        <f>IF(C42&lt;&gt;"",始値!F105,"")</f>
        <v>4363</v>
      </c>
      <c r="AR42">
        <f>IF(C42&lt;&gt;"",高値!F105,"")</f>
        <v>4416</v>
      </c>
      <c r="AS42">
        <f>IF(C42&lt;&gt;"",安値!F105,"")</f>
        <v>4245</v>
      </c>
      <c r="AT42" t="str">
        <f>IF(OR(C42="",AQ42="",AR42="",AS42="",AR42-AS42&lt;=0),"-",IF(AND(AR42-MAX(G42,AQ42)&gt;=ABS(G42-AQ42)*2,MIN(G42,AQ42)-AS42&lt;=ABS(G42-AQ42)*0.5,ABS(G42-AQ42)&gt;0),"上ヒゲ陰線▼",IF(AND(G42&lt;AQ42,ABS(G42-AQ42)&gt;=(AR42-AS42)*0.7),"大陰線▼",IF(AND(MIN(G42,AQ42)-AS42&gt;=(AR42-AS42)*0.5,AR42-MAX(G42,AQ42)&lt;=(AR42-AS42)*0.2),"長い下ヒゲ(反発)","通常"))))</f>
        <v>通常</v>
      </c>
      <c r="AU42">
        <f>IF(AT42="上ヒゲ陰線▼",2,IF(AT42="大陰線▼",2,IF(AT42="長い下ヒゲ(反発)",-2,0)))</f>
        <v>0</v>
      </c>
      <c r="BA42">
        <f>IFERROR((SUM(OFFSET(高値!$E$6,IFERROR(MATCH($C42,銘柄管理!$B$6:$B$305,0),MATCH(TEXT($C42,"0"),銘柄管理!$B$6:$B$305,0))-1,0,1,14))-SUM(OFFSET(安値!$E$6,IFERROR(MATCH($C42,銘柄管理!$B$6:$B$305,0),MATCH(TEXT($C42,"0"),銘柄管理!$B$6:$B$305,0))-1,0,1,14)))/SUM(OFFSET(終値!$E$6,IFERROR(MATCH($C42,銘柄管理!$B$6:$B$305,0),MATCH(TEXT($C42,"0"),銘柄管理!$B$6:$B$305,0))-1,0,1,14))*100,"")</f>
      </c>
      <c r="BB42">
        <f>IFERROR((MAX(OFFSET(高値!$E$6,IFERROR(MATCH($C42,銘柄管理!$B$6:$B$305,0),MATCH(TEXT($C42,"0"),銘柄管理!$B$6:$B$305,0))-1,0,1,25))-MIN(OFFSET(安値!$E$6,IFERROR(MATCH($C42,銘柄管理!$B$6:$B$305,0),MATCH(TEXT($C42,"0"),銘柄管理!$B$6:$B$305,0))-1,0,1,25)))/$E42*100,"")</f>
      </c>
      <c r="BC42">
        <f>IFERROR(($F42-$G42)/$G42*100,"")</f>
      </c>
      <c r="BD42">
        <f>IFERROR(($E42-MAX(OFFSET(高値!$E$6,IFERROR(MATCH($C42,銘柄管理!$B$6:$B$305,0),MATCH(TEXT($C42,"0"),銘柄管理!$B$6:$B$305,0))-1,0,1,25)))/MAX(OFFSET(高値!$E$6,IFERROR(MATCH($C42,銘柄管理!$B$6:$B$305,0),MATCH(TEXT($C42,"0"),銘柄管理!$B$6:$B$305,0))-1,0,1,25))*100,"")</f>
      </c>
      <c r="BE42">
        <f>IFERROR(($H42-$I42)/$F42*100,"")</f>
      </c>
      <c r="BF42">
        <f>IFERROR(-(($BA42-AVERAGE($BA$3:$BA$206))/STDEV($BA$3:$BA$206))-(($BE42-AVERAGE($BE$3:$BE$206))/STDEV($BE$3:$BE$206))-(($BB42-AVERAGE($BB$3:$BB$206))/STDEV($BB$3:$BB$206))-(($Z42-AVERAGE($Z$3:$Z$206))/STDEV($Z$3:$Z$206))-(($BC42-AVERAGE($BC$3:$BC$206))/STDEV($BC$3:$BC$206)),"")</f>
      </c>
      <c r="BG42">
        <f>IF(OR($C42="",$C42="TOPX",$BA42="",$BF42=""),0,IF(AND($BK$10=1,$BA42&lt;=$BK$2,$BB42&lt;=$BK$3,$BC42&lt;=$BK$4,$Z42&lt;=$BK$5,$Z42&gt;=$BK$6,$BD42&gt;=$BK$7,$BE42&lt;=$BK$8),1,0))</f>
      </c>
      <c r="BH42">
        <f>IF($C42="","",IF($BG42=1,"○ゲート通過",IF($BK$10&lt;&gt;1,"― この方向は停止中",IF($BA42&gt;$BK$2,"×値動きが荒い",IF($BB42&gt;$BK$3,"×レンジが広い",IF($BC42&gt;$BK$4,"×窓を開けて上昇",IF($Z42&gt;$BK$5,"×前日に急騰",IF($Z42&lt;$BK$6,"×前日に急落",IF($BD42&lt;$BK$7,"×高値から離れすぎ",IF($BE42&gt;$BK$8,"×当日の値幅が大きい","×")))))))))</f>
      </c>
    </row>
    <row r="43" spans="1:60"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IF(AND(E43&lt;&gt;"",K43&lt;&gt;"",K43&lt;&gt;0),(E43-K43)/K43*100,"")</f>
        <v>-35.373537353735372</v>
      </c>
      <c r="M43" s="326">
        <f>IF(C43&lt;&gt;"",IFERROR(AVERAGE(出来高!E159:I159),""),"")</f>
        <v>385740</v>
      </c>
      <c r="N43" s="326">
        <f>IF(C43&lt;&gt;"",IFERROR(AVERAGE(出来高!E159:AC159),""),"")</f>
        <v>221476</v>
      </c>
      <c r="O43" s="328">
        <f>IF(AND(J43&lt;&gt;"",M43&lt;&gt;"",M43&lt;&gt;0),J43/M43,"")</f>
        <v>0.54440815056773995</v>
      </c>
      <c r="P43" s="325" t="str">
        <f>IF(O43="","",IF(O43&gt;=2,"急増↑↑",IF(O43&gt;=1.5,"増加↑",IF(O43&gt;=1,"普通→","減少↓"))))</f>
        <v>減少↓</v>
      </c>
      <c r="Q43" s="325" t="str">
        <f>IF(E43="","",IF(AND(E43&lt;G43,O43&gt;=1.5),"売り▼",IF(E43&gt;G43,"様子見▲","中立→")))</f>
        <v>中立→</v>
      </c>
      <c r="R43" s="326">
        <f>IF(E43&lt;&gt;"",ROUND(E43*0.92,0),"")</f>
        <v>6606</v>
      </c>
      <c r="S43" s="326">
        <f>IF(E43&lt;&gt;"",ROUND(E43*1.04,0),"")</f>
        <v>7467</v>
      </c>
      <c r="T43" s="325">
        <f>IF(C43="","",IFERROR(IF(W43&gt;=70,3,IF(W43&gt;=60,2,IF(W43&gt;=50,1,0)))+IF(X43&lt;0,2,0)+IF(AD43="下降トレンド▼",3,IF(AD43="もみ合い→",1,0))+IF(V43="年初来安値圏●",3,IF(V43="安値圏",2,0))+IF(Q43="売り▼",2,0)+IF(P43="急増↑↑",2,IF(P43="増加↑",1,0))+IF(Z43&lt;0,1,0)+IF(L43&lt;=-30,2,IF(L43&lt;=-15,1,0))+IF(AE43="25日戻り売り★",2,IF(AE43="5日戻り売り○",1,0))+N(AL43)+N(AP43)+N(AU43),0))</f>
        <v>10</v>
      </c>
      <c r="U43" s="325" t="str">
        <f>IF(T43="","",IF(AND(T43&gt;=3,O43&gt;=1.5),"有効",IF(T43&gt;=3,"要確認","除外")))</f>
        <v>要確認</v>
      </c>
      <c r="V43" s="325" t="str">
        <f>IF(AND(I43&lt;&gt;"",K43&lt;&gt;""),IF(I43&lt;=K43*0.6,"年初来安値圏●",IF(I43&lt;=K43*0.75,"安値圏","通常")),"")</f>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IF(AF43="","",AF43&amp;" | "&amp;AD43&amp;IF(AE43&lt;&gt;"なし"," "&amp;AE43,"")&amp;IF(X43&lt;0," MACD-"," MACD+")&amp;" RSI:"&amp;TEXT(W43,"0.0")&amp;IF(W43&gt;=70," [過熱]",IF(W43&lt;=30," [売られ過ぎ]",""))&amp;" 前日比:"&amp;TEXT(Z43,"+0.0;-0.0;0.0")&amp;"%"&amp;IF(V43="年初来安値圏●"," [年初来安値圏]",IF(V43="安値圏"," [安値圏]",""))&amp;IF(OR(AO43="通常",AO43="-"),""," ["&amp;AO43&amp;"]")&amp;IF(OR(AT43="通常",AT43="-"),"","前日["&amp;AT43&amp;"]")&amp;" ["&amp;T43&amp;"点]")</f>
        <v>相場上昇・見送り | 上昇トレンド▲ MACD- RSI:44.3 前日比:-1.8% [安値圏] [10点]</v>
      </c>
      <c r="Z43" s="331">
        <f>IF(AND(E43&lt;&gt;"",G43&lt;&gt;"",G43&lt;&gt;0),(E43-G43)/G43*100,"")</f>
        <v>-1.7783857729138166</v>
      </c>
      <c r="AA43" s="325" t="str">
        <f>IF(OR(C43="",E43="",E43=0),"",IF(E43&gt;G43,"上昇▲",IF(E43&lt;G43,"下落▼","横ばい→")))</f>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IF(OR(C43="",AB43="",AC43="",AB43=0,AC43=0),"",IF(AND(E43&gt;AB43,AB43&gt;AC43),"パーフェクト▲",IF(E43&gt;AC43,"上昇トレンド▲",IF(AND(E43&lt;AB43,AB43&lt;AC43),"下降トレンド▼","もみ合い→"))))</f>
        <v>上昇トレンド▲</v>
      </c>
      <c r="AE43" s="325" t="str">
        <f>IF(OR(C43="",AB43="",AC43=""),"",IF(AND(ABS(E43-AC43)/AC43&lt;=0.02,E43&lt;AC43),"25日戻り売り★",IF(AND(ABS(E43-AB43)/AB43&lt;=0.01,E43&lt;AB43),"5日戻り売り○","なし")))</f>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IF(AND(T43&gt;=7,C43&lt;&gt;""),T43,0)</f>
        <v>10</v>
      </c>
      <c r="AH43">
        <f>IF(AG43&gt;0,AG43*10000-ROW(A43),0)</f>
        <v>99957</v>
      </c>
      <c r="AI43" s="373">
        <f t="array" ref="AI43">IF(C43="","",IFERROR((INDEX(終値!$E:$E,MATCH(TEXT(C43,"0"),終値!$A:$A,0))-INDEX(終値!$E:$CZ,MATCH(TEXT(C43,"0"),終値!$A:$A,0),$AN$2))/INDEX(終値!$E:$CZ,MATCH(TEXT(C43,"0"),終値!$A:$A,0),$AN$2)*100,""))</f>
        <v>-30.291262135922331</v>
      </c>
      <c r="AJ43" s="373">
        <f t="array" ref="AJ43">IFERROR((終値!$E$5-INDEX(終値!$E$5:$IT$5,1,$AN$2))/INDEX(終値!$E$5:$IT$5,1,$AN$2)*100,"")</f>
        <v>1.0179378228534113</v>
      </c>
      <c r="AK43" s="374">
        <f>IF(OR(AI43="",AJ43=""),"",AI43-AJ43)</f>
        <v>-31.309199958775743</v>
      </c>
      <c r="AL43" s="372">
        <f>IF(AK43="","",IF(AK43&lt;-5,3,IF(AK43&lt;0,1,IF(AK43&lt;3,-1,-2))))</f>
        <v>3</v>
      </c>
      <c r="AO43" s="376" t="str">
        <f>IF(OR($C43="",$E43="",$F43="",$H43="",$I43="",$H43-$I43&lt;=0),"-",IF(AND($H43-MAX($F43,$E43)&gt;=ABS($E43-$F43)*2,MIN($F43,$E43)-$I43&lt;=ABS($E43-$F43)*0.5,ABS($E43-$F43)&gt;0),"上ヒゲ陰線▼",IF(AND($E43&lt;$F43,ABS($E43-$F43)&gt;=($H43-$I43)*0.7),"大陰線▼",IF(AND(MIN($F43,$E43)-$I43&gt;=($H43-$I43)*0.5,$H43-MAX($F43,$E43)&lt;=($H43-$I43)*0.2),"長い下ヒゲ(反発警戒)","通常"))))</f>
        <v>通常</v>
      </c>
      <c r="AP43" s="377">
        <f>IF($AO43="上ヒゲ陰線▼",2,IF($AO43="大陰線▼",2,IF($AO43="長い下ヒゲ(反発警戒)",-2,0)))</f>
        <v>0</v>
      </c>
      <c r="AQ43">
        <f>IF(C43&lt;&gt;"",始値!F159,"")</f>
        <v>7300</v>
      </c>
      <c r="AR43">
        <f>IF(C43&lt;&gt;"",高値!F159,"")</f>
        <v>7700</v>
      </c>
      <c r="AS43">
        <f>IF(C43&lt;&gt;"",安値!F159,"")</f>
        <v>7140</v>
      </c>
      <c r="AT43" t="str">
        <f>IF(OR(C43="",AQ43="",AR43="",AS43="",AR43-AS43&lt;=0),"-",IF(AND(AR43-MAX(G43,AQ43)&gt;=ABS(G43-AQ43)*2,MIN(G43,AQ43)-AS43&lt;=ABS(G43-AQ43)*0.5,ABS(G43-AQ43)&gt;0),"上ヒゲ陰線▼",IF(AND(G43&lt;AQ43,ABS(G43-AQ43)&gt;=(AR43-AS43)*0.7),"大陰線▼",IF(AND(MIN(G43,AQ43)-AS43&gt;=(AR43-AS43)*0.5,AR43-MAX(G43,AQ43)&lt;=(AR43-AS43)*0.2),"長い下ヒゲ(反発)","通常"))))</f>
        <v>通常</v>
      </c>
      <c r="AU43">
        <f>IF(AT43="上ヒゲ陰線▼",2,IF(AT43="大陰線▼",2,IF(AT43="長い下ヒゲ(反発)",-2,0)))</f>
        <v>0</v>
      </c>
      <c r="BA43">
        <f>IFERROR((SUM(OFFSET(高値!$E$6,IFERROR(MATCH($C43,銘柄管理!$B$6:$B$305,0),MATCH(TEXT($C43,"0"),銘柄管理!$B$6:$B$305,0))-1,0,1,14))-SUM(OFFSET(安値!$E$6,IFERROR(MATCH($C43,銘柄管理!$B$6:$B$305,0),MATCH(TEXT($C43,"0"),銘柄管理!$B$6:$B$305,0))-1,0,1,14)))/SUM(OFFSET(終値!$E$6,IFERROR(MATCH($C43,銘柄管理!$B$6:$B$305,0),MATCH(TEXT($C43,"0"),銘柄管理!$B$6:$B$305,0))-1,0,1,14))*100,"")</f>
      </c>
      <c r="BB43">
        <f>IFERROR((MAX(OFFSET(高値!$E$6,IFERROR(MATCH($C43,銘柄管理!$B$6:$B$305,0),MATCH(TEXT($C43,"0"),銘柄管理!$B$6:$B$305,0))-1,0,1,25))-MIN(OFFSET(安値!$E$6,IFERROR(MATCH($C43,銘柄管理!$B$6:$B$305,0),MATCH(TEXT($C43,"0"),銘柄管理!$B$6:$B$305,0))-1,0,1,25)))/$E43*100,"")</f>
      </c>
      <c r="BC43">
        <f>IFERROR(($F43-$G43)/$G43*100,"")</f>
      </c>
      <c r="BD43">
        <f>IFERROR(($E43-MAX(OFFSET(高値!$E$6,IFERROR(MATCH($C43,銘柄管理!$B$6:$B$305,0),MATCH(TEXT($C43,"0"),銘柄管理!$B$6:$B$305,0))-1,0,1,25)))/MAX(OFFSET(高値!$E$6,IFERROR(MATCH($C43,銘柄管理!$B$6:$B$305,0),MATCH(TEXT($C43,"0"),銘柄管理!$B$6:$B$305,0))-1,0,1,25))*100,"")</f>
      </c>
      <c r="BE43">
        <f>IFERROR(($H43-$I43)/$F43*100,"")</f>
      </c>
      <c r="BF43">
        <f>IFERROR(-(($BA43-AVERAGE($BA$3:$BA$206))/STDEV($BA$3:$BA$206))-(($BE43-AVERAGE($BE$3:$BE$206))/STDEV($BE$3:$BE$206))-(($BB43-AVERAGE($BB$3:$BB$206))/STDEV($BB$3:$BB$206))-(($Z43-AVERAGE($Z$3:$Z$206))/STDEV($Z$3:$Z$206))-(($BC43-AVERAGE($BC$3:$BC$206))/STDEV($BC$3:$BC$206)),"")</f>
      </c>
      <c r="BG43">
        <f>IF(OR($C43="",$C43="TOPX",$BA43="",$BF43=""),0,IF(AND($BK$10=1,$BA43&lt;=$BK$2,$BB43&lt;=$BK$3,$BC43&lt;=$BK$4,$Z43&lt;=$BK$5,$Z43&gt;=$BK$6,$BD43&gt;=$BK$7,$BE43&lt;=$BK$8),1,0))</f>
      </c>
      <c r="BH43">
        <f>IF($C43="","",IF($BG43=1,"○ゲート通過",IF($BK$10&lt;&gt;1,"― この方向は停止中",IF($BA43&gt;$BK$2,"×値動きが荒い",IF($BB43&gt;$BK$3,"×レンジが広い",IF($BC43&gt;$BK$4,"×窓を開けて上昇",IF($Z43&gt;$BK$5,"×前日に急騰",IF($Z43&lt;$BK$6,"×前日に急落",IF($BD43&lt;$BK$7,"×高値から離れすぎ",IF($BE43&gt;$BK$8,"×当日の値幅が大きい","×")))))))))</f>
      </c>
    </row>
    <row r="44" spans="1:60"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IF(AND(E44&lt;&gt;"",K44&lt;&gt;"",K44&lt;&gt;0),(E44-K44)/K44*100,"")</f>
        <v>-17.387218045112782</v>
      </c>
      <c r="M44" s="333">
        <f>IF(C44&lt;&gt;"",IFERROR(AVERAGE(出来高!E162:I162),""),"")</f>
        <v>780</v>
      </c>
      <c r="N44" s="333">
        <f>IF(C44&lt;&gt;"",IFERROR(AVERAGE(出来高!E162:AC162),""),"")</f>
        <v>1270.8333333333333</v>
      </c>
      <c r="O44" s="335">
        <f>IF(AND(J44&lt;&gt;"",M44&lt;&gt;"",M44&lt;&gt;0),J44/M44,"")</f>
        <v>0.64102564102564108</v>
      </c>
      <c r="P44" s="212" t="str">
        <f>IF(O44="","",IF(O44&gt;=2,"急増↑↑",IF(O44&gt;=1.5,"増加↑",IF(O44&gt;=1,"普通→","減少↓"))))</f>
        <v>減少↓</v>
      </c>
      <c r="Q44" s="212" t="str">
        <f>IF(E44="","",IF(AND(E44&lt;G44,O44&gt;=1.5),"売り▼",IF(E44&gt;G44,"様子見▲","中立→")))</f>
        <v>中立→</v>
      </c>
      <c r="R44" s="333">
        <f>IF(E44&lt;&gt;"",ROUND(E44*0.92,0),"")</f>
        <v>4043</v>
      </c>
      <c r="S44" s="333">
        <f>IF(E44&lt;&gt;"",ROUND(E44*1.04,0),"")</f>
        <v>4571</v>
      </c>
      <c r="T44" s="325">
        <f>IF(C44="","",IFERROR(IF(W44&gt;=70,3,IF(W44&gt;=60,2,IF(W44&gt;=50,1,0)))+IF(X44&lt;0,2,0)+IF(AD44="下降トレンド▼",3,IF(AD44="もみ合い→",1,0))+IF(V44="年初来安値圏●",3,IF(V44="安値圏",2,0))+IF(Q44="売り▼",2,0)+IF(P44="急増↑↑",2,IF(P44="増加↑",1,0))+IF(Z44&lt;0,1,0)+IF(L44&lt;=-30,2,IF(L44&lt;=-15,1,0))+IF(AE44="25日戻り売り★",2,IF(AE44="5日戻り売り○",1,0))+N(AL44)+N(AP44)+N(AU44),0))</f>
        <v>9</v>
      </c>
      <c r="U44" s="212" t="str">
        <f>IF(T44="","",IF(AND(T44&gt;=3,O44&gt;=1.5),"有効",IF(T44&gt;=3,"要確認","除外")))</f>
        <v>要確認</v>
      </c>
      <c r="V44" s="212" t="str">
        <f>IF(AND(I44&lt;&gt;"",K44&lt;&gt;""),IF(I44&lt;=K44*0.6,"年初来安値圏●",IF(I44&lt;=K44*0.75,"安値圏","通常")),"")</f>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IF(AF44="","",AF44&amp;" | "&amp;AD44&amp;IF(AE44&lt;&gt;"なし"," "&amp;AE44,"")&amp;IF(X44&lt;0," MACD-"," MACD+")&amp;" RSI:"&amp;TEXT(W44,"0.0")&amp;IF(W44&gt;=70," [過熱]",IF(W44&lt;=30," [売られ過ぎ]",""))&amp;" 前日比:"&amp;TEXT(Z44,"+0.0;-0.0;0.0")&amp;"%"&amp;IF(V44="年初来安値圏●"," [年初来安値圏]",IF(V44="安値圏"," [安値圏]",""))&amp;IF(OR(AO44="通常",AO44="-"),""," ["&amp;AO44&amp;"]")&amp;IF(OR(AT44="通常",AT44="-"),"","前日["&amp;AT44&amp;"]")&amp;" ["&amp;T44&amp;"点]")</f>
        <v>相場上昇・見送り | 上昇トレンド▲ 5日戻り売り○ MACD- RSI:50.3 前日比:-1.1% [大陰線▼] [9点]</v>
      </c>
      <c r="Z44" s="338">
        <f>IF(AND(E44&lt;&gt;"",G44&lt;&gt;"",G44&lt;&gt;0),(E44-G44)/G44*100,"")</f>
        <v>-1.124859392575928</v>
      </c>
      <c r="AA44" s="212" t="str">
        <f>IF(OR(C44="",E44="",E44=0),"",IF(E44&gt;G44,"上昇▲",IF(E44&lt;G44,"下落▼","横ばい→")))</f>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IF(OR(C44="",AB44="",AC44="",AB44=0,AC44=0),"",IF(AND(E44&gt;AB44,AB44&gt;AC44),"パーフェクト▲",IF(E44&gt;AC44,"上昇トレンド▲",IF(AND(E44&lt;AB44,AB44&lt;AC44),"下降トレンド▼","もみ合い→"))))</f>
        <v>上昇トレンド▲</v>
      </c>
      <c r="AE44" s="212" t="str">
        <f>IF(OR(C44="",AB44="",AC44=""),"",IF(AND(ABS(E44-AC44)/AC44&lt;=0.02,E44&lt;AC44),"25日戻り売り★",IF(AND(ABS(E44-AB44)/AB44&lt;=0.01,E44&lt;AB44),"5日戻り売り○","なし")))</f>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IF(AND(T44&gt;=7,C44&lt;&gt;""),T44,0)</f>
        <v>9</v>
      </c>
      <c r="AH44">
        <f>IF(AG44&gt;0,AG44*10000-ROW(A44),0)</f>
        <v>89956</v>
      </c>
      <c r="AI44" s="373">
        <f t="array" ref="AI44">IF(C44="","",IFERROR((INDEX(終値!$E:$E,MATCH(TEXT(C44,"0"),終値!$A:$A,0))-INDEX(終値!$E:$CZ,MATCH(TEXT(C44,"0"),終値!$A:$A,0),$AN$2))/INDEX(終値!$E:$CZ,MATCH(TEXT(C44,"0"),終値!$A:$A,0),$AN$2)*100,""))</f>
        <v>0.57208237986270016</v>
      </c>
      <c r="AJ44" s="373">
        <f t="array" ref="AJ44">IFERROR((終値!$E$5-INDEX(終値!$E$5:$IT$5,1,$AN$2))/INDEX(終値!$E$5:$IT$5,1,$AN$2)*100,"")</f>
        <v>1.0179378228534113</v>
      </c>
      <c r="AK44" s="374">
        <f>IF(OR(AI44="",AJ44=""),"",AI44-AJ44)</f>
        <v>-0.44585544299071111</v>
      </c>
      <c r="AL44" s="372">
        <f>IF(AK44="","",IF(AK44&lt;-5,3,IF(AK44&lt;0,1,IF(AK44&lt;3,-1,-2))))</f>
        <v>1</v>
      </c>
      <c r="AO44" s="376" t="str">
        <f>IF(OR($C44="",$E44="",$F44="",$H44="",$I44="",$H44-$I44&lt;=0),"-",IF(AND($H44-MAX($F44,$E44)&gt;=ABS($E44-$F44)*2,MIN($F44,$E44)-$I44&lt;=ABS($E44-$F44)*0.5,ABS($E44-$F44)&gt;0),"上ヒゲ陰線▼",IF(AND($E44&lt;$F44,ABS($E44-$F44)&gt;=($H44-$I44)*0.7),"大陰線▼",IF(AND(MIN($F44,$E44)-$I44&gt;=($H44-$I44)*0.5,$H44-MAX($F44,$E44)&lt;=($H44-$I44)*0.2),"長い下ヒゲ(反発警戒)","通常"))))</f>
        <v>大陰線▼</v>
      </c>
      <c r="AP44" s="377">
        <f>IF($AO44="上ヒゲ陰線▼",2,IF($AO44="大陰線▼",2,IF($AO44="長い下ヒゲ(反発警戒)",-2,0)))</f>
        <v>2</v>
      </c>
      <c r="AQ44">
        <f>IF(C44&lt;&gt;"",始値!F162,"")</f>
        <v>4375</v>
      </c>
      <c r="AR44">
        <f>IF(C44&lt;&gt;"",高値!F162,"")</f>
        <v>4445</v>
      </c>
      <c r="AS44">
        <f>IF(C44&lt;&gt;"",安値!F162,"")</f>
        <v>4375</v>
      </c>
      <c r="AT44" t="str">
        <f>IF(OR(C44="",AQ44="",AR44="",AS44="",AR44-AS44&lt;=0),"-",IF(AND(AR44-MAX(G44,AQ44)&gt;=ABS(G44-AQ44)*2,MIN(G44,AQ44)-AS44&lt;=ABS(G44-AQ44)*0.5,ABS(G44-AQ44)&gt;0),"上ヒゲ陰線▼",IF(AND(G44&lt;AQ44,ABS(G44-AQ44)&gt;=(AR44-AS44)*0.7),"大陰線▼",IF(AND(MIN(G44,AQ44)-AS44&gt;=(AR44-AS44)*0.5,AR44-MAX(G44,AQ44)&lt;=(AR44-AS44)*0.2),"長い下ヒゲ(反発)","通常"))))</f>
        <v>通常</v>
      </c>
      <c r="AU44">
        <f>IF(AT44="上ヒゲ陰線▼",2,IF(AT44="大陰線▼",2,IF(AT44="長い下ヒゲ(反発)",-2,0)))</f>
        <v>0</v>
      </c>
      <c r="BA44">
        <f>IFERROR((SUM(OFFSET(高値!$E$6,IFERROR(MATCH($C44,銘柄管理!$B$6:$B$305,0),MATCH(TEXT($C44,"0"),銘柄管理!$B$6:$B$305,0))-1,0,1,14))-SUM(OFFSET(安値!$E$6,IFERROR(MATCH($C44,銘柄管理!$B$6:$B$305,0),MATCH(TEXT($C44,"0"),銘柄管理!$B$6:$B$305,0))-1,0,1,14)))/SUM(OFFSET(終値!$E$6,IFERROR(MATCH($C44,銘柄管理!$B$6:$B$305,0),MATCH(TEXT($C44,"0"),銘柄管理!$B$6:$B$305,0))-1,0,1,14))*100,"")</f>
      </c>
      <c r="BB44">
        <f>IFERROR((MAX(OFFSET(高値!$E$6,IFERROR(MATCH($C44,銘柄管理!$B$6:$B$305,0),MATCH(TEXT($C44,"0"),銘柄管理!$B$6:$B$305,0))-1,0,1,25))-MIN(OFFSET(安値!$E$6,IFERROR(MATCH($C44,銘柄管理!$B$6:$B$305,0),MATCH(TEXT($C44,"0"),銘柄管理!$B$6:$B$305,0))-1,0,1,25)))/$E44*100,"")</f>
      </c>
      <c r="BC44">
        <f>IFERROR(($F44-$G44)/$G44*100,"")</f>
      </c>
      <c r="BD44">
        <f>IFERROR(($E44-MAX(OFFSET(高値!$E$6,IFERROR(MATCH($C44,銘柄管理!$B$6:$B$305,0),MATCH(TEXT($C44,"0"),銘柄管理!$B$6:$B$305,0))-1,0,1,25)))/MAX(OFFSET(高値!$E$6,IFERROR(MATCH($C44,銘柄管理!$B$6:$B$305,0),MATCH(TEXT($C44,"0"),銘柄管理!$B$6:$B$305,0))-1,0,1,25))*100,"")</f>
      </c>
      <c r="BE44">
        <f>IFERROR(($H44-$I44)/$F44*100,"")</f>
      </c>
      <c r="BF44">
        <f>IFERROR(-(($BA44-AVERAGE($BA$3:$BA$206))/STDEV($BA$3:$BA$206))-(($BE44-AVERAGE($BE$3:$BE$206))/STDEV($BE$3:$BE$206))-(($BB44-AVERAGE($BB$3:$BB$206))/STDEV($BB$3:$BB$206))-(($Z44-AVERAGE($Z$3:$Z$206))/STDEV($Z$3:$Z$206))-(($BC44-AVERAGE($BC$3:$BC$206))/STDEV($BC$3:$BC$206)),"")</f>
      </c>
      <c r="BG44">
        <f>IF(OR($C44="",$C44="TOPX",$BA44="",$BF44=""),0,IF(AND($BK$10=1,$BA44&lt;=$BK$2,$BB44&lt;=$BK$3,$BC44&lt;=$BK$4,$Z44&lt;=$BK$5,$Z44&gt;=$BK$6,$BD44&gt;=$BK$7,$BE44&lt;=$BK$8),1,0))</f>
      </c>
      <c r="BH44">
        <f>IF($C44="","",IF($BG44=1,"○ゲート通過",IF($BK$10&lt;&gt;1,"― この方向は停止中",IF($BA44&gt;$BK$2,"×値動きが荒い",IF($BB44&gt;$BK$3,"×レンジが広い",IF($BC44&gt;$BK$4,"×窓を開けて上昇",IF($Z44&gt;$BK$5,"×前日に急騰",IF($Z44&lt;$BK$6,"×前日に急落",IF($BD44&lt;$BK$7,"×高値から離れすぎ",IF($BE44&gt;$BK$8,"×当日の値幅が大きい","×")))))))))</f>
      </c>
    </row>
    <row r="45" spans="1:60"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IF(AND(E45&lt;&gt;"",K45&lt;&gt;"",K45&lt;&gt;0),(E45-K45)/K45*100,"")</f>
        <v>-19.733059548254619</v>
      </c>
      <c r="M45" s="326">
        <f>IF(C45&lt;&gt;"",IFERROR(AVERAGE(出来高!E200:I200),""),"")</f>
        <v>37311000</v>
      </c>
      <c r="N45" s="326">
        <f>IF(C45&lt;&gt;"",IFERROR(AVERAGE(出来高!E200:AC200),""),"")</f>
        <v>22022140</v>
      </c>
      <c r="O45" s="328">
        <f>IF(AND(J45&lt;&gt;"",M45&lt;&gt;"",M45&lt;&gt;0),J45/M45,"")</f>
        <v>1.939229717777599</v>
      </c>
      <c r="P45" s="325" t="str">
        <f>IF(O45="","",IF(O45&gt;=2,"急増↑↑",IF(O45&gt;=1.5,"増加↑",IF(O45&gt;=1,"普通→","減少↓"))))</f>
        <v>増加↑</v>
      </c>
      <c r="Q45" s="325" t="str">
        <f>IF(E45="","",IF(AND(E45&lt;G45,O45&gt;=1.5),"売り▼",IF(E45&gt;G45,"様子見▲","中立→")))</f>
        <v>売り▼</v>
      </c>
      <c r="R45" s="326">
        <f>IF(E45&lt;&gt;"",ROUND(E45*0.92,0),"")</f>
        <v>3596</v>
      </c>
      <c r="S45" s="326">
        <f>IF(E45&lt;&gt;"",ROUND(E45*1.04,0),"")</f>
        <v>4065</v>
      </c>
      <c r="T45" s="325">
        <f>IF(C45="","",IFERROR(IF(W45&gt;=70,3,IF(W45&gt;=60,2,IF(W45&gt;=50,1,0)))+IF(X45&lt;0,2,0)+IF(AD45="下降トレンド▼",3,IF(AD45="もみ合い→",1,0))+IF(V45="年初来安値圏●",3,IF(V45="安値圏",2,0))+IF(Q45="売り▼",2,0)+IF(P45="急増↑↑",2,IF(P45="増加↑",1,0))+IF(Z45&lt;0,1,0)+IF(L45&lt;=-30,2,IF(L45&lt;=-15,1,0))+IF(AE45="25日戻り売り★",2,IF(AE45="5日戻り売り○",1,0))+N(AL45)+N(AP45)+N(AU45),0))</f>
        <v>13</v>
      </c>
      <c r="U45" s="325" t="str">
        <f>IF(T45="","",IF(AND(T45&gt;=3,O45&gt;=1.5),"有効",IF(T45&gt;=3,"要確認","除外")))</f>
        <v>有効</v>
      </c>
      <c r="V45" s="325" t="str">
        <f>IF(AND(I45&lt;&gt;"",K45&lt;&gt;""),IF(I45&lt;=K45*0.6,"年初来安値圏●",IF(I45&lt;=K45*0.75,"安値圏","通常")),"")</f>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IF(AF45="","",AF45&amp;" | "&amp;AD45&amp;IF(AE45&lt;&gt;"なし"," "&amp;AE45,"")&amp;IF(X45&lt;0," MACD-"," MACD+")&amp;" RSI:"&amp;TEXT(W45,"0.0")&amp;IF(W45&gt;=70," [過熱]",IF(W45&lt;=30," [売られ過ぎ]",""))&amp;" 前日比:"&amp;TEXT(Z45,"+0.0;-0.0;0.0")&amp;"%"&amp;IF(V45="年初来安値圏●"," [年初来安値圏]",IF(V45="安値圏"," [安値圏]",""))&amp;IF(OR(AO45="通常",AO45="-"),""," ["&amp;AO45&amp;"]")&amp;IF(OR(AT45="通常",AT45="-"),"","前日["&amp;AT45&amp;"]")&amp;" ["&amp;T45&amp;"点]")</f>
        <v>相場上昇・見送り | パーフェクト▲ MACD- RSI:52.9 前日比:-0.3% [安値圏] [13点]</v>
      </c>
      <c r="Z45" s="331">
        <f>IF(AND(E45&lt;&gt;"",G45&lt;&gt;"",G45&lt;&gt;0),(E45-G45)/G45*100,"")</f>
        <v>-0.25516713447307987</v>
      </c>
      <c r="AA45" s="325" t="str">
        <f>IF(OR(C45="",E45="",E45=0),"",IF(E45&gt;G45,"上昇▲",IF(E45&lt;G45,"下落▼","横ばい→")))</f>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IF(OR(C45="",AB45="",AC45="",AB45=0,AC45=0),"",IF(AND(E45&gt;AB45,AB45&gt;AC45),"パーフェクト▲",IF(E45&gt;AC45,"上昇トレンド▲",IF(AND(E45&lt;AB45,AB45&lt;AC45),"下降トレンド▼","もみ合い→"))))</f>
        <v>パーフェクト▲</v>
      </c>
      <c r="AE45" s="325" t="str">
        <f>IF(OR(C45="",AB45="",AC45=""),"",IF(AND(ABS(E45-AC45)/AC45&lt;=0.02,E45&lt;AC45),"25日戻り売り★",IF(AND(ABS(E45-AB45)/AB45&lt;=0.01,E45&lt;AB45),"5日戻り売り○","なし")))</f>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IF(AND(T45&gt;=7,C45&lt;&gt;""),T45,0)</f>
        <v>13</v>
      </c>
      <c r="AH45">
        <f>IF(AG45&gt;0,AG45*10000-ROW(A45),0)</f>
        <v>129955</v>
      </c>
      <c r="AI45" s="373">
        <f t="array" ref="AI45">IF(C45="","",IFERROR((INDEX(終値!$E:$E,MATCH(TEXT(C45,"0"),終値!$A:$A,0))-INDEX(終値!$E:$CZ,MATCH(TEXT(C45,"0"),終値!$A:$A,0),$AN$2))/INDEX(終値!$E:$CZ,MATCH(TEXT(C45,"0"),終値!$A:$A,0),$AN$2)*100,""))</f>
        <v>-10.158584233509538</v>
      </c>
      <c r="AJ45" s="373">
        <f t="array" ref="AJ45">IFERROR((終値!$E$5-INDEX(終値!$E$5:$IT$5,1,$AN$2))/INDEX(終値!$E$5:$IT$5,1,$AN$2)*100,"")</f>
        <v>1.0179378228534113</v>
      </c>
      <c r="AK45" s="374">
        <f>IF(OR(AI45="",AJ45=""),"",AI45-AJ45)</f>
        <v>-11.17652205636295</v>
      </c>
      <c r="AL45" s="372">
        <f>IF(AK45="","",IF(AK45&lt;-5,3,IF(AK45&lt;0,1,IF(AK45&lt;3,-1,-2))))</f>
        <v>3</v>
      </c>
      <c r="AO45" s="376" t="str">
        <f>IF(OR($C45="",$E45="",$F45="",$H45="",$I45="",$H45-$I45&lt;=0),"-",IF(AND($H45-MAX($F45,$E45)&gt;=ABS($E45-$F45)*2,MIN($F45,$E45)-$I45&lt;=ABS($E45-$F45)*0.5,ABS($E45-$F45)&gt;0),"上ヒゲ陰線▼",IF(AND($E45&lt;$F45,ABS($E45-$F45)&gt;=($H45-$I45)*0.7),"大陰線▼",IF(AND(MIN($F45,$E45)-$I45&gt;=($H45-$I45)*0.5,$H45-MAX($F45,$E45)&lt;=($H45-$I45)*0.2),"長い下ヒゲ(反発警戒)","通常"))))</f>
        <v>通常</v>
      </c>
      <c r="AP45" s="377">
        <f>IF($AO45="上ヒゲ陰線▼",2,IF($AO45="大陰線▼",2,IF($AO45="長い下ヒゲ(反発警戒)",-2,0)))</f>
        <v>0</v>
      </c>
      <c r="AQ45">
        <f>IF(C45&lt;&gt;"",始値!F200,"")</f>
        <v>3846</v>
      </c>
      <c r="AR45">
        <f>IF(C45&lt;&gt;"",高値!F200,"")</f>
        <v>3976</v>
      </c>
      <c r="AS45">
        <f>IF(C45&lt;&gt;"",安値!F200,"")</f>
        <v>3781</v>
      </c>
      <c r="AT45" t="str">
        <f>IF(OR(C45="",AQ45="",AR45="",AS45="",AR45-AS45&lt;=0),"-",IF(AND(AR45-MAX(G45,AQ45)&gt;=ABS(G45-AQ45)*2,MIN(G45,AQ45)-AS45&lt;=ABS(G45-AQ45)*0.5,ABS(G45-AQ45)&gt;0),"上ヒゲ陰線▼",IF(AND(G45&lt;AQ45,ABS(G45-AQ45)&gt;=(AR45-AS45)*0.7),"大陰線▼",IF(AND(MIN(G45,AQ45)-AS45&gt;=(AR45-AS45)*0.5,AR45-MAX(G45,AQ45)&lt;=(AR45-AS45)*0.2),"長い下ヒゲ(反発)","通常"))))</f>
        <v>通常</v>
      </c>
      <c r="AU45">
        <f>IF(AT45="上ヒゲ陰線▼",2,IF(AT45="大陰線▼",2,IF(AT45="長い下ヒゲ(反発)",-2,0)))</f>
        <v>0</v>
      </c>
      <c r="BA45">
        <f>IFERROR((SUM(OFFSET(高値!$E$6,IFERROR(MATCH($C45,銘柄管理!$B$6:$B$305,0),MATCH(TEXT($C45,"0"),銘柄管理!$B$6:$B$305,0))-1,0,1,14))-SUM(OFFSET(安値!$E$6,IFERROR(MATCH($C45,銘柄管理!$B$6:$B$305,0),MATCH(TEXT($C45,"0"),銘柄管理!$B$6:$B$305,0))-1,0,1,14)))/SUM(OFFSET(終値!$E$6,IFERROR(MATCH($C45,銘柄管理!$B$6:$B$305,0),MATCH(TEXT($C45,"0"),銘柄管理!$B$6:$B$305,0))-1,0,1,14))*100,"")</f>
      </c>
      <c r="BB45">
        <f>IFERROR((MAX(OFFSET(高値!$E$6,IFERROR(MATCH($C45,銘柄管理!$B$6:$B$305,0),MATCH(TEXT($C45,"0"),銘柄管理!$B$6:$B$305,0))-1,0,1,25))-MIN(OFFSET(安値!$E$6,IFERROR(MATCH($C45,銘柄管理!$B$6:$B$305,0),MATCH(TEXT($C45,"0"),銘柄管理!$B$6:$B$305,0))-1,0,1,25)))/$E45*100,"")</f>
      </c>
      <c r="BC45">
        <f>IFERROR(($F45-$G45)/$G45*100,"")</f>
      </c>
      <c r="BD45">
        <f>IFERROR(($E45-MAX(OFFSET(高値!$E$6,IFERROR(MATCH($C45,銘柄管理!$B$6:$B$305,0),MATCH(TEXT($C45,"0"),銘柄管理!$B$6:$B$305,0))-1,0,1,25)))/MAX(OFFSET(高値!$E$6,IFERROR(MATCH($C45,銘柄管理!$B$6:$B$305,0),MATCH(TEXT($C45,"0"),銘柄管理!$B$6:$B$305,0))-1,0,1,25))*100,"")</f>
      </c>
      <c r="BE45">
        <f>IFERROR(($H45-$I45)/$F45*100,"")</f>
      </c>
      <c r="BF45">
        <f>IFERROR(-(($BA45-AVERAGE($BA$3:$BA$206))/STDEV($BA$3:$BA$206))-(($BE45-AVERAGE($BE$3:$BE$206))/STDEV($BE$3:$BE$206))-(($BB45-AVERAGE($BB$3:$BB$206))/STDEV($BB$3:$BB$206))-(($Z45-AVERAGE($Z$3:$Z$206))/STDEV($Z$3:$Z$206))-(($BC45-AVERAGE($BC$3:$BC$206))/STDEV($BC$3:$BC$206)),"")</f>
      </c>
      <c r="BG45">
        <f>IF(OR($C45="",$C45="TOPX",$BA45="",$BF45=""),0,IF(AND($BK$10=1,$BA45&lt;=$BK$2,$BB45&lt;=$BK$3,$BC45&lt;=$BK$4,$Z45&lt;=$BK$5,$Z45&gt;=$BK$6,$BD45&gt;=$BK$7,$BE45&lt;=$BK$8),1,0))</f>
      </c>
      <c r="BH45">
        <f>IF($C45="","",IF($BG45=1,"○ゲート通過",IF($BK$10&lt;&gt;1,"― この方向は停止中",IF($BA45&gt;$BK$2,"×値動きが荒い",IF($BB45&gt;$BK$3,"×レンジが広い",IF($BC45&gt;$BK$4,"×窓を開けて上昇",IF($Z45&gt;$BK$5,"×前日に急騰",IF($Z45&lt;$BK$6,"×前日に急落",IF($BD45&lt;$BK$7,"×高値から離れすぎ",IF($BE45&gt;$BK$8,"×当日の値幅が大きい","×")))))))))</f>
      </c>
    </row>
    <row r="46" spans="1:60"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IF(AND(E46&lt;&gt;"",K46&lt;&gt;"",K46&lt;&gt;0),(E46-K46)/K46*100,"")</f>
        <v>-31.669172932330824</v>
      </c>
      <c r="M46" s="333">
        <f>IF(C46&lt;&gt;"",IFERROR(AVERAGE(出来高!E8:I8),""),"")</f>
        <v>3732720</v>
      </c>
      <c r="N46" s="333">
        <f>IF(C46&lt;&gt;"",IFERROR(AVERAGE(出来高!E8:AC8),""),"")</f>
        <v>3060896</v>
      </c>
      <c r="O46" s="335">
        <f>IF(AND(J46&lt;&gt;"",M46&lt;&gt;"",M46&lt;&gt;0),J46/M46,"")</f>
        <v>1.3144570179386614</v>
      </c>
      <c r="P46" s="212" t="str">
        <f>IF(O46="","",IF(O46&gt;=2,"急増↑↑",IF(O46&gt;=1.5,"増加↑",IF(O46&gt;=1,"普通→","減少↓"))))</f>
        <v>普通→</v>
      </c>
      <c r="Q46" s="212" t="str">
        <f>IF(E46="","",IF(AND(E46&lt;G46,O46&gt;=1.5),"売り▼",IF(E46&gt;G46,"様子見▲","中立→")))</f>
        <v>様子見▲</v>
      </c>
      <c r="R46" s="333">
        <f>IF(E46&lt;&gt;"",ROUND(E46*0.92,0),"")</f>
        <v>8361</v>
      </c>
      <c r="S46" s="333">
        <f>IF(E46&lt;&gt;"",ROUND(E46*1.04,0),"")</f>
        <v>9452</v>
      </c>
      <c r="T46" s="325">
        <f>IF(C46="","",IFERROR(IF(W46&gt;=70,3,IF(W46&gt;=60,2,IF(W46&gt;=50,1,0)))+IF(X46&lt;0,2,0)+IF(AD46="下降トレンド▼",3,IF(AD46="もみ合い→",1,0))+IF(V46="年初来安値圏●",3,IF(V46="安値圏",2,0))+IF(Q46="売り▼",2,0)+IF(P46="急増↑↑",2,IF(P46="増加↑",1,0))+IF(Z46&lt;0,1,0)+IF(L46&lt;=-30,2,IF(L46&lt;=-15,1,0))+IF(AE46="25日戻り売り★",2,IF(AE46="5日戻り売り○",1,0))+N(AL46)+N(AP46)+N(AU46),0))</f>
        <v>4</v>
      </c>
      <c r="U46" s="212" t="str">
        <f>IF(T46="","",IF(AND(T46&gt;=3,O46&gt;=1.5),"有効",IF(T46&gt;=3,"要確認","除外")))</f>
        <v>要確認</v>
      </c>
      <c r="V46" s="212" t="str">
        <f>IF(AND(I46&lt;&gt;"",K46&lt;&gt;""),IF(I46&lt;=K46*0.6,"年初来安値圏●",IF(I46&lt;=K46*0.75,"安値圏","通常")),"")</f>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IF(AF46="","",AF46&amp;" | "&amp;AD46&amp;IF(AE46&lt;&gt;"なし"," "&amp;AE46,"")&amp;IF(X46&lt;0," MACD-"," MACD+")&amp;" RSI:"&amp;TEXT(W46,"0.0")&amp;IF(W46&gt;=70," [過熱]",IF(W46&lt;=30," [売られ過ぎ]",""))&amp;" 前日比:"&amp;TEXT(Z46,"+0.0;-0.0;0.0")&amp;"%"&amp;IF(V46="年初来安値圏●"," [年初来安値圏]",IF(V46="安値圏"," [安値圏]",""))&amp;IF(OR(AO46="通常",AO46="-"),""," ["&amp;AO46&amp;"]")&amp;IF(OR(AT46="通常",AT46="-"),"","前日["&amp;AT46&amp;"]")&amp;" ["&amp;T46&amp;"点]")</f>
        <v>相場上昇・見送り | パーフェクト▲ MACD+ RSI:62.5 前日比:+6.1% [安値圏] [4点]</v>
      </c>
      <c r="Z46" s="338">
        <f>IF(AND(E46&lt;&gt;"",G46&lt;&gt;"",G46&lt;&gt;0),(E46-G46)/G46*100,"")</f>
        <v>6.1310288450309471</v>
      </c>
      <c r="AA46" s="212" t="str">
        <f>IF(OR(C46="",E46="",E46=0),"",IF(E46&gt;G46,"上昇▲",IF(E46&lt;G46,"下落▼","横ばい→")))</f>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IF(OR(C46="",AB46="",AC46="",AB46=0,AC46=0),"",IF(AND(E46&gt;AB46,AB46&gt;AC46),"パーフェクト▲",IF(E46&gt;AC46,"上昇トレンド▲",IF(AND(E46&lt;AB46,AB46&lt;AC46),"下降トレンド▼","もみ合い→"))))</f>
        <v>パーフェクト▲</v>
      </c>
      <c r="AE46" s="212" t="str">
        <f>IF(OR(C46="",AB46="",AC46=""),"",IF(AND(ABS(E46-AC46)/AC46&lt;=0.02,E46&lt;AC46),"25日戻り売り★",IF(AND(ABS(E46-AB46)/AB46&lt;=0.01,E46&lt;AB46),"5日戻り売り○","なし")))</f>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IF(AND(T46&gt;=7,C46&lt;&gt;""),T46,0)</f>
        <v>0</v>
      </c>
      <c r="AH46">
        <f>IF(AG46&gt;0,AG46*10000-ROW(A46),0)</f>
        <v>0</v>
      </c>
      <c r="AI46" s="373">
        <f t="array" ref="AI46">IF(C46="","",IFERROR((INDEX(終値!$E:$E,MATCH(TEXT(C46,"0"),終値!$A:$A,0))-INDEX(終値!$E:$CZ,MATCH(TEXT(C46,"0"),終値!$A:$A,0),$AN$2))/INDEX(終値!$E:$CZ,MATCH(TEXT(C46,"0"),終値!$A:$A,0),$AN$2)*100,""))</f>
        <v>23.882224645583424</v>
      </c>
      <c r="AJ46" s="373">
        <f t="array" ref="AJ46">IFERROR((終値!$E$5-INDEX(終値!$E$5:$IT$5,1,$AN$2))/INDEX(終値!$E$5:$IT$5,1,$AN$2)*100,"")</f>
        <v>1.0179378228534113</v>
      </c>
      <c r="AK46" s="374">
        <f>IF(OR(AI46="",AJ46=""),"",AI46-AJ46)</f>
        <v>22.864286822730012</v>
      </c>
      <c r="AL46" s="372">
        <f>IF(AK46="","",IF(AK46&lt;-5,3,IF(AK46&lt;0,1,IF(AK46&lt;3,-1,-2))))</f>
        <v>-2</v>
      </c>
      <c r="AO46" s="376" t="str">
        <f>IF(OR($C46="",$E46="",$F46="",$H46="",$I46="",$H46-$I46&lt;=0),"-",IF(AND($H46-MAX($F46,$E46)&gt;=ABS($E46-$F46)*2,MIN($F46,$E46)-$I46&lt;=ABS($E46-$F46)*0.5,ABS($E46-$F46)&gt;0),"上ヒゲ陰線▼",IF(AND($E46&lt;$F46,ABS($E46-$F46)&gt;=($H46-$I46)*0.7),"大陰線▼",IF(AND(MIN($F46,$E46)-$I46&gt;=($H46-$I46)*0.5,$H46-MAX($F46,$E46)&lt;=($H46-$I46)*0.2),"長い下ヒゲ(反発警戒)","通常"))))</f>
        <v>通常</v>
      </c>
      <c r="AP46" s="377">
        <f>IF($AO46="上ヒゲ陰線▼",2,IF($AO46="大陰線▼",2,IF($AO46="長い下ヒゲ(反発警戒)",-2,0)))</f>
        <v>0</v>
      </c>
      <c r="AQ46">
        <f>IF(C46&lt;&gt;"",始値!F8,"")</f>
        <v>8358</v>
      </c>
      <c r="AR46">
        <f>IF(C46&lt;&gt;"",高値!F8,"")</f>
        <v>8592</v>
      </c>
      <c r="AS46">
        <f>IF(C46&lt;&gt;"",安値!F8,"")</f>
        <v>8233</v>
      </c>
      <c r="AT46" t="str">
        <f>IF(OR(C46="",AQ46="",AR46="",AS46="",AR46-AS46&lt;=0),"-",IF(AND(AR46-MAX(G46,AQ46)&gt;=ABS(G46-AQ46)*2,MIN(G46,AQ46)-AS46&lt;=ABS(G46-AQ46)*0.5,ABS(G46-AQ46)&gt;0),"上ヒゲ陰線▼",IF(AND(G46&lt;AQ46,ABS(G46-AQ46)&gt;=(AR46-AS46)*0.7),"大陰線▼",IF(AND(MIN(G46,AQ46)-AS46&gt;=(AR46-AS46)*0.5,AR46-MAX(G46,AQ46)&lt;=(AR46-AS46)*0.2),"長い下ヒゲ(反発)","通常"))))</f>
        <v>通常</v>
      </c>
      <c r="AU46">
        <f>IF(AT46="上ヒゲ陰線▼",2,IF(AT46="大陰線▼",2,IF(AT46="長い下ヒゲ(反発)",-2,0)))</f>
        <v>0</v>
      </c>
      <c r="BA46">
        <f>IFERROR((SUM(OFFSET(高値!$E$6,IFERROR(MATCH($C46,銘柄管理!$B$6:$B$305,0),MATCH(TEXT($C46,"0"),銘柄管理!$B$6:$B$305,0))-1,0,1,14))-SUM(OFFSET(安値!$E$6,IFERROR(MATCH($C46,銘柄管理!$B$6:$B$305,0),MATCH(TEXT($C46,"0"),銘柄管理!$B$6:$B$305,0))-1,0,1,14)))/SUM(OFFSET(終値!$E$6,IFERROR(MATCH($C46,銘柄管理!$B$6:$B$305,0),MATCH(TEXT($C46,"0"),銘柄管理!$B$6:$B$305,0))-1,0,1,14))*100,"")</f>
      </c>
      <c r="BB46">
        <f>IFERROR((MAX(OFFSET(高値!$E$6,IFERROR(MATCH($C46,銘柄管理!$B$6:$B$305,0),MATCH(TEXT($C46,"0"),銘柄管理!$B$6:$B$305,0))-1,0,1,25))-MIN(OFFSET(安値!$E$6,IFERROR(MATCH($C46,銘柄管理!$B$6:$B$305,0),MATCH(TEXT($C46,"0"),銘柄管理!$B$6:$B$305,0))-1,0,1,25)))/$E46*100,"")</f>
      </c>
      <c r="BC46">
        <f>IFERROR(($F46-$G46)/$G46*100,"")</f>
      </c>
      <c r="BD46">
        <f>IFERROR(($E46-MAX(OFFSET(高値!$E$6,IFERROR(MATCH($C46,銘柄管理!$B$6:$B$305,0),MATCH(TEXT($C46,"0"),銘柄管理!$B$6:$B$305,0))-1,0,1,25)))/MAX(OFFSET(高値!$E$6,IFERROR(MATCH($C46,銘柄管理!$B$6:$B$305,0),MATCH(TEXT($C46,"0"),銘柄管理!$B$6:$B$305,0))-1,0,1,25))*100,"")</f>
      </c>
      <c r="BE46">
        <f>IFERROR(($H46-$I46)/$F46*100,"")</f>
      </c>
      <c r="BF46">
        <f>IFERROR(-(($BA46-AVERAGE($BA$3:$BA$206))/STDEV($BA$3:$BA$206))-(($BE46-AVERAGE($BE$3:$BE$206))/STDEV($BE$3:$BE$206))-(($BB46-AVERAGE($BB$3:$BB$206))/STDEV($BB$3:$BB$206))-(($Z46-AVERAGE($Z$3:$Z$206))/STDEV($Z$3:$Z$206))-(($BC46-AVERAGE($BC$3:$BC$206))/STDEV($BC$3:$BC$206)),"")</f>
      </c>
      <c r="BG46">
        <f>IF(OR($C46="",$C46="TOPX",$BA46="",$BF46=""),0,IF(AND($BK$10=1,$BA46&lt;=$BK$2,$BB46&lt;=$BK$3,$BC46&lt;=$BK$4,$Z46&lt;=$BK$5,$Z46&gt;=$BK$6,$BD46&gt;=$BK$7,$BE46&lt;=$BK$8),1,0))</f>
      </c>
      <c r="BH46">
        <f>IF($C46="","",IF($BG46=1,"○ゲート通過",IF($BK$10&lt;&gt;1,"― この方向は停止中",IF($BA46&gt;$BK$2,"×値動きが荒い",IF($BB46&gt;$BK$3,"×レンジが広い",IF($BC46&gt;$BK$4,"×窓を開けて上昇",IF($Z46&gt;$BK$5,"×前日に急騰",IF($Z46&lt;$BK$6,"×前日に急落",IF($BD46&lt;$BK$7,"×高値から離れすぎ",IF($BE46&gt;$BK$8,"×当日の値幅が大きい","×")))))))))</f>
      </c>
    </row>
    <row r="47" spans="1:60"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IF(AND(E47&lt;&gt;"",K47&lt;&gt;"",K47&lt;&gt;0),(E47-K47)/K47*100,"")</f>
        <v>-28.053311793214863</v>
      </c>
      <c r="M47" s="326">
        <f>IF(C47&lt;&gt;"",IFERROR(AVERAGE(出来高!E10:I10),""),"")</f>
        <v>575340</v>
      </c>
      <c r="N47" s="326">
        <f>IF(C47&lt;&gt;"",IFERROR(AVERAGE(出来高!E10:AC10),""),"")</f>
        <v>491308</v>
      </c>
      <c r="O47" s="328">
        <f>IF(AND(J47&lt;&gt;"",M47&lt;&gt;"",M47&lt;&gt;0),J47/M47,"")</f>
        <v>1.5550804741544131</v>
      </c>
      <c r="P47" s="325" t="str">
        <f>IF(O47="","",IF(O47&gt;=2,"急増↑↑",IF(O47&gt;=1.5,"増加↑",IF(O47&gt;=1,"普通→","減少↓"))))</f>
        <v>増加↑</v>
      </c>
      <c r="Q47" s="325" t="str">
        <f>IF(E47="","",IF(AND(E47&lt;G47,O47&gt;=1.5),"売り▼",IF(E47&gt;G47,"様子見▲","中立→")))</f>
        <v>様子見▲</v>
      </c>
      <c r="R47" s="326">
        <f>IF(E47&lt;&gt;"",ROUND(E47*0.92,0),"")</f>
        <v>8194</v>
      </c>
      <c r="S47" s="326">
        <f>IF(E47&lt;&gt;"",ROUND(E47*1.04,0),"")</f>
        <v>9263</v>
      </c>
      <c r="T47" s="325">
        <f>IF(C47="","",IFERROR(IF(W47&gt;=70,3,IF(W47&gt;=60,2,IF(W47&gt;=50,1,0)))+IF(X47&lt;0,2,0)+IF(AD47="下降トレンド▼",3,IF(AD47="もみ合い→",1,0))+IF(V47="年初来安値圏●",3,IF(V47="安値圏",2,0))+IF(Q47="売り▼",2,0)+IF(P47="急増↑↑",2,IF(P47="増加↑",1,0))+IF(Z47&lt;0,1,0)+IF(L47&lt;=-30,2,IF(L47&lt;=-15,1,0))+IF(AE47="25日戻り売り★",2,IF(AE47="5日戻り売り○",1,0))+N(AL47)+N(AP47)+N(AU47),0))</f>
        <v>4</v>
      </c>
      <c r="U47" s="325" t="str">
        <f>IF(T47="","",IF(AND(T47&gt;=3,O47&gt;=1.5),"有効",IF(T47&gt;=3,"要確認","除外")))</f>
        <v>有効</v>
      </c>
      <c r="V47" s="325" t="str">
        <f>IF(AND(I47&lt;&gt;"",K47&lt;&gt;""),IF(I47&lt;=K47*0.6,"年初来安値圏●",IF(I47&lt;=K47*0.75,"安値圏","通常")),"")</f>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IF(AF47="","",AF47&amp;" | "&amp;AD47&amp;IF(AE47&lt;&gt;"なし"," "&amp;AE47,"")&amp;IF(X47&lt;0," MACD-"," MACD+")&amp;" RSI:"&amp;TEXT(W47,"0.0")&amp;IF(W47&gt;=70," [過熱]",IF(W47&lt;=30," [売られ過ぎ]",""))&amp;" 前日比:"&amp;TEXT(Z47,"+0.0;-0.0;0.0")&amp;"%"&amp;IF(V47="年初来安値圏●"," [年初来安値圏]",IF(V47="安値圏"," [安値圏]",""))&amp;IF(OR(AO47="通常",AO47="-"),""," ["&amp;AO47&amp;"]")&amp;IF(OR(AT47="通常",AT47="-"),"","前日["&amp;AT47&amp;"]")&amp;" ["&amp;T47&amp;"点]")</f>
        <v>相場上昇・見送り | パーフェクト▲ MACD+ RSI:52.0 前日比:+4.1% [安値圏] [4点]</v>
      </c>
      <c r="Z47" s="331">
        <f>IF(AND(E47&lt;&gt;"",G47&lt;&gt;"",G47&lt;&gt;0),(E47-G47)/G47*100,"")</f>
        <v>4.0658955485453907</v>
      </c>
      <c r="AA47" s="325" t="str">
        <f>IF(OR(C47="",E47="",E47=0),"",IF(E47&gt;G47,"上昇▲",IF(E47&lt;G47,"下落▼","横ばい→")))</f>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IF(OR(C47="",AB47="",AC47="",AB47=0,AC47=0),"",IF(AND(E47&gt;AB47,AB47&gt;AC47),"パーフェクト▲",IF(E47&gt;AC47,"上昇トレンド▲",IF(AND(E47&lt;AB47,AB47&lt;AC47),"下降トレンド▼","もみ合い→"))))</f>
        <v>パーフェクト▲</v>
      </c>
      <c r="AE47" s="325" t="str">
        <f>IF(OR(C47="",AB47="",AC47=""),"",IF(AND(ABS(E47-AC47)/AC47&lt;=0.02,E47&lt;AC47),"25日戻り売り★",IF(AND(ABS(E47-AB47)/AB47&lt;=0.01,E47&lt;AB47),"5日戻り売り○","なし")))</f>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IF(AND(T47&gt;=7,C47&lt;&gt;""),T47,0)</f>
        <v>0</v>
      </c>
      <c r="AH47">
        <f>IF(AG47&gt;0,AG47*10000-ROW(A47),0)</f>
        <v>0</v>
      </c>
      <c r="AI47" s="373">
        <f t="array" ref="AI47">IF(C47="","",IFERROR((INDEX(終値!$E:$E,MATCH(TEXT(C47,"0"),終値!$A:$A,0))-INDEX(終値!$E:$CZ,MATCH(TEXT(C47,"0"),終値!$A:$A,0),$AN$2))/INDEX(終値!$E:$CZ,MATCH(TEXT(C47,"0"),終値!$A:$A,0),$AN$2)*100,""))</f>
        <v>3.5456870495233668</v>
      </c>
      <c r="AJ47" s="373">
        <f t="array" ref="AJ47">IFERROR((終値!$E$5-INDEX(終値!$E$5:$IT$5,1,$AN$2))/INDEX(終値!$E$5:$IT$5,1,$AN$2)*100,"")</f>
        <v>1.0179378228534113</v>
      </c>
      <c r="AK47" s="374">
        <f>IF(OR(AI47="",AJ47=""),"",AI47-AJ47)</f>
        <v>2.5277492266699557</v>
      </c>
      <c r="AL47" s="372">
        <f>IF(AK47="","",IF(AK47&lt;-5,3,IF(AK47&lt;0,1,IF(AK47&lt;3,-1,-2))))</f>
        <v>-1</v>
      </c>
      <c r="AO47" s="376" t="str">
        <f>IF(OR($C47="",$E47="",$F47="",$H47="",$I47="",$H47-$I47&lt;=0),"-",IF(AND($H47-MAX($F47,$E47)&gt;=ABS($E47-$F47)*2,MIN($F47,$E47)-$I47&lt;=ABS($E47-$F47)*0.5,ABS($E47-$F47)&gt;0),"上ヒゲ陰線▼",IF(AND($E47&lt;$F47,ABS($E47-$F47)&gt;=($H47-$I47)*0.7),"大陰線▼",IF(AND(MIN($F47,$E47)-$I47&gt;=($H47-$I47)*0.5,$H47-MAX($F47,$E47)&lt;=($H47-$I47)*0.2),"長い下ヒゲ(反発警戒)","通常"))))</f>
        <v>通常</v>
      </c>
      <c r="AP47" s="377">
        <f>IF($AO47="上ヒゲ陰線▼",2,IF($AO47="大陰線▼",2,IF($AO47="長い下ヒゲ(反発警戒)",-2,0)))</f>
        <v>0</v>
      </c>
      <c r="AQ47">
        <f>IF(C47&lt;&gt;"",始値!F10,"")</f>
        <v>8347</v>
      </c>
      <c r="AR47">
        <f>IF(C47&lt;&gt;"",高値!F10,"")</f>
        <v>8628</v>
      </c>
      <c r="AS47">
        <f>IF(C47&lt;&gt;"",安値!F10,"")</f>
        <v>8330</v>
      </c>
      <c r="AT47" t="str">
        <f>IF(OR(C47="",AQ47="",AR47="",AS47="",AR47-AS47&lt;=0),"-",IF(AND(AR47-MAX(G47,AQ47)&gt;=ABS(G47-AQ47)*2,MIN(G47,AQ47)-AS47&lt;=ABS(G47-AQ47)*0.5,ABS(G47-AQ47)&gt;0),"上ヒゲ陰線▼",IF(AND(G47&lt;AQ47,ABS(G47-AQ47)&gt;=(AR47-AS47)*0.7),"大陰線▼",IF(AND(MIN(G47,AQ47)-AS47&gt;=(AR47-AS47)*0.5,AR47-MAX(G47,AQ47)&lt;=(AR47-AS47)*0.2),"長い下ヒゲ(反発)","通常"))))</f>
        <v>通常</v>
      </c>
      <c r="AU47">
        <f>IF(AT47="上ヒゲ陰線▼",2,IF(AT47="大陰線▼",2,IF(AT47="長い下ヒゲ(反発)",-2,0)))</f>
        <v>0</v>
      </c>
      <c r="BA47">
        <f>IFERROR((SUM(OFFSET(高値!$E$6,IFERROR(MATCH($C47,銘柄管理!$B$6:$B$305,0),MATCH(TEXT($C47,"0"),銘柄管理!$B$6:$B$305,0))-1,0,1,14))-SUM(OFFSET(安値!$E$6,IFERROR(MATCH($C47,銘柄管理!$B$6:$B$305,0),MATCH(TEXT($C47,"0"),銘柄管理!$B$6:$B$305,0))-1,0,1,14)))/SUM(OFFSET(終値!$E$6,IFERROR(MATCH($C47,銘柄管理!$B$6:$B$305,0),MATCH(TEXT($C47,"0"),銘柄管理!$B$6:$B$305,0))-1,0,1,14))*100,"")</f>
      </c>
      <c r="BB47">
        <f>IFERROR((MAX(OFFSET(高値!$E$6,IFERROR(MATCH($C47,銘柄管理!$B$6:$B$305,0),MATCH(TEXT($C47,"0"),銘柄管理!$B$6:$B$305,0))-1,0,1,25))-MIN(OFFSET(安値!$E$6,IFERROR(MATCH($C47,銘柄管理!$B$6:$B$305,0),MATCH(TEXT($C47,"0"),銘柄管理!$B$6:$B$305,0))-1,0,1,25)))/$E47*100,"")</f>
      </c>
      <c r="BC47">
        <f>IFERROR(($F47-$G47)/$G47*100,"")</f>
      </c>
      <c r="BD47">
        <f>IFERROR(($E47-MAX(OFFSET(高値!$E$6,IFERROR(MATCH($C47,銘柄管理!$B$6:$B$305,0),MATCH(TEXT($C47,"0"),銘柄管理!$B$6:$B$305,0))-1,0,1,25)))/MAX(OFFSET(高値!$E$6,IFERROR(MATCH($C47,銘柄管理!$B$6:$B$305,0),MATCH(TEXT($C47,"0"),銘柄管理!$B$6:$B$305,0))-1,0,1,25))*100,"")</f>
      </c>
      <c r="BE47">
        <f>IFERROR(($H47-$I47)/$F47*100,"")</f>
      </c>
      <c r="BF47">
        <f>IFERROR(-(($BA47-AVERAGE($BA$3:$BA$206))/STDEV($BA$3:$BA$206))-(($BE47-AVERAGE($BE$3:$BE$206))/STDEV($BE$3:$BE$206))-(($BB47-AVERAGE($BB$3:$BB$206))/STDEV($BB$3:$BB$206))-(($Z47-AVERAGE($Z$3:$Z$206))/STDEV($Z$3:$Z$206))-(($BC47-AVERAGE($BC$3:$BC$206))/STDEV($BC$3:$BC$206)),"")</f>
      </c>
      <c r="BG47">
        <f>IF(OR($C47="",$C47="TOPX",$BA47="",$BF47=""),0,IF(AND($BK$10=1,$BA47&lt;=$BK$2,$BB47&lt;=$BK$3,$BC47&lt;=$BK$4,$Z47&lt;=$BK$5,$Z47&gt;=$BK$6,$BD47&gt;=$BK$7,$BE47&lt;=$BK$8),1,0))</f>
      </c>
      <c r="BH47">
        <f>IF($C47="","",IF($BG47=1,"○ゲート通過",IF($BK$10&lt;&gt;1,"― この方向は停止中",IF($BA47&gt;$BK$2,"×値動きが荒い",IF($BB47&gt;$BK$3,"×レンジが広い",IF($BC47&gt;$BK$4,"×窓を開けて上昇",IF($Z47&gt;$BK$5,"×前日に急騰",IF($Z47&lt;$BK$6,"×前日に急落",IF($BD47&lt;$BK$7,"×高値から離れすぎ",IF($BE47&gt;$BK$8,"×当日の値幅が大きい","×")))))))))</f>
      </c>
    </row>
    <row r="48" spans="1:60"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IF(AND(E48&lt;&gt;"",K48&lt;&gt;"",K48&lt;&gt;0),(E48-K48)/K48*100,"")</f>
        <v>-11.831831831831833</v>
      </c>
      <c r="M48" s="333">
        <f>IF(C48&lt;&gt;"",IFERROR(AVERAGE(出来高!E13:I13),""),"")</f>
        <v>622000</v>
      </c>
      <c r="N48" s="333">
        <f>IF(C48&lt;&gt;"",IFERROR(AVERAGE(出来高!E13:AC13),""),"")</f>
        <v>390060</v>
      </c>
      <c r="O48" s="335">
        <f>IF(AND(J48&lt;&gt;"",M48&lt;&gt;"",M48&lt;&gt;0),J48/M48,"")</f>
        <v>0.45241157556270095</v>
      </c>
      <c r="P48" s="212" t="str">
        <f>IF(O48="","",IF(O48&gt;=2,"急増↑↑",IF(O48&gt;=1.5,"増加↑",IF(O48&gt;=1,"普通→","減少↓"))))</f>
        <v>減少↓</v>
      </c>
      <c r="Q48" s="212" t="str">
        <f>IF(E48="","",IF(AND(E48&lt;G48,O48&gt;=1.5),"売り▼",IF(E48&gt;G48,"様子見▲","中立→")))</f>
        <v>様子見▲</v>
      </c>
      <c r="R48" s="333">
        <f>IF(E48&lt;&gt;"",ROUND(E48*0.92,0),"")</f>
        <v>2701</v>
      </c>
      <c r="S48" s="333">
        <f>IF(E48&lt;&gt;"",ROUND(E48*1.04,0),"")</f>
        <v>3053</v>
      </c>
      <c r="T48" s="325">
        <f>IF(C48="","",IFERROR(IF(W48&gt;=70,3,IF(W48&gt;=60,2,IF(W48&gt;=50,1,0)))+IF(X48&lt;0,2,0)+IF(AD48="下降トレンド▼",3,IF(AD48="もみ合い→",1,0))+IF(V48="年初来安値圏●",3,IF(V48="安値圏",2,0))+IF(Q48="売り▼",2,0)+IF(P48="急増↑↑",2,IF(P48="増加↑",1,0))+IF(Z48&lt;0,1,0)+IF(L48&lt;=-30,2,IF(L48&lt;=-15,1,0))+IF(AE48="25日戻り売り★",2,IF(AE48="5日戻り売り○",1,0))+N(AL48)+N(AP48)+N(AU48),0))</f>
        <v>0</v>
      </c>
      <c r="U48" s="212" t="str">
        <f>IF(T48="","",IF(AND(T48&gt;=3,O48&gt;=1.5),"有効",IF(T48&gt;=3,"要確認","除外")))</f>
        <v>除外</v>
      </c>
      <c r="V48" s="212" t="str">
        <f>IF(AND(I48&lt;&gt;"",K48&lt;&gt;""),IF(I48&lt;=K48*0.6,"年初来安値圏●",IF(I48&lt;=K48*0.75,"安値圏","通常")),"")</f>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IF(AF48="","",AF48&amp;" | "&amp;AD48&amp;IF(AE48&lt;&gt;"なし"," "&amp;AE48,"")&amp;IF(X48&lt;0," MACD-"," MACD+")&amp;" RSI:"&amp;TEXT(W48,"0.0")&amp;IF(W48&gt;=70," [過熱]",IF(W48&lt;=30," [売られ過ぎ]",""))&amp;" 前日比:"&amp;TEXT(Z48,"+0.0;-0.0;0.0")&amp;"%"&amp;IF(V48="年初来安値圏●"," [年初来安値圏]",IF(V48="安値圏"," [安値圏]",""))&amp;IF(OR(AO48="通常",AO48="-"),""," ["&amp;AO48&amp;"]")&amp;IF(OR(AT48="通常",AT48="-"),"","前日["&amp;AT48&amp;"]")&amp;" ["&amp;T48&amp;"点]")</f>
        <v>相場上昇・見送り | パーフェクト▲ MACD+ RSI:60.1 前日比:+0.7% [0点]</v>
      </c>
      <c r="Z48" s="338">
        <f>IF(AND(E48&lt;&gt;"",G48&lt;&gt;"",G48&lt;&gt;0),(E48-G48)/G48*100,"")</f>
        <v>0.65135413095646211</v>
      </c>
      <c r="AA48" s="212" t="str">
        <f>IF(OR(C48="",E48="",E48=0),"",IF(E48&gt;G48,"上昇▲",IF(E48&lt;G48,"下落▼","横ばい→")))</f>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IF(OR(C48="",AB48="",AC48="",AB48=0,AC48=0),"",IF(AND(E48&gt;AB48,AB48&gt;AC48),"パーフェクト▲",IF(E48&gt;AC48,"上昇トレンド▲",IF(AND(E48&lt;AB48,AB48&lt;AC48),"下降トレンド▼","もみ合い→"))))</f>
        <v>パーフェクト▲</v>
      </c>
      <c r="AE48" s="212" t="str">
        <f>IF(OR(C48="",AB48="",AC48=""),"",IF(AND(ABS(E48-AC48)/AC48&lt;=0.02,E48&lt;AC48),"25日戻り売り★",IF(AND(ABS(E48-AB48)/AB48&lt;=0.01,E48&lt;AB48),"5日戻り売り○","なし")))</f>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IF(AND(T48&gt;=7,C48&lt;&gt;""),T48,0)</f>
        <v>0</v>
      </c>
      <c r="AH48">
        <f>IF(AG48&gt;0,AG48*10000-ROW(A48),0)</f>
        <v>0</v>
      </c>
      <c r="AI48" s="373">
        <f t="array" ref="AI48">IF(C48="","",IFERROR((INDEX(終値!$E:$E,MATCH(TEXT(C48,"0"),終値!$A:$A,0))-INDEX(終値!$E:$CZ,MATCH(TEXT(C48,"0"),終値!$A:$A,0),$AN$2))/INDEX(終値!$E:$CZ,MATCH(TEXT(C48,"0"),終値!$A:$A,0),$AN$2)*100,""))</f>
        <v>7.0751276440554349</v>
      </c>
      <c r="AJ48" s="373">
        <f t="array" ref="AJ48">IFERROR((終値!$E$5-INDEX(終値!$E$5:$IT$5,1,$AN$2))/INDEX(終値!$E$5:$IT$5,1,$AN$2)*100,"")</f>
        <v>1.0179378228534113</v>
      </c>
      <c r="AK48" s="374">
        <f>IF(OR(AI48="",AJ48=""),"",AI48-AJ48)</f>
        <v>6.0571898212020239</v>
      </c>
      <c r="AL48" s="372">
        <f>IF(AK48="","",IF(AK48&lt;-5,3,IF(AK48&lt;0,1,IF(AK48&lt;3,-1,-2))))</f>
        <v>-2</v>
      </c>
      <c r="AO48" s="376" t="str">
        <f>IF(OR($C48="",$E48="",$F48="",$H48="",$I48="",$H48-$I48&lt;=0),"-",IF(AND($H48-MAX($F48,$E48)&gt;=ABS($E48-$F48)*2,MIN($F48,$E48)-$I48&lt;=ABS($E48-$F48)*0.5,ABS($E48-$F48)&gt;0),"上ヒゲ陰線▼",IF(AND($E48&lt;$F48,ABS($E48-$F48)&gt;=($H48-$I48)*0.7),"大陰線▼",IF(AND(MIN($F48,$E48)-$I48&gt;=($H48-$I48)*0.5,$H48-MAX($F48,$E48)&lt;=($H48-$I48)*0.2),"長い下ヒゲ(反発警戒)","通常"))))</f>
        <v>通常</v>
      </c>
      <c r="AP48" s="377">
        <f>IF($AO48="上ヒゲ陰線▼",2,IF($AO48="大陰線▼",2,IF($AO48="長い下ヒゲ(反発警戒)",-2,0)))</f>
        <v>0</v>
      </c>
      <c r="AQ48">
        <f>IF(C48&lt;&gt;"",始値!F13,"")</f>
        <v>2841</v>
      </c>
      <c r="AR48">
        <f>IF(C48&lt;&gt;"",高値!F13,"")</f>
        <v>2917</v>
      </c>
      <c r="AS48">
        <f>IF(C48&lt;&gt;"",安値!F13,"")</f>
        <v>2811</v>
      </c>
      <c r="AT48" t="str">
        <f>IF(OR(C48="",AQ48="",AR48="",AS48="",AR48-AS48&lt;=0),"-",IF(AND(AR48-MAX(G48,AQ48)&gt;=ABS(G48-AQ48)*2,MIN(G48,AQ48)-AS48&lt;=ABS(G48-AQ48)*0.5,ABS(G48-AQ48)&gt;0),"上ヒゲ陰線▼",IF(AND(G48&lt;AQ48,ABS(G48-AQ48)&gt;=(AR48-AS48)*0.7),"大陰線▼",IF(AND(MIN(G48,AQ48)-AS48&gt;=(AR48-AS48)*0.5,AR48-MAX(G48,AQ48)&lt;=(AR48-AS48)*0.2),"長い下ヒゲ(反発)","通常"))))</f>
        <v>通常</v>
      </c>
      <c r="AU48">
        <f>IF(AT48="上ヒゲ陰線▼",2,IF(AT48="大陰線▼",2,IF(AT48="長い下ヒゲ(反発)",-2,0)))</f>
        <v>0</v>
      </c>
      <c r="BA48">
        <f>IFERROR((SUM(OFFSET(高値!$E$6,IFERROR(MATCH($C48,銘柄管理!$B$6:$B$305,0),MATCH(TEXT($C48,"0"),銘柄管理!$B$6:$B$305,0))-1,0,1,14))-SUM(OFFSET(安値!$E$6,IFERROR(MATCH($C48,銘柄管理!$B$6:$B$305,0),MATCH(TEXT($C48,"0"),銘柄管理!$B$6:$B$305,0))-1,0,1,14)))/SUM(OFFSET(終値!$E$6,IFERROR(MATCH($C48,銘柄管理!$B$6:$B$305,0),MATCH(TEXT($C48,"0"),銘柄管理!$B$6:$B$305,0))-1,0,1,14))*100,"")</f>
      </c>
      <c r="BB48">
        <f>IFERROR((MAX(OFFSET(高値!$E$6,IFERROR(MATCH($C48,銘柄管理!$B$6:$B$305,0),MATCH(TEXT($C48,"0"),銘柄管理!$B$6:$B$305,0))-1,0,1,25))-MIN(OFFSET(安値!$E$6,IFERROR(MATCH($C48,銘柄管理!$B$6:$B$305,0),MATCH(TEXT($C48,"0"),銘柄管理!$B$6:$B$305,0))-1,0,1,25)))/$E48*100,"")</f>
      </c>
      <c r="BC48">
        <f>IFERROR(($F48-$G48)/$G48*100,"")</f>
      </c>
      <c r="BD48">
        <f>IFERROR(($E48-MAX(OFFSET(高値!$E$6,IFERROR(MATCH($C48,銘柄管理!$B$6:$B$305,0),MATCH(TEXT($C48,"0"),銘柄管理!$B$6:$B$305,0))-1,0,1,25)))/MAX(OFFSET(高値!$E$6,IFERROR(MATCH($C48,銘柄管理!$B$6:$B$305,0),MATCH(TEXT($C48,"0"),銘柄管理!$B$6:$B$305,0))-1,0,1,25))*100,"")</f>
      </c>
      <c r="BE48">
        <f>IFERROR(($H48-$I48)/$F48*100,"")</f>
      </c>
      <c r="BF48">
        <f>IFERROR(-(($BA48-AVERAGE($BA$3:$BA$206))/STDEV($BA$3:$BA$206))-(($BE48-AVERAGE($BE$3:$BE$206))/STDEV($BE$3:$BE$206))-(($BB48-AVERAGE($BB$3:$BB$206))/STDEV($BB$3:$BB$206))-(($Z48-AVERAGE($Z$3:$Z$206))/STDEV($Z$3:$Z$206))-(($BC48-AVERAGE($BC$3:$BC$206))/STDEV($BC$3:$BC$206)),"")</f>
      </c>
      <c r="BG48">
        <f>IF(OR($C48="",$C48="TOPX",$BA48="",$BF48=""),0,IF(AND($BK$10=1,$BA48&lt;=$BK$2,$BB48&lt;=$BK$3,$BC48&lt;=$BK$4,$Z48&lt;=$BK$5,$Z48&gt;=$BK$6,$BD48&gt;=$BK$7,$BE48&lt;=$BK$8),1,0))</f>
      </c>
      <c r="BH48">
        <f>IF($C48="","",IF($BG48=1,"○ゲート通過",IF($BK$10&lt;&gt;1,"― この方向は停止中",IF($BA48&gt;$BK$2,"×値動きが荒い",IF($BB48&gt;$BK$3,"×レンジが広い",IF($BC48&gt;$BK$4,"×窓を開けて上昇",IF($Z48&gt;$BK$5,"×前日に急騰",IF($Z48&lt;$BK$6,"×前日に急落",IF($BD48&lt;$BK$7,"×高値から離れすぎ",IF($BE48&gt;$BK$8,"×当日の値幅が大きい","×")))))))))</f>
      </c>
    </row>
    <row r="49" spans="1:60"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IF(AND(E49&lt;&gt;"",K49&lt;&gt;"",K49&lt;&gt;0),(E49-K49)/K49*100,"")</f>
        <v>1.6274338854984016</v>
      </c>
      <c r="M49" s="326">
        <f>IF(C49&lt;&gt;"",IFERROR(AVERAGE(出来高!E25:I25),""),"")</f>
        <v>16820420</v>
      </c>
      <c r="N49" s="326">
        <f>IF(C49&lt;&gt;"",IFERROR(AVERAGE(出来高!E25:AC25),""),"")</f>
        <v>12169588</v>
      </c>
      <c r="O49" s="328">
        <f>IF(AND(J49&lt;&gt;"",M49&lt;&gt;"",M49&lt;&gt;0),J49/M49,"")</f>
        <v>0.60042495966212495</v>
      </c>
      <c r="P49" s="325" t="str">
        <f>IF(O49="","",IF(O49&gt;=2,"急増↑↑",IF(O49&gt;=1.5,"増加↑",IF(O49&gt;=1,"普通→","減少↓"))))</f>
        <v>減少↓</v>
      </c>
      <c r="Q49" s="325" t="str">
        <f>IF(E49="","",IF(AND(E49&lt;G49,O49&gt;=1.5),"売り▼",IF(E49&gt;G49,"様子見▲","中立→")))</f>
        <v>様子見▲</v>
      </c>
      <c r="R49" s="326">
        <f>IF(E49&lt;&gt;"",ROUND(E49*0.92,0),"")</f>
        <v>1609</v>
      </c>
      <c r="S49" s="326">
        <f>IF(E49&lt;&gt;"",ROUND(E49*1.04,0),"")</f>
        <v>1818</v>
      </c>
      <c r="T49" s="325">
        <f>IF(C49="","",IFERROR(IF(W49&gt;=70,3,IF(W49&gt;=60,2,IF(W49&gt;=50,1,0)))+IF(X49&lt;0,2,0)+IF(AD49="下降トレンド▼",3,IF(AD49="もみ合い→",1,0))+IF(V49="年初来安値圏●",3,IF(V49="安値圏",2,0))+IF(Q49="売り▼",2,0)+IF(P49="急増↑↑",2,IF(P49="増加↑",1,0))+IF(Z49&lt;0,1,0)+IF(L49&lt;=-30,2,IF(L49&lt;=-15,1,0))+IF(AE49="25日戻り売り★",2,IF(AE49="5日戻り売り○",1,0))+N(AL49)+N(AP49)+N(AU49),0))</f>
        <v>0</v>
      </c>
      <c r="U49" s="325" t="str">
        <f>IF(T49="","",IF(AND(T49&gt;=3,O49&gt;=1.5),"有効",IF(T49&gt;=3,"要確認","除外")))</f>
        <v>除外</v>
      </c>
      <c r="V49" s="325" t="str">
        <f>IF(AND(I49&lt;&gt;"",K49&lt;&gt;""),IF(I49&lt;=K49*0.6,"年初来安値圏●",IF(I49&lt;=K49*0.75,"安値圏","通常")),"")</f>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IF(AF49="","",AF49&amp;" | "&amp;AD49&amp;IF(AE49&lt;&gt;"なし"," "&amp;AE49,"")&amp;IF(X49&lt;0," MACD-"," MACD+")&amp;" RSI:"&amp;TEXT(W49,"0.0")&amp;IF(W49&gt;=70," [過熱]",IF(W49&lt;=30," [売られ過ぎ]",""))&amp;" 前日比:"&amp;TEXT(Z49,"+0.0;-0.0;0.0")&amp;"%"&amp;IF(V49="年初来安値圏●"," [年初来安値圏]",IF(V49="安値圏"," [安値圏]",""))&amp;IF(OR(AO49="通常",AO49="-"),""," ["&amp;AO49&amp;"]")&amp;IF(OR(AT49="通常",AT49="-"),"","前日["&amp;AT49&amp;"]")&amp;" ["&amp;T49&amp;"点]")</f>
        <v>相場上昇・見送り | パーフェクト▲ MACD+ RSI:66.1 前日比:+1.6% [0点]</v>
      </c>
      <c r="Z49" s="331">
        <f>IF(AND(E49&lt;&gt;"",G49&lt;&gt;"",G49&lt;&gt;0),(E49-G49)/G49*100,"")</f>
        <v>1.6274338854984016</v>
      </c>
      <c r="AA49" s="325" t="str">
        <f>IF(OR(C49="",E49="",E49=0),"",IF(E49&gt;G49,"上昇▲",IF(E49&lt;G49,"下落▼","横ばい→")))</f>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IF(OR(C49="",AB49="",AC49="",AB49=0,AC49=0),"",IF(AND(E49&gt;AB49,AB49&gt;AC49),"パーフェクト▲",IF(E49&gt;AC49,"上昇トレンド▲",IF(AND(E49&lt;AB49,AB49&lt;AC49),"下降トレンド▼","もみ合い→"))))</f>
        <v>パーフェクト▲</v>
      </c>
      <c r="AE49" s="325" t="str">
        <f>IF(OR(C49="",AB49="",AC49=""),"",IF(AND(ABS(E49-AC49)/AC49&lt;=0.02,E49&lt;AC49),"25日戻り売り★",IF(AND(ABS(E49-AB49)/AB49&lt;=0.01,E49&lt;AB49),"5日戻り売り○","なし")))</f>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IF(AND(T49&gt;=7,C49&lt;&gt;""),T49,0)</f>
        <v>0</v>
      </c>
      <c r="AH49">
        <f>IF(AG49&gt;0,AG49*10000-ROW(A49),0)</f>
        <v>0</v>
      </c>
      <c r="AI49" s="373">
        <f t="array" ref="AI49">IF(C49="","",IFERROR((INDEX(終値!$E:$E,MATCH(TEXT(C49,"0"),終値!$A:$A,0))-INDEX(終値!$E:$CZ,MATCH(TEXT(C49,"0"),終値!$A:$A,0),$AN$2))/INDEX(終値!$E:$CZ,MATCH(TEXT(C49,"0"),終値!$A:$A,0),$AN$2)*100,""))</f>
        <v>11.68955605237943</v>
      </c>
      <c r="AJ49" s="373">
        <f t="array" ref="AJ49">IFERROR((終値!$E$5-INDEX(終値!$E$5:$IT$5,1,$AN$2))/INDEX(終値!$E$5:$IT$5,1,$AN$2)*100,"")</f>
        <v>1.0179378228534113</v>
      </c>
      <c r="AK49" s="374">
        <f>IF(OR(AI49="",AJ49=""),"",AI49-AJ49)</f>
        <v>10.671618229526018</v>
      </c>
      <c r="AL49" s="372">
        <f>IF(AK49="","",IF(AK49&lt;-5,3,IF(AK49&lt;0,1,IF(AK49&lt;3,-1,-2))))</f>
        <v>-2</v>
      </c>
      <c r="AO49" s="376" t="str">
        <f>IF(OR($C49="",$E49="",$F49="",$H49="",$I49="",$H49-$I49&lt;=0),"-",IF(AND($H49-MAX($F49,$E49)&gt;=ABS($E49-$F49)*2,MIN($F49,$E49)-$I49&lt;=ABS($E49-$F49)*0.5,ABS($E49-$F49)&gt;0),"上ヒゲ陰線▼",IF(AND($E49&lt;$F49,ABS($E49-$F49)&gt;=($H49-$I49)*0.7),"大陰線▼",IF(AND(MIN($F49,$E49)-$I49&gt;=($H49-$I49)*0.5,$H49-MAX($F49,$E49)&lt;=($H49-$I49)*0.2),"長い下ヒゲ(反発警戒)","通常"))))</f>
        <v>通常</v>
      </c>
      <c r="AP49" s="377">
        <f>IF($AO49="上ヒゲ陰線▼",2,IF($AO49="大陰線▼",2,IF($AO49="長い下ヒゲ(反発警戒)",-2,0)))</f>
        <v>0</v>
      </c>
      <c r="AQ49">
        <f>IF(C49&lt;&gt;"",始値!F25,"")</f>
        <v>1660</v>
      </c>
      <c r="AR49">
        <f>IF(C49&lt;&gt;"",高値!F25,"")</f>
        <v>1720.5</v>
      </c>
      <c r="AS49">
        <f>IF(C49&lt;&gt;"",安値!F25,"")</f>
        <v>1657.5</v>
      </c>
      <c r="AT49" t="str">
        <f>IF(OR(C49="",AQ49="",AR49="",AS49="",AR49-AS49&lt;=0),"-",IF(AND(AR49-MAX(G49,AQ49)&gt;=ABS(G49-AQ49)*2,MIN(G49,AQ49)-AS49&lt;=ABS(G49-AQ49)*0.5,ABS(G49-AQ49)&gt;0),"上ヒゲ陰線▼",IF(AND(G49&lt;AQ49,ABS(G49-AQ49)&gt;=(AR49-AS49)*0.7),"大陰線▼",IF(AND(MIN(G49,AQ49)-AS49&gt;=(AR49-AS49)*0.5,AR49-MAX(G49,AQ49)&lt;=(AR49-AS49)*0.2),"長い下ヒゲ(反発)","通常"))))</f>
        <v>通常</v>
      </c>
      <c r="AU49">
        <f>IF(AT49="上ヒゲ陰線▼",2,IF(AT49="大陰線▼",2,IF(AT49="長い下ヒゲ(反発)",-2,0)))</f>
        <v>0</v>
      </c>
      <c r="BA49">
        <f>IFERROR((SUM(OFFSET(高値!$E$6,IFERROR(MATCH($C49,銘柄管理!$B$6:$B$305,0),MATCH(TEXT($C49,"0"),銘柄管理!$B$6:$B$305,0))-1,0,1,14))-SUM(OFFSET(安値!$E$6,IFERROR(MATCH($C49,銘柄管理!$B$6:$B$305,0),MATCH(TEXT($C49,"0"),銘柄管理!$B$6:$B$305,0))-1,0,1,14)))/SUM(OFFSET(終値!$E$6,IFERROR(MATCH($C49,銘柄管理!$B$6:$B$305,0),MATCH(TEXT($C49,"0"),銘柄管理!$B$6:$B$305,0))-1,0,1,14))*100,"")</f>
      </c>
      <c r="BB49">
        <f>IFERROR((MAX(OFFSET(高値!$E$6,IFERROR(MATCH($C49,銘柄管理!$B$6:$B$305,0),MATCH(TEXT($C49,"0"),銘柄管理!$B$6:$B$305,0))-1,0,1,25))-MIN(OFFSET(安値!$E$6,IFERROR(MATCH($C49,銘柄管理!$B$6:$B$305,0),MATCH(TEXT($C49,"0"),銘柄管理!$B$6:$B$305,0))-1,0,1,25)))/$E49*100,"")</f>
      </c>
      <c r="BC49">
        <f>IFERROR(($F49-$G49)/$G49*100,"")</f>
      </c>
      <c r="BD49">
        <f>IFERROR(($E49-MAX(OFFSET(高値!$E$6,IFERROR(MATCH($C49,銘柄管理!$B$6:$B$305,0),MATCH(TEXT($C49,"0"),銘柄管理!$B$6:$B$305,0))-1,0,1,25)))/MAX(OFFSET(高値!$E$6,IFERROR(MATCH($C49,銘柄管理!$B$6:$B$305,0),MATCH(TEXT($C49,"0"),銘柄管理!$B$6:$B$305,0))-1,0,1,25))*100,"")</f>
      </c>
      <c r="BE49">
        <f>IFERROR(($H49-$I49)/$F49*100,"")</f>
      </c>
      <c r="BF49">
        <f>IFERROR(-(($BA49-AVERAGE($BA$3:$BA$206))/STDEV($BA$3:$BA$206))-(($BE49-AVERAGE($BE$3:$BE$206))/STDEV($BE$3:$BE$206))-(($BB49-AVERAGE($BB$3:$BB$206))/STDEV($BB$3:$BB$206))-(($Z49-AVERAGE($Z$3:$Z$206))/STDEV($Z$3:$Z$206))-(($BC49-AVERAGE($BC$3:$BC$206))/STDEV($BC$3:$BC$206)),"")</f>
      </c>
      <c r="BG49">
        <f>IF(OR($C49="",$C49="TOPX",$BA49="",$BF49=""),0,IF(AND($BK$10=1,$BA49&lt;=$BK$2,$BB49&lt;=$BK$3,$BC49&lt;=$BK$4,$Z49&lt;=$BK$5,$Z49&gt;=$BK$6,$BD49&gt;=$BK$7,$BE49&lt;=$BK$8),1,0))</f>
      </c>
      <c r="BH49">
        <f>IF($C49="","",IF($BG49=1,"○ゲート通過",IF($BK$10&lt;&gt;1,"― この方向は停止中",IF($BA49&gt;$BK$2,"×値動きが荒い",IF($BB49&gt;$BK$3,"×レンジが広い",IF($BC49&gt;$BK$4,"×窓を開けて上昇",IF($Z49&gt;$BK$5,"×前日に急騰",IF($Z49&lt;$BK$6,"×前日に急落",IF($BD49&lt;$BK$7,"×高値から離れすぎ",IF($BE49&gt;$BK$8,"×当日の値幅が大きい","×")))))))))</f>
      </c>
    </row>
    <row r="50" spans="1:60"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IF(AND(E50&lt;&gt;"",K50&lt;&gt;"",K50&lt;&gt;0),(E50-K50)/K50*100,"")</f>
        <v>-28.128078817733993</v>
      </c>
      <c r="M50" s="333">
        <f>IF(C50&lt;&gt;"",IFERROR(AVERAGE(出来高!E57:I57),""),"")</f>
        <v>273240</v>
      </c>
      <c r="N50" s="333">
        <f>IF(C50&lt;&gt;"",IFERROR(AVERAGE(出来高!E57:AC57),""),"")</f>
        <v>338720</v>
      </c>
      <c r="O50" s="335">
        <f>IF(AND(J50&lt;&gt;"",M50&lt;&gt;"",M50&lt;&gt;0),J50/M50,"")</f>
        <v>1.5532132923437272</v>
      </c>
      <c r="P50" s="212" t="str">
        <f>IF(O50="","",IF(O50&gt;=2,"急増↑↑",IF(O50&gt;=1.5,"増加↑",IF(O50&gt;=1,"普通→","減少↓"))))</f>
        <v>増加↑</v>
      </c>
      <c r="Q50" s="212" t="str">
        <f>IF(E50="","",IF(AND(E50&lt;G50,O50&gt;=1.5),"売り▼",IF(E50&gt;G50,"様子見▲","中立→")))</f>
        <v>売り▼</v>
      </c>
      <c r="R50" s="333">
        <f>IF(E50&lt;&gt;"",ROUND(E50*0.92,0),"")</f>
        <v>1342</v>
      </c>
      <c r="S50" s="333">
        <f>IF(E50&lt;&gt;"",ROUND(E50*1.04,0),"")</f>
        <v>1517</v>
      </c>
      <c r="T50" s="325">
        <f>IF(C50="","",IFERROR(IF(W50&gt;=70,3,IF(W50&gt;=60,2,IF(W50&gt;=50,1,0)))+IF(X50&lt;0,2,0)+IF(AD50="下降トレンド▼",3,IF(AD50="もみ合い→",1,0))+IF(V50="年初来安値圏●",3,IF(V50="安値圏",2,0))+IF(Q50="売り▼",2,0)+IF(P50="急増↑↑",2,IF(P50="増加↑",1,0))+IF(Z50&lt;0,1,0)+IF(L50&lt;=-30,2,IF(L50&lt;=-15,1,0))+IF(AE50="25日戻り売り★",2,IF(AE50="5日戻り売り○",1,0))+N(AL50)+N(AP50)+N(AU50),0))</f>
        <v>10</v>
      </c>
      <c r="U50" s="212" t="str">
        <f>IF(T50="","",IF(AND(T50&gt;=3,O50&gt;=1.5),"有効",IF(T50&gt;=3,"要確認","除外")))</f>
        <v>有効</v>
      </c>
      <c r="V50" s="212" t="str">
        <f>IF(AND(I50&lt;&gt;"",K50&lt;&gt;""),IF(I50&lt;=K50*0.6,"年初来安値圏●",IF(I50&lt;=K50*0.75,"安値圏","通常")),"")</f>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IF(AF50="","",AF50&amp;" | "&amp;AD50&amp;IF(AE50&lt;&gt;"なし"," "&amp;AE50,"")&amp;IF(X50&lt;0," MACD-"," MACD+")&amp;" RSI:"&amp;TEXT(W50,"0.0")&amp;IF(W50&gt;=70," [過熱]",IF(W50&lt;=30," [売られ過ぎ]",""))&amp;" 前日比:"&amp;TEXT(Z50,"+0.0;-0.0;0.0")&amp;"%"&amp;IF(V50="年初来安値圏●"," [年初来安値圏]",IF(V50="安値圏"," [安値圏]",""))&amp;IF(OR(AO50="通常",AO50="-"),""," ["&amp;AO50&amp;"]")&amp;IF(OR(AT50="通常",AT50="-"),"","前日["&amp;AT50&amp;"]")&amp;" ["&amp;T50&amp;"点]")</f>
        <v>相場上昇・見送り | 上昇トレンド▲ MACD- RSI:35.5 前日比:-1.1% [安値圏] [10点]</v>
      </c>
      <c r="Z50" s="338">
        <f>IF(AND(E50&lt;&gt;"",G50&lt;&gt;"",G50&lt;&gt;0),(E50-G50)/G50*100,"")</f>
        <v>-1.0847457627118644</v>
      </c>
      <c r="AA50" s="212" t="str">
        <f>IF(OR(C50="",E50="",E50=0),"",IF(E50&gt;G50,"上昇▲",IF(E50&lt;G50,"下落▼","横ばい→")))</f>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IF(OR(C50="",AB50="",AC50="",AB50=0,AC50=0),"",IF(AND(E50&gt;AB50,AB50&gt;AC50),"パーフェクト▲",IF(E50&gt;AC50,"上昇トレンド▲",IF(AND(E50&lt;AB50,AB50&lt;AC50),"下降トレンド▼","もみ合い→"))))</f>
        <v>上昇トレンド▲</v>
      </c>
      <c r="AE50" s="212" t="str">
        <f>IF(OR(C50="",AB50="",AC50=""),"",IF(AND(ABS(E50-AC50)/AC50&lt;=0.02,E50&lt;AC50),"25日戻り売り★",IF(AND(ABS(E50-AB50)/AB50&lt;=0.01,E50&lt;AB50),"5日戻り売り○","なし")))</f>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IF(AND(T50&gt;=7,C50&lt;&gt;""),T50,0)</f>
        <v>10</v>
      </c>
      <c r="AH50">
        <f>IF(AG50&gt;0,AG50*10000-ROW(A50),0)</f>
        <v>99950</v>
      </c>
      <c r="AI50" s="373">
        <f t="array" ref="AI50">IF(C50="","",IFERROR((INDEX(終値!$E:$E,MATCH(TEXT(C50,"0"),終値!$A:$A,0))-INDEX(終値!$E:$CZ,MATCH(TEXT(C50,"0"),終値!$A:$A,0),$AN$2))/INDEX(終値!$E:$CZ,MATCH(TEXT(C50,"0"),終値!$A:$A,0),$AN$2)*100,""))</f>
        <v>-3.56906807666887</v>
      </c>
      <c r="AJ50" s="373">
        <f t="array" ref="AJ50">IFERROR((終値!$E$5-INDEX(終値!$E$5:$IT$5,1,$AN$2))/INDEX(終値!$E$5:$IT$5,1,$AN$2)*100,"")</f>
        <v>1.0179378228534113</v>
      </c>
      <c r="AK50" s="374">
        <f>IF(OR(AI50="",AJ50=""),"",AI50-AJ50)</f>
        <v>-4.5870058995222811</v>
      </c>
      <c r="AL50" s="372">
        <f>IF(AK50="","",IF(AK50&lt;-5,3,IF(AK50&lt;0,1,IF(AK50&lt;3,-1,-2))))</f>
        <v>1</v>
      </c>
      <c r="AO50" s="376" t="str">
        <f>IF(OR($C50="",$E50="",$F50="",$H50="",$I50="",$H50-$I50&lt;=0),"-",IF(AND($H50-MAX($F50,$E50)&gt;=ABS($E50-$F50)*2,MIN($F50,$E50)-$I50&lt;=ABS($E50-$F50)*0.5,ABS($E50-$F50)&gt;0),"上ヒゲ陰線▼",IF(AND($E50&lt;$F50,ABS($E50-$F50)&gt;=($H50-$I50)*0.7),"大陰線▼",IF(AND(MIN($F50,$E50)-$I50&gt;=($H50-$I50)*0.5,$H50-MAX($F50,$E50)&lt;=($H50-$I50)*0.2),"長い下ヒゲ(反発警戒)","通常"))))</f>
        <v>通常</v>
      </c>
      <c r="AP50" s="377">
        <f>IF($AO50="上ヒゲ陰線▼",2,IF($AO50="大陰線▼",2,IF($AO50="長い下ヒゲ(反発警戒)",-2,0)))</f>
        <v>0</v>
      </c>
      <c r="AQ50">
        <f>IF(C50&lt;&gt;"",始値!F57,"")</f>
        <v>1405</v>
      </c>
      <c r="AR50">
        <f>IF(C50&lt;&gt;"",高値!F57,"")</f>
        <v>1475</v>
      </c>
      <c r="AS50">
        <f>IF(C50&lt;&gt;"",安値!F57,"")</f>
        <v>1405</v>
      </c>
      <c r="AT50" t="str">
        <f>IF(OR(C50="",AQ50="",AR50="",AS50="",AR50-AS50&lt;=0),"-",IF(AND(AR50-MAX(G50,AQ50)&gt;=ABS(G50-AQ50)*2,MIN(G50,AQ50)-AS50&lt;=ABS(G50-AQ50)*0.5,ABS(G50-AQ50)&gt;0),"上ヒゲ陰線▼",IF(AND(G50&lt;AQ50,ABS(G50-AQ50)&gt;=(AR50-AS50)*0.7),"大陰線▼",IF(AND(MIN(G50,AQ50)-AS50&gt;=(AR50-AS50)*0.5,AR50-MAX(G50,AQ50)&lt;=(AR50-AS50)*0.2),"長い下ヒゲ(反発)","通常"))))</f>
        <v>通常</v>
      </c>
      <c r="AU50">
        <f>IF(AT50="上ヒゲ陰線▼",2,IF(AT50="大陰線▼",2,IF(AT50="長い下ヒゲ(反発)",-2,0)))</f>
        <v>0</v>
      </c>
      <c r="BA50">
        <f>IFERROR((SUM(OFFSET(高値!$E$6,IFERROR(MATCH($C50,銘柄管理!$B$6:$B$305,0),MATCH(TEXT($C50,"0"),銘柄管理!$B$6:$B$305,0))-1,0,1,14))-SUM(OFFSET(安値!$E$6,IFERROR(MATCH($C50,銘柄管理!$B$6:$B$305,0),MATCH(TEXT($C50,"0"),銘柄管理!$B$6:$B$305,0))-1,0,1,14)))/SUM(OFFSET(終値!$E$6,IFERROR(MATCH($C50,銘柄管理!$B$6:$B$305,0),MATCH(TEXT($C50,"0"),銘柄管理!$B$6:$B$305,0))-1,0,1,14))*100,"")</f>
      </c>
      <c r="BB50">
        <f>IFERROR((MAX(OFFSET(高値!$E$6,IFERROR(MATCH($C50,銘柄管理!$B$6:$B$305,0),MATCH(TEXT($C50,"0"),銘柄管理!$B$6:$B$305,0))-1,0,1,25))-MIN(OFFSET(安値!$E$6,IFERROR(MATCH($C50,銘柄管理!$B$6:$B$305,0),MATCH(TEXT($C50,"0"),銘柄管理!$B$6:$B$305,0))-1,0,1,25)))/$E50*100,"")</f>
      </c>
      <c r="BC50">
        <f>IFERROR(($F50-$G50)/$G50*100,"")</f>
      </c>
      <c r="BD50">
        <f>IFERROR(($E50-MAX(OFFSET(高値!$E$6,IFERROR(MATCH($C50,銘柄管理!$B$6:$B$305,0),MATCH(TEXT($C50,"0"),銘柄管理!$B$6:$B$305,0))-1,0,1,25)))/MAX(OFFSET(高値!$E$6,IFERROR(MATCH($C50,銘柄管理!$B$6:$B$305,0),MATCH(TEXT($C50,"0"),銘柄管理!$B$6:$B$305,0))-1,0,1,25))*100,"")</f>
      </c>
      <c r="BE50">
        <f>IFERROR(($H50-$I50)/$F50*100,"")</f>
      </c>
      <c r="BF50">
        <f>IFERROR(-(($BA50-AVERAGE($BA$3:$BA$206))/STDEV($BA$3:$BA$206))-(($BE50-AVERAGE($BE$3:$BE$206))/STDEV($BE$3:$BE$206))-(($BB50-AVERAGE($BB$3:$BB$206))/STDEV($BB$3:$BB$206))-(($Z50-AVERAGE($Z$3:$Z$206))/STDEV($Z$3:$Z$206))-(($BC50-AVERAGE($BC$3:$BC$206))/STDEV($BC$3:$BC$206)),"")</f>
      </c>
      <c r="BG50">
        <f>IF(OR($C50="",$C50="TOPX",$BA50="",$BF50=""),0,IF(AND($BK$10=1,$BA50&lt;=$BK$2,$BB50&lt;=$BK$3,$BC50&lt;=$BK$4,$Z50&lt;=$BK$5,$Z50&gt;=$BK$6,$BD50&gt;=$BK$7,$BE50&lt;=$BK$8),1,0))</f>
      </c>
      <c r="BH50">
        <f>IF($C50="","",IF($BG50=1,"○ゲート通過",IF($BK$10&lt;&gt;1,"― この方向は停止中",IF($BA50&gt;$BK$2,"×値動きが荒い",IF($BB50&gt;$BK$3,"×レンジが広い",IF($BC50&gt;$BK$4,"×窓を開けて上昇",IF($Z50&gt;$BK$5,"×前日に急騰",IF($Z50&lt;$BK$6,"×前日に急落",IF($BD50&lt;$BK$7,"×高値から離れすぎ",IF($BE50&gt;$BK$8,"×当日の値幅が大きい","×")))))))))</f>
      </c>
    </row>
    <row r="51" spans="1:60"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IF(AND(E51&lt;&gt;"",K51&lt;&gt;"",K51&lt;&gt;0),(E51-K51)/K51*100,"")</f>
        <v>-26.900763358778622</v>
      </c>
      <c r="M51" s="326">
        <f>IF(C51&lt;&gt;"",IFERROR(AVERAGE(出来高!E59:I59),""),"")</f>
        <v>1046000</v>
      </c>
      <c r="N51" s="326">
        <f>IF(C51&lt;&gt;"",IFERROR(AVERAGE(出来高!E59:AC59),""),"")</f>
        <v>780276</v>
      </c>
      <c r="O51" s="328">
        <f>IF(AND(J51&lt;&gt;"",M51&lt;&gt;"",M51&lt;&gt;0),J51/M51,"")</f>
        <v>0.9140535372848948</v>
      </c>
      <c r="P51" s="325" t="str">
        <f>IF(O51="","",IF(O51&gt;=2,"急増↑↑",IF(O51&gt;=1.5,"増加↑",IF(O51&gt;=1,"普通→","減少↓"))))</f>
        <v>減少↓</v>
      </c>
      <c r="Q51" s="325" t="str">
        <f>IF(E51="","",IF(AND(E51&lt;G51,O51&gt;=1.5),"売り▼",IF(E51&gt;G51,"様子見▲","中立→")))</f>
        <v>中立→</v>
      </c>
      <c r="R51" s="326">
        <f>IF(E51&lt;&gt;"",ROUND(E51*0.92,0),"")</f>
        <v>2202</v>
      </c>
      <c r="S51" s="326">
        <f>IF(E51&lt;&gt;"",ROUND(E51*1.04,0),"")</f>
        <v>2490</v>
      </c>
      <c r="T51" s="325">
        <f>IF(C51="","",IFERROR(IF(W51&gt;=70,3,IF(W51&gt;=60,2,IF(W51&gt;=50,1,0)))+IF(X51&lt;0,2,0)+IF(AD51="下降トレンド▼",3,IF(AD51="もみ合い→",1,0))+IF(V51="年初来安値圏●",3,IF(V51="安値圏",2,0))+IF(Q51="売り▼",2,0)+IF(P51="急増↑↑",2,IF(P51="増加↑",1,0))+IF(Z51&lt;0,1,0)+IF(L51&lt;=-30,2,IF(L51&lt;=-15,1,0))+IF(AE51="25日戻り売り★",2,IF(AE51="5日戻り売り○",1,0))+N(AL51)+N(AP51)+N(AU51),0))</f>
        <v>12</v>
      </c>
      <c r="U51" s="325" t="str">
        <f>IF(T51="","",IF(AND(T51&gt;=3,O51&gt;=1.5),"有効",IF(T51&gt;=3,"要確認","除外")))</f>
        <v>要確認</v>
      </c>
      <c r="V51" s="325" t="str">
        <f>IF(AND(I51&lt;&gt;"",K51&lt;&gt;""),IF(I51&lt;=K51*0.6,"年初来安値圏●",IF(I51&lt;=K51*0.75,"安値圏","通常")),"")</f>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IF(AF51="","",AF51&amp;" | "&amp;AD51&amp;IF(AE51&lt;&gt;"なし"," "&amp;AE51,"")&amp;IF(X51&lt;0," MACD-"," MACD+")&amp;" RSI:"&amp;TEXT(W51,"0.0")&amp;IF(W51&gt;=70," [過熱]",IF(W51&lt;=30," [売られ過ぎ]",""))&amp;" 前日比:"&amp;TEXT(Z51,"+0.0;-0.0;0.0")&amp;"%"&amp;IF(V51="年初来安値圏●"," [年初来安値圏]",IF(V51="安値圏"," [安値圏]",""))&amp;IF(OR(AO51="通常",AO51="-"),""," ["&amp;AO51&amp;"]")&amp;IF(OR(AT51="通常",AT51="-"),"","前日["&amp;AT51&amp;"]")&amp;" ["&amp;T51&amp;"点]")</f>
        <v>○逆張り売り | もみ合い→ 25日戻り売り★ MACD- RSI:41.0 前日比:-2.5% [安値圏] [12点]</v>
      </c>
      <c r="Z51" s="331">
        <f>IF(AND(E51&lt;&gt;"",G51&lt;&gt;"",G51&lt;&gt;0),(E51-G51)/G51*100,"")</f>
        <v>-2.5244299674267103</v>
      </c>
      <c r="AA51" s="325" t="str">
        <f>IF(OR(C51="",E51="",E51=0),"",IF(E51&gt;G51,"上昇▲",IF(E51&lt;G51,"下落▼","横ばい→")))</f>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IF(OR(C51="",AB51="",AC51="",AB51=0,AC51=0),"",IF(AND(E51&gt;AB51,AB51&gt;AC51),"パーフェクト▲",IF(E51&gt;AC51,"上昇トレンド▲",IF(AND(E51&lt;AB51,AB51&lt;AC51),"下降トレンド▼","もみ合い→"))))</f>
        <v>もみ合い→</v>
      </c>
      <c r="AE51" s="325" t="str">
        <f>IF(OR(C51="",AB51="",AC51=""),"",IF(AND(ABS(E51-AC51)/AC51&lt;=0.02,E51&lt;AC51),"25日戻り売り★",IF(AND(ABS(E51-AB51)/AB51&lt;=0.01,E51&lt;AB51),"5日戻り売り○","なし")))</f>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IF(AND(T51&gt;=7,C51&lt;&gt;""),T51,0)</f>
        <v>12</v>
      </c>
      <c r="AH51">
        <f>IF(AG51&gt;0,AG51*10000-ROW(A51),0)</f>
        <v>119949</v>
      </c>
      <c r="AI51" s="373">
        <f t="array" ref="AI51">IF(C51="","",IFERROR((INDEX(終値!$E:$E,MATCH(TEXT(C51,"0"),終値!$A:$A,0))-INDEX(終値!$E:$CZ,MATCH(TEXT(C51,"0"),終値!$A:$A,0),$AN$2))/INDEX(終値!$E:$CZ,MATCH(TEXT(C51,"0"),終値!$A:$A,0),$AN$2)*100,""))</f>
        <v>-16.498081618416464</v>
      </c>
      <c r="AJ51" s="373">
        <f t="array" ref="AJ51">IFERROR((終値!$E$5-INDEX(終値!$E$5:$IT$5,1,$AN$2))/INDEX(終値!$E$5:$IT$5,1,$AN$2)*100,"")</f>
        <v>1.0179378228534113</v>
      </c>
      <c r="AK51" s="374">
        <f>IF(OR(AI51="",AJ51=""),"",AI51-AJ51)</f>
        <v>-17.516019441269876</v>
      </c>
      <c r="AL51" s="372">
        <f>IF(AK51="","",IF(AK51&lt;-5,3,IF(AK51&lt;0,1,IF(AK51&lt;3,-1,-2))))</f>
        <v>3</v>
      </c>
      <c r="AO51" s="376" t="str">
        <f>IF(OR($C51="",$E51="",$F51="",$H51="",$I51="",$H51-$I51&lt;=0),"-",IF(AND($H51-MAX($F51,$E51)&gt;=ABS($E51-$F51)*2,MIN($F51,$E51)-$I51&lt;=ABS($E51-$F51)*0.5,ABS($E51-$F51)&gt;0),"上ヒゲ陰線▼",IF(AND($E51&lt;$F51,ABS($E51-$F51)&gt;=($H51-$I51)*0.7),"大陰線▼",IF(AND(MIN($F51,$E51)-$I51&gt;=($H51-$I51)*0.5,$H51-MAX($F51,$E51)&lt;=($H51-$I51)*0.2),"長い下ヒゲ(反発警戒)","通常"))))</f>
        <v>通常</v>
      </c>
      <c r="AP51" s="377">
        <f>IF($AO51="上ヒゲ陰線▼",2,IF($AO51="大陰線▼",2,IF($AO51="長い下ヒゲ(反発警戒)",-2,0)))</f>
        <v>0</v>
      </c>
      <c r="AQ51">
        <f>IF(C51&lt;&gt;"",始値!F59,"")</f>
        <v>2291</v>
      </c>
      <c r="AR51">
        <f>IF(C51&lt;&gt;"",高値!F59,"")</f>
        <v>2472</v>
      </c>
      <c r="AS51">
        <f>IF(C51&lt;&gt;"",安値!F59,"")</f>
        <v>2282</v>
      </c>
      <c r="AT51" t="str">
        <f>IF(OR(C51="",AQ51="",AR51="",AS51="",AR51-AS51&lt;=0),"-",IF(AND(AR51-MAX(G51,AQ51)&gt;=ABS(G51-AQ51)*2,MIN(G51,AQ51)-AS51&lt;=ABS(G51-AQ51)*0.5,ABS(G51-AQ51)&gt;0),"上ヒゲ陰線▼",IF(AND(G51&lt;AQ51,ABS(G51-AQ51)&gt;=(AR51-AS51)*0.7),"大陰線▼",IF(AND(MIN(G51,AQ51)-AS51&gt;=(AR51-AS51)*0.5,AR51-MAX(G51,AQ51)&lt;=(AR51-AS51)*0.2),"長い下ヒゲ(反発)","通常"))))</f>
        <v>通常</v>
      </c>
      <c r="AU51">
        <f>IF(AT51="上ヒゲ陰線▼",2,IF(AT51="大陰線▼",2,IF(AT51="長い下ヒゲ(反発)",-2,0)))</f>
        <v>0</v>
      </c>
      <c r="BA51">
        <f>IFERROR((SUM(OFFSET(高値!$E$6,IFERROR(MATCH($C51,銘柄管理!$B$6:$B$305,0),MATCH(TEXT($C51,"0"),銘柄管理!$B$6:$B$305,0))-1,0,1,14))-SUM(OFFSET(安値!$E$6,IFERROR(MATCH($C51,銘柄管理!$B$6:$B$305,0),MATCH(TEXT($C51,"0"),銘柄管理!$B$6:$B$305,0))-1,0,1,14)))/SUM(OFFSET(終値!$E$6,IFERROR(MATCH($C51,銘柄管理!$B$6:$B$305,0),MATCH(TEXT($C51,"0"),銘柄管理!$B$6:$B$305,0))-1,0,1,14))*100,"")</f>
      </c>
      <c r="BB51">
        <f>IFERROR((MAX(OFFSET(高値!$E$6,IFERROR(MATCH($C51,銘柄管理!$B$6:$B$305,0),MATCH(TEXT($C51,"0"),銘柄管理!$B$6:$B$305,0))-1,0,1,25))-MIN(OFFSET(安値!$E$6,IFERROR(MATCH($C51,銘柄管理!$B$6:$B$305,0),MATCH(TEXT($C51,"0"),銘柄管理!$B$6:$B$305,0))-1,0,1,25)))/$E51*100,"")</f>
      </c>
      <c r="BC51">
        <f>IFERROR(($F51-$G51)/$G51*100,"")</f>
      </c>
      <c r="BD51">
        <f>IFERROR(($E51-MAX(OFFSET(高値!$E$6,IFERROR(MATCH($C51,銘柄管理!$B$6:$B$305,0),MATCH(TEXT($C51,"0"),銘柄管理!$B$6:$B$305,0))-1,0,1,25)))/MAX(OFFSET(高値!$E$6,IFERROR(MATCH($C51,銘柄管理!$B$6:$B$305,0),MATCH(TEXT($C51,"0"),銘柄管理!$B$6:$B$305,0))-1,0,1,25))*100,"")</f>
      </c>
      <c r="BE51">
        <f>IFERROR(($H51-$I51)/$F51*100,"")</f>
      </c>
      <c r="BF51">
        <f>IFERROR(-(($BA51-AVERAGE($BA$3:$BA$206))/STDEV($BA$3:$BA$206))-(($BE51-AVERAGE($BE$3:$BE$206))/STDEV($BE$3:$BE$206))-(($BB51-AVERAGE($BB$3:$BB$206))/STDEV($BB$3:$BB$206))-(($Z51-AVERAGE($Z$3:$Z$206))/STDEV($Z$3:$Z$206))-(($BC51-AVERAGE($BC$3:$BC$206))/STDEV($BC$3:$BC$206)),"")</f>
      </c>
      <c r="BG51">
        <f>IF(OR($C51="",$C51="TOPX",$BA51="",$BF51=""),0,IF(AND($BK$10=1,$BA51&lt;=$BK$2,$BB51&lt;=$BK$3,$BC51&lt;=$BK$4,$Z51&lt;=$BK$5,$Z51&gt;=$BK$6,$BD51&gt;=$BK$7,$BE51&lt;=$BK$8),1,0))</f>
      </c>
      <c r="BH51">
        <f>IF($C51="","",IF($BG51=1,"○ゲート通過",IF($BK$10&lt;&gt;1,"― この方向は停止中",IF($BA51&gt;$BK$2,"×値動きが荒い",IF($BB51&gt;$BK$3,"×レンジが広い",IF($BC51&gt;$BK$4,"×窓を開けて上昇",IF($Z51&gt;$BK$5,"×前日に急騰",IF($Z51&lt;$BK$6,"×前日に急落",IF($BD51&lt;$BK$7,"×高値から離れすぎ",IF($BE51&gt;$BK$8,"×当日の値幅が大きい","×")))))))))</f>
      </c>
    </row>
    <row r="52" spans="1:60"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IF(AND(E52&lt;&gt;"",K52&lt;&gt;"",K52&lt;&gt;0),(E52-K52)/K52*100,"")</f>
        <v>-26.694915254237291</v>
      </c>
      <c r="M52" s="333">
        <f>IF(C52&lt;&gt;"",IFERROR(AVERAGE(出来高!E62:I62),""),"")</f>
        <v>915560</v>
      </c>
      <c r="N52" s="333">
        <f>IF(C52&lt;&gt;"",IFERROR(AVERAGE(出来高!E62:AC62),""),"")</f>
        <v>698424</v>
      </c>
      <c r="O52" s="335">
        <f>IF(AND(J52&lt;&gt;"",M52&lt;&gt;"",M52&lt;&gt;0),J52/M52,"")</f>
        <v>1.3824326095504391</v>
      </c>
      <c r="P52" s="212" t="str">
        <f>IF(O52="","",IF(O52&gt;=2,"急増↑↑",IF(O52&gt;=1.5,"増加↑",IF(O52&gt;=1,"普通→","減少↓"))))</f>
        <v>普通→</v>
      </c>
      <c r="Q52" s="212" t="str">
        <f>IF(E52="","",IF(AND(E52&lt;G52,O52&gt;=1.5),"売り▼",IF(E52&gt;G52,"様子見▲","中立→")))</f>
        <v>様子見▲</v>
      </c>
      <c r="R52" s="333">
        <f>IF(E52&lt;&gt;"",ROUND(E52*0.92,0),"")</f>
        <v>3183</v>
      </c>
      <c r="S52" s="333">
        <f>IF(E52&lt;&gt;"",ROUND(E52*1.04,0),"")</f>
        <v>3598</v>
      </c>
      <c r="T52" s="325">
        <f>IF(C52="","",IFERROR(IF(W52&gt;=70,3,IF(W52&gt;=60,2,IF(W52&gt;=50,1,0)))+IF(X52&lt;0,2,0)+IF(AD52="下降トレンド▼",3,IF(AD52="もみ合い→",1,0))+IF(V52="年初来安値圏●",3,IF(V52="安値圏",2,0))+IF(Q52="売り▼",2,0)+IF(P52="急増↑↑",2,IF(P52="増加↑",1,0))+IF(Z52&lt;0,1,0)+IF(L52&lt;=-30,2,IF(L52&lt;=-15,1,0))+IF(AE52="25日戻り売り★",2,IF(AE52="5日戻り売り○",1,0))+N(AL52)+N(AP52)+N(AU52),0))</f>
        <v>2</v>
      </c>
      <c r="U52" s="212" t="str">
        <f>IF(T52="","",IF(AND(T52&gt;=3,O52&gt;=1.5),"有効",IF(T52&gt;=3,"要確認","除外")))</f>
        <v>除外</v>
      </c>
      <c r="V52" s="212" t="str">
        <f>IF(AND(I52&lt;&gt;"",K52&lt;&gt;""),IF(I52&lt;=K52*0.6,"年初来安値圏●",IF(I52&lt;=K52*0.75,"安値圏","通常")),"")</f>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IF(AF52="","",AF52&amp;" | "&amp;AD52&amp;IF(AE52&lt;&gt;"なし"," "&amp;AE52,"")&amp;IF(X52&lt;0," MACD-"," MACD+")&amp;" RSI:"&amp;TEXT(W52,"0.0")&amp;IF(W52&gt;=70," [過熱]",IF(W52&lt;=30," [売られ過ぎ]",""))&amp;" 前日比:"&amp;TEXT(Z52,"+0.0;-0.0;0.0")&amp;"%"&amp;IF(V52="年初来安値圏●"," [年初来安値圏]",IF(V52="安値圏"," [安値圏]",""))&amp;IF(OR(AO52="通常",AO52="-"),""," ["&amp;AO52&amp;"]")&amp;IF(OR(AT52="通常",AT52="-"),"","前日["&amp;AT52&amp;"]")&amp;" ["&amp;T52&amp;"点]")</f>
        <v>相場上昇・見送り | パーフェクト▲ MACD+ RSI:59.9 前日比:+5.2% [安値圏] [2点]</v>
      </c>
      <c r="Z52" s="338">
        <f>IF(AND(E52&lt;&gt;"",G52&lt;&gt;"",G52&lt;&gt;0),(E52-G52)/G52*100,"")</f>
        <v>5.1671732522796354</v>
      </c>
      <c r="AA52" s="212" t="str">
        <f>IF(OR(C52="",E52="",E52=0),"",IF(E52&gt;G52,"上昇▲",IF(E52&lt;G52,"下落▼","横ばい→")))</f>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IF(OR(C52="",AB52="",AC52="",AB52=0,AC52=0),"",IF(AND(E52&gt;AB52,AB52&gt;AC52),"パーフェクト▲",IF(E52&gt;AC52,"上昇トレンド▲",IF(AND(E52&lt;AB52,AB52&lt;AC52),"下降トレンド▼","もみ合い→"))))</f>
        <v>パーフェクト▲</v>
      </c>
      <c r="AE52" s="212" t="str">
        <f>IF(OR(C52="",AB52="",AC52=""),"",IF(AND(ABS(E52-AC52)/AC52&lt;=0.02,E52&lt;AC52),"25日戻り売り★",IF(AND(ABS(E52-AB52)/AB52&lt;=0.01,E52&lt;AB52),"5日戻り売り○","なし")))</f>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IF(AND(T52&gt;=7,C52&lt;&gt;""),T52,0)</f>
        <v>0</v>
      </c>
      <c r="AH52">
        <f>IF(AG52&gt;0,AG52*10000-ROW(A52),0)</f>
        <v>0</v>
      </c>
      <c r="AI52" s="373">
        <f t="array" ref="AI52">IF(C52="","",IFERROR((INDEX(終値!$E:$E,MATCH(TEXT(C52,"0"),終値!$A:$A,0))-INDEX(終値!$E:$CZ,MATCH(TEXT(C52,"0"),終値!$A:$A,0),$AN$2))/INDEX(終値!$E:$CZ,MATCH(TEXT(C52,"0"),終値!$A:$A,0),$AN$2)*100,""))</f>
        <v>18.737131091283459</v>
      </c>
      <c r="AJ52" s="373">
        <f t="array" ref="AJ52">IFERROR((終値!$E$5-INDEX(終値!$E$5:$IT$5,1,$AN$2))/INDEX(終値!$E$5:$IT$5,1,$AN$2)*100,"")</f>
        <v>1.0179378228534113</v>
      </c>
      <c r="AK52" s="374">
        <f>IF(OR(AI52="",AJ52=""),"",AI52-AJ52)</f>
        <v>17.719193268430047</v>
      </c>
      <c r="AL52" s="372">
        <f>IF(AK52="","",IF(AK52&lt;-5,3,IF(AK52&lt;0,1,IF(AK52&lt;3,-1,-2))))</f>
        <v>-2</v>
      </c>
      <c r="AO52" s="376" t="str">
        <f>IF(OR($C52="",$E52="",$F52="",$H52="",$I52="",$H52-$I52&lt;=0),"-",IF(AND($H52-MAX($F52,$E52)&gt;=ABS($E52-$F52)*2,MIN($F52,$E52)-$I52&lt;=ABS($E52-$F52)*0.5,ABS($E52-$F52)&gt;0),"上ヒゲ陰線▼",IF(AND($E52&lt;$F52,ABS($E52-$F52)&gt;=($H52-$I52)*0.7),"大陰線▼",IF(AND(MIN($F52,$E52)-$I52&gt;=($H52-$I52)*0.5,$H52-MAX($F52,$E52)&lt;=($H52-$I52)*0.2),"長い下ヒゲ(反発警戒)","通常"))))</f>
        <v>通常</v>
      </c>
      <c r="AP52" s="377">
        <f>IF($AO52="上ヒゲ陰線▼",2,IF($AO52="大陰線▼",2,IF($AO52="長い下ヒゲ(反発警戒)",-2,0)))</f>
        <v>0</v>
      </c>
      <c r="AQ52">
        <f>IF(C52&lt;&gt;"",始値!F62,"")</f>
        <v>3160</v>
      </c>
      <c r="AR52">
        <f>IF(C52&lt;&gt;"",高値!F62,"")</f>
        <v>3305</v>
      </c>
      <c r="AS52">
        <f>IF(C52&lt;&gt;"",安値!F62,"")</f>
        <v>3160</v>
      </c>
      <c r="AT52" t="str">
        <f>IF(OR(C52="",AQ52="",AR52="",AS52="",AR52-AS52&lt;=0),"-",IF(AND(AR52-MAX(G52,AQ52)&gt;=ABS(G52-AQ52)*2,MIN(G52,AQ52)-AS52&lt;=ABS(G52-AQ52)*0.5,ABS(G52-AQ52)&gt;0),"上ヒゲ陰線▼",IF(AND(G52&lt;AQ52,ABS(G52-AQ52)&gt;=(AR52-AS52)*0.7),"大陰線▼",IF(AND(MIN(G52,AQ52)-AS52&gt;=(AR52-AS52)*0.5,AR52-MAX(G52,AQ52)&lt;=(AR52-AS52)*0.2),"長い下ヒゲ(反発)","通常"))))</f>
        <v>通常</v>
      </c>
      <c r="AU52">
        <f>IF(AT52="上ヒゲ陰線▼",2,IF(AT52="大陰線▼",2,IF(AT52="長い下ヒゲ(反発)",-2,0)))</f>
        <v>0</v>
      </c>
      <c r="BA52">
        <f>IFERROR((SUM(OFFSET(高値!$E$6,IFERROR(MATCH($C52,銘柄管理!$B$6:$B$305,0),MATCH(TEXT($C52,"0"),銘柄管理!$B$6:$B$305,0))-1,0,1,14))-SUM(OFFSET(安値!$E$6,IFERROR(MATCH($C52,銘柄管理!$B$6:$B$305,0),MATCH(TEXT($C52,"0"),銘柄管理!$B$6:$B$305,0))-1,0,1,14)))/SUM(OFFSET(終値!$E$6,IFERROR(MATCH($C52,銘柄管理!$B$6:$B$305,0),MATCH(TEXT($C52,"0"),銘柄管理!$B$6:$B$305,0))-1,0,1,14))*100,"")</f>
      </c>
      <c r="BB52">
        <f>IFERROR((MAX(OFFSET(高値!$E$6,IFERROR(MATCH($C52,銘柄管理!$B$6:$B$305,0),MATCH(TEXT($C52,"0"),銘柄管理!$B$6:$B$305,0))-1,0,1,25))-MIN(OFFSET(安値!$E$6,IFERROR(MATCH($C52,銘柄管理!$B$6:$B$305,0),MATCH(TEXT($C52,"0"),銘柄管理!$B$6:$B$305,0))-1,0,1,25)))/$E52*100,"")</f>
      </c>
      <c r="BC52">
        <f>IFERROR(($F52-$G52)/$G52*100,"")</f>
      </c>
      <c r="BD52">
        <f>IFERROR(($E52-MAX(OFFSET(高値!$E$6,IFERROR(MATCH($C52,銘柄管理!$B$6:$B$305,0),MATCH(TEXT($C52,"0"),銘柄管理!$B$6:$B$305,0))-1,0,1,25)))/MAX(OFFSET(高値!$E$6,IFERROR(MATCH($C52,銘柄管理!$B$6:$B$305,0),MATCH(TEXT($C52,"0"),銘柄管理!$B$6:$B$305,0))-1,0,1,25))*100,"")</f>
      </c>
      <c r="BE52">
        <f>IFERROR(($H52-$I52)/$F52*100,"")</f>
      </c>
      <c r="BF52">
        <f>IFERROR(-(($BA52-AVERAGE($BA$3:$BA$206))/STDEV($BA$3:$BA$206))-(($BE52-AVERAGE($BE$3:$BE$206))/STDEV($BE$3:$BE$206))-(($BB52-AVERAGE($BB$3:$BB$206))/STDEV($BB$3:$BB$206))-(($Z52-AVERAGE($Z$3:$Z$206))/STDEV($Z$3:$Z$206))-(($BC52-AVERAGE($BC$3:$BC$206))/STDEV($BC$3:$BC$206)),"")</f>
      </c>
      <c r="BG52">
        <f>IF(OR($C52="",$C52="TOPX",$BA52="",$BF52=""),0,IF(AND($BK$10=1,$BA52&lt;=$BK$2,$BB52&lt;=$BK$3,$BC52&lt;=$BK$4,$Z52&lt;=$BK$5,$Z52&gt;=$BK$6,$BD52&gt;=$BK$7,$BE52&lt;=$BK$8),1,0))</f>
      </c>
      <c r="BH52">
        <f>IF($C52="","",IF($BG52=1,"○ゲート通過",IF($BK$10&lt;&gt;1,"― この方向は停止中",IF($BA52&gt;$BK$2,"×値動きが荒い",IF($BB52&gt;$BK$3,"×レンジが広い",IF($BC52&gt;$BK$4,"×窓を開けて上昇",IF($Z52&gt;$BK$5,"×前日に急騰",IF($Z52&lt;$BK$6,"×前日に急落",IF($BD52&lt;$BK$7,"×高値から離れすぎ",IF($BE52&gt;$BK$8,"×当日の値幅が大きい","×")))))))))</f>
      </c>
    </row>
    <row r="53" spans="1:60"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IF(AND(E53&lt;&gt;"",K53&lt;&gt;"",K53&lt;&gt;0),(E53-K53)/K53*100,"")</f>
        <v>-37.238263169495262</v>
      </c>
      <c r="M53" s="326">
        <f>IF(C53&lt;&gt;"",IFERROR(AVERAGE(出来高!E65:I65),""),"")</f>
        <v>53510180</v>
      </c>
      <c r="N53" s="326">
        <f>IF(C53&lt;&gt;"",IFERROR(AVERAGE(出来高!E65:AC65),""),"")</f>
        <v>52209192</v>
      </c>
      <c r="O53" s="328">
        <f>IF(AND(J53&lt;&gt;"",M53&lt;&gt;"",M53&lt;&gt;0),J53/M53,"")</f>
        <v>0.87750966264736918</v>
      </c>
      <c r="P53" s="325" t="str">
        <f>IF(O53="","",IF(O53&gt;=2,"急増↑↑",IF(O53&gt;=1.5,"増加↑",IF(O53&gt;=1,"普通→","減少↓"))))</f>
        <v>減少↓</v>
      </c>
      <c r="Q53" s="325" t="str">
        <f>IF(E53="","",IF(AND(E53&lt;G53,O53&gt;=1.5),"売り▼",IF(E53&gt;G53,"様子見▲","中立→")))</f>
        <v>中立→</v>
      </c>
      <c r="R53" s="326">
        <f>IF(E53&lt;&gt;"",ROUND(E53*0.92,0),"")</f>
        <v>5239</v>
      </c>
      <c r="S53" s="326">
        <f>IF(E53&lt;&gt;"",ROUND(E53*1.04,0),"")</f>
        <v>5923</v>
      </c>
      <c r="T53" s="325">
        <f>IF(C53="","",IFERROR(IF(W53&gt;=70,3,IF(W53&gt;=60,2,IF(W53&gt;=50,1,0)))+IF(X53&lt;0,2,0)+IF(AD53="下降トレンド▼",3,IF(AD53="もみ合い→",1,0))+IF(V53="年初来安値圏●",3,IF(V53="安値圏",2,0))+IF(Q53="売り▼",2,0)+IF(P53="急増↑↑",2,IF(P53="増加↑",1,0))+IF(Z53&lt;0,1,0)+IF(L53&lt;=-30,2,IF(L53&lt;=-15,1,0))+IF(AE53="25日戻り売り★",2,IF(AE53="5日戻り売り○",1,0))+N(AL53)+N(AP53)+N(AU53),0))</f>
        <v>10</v>
      </c>
      <c r="U53" s="325" t="str">
        <f>IF(T53="","",IF(AND(T53&gt;=3,O53&gt;=1.5),"有効",IF(T53&gt;=3,"要確認","除外")))</f>
        <v>要確認</v>
      </c>
      <c r="V53" s="325" t="str">
        <f>IF(AND(I53&lt;&gt;"",K53&lt;&gt;""),IF(I53&lt;=K53*0.6,"年初来安値圏●",IF(I53&lt;=K53*0.75,"安値圏","通常")),"")</f>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IF(AF53="","",AF53&amp;" | "&amp;AD53&amp;IF(AE53&lt;&gt;"なし"," "&amp;AE53,"")&amp;IF(X53&lt;0," MACD-"," MACD+")&amp;" RSI:"&amp;TEXT(W53,"0.0")&amp;IF(W53&gt;=70," [過熱]",IF(W53&lt;=30," [売られ過ぎ]",""))&amp;" 前日比:"&amp;TEXT(Z53,"+0.0;-0.0;0.0")&amp;"%"&amp;IF(V53="年初来安値圏●"," [年初来安値圏]",IF(V53="安値圏"," [安値圏]",""))&amp;IF(OR(AO53="通常",AO53="-"),""," ["&amp;AO53&amp;"]")&amp;IF(OR(AT53="通常",AT53="-"),"","前日["&amp;AT53&amp;"]")&amp;" ["&amp;T53&amp;"点]")</f>
        <v>相場上昇・見送り | パーフェクト▲ MACD- RSI:45.5 前日比:-4.4% [安値圏] [10点]</v>
      </c>
      <c r="Z53" s="331">
        <f>IF(AND(E53&lt;&gt;"",G53&lt;&gt;"",G53&lt;&gt;0),(E53-G53)/G53*100,"")</f>
        <v>-4.4142329640819069</v>
      </c>
      <c r="AA53" s="325" t="str">
        <f>IF(OR(C53="",E53="",E53=0),"",IF(E53&gt;G53,"上昇▲",IF(E53&lt;G53,"下落▼","横ばい→")))</f>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IF(OR(C53="",AB53="",AC53="",AB53=0,AC53=0),"",IF(AND(E53&gt;AB53,AB53&gt;AC53),"パーフェクト▲",IF(E53&gt;AC53,"上昇トレンド▲",IF(AND(E53&lt;AB53,AB53&lt;AC53),"下降トレンド▼","もみ合い→"))))</f>
        <v>パーフェクト▲</v>
      </c>
      <c r="AE53" s="325" t="str">
        <f>IF(OR(C53="",AB53="",AC53=""),"",IF(AND(ABS(E53-AC53)/AC53&lt;=0.02,E53&lt;AC53),"25日戻り売り★",IF(AND(ABS(E53-AB53)/AB53&lt;=0.01,E53&lt;AB53),"5日戻り売り○","なし")))</f>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IF(AND(T53&gt;=7,C53&lt;&gt;""),T53,0)</f>
        <v>10</v>
      </c>
      <c r="AH53">
        <f>IF(AG53&gt;0,AG53*10000-ROW(A53),0)</f>
        <v>99947</v>
      </c>
      <c r="AI53" s="373">
        <f t="array" ref="AI53">IF(C53="","",IFERROR((INDEX(終値!$E:$E,MATCH(TEXT(C53,"0"),終値!$A:$A,0))-INDEX(終値!$E:$CZ,MATCH(TEXT(C53,"0"),終値!$A:$A,0),$AN$2))/INDEX(終値!$E:$CZ,MATCH(TEXT(C53,"0"),終値!$A:$A,0),$AN$2)*100,""))</f>
        <v>-5.083333333333333</v>
      </c>
      <c r="AJ53" s="373">
        <f t="array" ref="AJ53">IFERROR((終値!$E$5-INDEX(終値!$E$5:$IT$5,1,$AN$2))/INDEX(終値!$E$5:$IT$5,1,$AN$2)*100,"")</f>
        <v>1.0179378228534113</v>
      </c>
      <c r="AK53" s="374">
        <f>IF(OR(AI53="",AJ53=""),"",AI53-AJ53)</f>
        <v>-6.1012711561867441</v>
      </c>
      <c r="AL53" s="372">
        <f>IF(AK53="","",IF(AK53&lt;-5,3,IF(AK53&lt;0,1,IF(AK53&lt;3,-1,-2))))</f>
        <v>3</v>
      </c>
      <c r="AO53" s="376" t="str">
        <f>IF(OR($C53="",$E53="",$F53="",$H53="",$I53="",$H53-$I53&lt;=0),"-",IF(AND($H53-MAX($F53,$E53)&gt;=ABS($E53-$F53)*2,MIN($F53,$E53)-$I53&lt;=ABS($E53-$F53)*0.5,ABS($E53-$F53)&gt;0),"上ヒゲ陰線▼",IF(AND($E53&lt;$F53,ABS($E53-$F53)&gt;=($H53-$I53)*0.7),"大陰線▼",IF(AND(MIN($F53,$E53)-$I53&gt;=($H53-$I53)*0.5,$H53-MAX($F53,$E53)&lt;=($H53-$I53)*0.2),"長い下ヒゲ(反発警戒)","通常"))))</f>
        <v>通常</v>
      </c>
      <c r="AP53" s="377">
        <f>IF($AO53="上ヒゲ陰線▼",2,IF($AO53="大陰線▼",2,IF($AO53="長い下ヒゲ(反発警戒)",-2,0)))</f>
        <v>0</v>
      </c>
      <c r="AQ53">
        <f>IF(C53&lt;&gt;"",始値!F65,"")</f>
        <v>5628</v>
      </c>
      <c r="AR53">
        <f>IF(C53&lt;&gt;"",高値!F65,"")</f>
        <v>5958</v>
      </c>
      <c r="AS53">
        <f>IF(C53&lt;&gt;"",安値!F65,"")</f>
        <v>5605</v>
      </c>
      <c r="AT53" t="str">
        <f>IF(OR(C53="",AQ53="",AR53="",AS53="",AR53-AS53&lt;=0),"-",IF(AND(AR53-MAX(G53,AQ53)&gt;=ABS(G53-AQ53)*2,MIN(G53,AQ53)-AS53&lt;=ABS(G53-AQ53)*0.5,ABS(G53-AQ53)&gt;0),"上ヒゲ陰線▼",IF(AND(G53&lt;AQ53,ABS(G53-AQ53)&gt;=(AR53-AS53)*0.7),"大陰線▼",IF(AND(MIN(G53,AQ53)-AS53&gt;=(AR53-AS53)*0.5,AR53-MAX(G53,AQ53)&lt;=(AR53-AS53)*0.2),"長い下ヒゲ(反発)","通常"))))</f>
        <v>通常</v>
      </c>
      <c r="AU53">
        <f>IF(AT53="上ヒゲ陰線▼",2,IF(AT53="大陰線▼",2,IF(AT53="長い下ヒゲ(反発)",-2,0)))</f>
        <v>0</v>
      </c>
      <c r="BA53">
        <f>IFERROR((SUM(OFFSET(高値!$E$6,IFERROR(MATCH($C53,銘柄管理!$B$6:$B$305,0),MATCH(TEXT($C53,"0"),銘柄管理!$B$6:$B$305,0))-1,0,1,14))-SUM(OFFSET(安値!$E$6,IFERROR(MATCH($C53,銘柄管理!$B$6:$B$305,0),MATCH(TEXT($C53,"0"),銘柄管理!$B$6:$B$305,0))-1,0,1,14)))/SUM(OFFSET(終値!$E$6,IFERROR(MATCH($C53,銘柄管理!$B$6:$B$305,0),MATCH(TEXT($C53,"0"),銘柄管理!$B$6:$B$305,0))-1,0,1,14))*100,"")</f>
      </c>
      <c r="BB53">
        <f>IFERROR((MAX(OFFSET(高値!$E$6,IFERROR(MATCH($C53,銘柄管理!$B$6:$B$305,0),MATCH(TEXT($C53,"0"),銘柄管理!$B$6:$B$305,0))-1,0,1,25))-MIN(OFFSET(安値!$E$6,IFERROR(MATCH($C53,銘柄管理!$B$6:$B$305,0),MATCH(TEXT($C53,"0"),銘柄管理!$B$6:$B$305,0))-1,0,1,25)))/$E53*100,"")</f>
      </c>
      <c r="BC53">
        <f>IFERROR(($F53-$G53)/$G53*100,"")</f>
      </c>
      <c r="BD53">
        <f>IFERROR(($E53-MAX(OFFSET(高値!$E$6,IFERROR(MATCH($C53,銘柄管理!$B$6:$B$305,0),MATCH(TEXT($C53,"0"),銘柄管理!$B$6:$B$305,0))-1,0,1,25)))/MAX(OFFSET(高値!$E$6,IFERROR(MATCH($C53,銘柄管理!$B$6:$B$305,0),MATCH(TEXT($C53,"0"),銘柄管理!$B$6:$B$305,0))-1,0,1,25))*100,"")</f>
      </c>
      <c r="BE53">
        <f>IFERROR(($H53-$I53)/$F53*100,"")</f>
      </c>
      <c r="BF53">
        <f>IFERROR(-(($BA53-AVERAGE($BA$3:$BA$206))/STDEV($BA$3:$BA$206))-(($BE53-AVERAGE($BE$3:$BE$206))/STDEV($BE$3:$BE$206))-(($BB53-AVERAGE($BB$3:$BB$206))/STDEV($BB$3:$BB$206))-(($Z53-AVERAGE($Z$3:$Z$206))/STDEV($Z$3:$Z$206))-(($BC53-AVERAGE($BC$3:$BC$206))/STDEV($BC$3:$BC$206)),"")</f>
      </c>
      <c r="BG53">
        <f>IF(OR($C53="",$C53="TOPX",$BA53="",$BF53=""),0,IF(AND($BK$10=1,$BA53&lt;=$BK$2,$BB53&lt;=$BK$3,$BC53&lt;=$BK$4,$Z53&lt;=$BK$5,$Z53&gt;=$BK$6,$BD53&gt;=$BK$7,$BE53&lt;=$BK$8),1,0))</f>
      </c>
      <c r="BH53">
        <f>IF($C53="","",IF($BG53=1,"○ゲート通過",IF($BK$10&lt;&gt;1,"― この方向は停止中",IF($BA53&gt;$BK$2,"×値動きが荒い",IF($BB53&gt;$BK$3,"×レンジが広い",IF($BC53&gt;$BK$4,"×窓を開けて上昇",IF($Z53&gt;$BK$5,"×前日に急騰",IF($Z53&lt;$BK$6,"×前日に急落",IF($BD53&lt;$BK$7,"×高値から離れすぎ",IF($BE53&gt;$BK$8,"×当日の値幅が大きい","×")))))))))</f>
      </c>
    </row>
    <row r="54" spans="1:60"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IF(AND(E54&lt;&gt;"",K54&lt;&gt;"",K54&lt;&gt;0),(E54-K54)/K54*100,"")</f>
        <v>-16.50961176027139</v>
      </c>
      <c r="M54" s="333">
        <f>IF(C54&lt;&gt;"",IFERROR(AVERAGE(出来高!E71:I71),""),"")</f>
        <v>78980</v>
      </c>
      <c r="N54" s="333">
        <f>IF(C54&lt;&gt;"",IFERROR(AVERAGE(出来高!E71:AC71),""),"")</f>
        <v>92764</v>
      </c>
      <c r="O54" s="335">
        <f>IF(AND(J54&lt;&gt;"",M54&lt;&gt;"",M54&lt;&gt;0),J54/M54,"")</f>
        <v>0.8166624461889086</v>
      </c>
      <c r="P54" s="212" t="str">
        <f>IF(O54="","",IF(O54&gt;=2,"急増↑↑",IF(O54&gt;=1.5,"増加↑",IF(O54&gt;=1,"普通→","減少↓"))))</f>
        <v>減少↓</v>
      </c>
      <c r="Q54" s="212" t="str">
        <f>IF(E54="","",IF(AND(E54&lt;G54,O54&gt;=1.5),"売り▼",IF(E54&gt;G54,"様子見▲","中立→")))</f>
        <v>様子見▲</v>
      </c>
      <c r="R54" s="333">
        <f>IF(E54&lt;&gt;"",ROUND(E54*0.92,0),"")</f>
        <v>2038</v>
      </c>
      <c r="S54" s="333">
        <f>IF(E54&lt;&gt;"",ROUND(E54*1.04,0),"")</f>
        <v>2304</v>
      </c>
      <c r="T54" s="325">
        <f>IF(C54="","",IFERROR(IF(W54&gt;=70,3,IF(W54&gt;=60,2,IF(W54&gt;=50,1,0)))+IF(X54&lt;0,2,0)+IF(AD54="下降トレンド▼",3,IF(AD54="もみ合い→",1,0))+IF(V54="年初来安値圏●",3,IF(V54="安値圏",2,0))+IF(Q54="売り▼",2,0)+IF(P54="急増↑↑",2,IF(P54="増加↑",1,0))+IF(Z54&lt;0,1,0)+IF(L54&lt;=-30,2,IF(L54&lt;=-15,1,0))+IF(AE54="25日戻り売り★",2,IF(AE54="5日戻り売り○",1,0))+N(AL54)+N(AP54)+N(AU54),0))</f>
        <v>5</v>
      </c>
      <c r="U54" s="212" t="str">
        <f>IF(T54="","",IF(AND(T54&gt;=3,O54&gt;=1.5),"有効",IF(T54&gt;=3,"要確認","除外")))</f>
        <v>要確認</v>
      </c>
      <c r="V54" s="212" t="str">
        <f>IF(AND(I54&lt;&gt;"",K54&lt;&gt;""),IF(I54&lt;=K54*0.6,"年初来安値圏●",IF(I54&lt;=K54*0.75,"安値圏","通常")),"")</f>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IF(AF54="","",AF54&amp;" | "&amp;AD54&amp;IF(AE54&lt;&gt;"なし"," "&amp;AE54,"")&amp;IF(X54&lt;0," MACD-"," MACD+")&amp;" RSI:"&amp;TEXT(W54,"0.0")&amp;IF(W54&gt;=70," [過熱]",IF(W54&lt;=30," [売られ過ぎ]",""))&amp;" 前日比:"&amp;TEXT(Z54,"+0.0;-0.0;0.0")&amp;"%"&amp;IF(V54="年初来安値圏●"," [年初来安値圏]",IF(V54="安値圏"," [安値圏]",""))&amp;IF(OR(AO54="通常",AO54="-"),""," ["&amp;AO54&amp;"]")&amp;IF(OR(AT54="通常",AT54="-"),"","前日["&amp;AT54&amp;"]")&amp;" ["&amp;T54&amp;"点]")</f>
        <v>相場上昇・見送り | もみ合い→ MACD- RSI:26.8 [売られ過ぎ] 前日比:+0.8% [5点]</v>
      </c>
      <c r="Z54" s="338">
        <f>IF(AND(E54&lt;&gt;"",G54&lt;&gt;"",G54&lt;&gt;0),(E54-G54)/G54*100,"")</f>
        <v>0.77343039126478619</v>
      </c>
      <c r="AA54" s="212" t="str">
        <f>IF(OR(C54="",E54="",E54=0),"",IF(E54&gt;G54,"上昇▲",IF(E54&lt;G54,"下落▼","横ばい→")))</f>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IF(OR(C54="",AB54="",AC54="",AB54=0,AC54=0),"",IF(AND(E54&gt;AB54,AB54&gt;AC54),"パーフェクト▲",IF(E54&gt;AC54,"上昇トレンド▲",IF(AND(E54&lt;AB54,AB54&lt;AC54),"下降トレンド▼","もみ合い→"))))</f>
        <v>もみ合い→</v>
      </c>
      <c r="AE54" s="212" t="str">
        <f>IF(OR(C54="",AB54="",AC54=""),"",IF(AND(ABS(E54-AC54)/AC54&lt;=0.02,E54&lt;AC54),"25日戻り売り★",IF(AND(ABS(E54-AB54)/AB54&lt;=0.01,E54&lt;AB54),"5日戻り売り○","なし")))</f>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IF(AND(T54&gt;=7,C54&lt;&gt;""),T54,0)</f>
        <v>0</v>
      </c>
      <c r="AH54">
        <f>IF(AG54&gt;0,AG54*10000-ROW(A54),0)</f>
        <v>0</v>
      </c>
      <c r="AI54" s="373">
        <f t="array" ref="AI54">IF(C54="","",IFERROR((INDEX(終値!$E:$E,MATCH(TEXT(C54,"0"),終値!$A:$A,0))-INDEX(終値!$E:$CZ,MATCH(TEXT(C54,"0"),終値!$A:$A,0),$AN$2))/INDEX(終値!$E:$CZ,MATCH(TEXT(C54,"0"),終値!$A:$A,0),$AN$2)*100,""))</f>
        <v>-0.44943820224719105</v>
      </c>
      <c r="AJ54" s="373">
        <f t="array" ref="AJ54">IFERROR((終値!$E$5-INDEX(終値!$E$5:$IT$5,1,$AN$2))/INDEX(終値!$E$5:$IT$5,1,$AN$2)*100,"")</f>
        <v>1.0179378228534113</v>
      </c>
      <c r="AK54" s="374">
        <f>IF(OR(AI54="",AJ54=""),"",AI54-AJ54)</f>
        <v>-1.4673760251006023</v>
      </c>
      <c r="AL54" s="372">
        <f>IF(AK54="","",IF(AK54&lt;-5,3,IF(AK54&lt;0,1,IF(AK54&lt;3,-1,-2))))</f>
        <v>1</v>
      </c>
      <c r="AO54" s="376" t="str">
        <f>IF(OR($C54="",$E54="",$F54="",$H54="",$I54="",$H54-$I54&lt;=0),"-",IF(AND($H54-MAX($F54,$E54)&gt;=ABS($E54-$F54)*2,MIN($F54,$E54)-$I54&lt;=ABS($E54-$F54)*0.5,ABS($E54-$F54)&gt;0),"上ヒゲ陰線▼",IF(AND($E54&lt;$F54,ABS($E54-$F54)&gt;=($H54-$I54)*0.7),"大陰線▼",IF(AND(MIN($F54,$E54)-$I54&gt;=($H54-$I54)*0.5,$H54-MAX($F54,$E54)&lt;=($H54-$I54)*0.2),"長い下ヒゲ(反発警戒)","通常"))))</f>
        <v>通常</v>
      </c>
      <c r="AP54" s="377">
        <f>IF($AO54="上ヒゲ陰線▼",2,IF($AO54="大陰線▼",2,IF($AO54="長い下ヒゲ(反発警戒)",-2,0)))</f>
        <v>0</v>
      </c>
      <c r="AQ54">
        <f>IF(C54&lt;&gt;"",始値!F71,"")</f>
        <v>2225</v>
      </c>
      <c r="AR54">
        <f>IF(C54&lt;&gt;"",高値!F71,"")</f>
        <v>2243</v>
      </c>
      <c r="AS54">
        <f>IF(C54&lt;&gt;"",安値!F71,"")</f>
        <v>2198</v>
      </c>
      <c r="AT54" t="str">
        <f>IF(OR(C54="",AQ54="",AR54="",AS54="",AR54-AS54&lt;=0),"-",IF(AND(AR54-MAX(G54,AQ54)&gt;=ABS(G54-AQ54)*2,MIN(G54,AQ54)-AS54&lt;=ABS(G54-AQ54)*0.5,ABS(G54-AQ54)&gt;0),"上ヒゲ陰線▼",IF(AND(G54&lt;AQ54,ABS(G54-AQ54)&gt;=(AR54-AS54)*0.7),"大陰線▼",IF(AND(MIN(G54,AQ54)-AS54&gt;=(AR54-AS54)*0.5,AR54-MAX(G54,AQ54)&lt;=(AR54-AS54)*0.2),"長い下ヒゲ(反発)","通常"))))</f>
        <v>通常</v>
      </c>
      <c r="AU54">
        <f>IF(AT54="上ヒゲ陰線▼",2,IF(AT54="大陰線▼",2,IF(AT54="長い下ヒゲ(反発)",-2,0)))</f>
        <v>0</v>
      </c>
      <c r="BA54">
        <f>IFERROR((SUM(OFFSET(高値!$E$6,IFERROR(MATCH($C54,銘柄管理!$B$6:$B$305,0),MATCH(TEXT($C54,"0"),銘柄管理!$B$6:$B$305,0))-1,0,1,14))-SUM(OFFSET(安値!$E$6,IFERROR(MATCH($C54,銘柄管理!$B$6:$B$305,0),MATCH(TEXT($C54,"0"),銘柄管理!$B$6:$B$305,0))-1,0,1,14)))/SUM(OFFSET(終値!$E$6,IFERROR(MATCH($C54,銘柄管理!$B$6:$B$305,0),MATCH(TEXT($C54,"0"),銘柄管理!$B$6:$B$305,0))-1,0,1,14))*100,"")</f>
      </c>
      <c r="BB54">
        <f>IFERROR((MAX(OFFSET(高値!$E$6,IFERROR(MATCH($C54,銘柄管理!$B$6:$B$305,0),MATCH(TEXT($C54,"0"),銘柄管理!$B$6:$B$305,0))-1,0,1,25))-MIN(OFFSET(安値!$E$6,IFERROR(MATCH($C54,銘柄管理!$B$6:$B$305,0),MATCH(TEXT($C54,"0"),銘柄管理!$B$6:$B$305,0))-1,0,1,25)))/$E54*100,"")</f>
      </c>
      <c r="BC54">
        <f>IFERROR(($F54-$G54)/$G54*100,"")</f>
      </c>
      <c r="BD54">
        <f>IFERROR(($E54-MAX(OFFSET(高値!$E$6,IFERROR(MATCH($C54,銘柄管理!$B$6:$B$305,0),MATCH(TEXT($C54,"0"),銘柄管理!$B$6:$B$305,0))-1,0,1,25)))/MAX(OFFSET(高値!$E$6,IFERROR(MATCH($C54,銘柄管理!$B$6:$B$305,0),MATCH(TEXT($C54,"0"),銘柄管理!$B$6:$B$305,0))-1,0,1,25))*100,"")</f>
      </c>
      <c r="BE54">
        <f>IFERROR(($H54-$I54)/$F54*100,"")</f>
      </c>
      <c r="BF54">
        <f>IFERROR(-(($BA54-AVERAGE($BA$3:$BA$206))/STDEV($BA$3:$BA$206))-(($BE54-AVERAGE($BE$3:$BE$206))/STDEV($BE$3:$BE$206))-(($BB54-AVERAGE($BB$3:$BB$206))/STDEV($BB$3:$BB$206))-(($Z54-AVERAGE($Z$3:$Z$206))/STDEV($Z$3:$Z$206))-(($BC54-AVERAGE($BC$3:$BC$206))/STDEV($BC$3:$BC$206)),"")</f>
      </c>
      <c r="BG54">
        <f>IF(OR($C54="",$C54="TOPX",$BA54="",$BF54=""),0,IF(AND($BK$10=1,$BA54&lt;=$BK$2,$BB54&lt;=$BK$3,$BC54&lt;=$BK$4,$Z54&lt;=$BK$5,$Z54&gt;=$BK$6,$BD54&gt;=$BK$7,$BE54&lt;=$BK$8),1,0))</f>
      </c>
      <c r="BH54">
        <f>IF($C54="","",IF($BG54=1,"○ゲート通過",IF($BK$10&lt;&gt;1,"― この方向は停止中",IF($BA54&gt;$BK$2,"×値動きが荒い",IF($BB54&gt;$BK$3,"×レンジが広い",IF($BC54&gt;$BK$4,"×窓を開けて上昇",IF($Z54&gt;$BK$5,"×前日に急騰",IF($Z54&lt;$BK$6,"×前日に急落",IF($BD54&lt;$BK$7,"×高値から離れすぎ",IF($BE54&gt;$BK$8,"×当日の値幅が大きい","×")))))))))</f>
      </c>
    </row>
    <row r="55" spans="1:60"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IF(AND(E55&lt;&gt;"",K55&lt;&gt;"",K55&lt;&gt;0),(E55-K55)/K55*100,"")</f>
        <v>-7.9952267303102618</v>
      </c>
      <c r="M55" s="326">
        <f>IF(C55&lt;&gt;"",IFERROR(AVERAGE(出来高!E73:I73),""),"")</f>
        <v>222980</v>
      </c>
      <c r="N55" s="326">
        <f>IF(C55&lt;&gt;"",IFERROR(AVERAGE(出来高!E73:AC73),""),"")</f>
        <v>135392</v>
      </c>
      <c r="O55" s="328">
        <f>IF(AND(J55&lt;&gt;"",M55&lt;&gt;"",M55&lt;&gt;0),J55/M55,"")</f>
        <v>1.2265674051484439</v>
      </c>
      <c r="P55" s="325" t="str">
        <f>IF(O55="","",IF(O55&gt;=2,"急増↑↑",IF(O55&gt;=1.5,"増加↑",IF(O55&gt;=1,"普通→","減少↓"))))</f>
        <v>普通→</v>
      </c>
      <c r="Q55" s="325" t="str">
        <f>IF(E55="","",IF(AND(E55&lt;G55,O55&gt;=1.5),"売り▼",IF(E55&gt;G55,"様子見▲","中立→")))</f>
        <v>様子見▲</v>
      </c>
      <c r="R55" s="326">
        <f>IF(E55&lt;&gt;"",ROUND(E55*0.92,0),"")</f>
        <v>7093</v>
      </c>
      <c r="S55" s="326">
        <f>IF(E55&lt;&gt;"",ROUND(E55*1.04,0),"")</f>
        <v>8018</v>
      </c>
      <c r="T55" s="325">
        <f>IF(C55="","",IFERROR(IF(W55&gt;=70,3,IF(W55&gt;=60,2,IF(W55&gt;=50,1,0)))+IF(X55&lt;0,2,0)+IF(AD55="下降トレンド▼",3,IF(AD55="もみ合い→",1,0))+IF(V55="年初来安値圏●",3,IF(V55="安値圏",2,0))+IF(Q55="売り▼",2,0)+IF(P55="急増↑↑",2,IF(P55="増加↑",1,0))+IF(Z55&lt;0,1,0)+IF(L55&lt;=-30,2,IF(L55&lt;=-15,1,0))+IF(AE55="25日戻り売り★",2,IF(AE55="5日戻り売り○",1,0))+N(AL55)+N(AP55)+N(AU55),0))</f>
        <v>1</v>
      </c>
      <c r="U55" s="325" t="str">
        <f>IF(T55="","",IF(AND(T55&gt;=3,O55&gt;=1.5),"有効",IF(T55&gt;=3,"要確認","除外")))</f>
        <v>除外</v>
      </c>
      <c r="V55" s="325" t="str">
        <f>IF(AND(I55&lt;&gt;"",K55&lt;&gt;""),IF(I55&lt;=K55*0.6,"年初来安値圏●",IF(I55&lt;=K55*0.75,"安値圏","通常")),"")</f>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IF(AF55="","",AF55&amp;" | "&amp;AD55&amp;IF(AE55&lt;&gt;"なし"," "&amp;AE55,"")&amp;IF(X55&lt;0," MACD-"," MACD+")&amp;" RSI:"&amp;TEXT(W55,"0.0")&amp;IF(W55&gt;=70," [過熱]",IF(W55&lt;=30," [売られ過ぎ]",""))&amp;" 前日比:"&amp;TEXT(Z55,"+0.0;-0.0;0.0")&amp;"%"&amp;IF(V55="年初来安値圏●"," [年初来安値圏]",IF(V55="安値圏"," [安値圏]",""))&amp;IF(OR(AO55="通常",AO55="-"),""," ["&amp;AO55&amp;"]")&amp;IF(OR(AT55="通常",AT55="-"),"","前日["&amp;AT55&amp;"]")&amp;" ["&amp;T55&amp;"点]")</f>
        <v>相場上昇・見送り | パーフェクト▲ MACD- RSI:46.6 前日比:+2.7% [1点]</v>
      </c>
      <c r="Z55" s="331">
        <f>IF(AND(E55&lt;&gt;"",G55&lt;&gt;"",G55&lt;&gt;0),(E55-G55)/G55*100,"")</f>
        <v>2.6631158455392807</v>
      </c>
      <c r="AA55" s="325" t="str">
        <f>IF(OR(C55="",E55="",E55=0),"",IF(E55&gt;G55,"上昇▲",IF(E55&lt;G55,"下落▼","横ばい→")))</f>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IF(OR(C55="",AB55="",AC55="",AB55=0,AC55=0),"",IF(AND(E55&gt;AB55,AB55&gt;AC55),"パーフェクト▲",IF(E55&gt;AC55,"上昇トレンド▲",IF(AND(E55&lt;AB55,AB55&lt;AC55),"下降トレンド▼","もみ合い→"))))</f>
        <v>パーフェクト▲</v>
      </c>
      <c r="AE55" s="325" t="str">
        <f>IF(OR(C55="",AB55="",AC55=""),"",IF(AND(ABS(E55-AC55)/AC55&lt;=0.02,E55&lt;AC55),"25日戻り売り★",IF(AND(ABS(E55-AB55)/AB55&lt;=0.01,E55&lt;AB55),"5日戻り売り○","なし")))</f>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IF(AND(T55&gt;=7,C55&lt;&gt;""),T55,0)</f>
        <v>0</v>
      </c>
      <c r="AH55">
        <f>IF(AG55&gt;0,AG55*10000-ROW(A55),0)</f>
        <v>0</v>
      </c>
      <c r="AI55" s="373">
        <f t="array" ref="AI55">IF(C55="","",IFERROR((INDEX(終値!$E:$E,MATCH(TEXT(C55,"0"),終値!$A:$A,0))-INDEX(終値!$E:$CZ,MATCH(TEXT(C55,"0"),終値!$A:$A,0),$AN$2))/INDEX(終値!$E:$CZ,MATCH(TEXT(C55,"0"),終値!$A:$A,0),$AN$2)*100,""))</f>
        <v>2.5265957446808507</v>
      </c>
      <c r="AJ55" s="373">
        <f t="array" ref="AJ55">IFERROR((終値!$E$5-INDEX(終値!$E$5:$IT$5,1,$AN$2))/INDEX(終値!$E$5:$IT$5,1,$AN$2)*100,"")</f>
        <v>1.0179378228534113</v>
      </c>
      <c r="AK55" s="374">
        <f>IF(OR(AI55="",AJ55=""),"",AI55-AJ55)</f>
        <v>1.5086579218274394</v>
      </c>
      <c r="AL55" s="372">
        <f>IF(AK55="","",IF(AK55&lt;-5,3,IF(AK55&lt;0,1,IF(AK55&lt;3,-1,-2))))</f>
        <v>-1</v>
      </c>
      <c r="AO55" s="376" t="str">
        <f>IF(OR($C55="",$E55="",$F55="",$H55="",$I55="",$H55-$I55&lt;=0),"-",IF(AND($H55-MAX($F55,$E55)&gt;=ABS($E55-$F55)*2,MIN($F55,$E55)-$I55&lt;=ABS($E55-$F55)*0.5,ABS($E55-$F55)&gt;0),"上ヒゲ陰線▼",IF(AND($E55&lt;$F55,ABS($E55-$F55)&gt;=($H55-$I55)*0.7),"大陰線▼",IF(AND(MIN($F55,$E55)-$I55&gt;=($H55-$I55)*0.5,$H55-MAX($F55,$E55)&lt;=($H55-$I55)*0.2),"長い下ヒゲ(反発警戒)","通常"))))</f>
        <v>通常</v>
      </c>
      <c r="AP55" s="377">
        <f>IF($AO55="上ヒゲ陰線▼",2,IF($AO55="大陰線▼",2,IF($AO55="長い下ヒゲ(反発警戒)",-2,0)))</f>
        <v>0</v>
      </c>
      <c r="AQ55">
        <f>IF(C55&lt;&gt;"",始値!F73,"")</f>
        <v>7850</v>
      </c>
      <c r="AR55">
        <f>IF(C55&lt;&gt;"",高値!F73,"")</f>
        <v>7940</v>
      </c>
      <c r="AS55">
        <f>IF(C55&lt;&gt;"",安値!F73,"")</f>
        <v>7120</v>
      </c>
      <c r="AT55" t="str">
        <f>IF(OR(C55="",AQ55="",AR55="",AS55="",AR55-AS55&lt;=0),"-",IF(AND(AR55-MAX(G55,AQ55)&gt;=ABS(G55-AQ55)*2,MIN(G55,AQ55)-AS55&lt;=ABS(G55-AQ55)*0.5,ABS(G55-AQ55)&gt;0),"上ヒゲ陰線▼",IF(AND(G55&lt;AQ55,ABS(G55-AQ55)&gt;=(AR55-AS55)*0.7),"大陰線▼",IF(AND(MIN(G55,AQ55)-AS55&gt;=(AR55-AS55)*0.5,AR55-MAX(G55,AQ55)&lt;=(AR55-AS55)*0.2),"長い下ヒゲ(反発)","通常"))))</f>
        <v>通常</v>
      </c>
      <c r="AU55">
        <f>IF(AT55="上ヒゲ陰線▼",2,IF(AT55="大陰線▼",2,IF(AT55="長い下ヒゲ(反発)",-2,0)))</f>
        <v>0</v>
      </c>
      <c r="BA55">
        <f>IFERROR((SUM(OFFSET(高値!$E$6,IFERROR(MATCH($C55,銘柄管理!$B$6:$B$305,0),MATCH(TEXT($C55,"0"),銘柄管理!$B$6:$B$305,0))-1,0,1,14))-SUM(OFFSET(安値!$E$6,IFERROR(MATCH($C55,銘柄管理!$B$6:$B$305,0),MATCH(TEXT($C55,"0"),銘柄管理!$B$6:$B$305,0))-1,0,1,14)))/SUM(OFFSET(終値!$E$6,IFERROR(MATCH($C55,銘柄管理!$B$6:$B$305,0),MATCH(TEXT($C55,"0"),銘柄管理!$B$6:$B$305,0))-1,0,1,14))*100,"")</f>
      </c>
      <c r="BB55">
        <f>IFERROR((MAX(OFFSET(高値!$E$6,IFERROR(MATCH($C55,銘柄管理!$B$6:$B$305,0),MATCH(TEXT($C55,"0"),銘柄管理!$B$6:$B$305,0))-1,0,1,25))-MIN(OFFSET(安値!$E$6,IFERROR(MATCH($C55,銘柄管理!$B$6:$B$305,0),MATCH(TEXT($C55,"0"),銘柄管理!$B$6:$B$305,0))-1,0,1,25)))/$E55*100,"")</f>
      </c>
      <c r="BC55">
        <f>IFERROR(($F55-$G55)/$G55*100,"")</f>
      </c>
      <c r="BD55">
        <f>IFERROR(($E55-MAX(OFFSET(高値!$E$6,IFERROR(MATCH($C55,銘柄管理!$B$6:$B$305,0),MATCH(TEXT($C55,"0"),銘柄管理!$B$6:$B$305,0))-1,0,1,25)))/MAX(OFFSET(高値!$E$6,IFERROR(MATCH($C55,銘柄管理!$B$6:$B$305,0),MATCH(TEXT($C55,"0"),銘柄管理!$B$6:$B$305,0))-1,0,1,25))*100,"")</f>
      </c>
      <c r="BE55">
        <f>IFERROR(($H55-$I55)/$F55*100,"")</f>
      </c>
      <c r="BF55">
        <f>IFERROR(-(($BA55-AVERAGE($BA$3:$BA$206))/STDEV($BA$3:$BA$206))-(($BE55-AVERAGE($BE$3:$BE$206))/STDEV($BE$3:$BE$206))-(($BB55-AVERAGE($BB$3:$BB$206))/STDEV($BB$3:$BB$206))-(($Z55-AVERAGE($Z$3:$Z$206))/STDEV($Z$3:$Z$206))-(($BC55-AVERAGE($BC$3:$BC$206))/STDEV($BC$3:$BC$206)),"")</f>
      </c>
      <c r="BG55">
        <f>IF(OR($C55="",$C55="TOPX",$BA55="",$BF55=""),0,IF(AND($BK$10=1,$BA55&lt;=$BK$2,$BB55&lt;=$BK$3,$BC55&lt;=$BK$4,$Z55&lt;=$BK$5,$Z55&gt;=$BK$6,$BD55&gt;=$BK$7,$BE55&lt;=$BK$8),1,0))</f>
      </c>
      <c r="BH55">
        <f>IF($C55="","",IF($BG55=1,"○ゲート通過",IF($BK$10&lt;&gt;1,"― この方向は停止中",IF($BA55&gt;$BK$2,"×値動きが荒い",IF($BB55&gt;$BK$3,"×レンジが広い",IF($BC55&gt;$BK$4,"×窓を開けて上昇",IF($Z55&gt;$BK$5,"×前日に急騰",IF($Z55&lt;$BK$6,"×前日に急落",IF($BD55&lt;$BK$7,"×高値から離れすぎ",IF($BE55&gt;$BK$8,"×当日の値幅が大きい","×")))))))))</f>
      </c>
    </row>
    <row r="56" spans="1:60"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IF(AND(E56&lt;&gt;"",K56&lt;&gt;"",K56&lt;&gt;0),(E56-K56)/K56*100,"")</f>
        <v>-30.822416302765649</v>
      </c>
      <c r="M56" s="333">
        <f>IF(C56&lt;&gt;"",IFERROR(AVERAGE(出来高!E96:I96),""),"")</f>
        <v>8193800</v>
      </c>
      <c r="N56" s="333">
        <f>IF(C56&lt;&gt;"",IFERROR(AVERAGE(出来高!E96:AC96),""),"")</f>
        <v>8632500</v>
      </c>
      <c r="O56" s="335">
        <f>IF(AND(J56&lt;&gt;"",M56&lt;&gt;"",M56&lt;&gt;0),J56/M56,"")</f>
        <v>1.5480973418926505</v>
      </c>
      <c r="P56" s="212" t="str">
        <f>IF(O56="","",IF(O56&gt;=2,"急増↑↑",IF(O56&gt;=1.5,"増加↑",IF(O56&gt;=1,"普通→","減少↓"))))</f>
        <v>増加↑</v>
      </c>
      <c r="Q56" s="212" t="str">
        <f>IF(E56="","",IF(AND(E56&lt;G56,O56&gt;=1.5),"売り▼",IF(E56&gt;G56,"様子見▲","中立→")))</f>
        <v>売り▼</v>
      </c>
      <c r="R56" s="333">
        <f>IF(E56&lt;&gt;"",ROUND(E56*0.92,0),"")</f>
        <v>17489</v>
      </c>
      <c r="S56" s="333">
        <f>IF(E56&lt;&gt;"",ROUND(E56*1.04,0),"")</f>
        <v>19770</v>
      </c>
      <c r="T56" s="325">
        <f>IF(C56="","",IFERROR(IF(W56&gt;=70,3,IF(W56&gt;=60,2,IF(W56&gt;=50,1,0)))+IF(X56&lt;0,2,0)+IF(AD56="下降トレンド▼",3,IF(AD56="もみ合い→",1,0))+IF(V56="年初来安値圏●",3,IF(V56="安値圏",2,0))+IF(Q56="売り▼",2,0)+IF(P56="急増↑↑",2,IF(P56="増加↑",1,0))+IF(Z56&lt;0,1,0)+IF(L56&lt;=-30,2,IF(L56&lt;=-15,1,0))+IF(AE56="25日戻り売り★",2,IF(AE56="5日戻り売り○",1,0))+N(AL56)+N(AP56)+N(AU56),0))</f>
        <v>12</v>
      </c>
      <c r="U56" s="212" t="str">
        <f>IF(T56="","",IF(AND(T56&gt;=3,O56&gt;=1.5),"有効",IF(T56&gt;=3,"要確認","除外")))</f>
        <v>有効</v>
      </c>
      <c r="V56" s="212" t="str">
        <f>IF(AND(I56&lt;&gt;"",K56&lt;&gt;""),IF(I56&lt;=K56*0.6,"年初来安値圏●",IF(I56&lt;=K56*0.75,"安値圏","通常")),"")</f>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IF(AF56="","",AF56&amp;" | "&amp;AD56&amp;IF(AE56&lt;&gt;"なし"," "&amp;AE56,"")&amp;IF(X56&lt;0," MACD-"," MACD+")&amp;" RSI:"&amp;TEXT(W56,"0.0")&amp;IF(W56&gt;=70," [過熱]",IF(W56&lt;=30," [売られ過ぎ]",""))&amp;" 前日比:"&amp;TEXT(Z56,"+0.0;-0.0;0.0")&amp;"%"&amp;IF(V56="年初来安値圏●"," [年初来安値圏]",IF(V56="安値圏"," [安値圏]",""))&amp;IF(OR(AO56="通常",AO56="-"),""," ["&amp;AO56&amp;"]")&amp;IF(OR(AT56="通常",AT56="-"),"","前日["&amp;AT56&amp;"]")&amp;" ["&amp;T56&amp;"点]")</f>
        <v>相場上昇・見送り | パーフェクト▲ MACD- RSI:52.5 前日比:-6.5% [安値圏]前日[長い下ヒゲ(反発)] [12点]</v>
      </c>
      <c r="Z56" s="338">
        <f>IF(AND(E56&lt;&gt;"",G56&lt;&gt;"",G56&lt;&gt;0),(E56-G56)/G56*100,"")</f>
        <v>-6.4928676832267582</v>
      </c>
      <c r="AA56" s="212" t="str">
        <f>IF(OR(C56="",E56="",E56=0),"",IF(E56&gt;G56,"上昇▲",IF(E56&lt;G56,"下落▼","横ばい→")))</f>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IF(OR(C56="",AB56="",AC56="",AB56=0,AC56=0),"",IF(AND(E56&gt;AB56,AB56&gt;AC56),"パーフェクト▲",IF(E56&gt;AC56,"上昇トレンド▲",IF(AND(E56&lt;AB56,AB56&lt;AC56),"下降トレンド▼","もみ合い→"))))</f>
        <v>パーフェクト▲</v>
      </c>
      <c r="AE56" s="212" t="str">
        <f>IF(OR(C56="",AB56="",AC56=""),"",IF(AND(ABS(E56-AC56)/AC56&lt;=0.02,E56&lt;AC56),"25日戻り売り★",IF(AND(ABS(E56-AB56)/AB56&lt;=0.01,E56&lt;AB56),"5日戻り売り○","なし")))</f>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IF(AND(T56&gt;=7,C56&lt;&gt;""),T56,0)</f>
        <v>12</v>
      </c>
      <c r="AH56">
        <f>IF(AG56&gt;0,AG56*10000-ROW(A56),0)</f>
        <v>119944</v>
      </c>
      <c r="AI56" s="373">
        <f t="array" ref="AI56">IF(C56="","",IFERROR((INDEX(終値!$E:$E,MATCH(TEXT(C56,"0"),終値!$A:$A,0))-INDEX(終値!$E:$CZ,MATCH(TEXT(C56,"0"),終値!$A:$A,0),$AN$2))/INDEX(終値!$E:$CZ,MATCH(TEXT(C56,"0"),終値!$A:$A,0),$AN$2)*100,""))</f>
        <v>-26.274966065541982</v>
      </c>
      <c r="AJ56" s="373">
        <f t="array" ref="AJ56">IFERROR((終値!$E$5-INDEX(終値!$E$5:$IT$5,1,$AN$2))/INDEX(終値!$E$5:$IT$5,1,$AN$2)*100,"")</f>
        <v>1.0179378228534113</v>
      </c>
      <c r="AK56" s="374">
        <f>IF(OR(AI56="",AJ56=""),"",AI56-AJ56)</f>
        <v>-27.292903888395394</v>
      </c>
      <c r="AL56" s="372">
        <f>IF(AK56="","",IF(AK56&lt;-5,3,IF(AK56&lt;0,1,IF(AK56&lt;3,-1,-2))))</f>
        <v>3</v>
      </c>
      <c r="AO56" s="376" t="str">
        <f>IF(OR($C56="",$E56="",$F56="",$H56="",$I56="",$H56-$I56&lt;=0),"-",IF(AND($H56-MAX($F56,$E56)&gt;=ABS($E56-$F56)*2,MIN($F56,$E56)-$I56&lt;=ABS($E56-$F56)*0.5,ABS($E56-$F56)&gt;0),"上ヒゲ陰線▼",IF(AND($E56&lt;$F56,ABS($E56-$F56)&gt;=($H56-$I56)*0.7),"大陰線▼",IF(AND(MIN($F56,$E56)-$I56&gt;=($H56-$I56)*0.5,$H56-MAX($F56,$E56)&lt;=($H56-$I56)*0.2),"長い下ヒゲ(反発警戒)","通常"))))</f>
        <v>通常</v>
      </c>
      <c r="AP56" s="377">
        <f>IF($AO56="上ヒゲ陰線▼",2,IF($AO56="大陰線▼",2,IF($AO56="長い下ヒゲ(反発警戒)",-2,0)))</f>
        <v>0</v>
      </c>
      <c r="AQ56">
        <f>IF(C56&lt;&gt;"",始値!F96,"")</f>
        <v>19930</v>
      </c>
      <c r="AR56">
        <f>IF(C56&lt;&gt;"",高値!F96,"")</f>
        <v>20330</v>
      </c>
      <c r="AS56">
        <f>IF(C56&lt;&gt;"",安値!F96,"")</f>
        <v>19155</v>
      </c>
      <c r="AT56" t="str">
        <f>IF(OR(C56="",AQ56="",AR56="",AS56="",AR56-AS56&lt;=0),"-",IF(AND(AR56-MAX(G56,AQ56)&gt;=ABS(G56-AQ56)*2,MIN(G56,AQ56)-AS56&lt;=ABS(G56-AQ56)*0.5,ABS(G56-AQ56)&gt;0),"上ヒゲ陰線▼",IF(AND(G56&lt;AQ56,ABS(G56-AQ56)&gt;=(AR56-AS56)*0.7),"大陰線▼",IF(AND(MIN(G56,AQ56)-AS56&gt;=(AR56-AS56)*0.5,AR56-MAX(G56,AQ56)&lt;=(AR56-AS56)*0.2),"長い下ヒゲ(反発)","通常"))))</f>
        <v>長い下ヒゲ(反発)</v>
      </c>
      <c r="AU56">
        <f>IF(AT56="上ヒゲ陰線▼",2,IF(AT56="大陰線▼",2,IF(AT56="長い下ヒゲ(反発)",-2,0)))</f>
        <v>-2</v>
      </c>
      <c r="BA56">
        <f>IFERROR((SUM(OFFSET(高値!$E$6,IFERROR(MATCH($C56,銘柄管理!$B$6:$B$305,0),MATCH(TEXT($C56,"0"),銘柄管理!$B$6:$B$305,0))-1,0,1,14))-SUM(OFFSET(安値!$E$6,IFERROR(MATCH($C56,銘柄管理!$B$6:$B$305,0),MATCH(TEXT($C56,"0"),銘柄管理!$B$6:$B$305,0))-1,0,1,14)))/SUM(OFFSET(終値!$E$6,IFERROR(MATCH($C56,銘柄管理!$B$6:$B$305,0),MATCH(TEXT($C56,"0"),銘柄管理!$B$6:$B$305,0))-1,0,1,14))*100,"")</f>
      </c>
      <c r="BB56">
        <f>IFERROR((MAX(OFFSET(高値!$E$6,IFERROR(MATCH($C56,銘柄管理!$B$6:$B$305,0),MATCH(TEXT($C56,"0"),銘柄管理!$B$6:$B$305,0))-1,0,1,25))-MIN(OFFSET(安値!$E$6,IFERROR(MATCH($C56,銘柄管理!$B$6:$B$305,0),MATCH(TEXT($C56,"0"),銘柄管理!$B$6:$B$305,0))-1,0,1,25)))/$E56*100,"")</f>
      </c>
      <c r="BC56">
        <f>IFERROR(($F56-$G56)/$G56*100,"")</f>
      </c>
      <c r="BD56">
        <f>IFERROR(($E56-MAX(OFFSET(高値!$E$6,IFERROR(MATCH($C56,銘柄管理!$B$6:$B$305,0),MATCH(TEXT($C56,"0"),銘柄管理!$B$6:$B$305,0))-1,0,1,25)))/MAX(OFFSET(高値!$E$6,IFERROR(MATCH($C56,銘柄管理!$B$6:$B$305,0),MATCH(TEXT($C56,"0"),銘柄管理!$B$6:$B$305,0))-1,0,1,25))*100,"")</f>
      </c>
      <c r="BE56">
        <f>IFERROR(($H56-$I56)/$F56*100,"")</f>
      </c>
      <c r="BF56">
        <f>IFERROR(-(($BA56-AVERAGE($BA$3:$BA$206))/STDEV($BA$3:$BA$206))-(($BE56-AVERAGE($BE$3:$BE$206))/STDEV($BE$3:$BE$206))-(($BB56-AVERAGE($BB$3:$BB$206))/STDEV($BB$3:$BB$206))-(($Z56-AVERAGE($Z$3:$Z$206))/STDEV($Z$3:$Z$206))-(($BC56-AVERAGE($BC$3:$BC$206))/STDEV($BC$3:$BC$206)),"")</f>
      </c>
      <c r="BG56">
        <f>IF(OR($C56="",$C56="TOPX",$BA56="",$BF56=""),0,IF(AND($BK$10=1,$BA56&lt;=$BK$2,$BB56&lt;=$BK$3,$BC56&lt;=$BK$4,$Z56&lt;=$BK$5,$Z56&gt;=$BK$6,$BD56&gt;=$BK$7,$BE56&lt;=$BK$8),1,0))</f>
      </c>
      <c r="BH56">
        <f>IF($C56="","",IF($BG56=1,"○ゲート通過",IF($BK$10&lt;&gt;1,"― この方向は停止中",IF($BA56&gt;$BK$2,"×値動きが荒い",IF($BB56&gt;$BK$3,"×レンジが広い",IF($BC56&gt;$BK$4,"×窓を開けて上昇",IF($Z56&gt;$BK$5,"×前日に急騰",IF($Z56&lt;$BK$6,"×前日に急落",IF($BD56&lt;$BK$7,"×高値から離れすぎ",IF($BE56&gt;$BK$8,"×当日の値幅が大きい","×")))))))))</f>
      </c>
    </row>
    <row r="57" spans="1:60"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IF(AND(E57&lt;&gt;"",K57&lt;&gt;"",K57&lt;&gt;0),(E57-K57)/K57*100,"")</f>
        <v>-28.502815501821793</v>
      </c>
      <c r="M57" s="326">
        <f>IF(C57&lt;&gt;"",IFERROR(AVERAGE(出来高!E102:I102),""),"")</f>
        <v>31458650</v>
      </c>
      <c r="N57" s="326">
        <f>IF(C57&lt;&gt;"",IFERROR(AVERAGE(出来高!E102:AC102),""),"")</f>
        <v>31458650</v>
      </c>
      <c r="O57" s="328">
        <f>IF(AND(J57&lt;&gt;"",M57&lt;&gt;"",M57&lt;&gt;0),J57/M57,"")</f>
        <v>1.0162038103987299</v>
      </c>
      <c r="P57" s="325" t="str">
        <f>IF(O57="","",IF(O57&gt;=2,"急増↑↑",IF(O57&gt;=1.5,"増加↑",IF(O57&gt;=1,"普通→","減少↓"))))</f>
        <v>普通→</v>
      </c>
      <c r="Q57" s="325" t="str">
        <f>IF(E57="","",IF(AND(E57&lt;G57,O57&gt;=1.5),"売り▼",IF(E57&gt;G57,"様子見▲","中立→")))</f>
        <v>中立→</v>
      </c>
      <c r="R57" s="326">
        <f>IF(E57&lt;&gt;"",ROUND(E57*0.92,0),"")</f>
        <v>1986</v>
      </c>
      <c r="S57" s="326">
        <f>IF(E57&lt;&gt;"",ROUND(E57*1.04,0),"")</f>
        <v>2245</v>
      </c>
      <c r="T57" s="325">
        <f>IF(C57="","",IFERROR(IF(W57&gt;=70,3,IF(W57&gt;=60,2,IF(W57&gt;=50,1,0)))+IF(X57&lt;0,2,0)+IF(AD57="下降トレンド▼",3,IF(AD57="もみ合い→",1,0))+IF(V57="年初来安値圏●",3,IF(V57="安値圏",2,0))+IF(Q57="売り▼",2,0)+IF(P57="急増↑↑",2,IF(P57="増加↑",1,0))+IF(Z57&lt;0,1,0)+IF(L57&lt;=-30,2,IF(L57&lt;=-15,1,0))+IF(AE57="25日戻り売り★",2,IF(AE57="5日戻り売り○",1,0))+N(AL57)+N(AP57)+N(AU57),0))</f>
        <v>5</v>
      </c>
      <c r="U57" s="325" t="str">
        <f>IF(T57="","",IF(AND(T57&gt;=3,O57&gt;=1.5),"有効",IF(T57&gt;=3,"要確認","除外")))</f>
        <v>要確認</v>
      </c>
      <c r="V57" s="325" t="str">
        <f>IF(AND(I57&lt;&gt;"",K57&lt;&gt;""),IF(I57&lt;=K57*0.6,"年初来安値圏●",IF(I57&lt;=K57*0.75,"安値圏","通常")),"")</f>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IF(AF57="","",AF57&amp;" | "&amp;AD57&amp;IF(AE57&lt;&gt;"なし"," "&amp;AE57,"")&amp;IF(X57&lt;0," MACD-"," MACD+")&amp;" RSI:"&amp;TEXT(W57,"0.0")&amp;IF(W57&gt;=70," [過熱]",IF(W57&lt;=30," [売られ過ぎ]",""))&amp;" 前日比:"&amp;TEXT(Z57,"+0.0;-0.0;0.0")&amp;"%"&amp;IF(V57="年初来安値圏●"," [年初来安値圏]",IF(V57="安値圏"," [安値圏]",""))&amp;IF(OR(AO57="通常",AO57="-"),""," ["&amp;AO57&amp;"]")&amp;IF(OR(AT57="通常",AT57="-"),"","前日["&amp;AT57&amp;"]")&amp;" ["&amp;T57&amp;"点]")</f>
        <v>相場上昇・見送り | パーフェクト▲ MACD+ RSI:50.0 前日比:-9.0% [安値圏] [5点]</v>
      </c>
      <c r="Z57" s="331">
        <f>IF(AND(E57&lt;&gt;"",G57&lt;&gt;"",G57&lt;&gt;0),(E57-G57)/G57*100,"")</f>
        <v>-8.9816571790006314</v>
      </c>
      <c r="AA57" s="325" t="str">
        <f>IF(OR(C57="",E57="",E57=0),"",IF(E57&gt;G57,"上昇▲",IF(E57&lt;G57,"下落▼","横ばい→")))</f>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IF(OR(C57="",AB57="",AC57="",AB57=0,AC57=0),"",IF(AND(E57&gt;AB57,AB57&gt;AC57),"パーフェクト▲",IF(E57&gt;AC57,"上昇トレンド▲",IF(AND(E57&lt;AB57,AB57&lt;AC57),"下降トレンド▼","もみ合い→"))))</f>
        <v>パーフェクト▲</v>
      </c>
      <c r="AE57" s="325" t="str">
        <f>IF(OR(C57="",AB57="",AC57=""),"",IF(AND(ABS(E57-AC57)/AC57&lt;=0.02,E57&lt;AC57),"25日戻り売り★",IF(AND(ABS(E57-AB57)/AB57&lt;=0.01,E57&lt;AB57),"5日戻り売り○","なし")))</f>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IF(AND(T57&gt;=7,C57&lt;&gt;""),T57,0)</f>
        <v>0</v>
      </c>
      <c r="AH57">
        <f>IF(AG57&gt;0,AG57*10000-ROW(A57),0)</f>
        <v>0</v>
      </c>
      <c r="AI57" s="373" t="str">
        <f t="array" ref="AI57">IF(C57="","",IFERROR((INDEX(終値!$E:$E,MATCH(TEXT(C57,"0"),終値!$A:$A,0))-INDEX(終値!$E:$CZ,MATCH(TEXT(C57,"0"),終値!$A:$A,0),$AN$2))/INDEX(終値!$E:$CZ,MATCH(TEXT(C57,"0"),終値!$A:$A,0),$AN$2)*100,""))</f>
        <v/>
      </c>
      <c r="AJ57" s="373">
        <f t="array" ref="AJ57">IFERROR((終値!$E$5-INDEX(終値!$E$5:$IT$5,1,$AN$2))/INDEX(終値!$E$5:$IT$5,1,$AN$2)*100,"")</f>
        <v>1.0179378228534113</v>
      </c>
      <c r="AK57" s="374" t="str">
        <f>IF(OR(AI57="",AJ57=""),"",AI57-AJ57)</f>
        <v/>
      </c>
      <c r="AL57" s="372" t="str">
        <f>IF(AK57="","",IF(AK57&lt;-5,3,IF(AK57&lt;0,1,IF(AK57&lt;3,-1,-2))))</f>
        <v/>
      </c>
      <c r="AO57" s="376" t="str">
        <f>IF(OR($C57="",$E57="",$F57="",$H57="",$I57="",$H57-$I57&lt;=0),"-",IF(AND($H57-MAX($F57,$E57)&gt;=ABS($E57-$F57)*2,MIN($F57,$E57)-$I57&lt;=ABS($E57-$F57)*0.5,ABS($E57-$F57)&gt;0),"上ヒゲ陰線▼",IF(AND($E57&lt;$F57,ABS($E57-$F57)&gt;=($H57-$I57)*0.7),"大陰線▼",IF(AND(MIN($F57,$E57)-$I57&gt;=($H57-$I57)*0.5,$H57-MAX($F57,$E57)&lt;=($H57-$I57)*0.2),"長い下ヒゲ(反発警戒)","通常"))))</f>
        <v>通常</v>
      </c>
      <c r="AP57" s="377">
        <f>IF($AO57="上ヒゲ陰線▼",2,IF($AO57="大陰線▼",2,IF($AO57="長い下ヒゲ(反発警戒)",-2,0)))</f>
        <v>0</v>
      </c>
      <c r="AQ57">
        <f>IF(C57&lt;&gt;"",始値!F102,"")</f>
        <v>2352</v>
      </c>
      <c r="AR57">
        <f>IF(C57&lt;&gt;"",高値!F102,"")</f>
        <v>2395</v>
      </c>
      <c r="AS57">
        <f>IF(C57&lt;&gt;"",安値!F102,"")</f>
        <v>2294</v>
      </c>
      <c r="AT57" t="str">
        <f>IF(OR(C57="",AQ57="",AR57="",AS57="",AR57-AS57&lt;=0),"-",IF(AND(AR57-MAX(G57,AQ57)&gt;=ABS(G57-AQ57)*2,MIN(G57,AQ57)-AS57&lt;=ABS(G57-AQ57)*0.5,ABS(G57-AQ57)&gt;0),"上ヒゲ陰線▼",IF(AND(G57&lt;AQ57,ABS(G57-AQ57)&gt;=(AR57-AS57)*0.7),"大陰線▼",IF(AND(MIN(G57,AQ57)-AS57&gt;=(AR57-AS57)*0.5,AR57-MAX(G57,AQ57)&lt;=(AR57-AS57)*0.2),"長い下ヒゲ(反発)","通常"))))</f>
        <v>通常</v>
      </c>
      <c r="AU57">
        <f>IF(AT57="上ヒゲ陰線▼",2,IF(AT57="大陰線▼",2,IF(AT57="長い下ヒゲ(反発)",-2,0)))</f>
        <v>0</v>
      </c>
      <c r="BA57">
        <f>IFERROR((SUM(OFFSET(高値!$E$6,IFERROR(MATCH($C57,銘柄管理!$B$6:$B$305,0),MATCH(TEXT($C57,"0"),銘柄管理!$B$6:$B$305,0))-1,0,1,14))-SUM(OFFSET(安値!$E$6,IFERROR(MATCH($C57,銘柄管理!$B$6:$B$305,0),MATCH(TEXT($C57,"0"),銘柄管理!$B$6:$B$305,0))-1,0,1,14)))/SUM(OFFSET(終値!$E$6,IFERROR(MATCH($C57,銘柄管理!$B$6:$B$305,0),MATCH(TEXT($C57,"0"),銘柄管理!$B$6:$B$305,0))-1,0,1,14))*100,"")</f>
      </c>
      <c r="BB57">
        <f>IFERROR((MAX(OFFSET(高値!$E$6,IFERROR(MATCH($C57,銘柄管理!$B$6:$B$305,0),MATCH(TEXT($C57,"0"),銘柄管理!$B$6:$B$305,0))-1,0,1,25))-MIN(OFFSET(安値!$E$6,IFERROR(MATCH($C57,銘柄管理!$B$6:$B$305,0),MATCH(TEXT($C57,"0"),銘柄管理!$B$6:$B$305,0))-1,0,1,25)))/$E57*100,"")</f>
      </c>
      <c r="BC57">
        <f>IFERROR(($F57-$G57)/$G57*100,"")</f>
      </c>
      <c r="BD57">
        <f>IFERROR(($E57-MAX(OFFSET(高値!$E$6,IFERROR(MATCH($C57,銘柄管理!$B$6:$B$305,0),MATCH(TEXT($C57,"0"),銘柄管理!$B$6:$B$305,0))-1,0,1,25)))/MAX(OFFSET(高値!$E$6,IFERROR(MATCH($C57,銘柄管理!$B$6:$B$305,0),MATCH(TEXT($C57,"0"),銘柄管理!$B$6:$B$305,0))-1,0,1,25))*100,"")</f>
      </c>
      <c r="BE57">
        <f>IFERROR(($H57-$I57)/$F57*100,"")</f>
      </c>
      <c r="BF57">
        <f>IFERROR(-(($BA57-AVERAGE($BA$3:$BA$206))/STDEV($BA$3:$BA$206))-(($BE57-AVERAGE($BE$3:$BE$206))/STDEV($BE$3:$BE$206))-(($BB57-AVERAGE($BB$3:$BB$206))/STDEV($BB$3:$BB$206))-(($Z57-AVERAGE($Z$3:$Z$206))/STDEV($Z$3:$Z$206))-(($BC57-AVERAGE($BC$3:$BC$206))/STDEV($BC$3:$BC$206)),"")</f>
      </c>
      <c r="BG57">
        <f>IF(OR($C57="",$C57="TOPX",$BA57="",$BF57=""),0,IF(AND($BK$10=1,$BA57&lt;=$BK$2,$BB57&lt;=$BK$3,$BC57&lt;=$BK$4,$Z57&lt;=$BK$5,$Z57&gt;=$BK$6,$BD57&gt;=$BK$7,$BE57&lt;=$BK$8),1,0))</f>
      </c>
      <c r="BH57">
        <f>IF($C57="","",IF($BG57=1,"○ゲート通過",IF($BK$10&lt;&gt;1,"― この方向は停止中",IF($BA57&gt;$BK$2,"×値動きが荒い",IF($BB57&gt;$BK$3,"×レンジが広い",IF($BC57&gt;$BK$4,"×窓を開けて上昇",IF($Z57&gt;$BK$5,"×前日に急騰",IF($Z57&lt;$BK$6,"×前日に急落",IF($BD57&lt;$BK$7,"×高値から離れすぎ",IF($BE57&gt;$BK$8,"×当日の値幅が大きい","×")))))))))</f>
      </c>
    </row>
    <row r="58" spans="1:60"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IF(AND(E58&lt;&gt;"",K58&lt;&gt;"",K58&lt;&gt;0),(E58-K58)/K58*100,"")</f>
        <v>-42.064792638346148</v>
      </c>
      <c r="M58" s="333">
        <f>IF(C58&lt;&gt;"",IFERROR(AVERAGE(出来高!E103:I103),""),"")</f>
        <v>54445500</v>
      </c>
      <c r="N58" s="333">
        <f>IF(C58&lt;&gt;"",IFERROR(AVERAGE(出来高!E103:AC103),""),"")</f>
        <v>42442200</v>
      </c>
      <c r="O58" s="335">
        <f>IF(AND(J58&lt;&gt;"",M58&lt;&gt;"",M58&lt;&gt;0),J58/M58,"")</f>
        <v>1.05723338016916</v>
      </c>
      <c r="P58" s="212" t="str">
        <f>IF(O58="","",IF(O58&gt;=2,"急増↑↑",IF(O58&gt;=1.5,"増加↑",IF(O58&gt;=1,"普通→","減少↓"))))</f>
        <v>普通→</v>
      </c>
      <c r="Q58" s="212" t="str">
        <f>IF(E58="","",IF(AND(E58&lt;G58,O58&gt;=1.5),"売り▼",IF(E58&gt;G58,"様子見▲","中立→")))</f>
        <v>中立→</v>
      </c>
      <c r="R58" s="333">
        <f>IF(E58&lt;&gt;"",ROUND(E58*0.92,0),"")</f>
        <v>4228</v>
      </c>
      <c r="S58" s="333">
        <f>IF(E58&lt;&gt;"",ROUND(E58*1.04,0),"")</f>
        <v>4780</v>
      </c>
      <c r="T58" s="325">
        <f>IF(C58="","",IFERROR(IF(W58&gt;=70,3,IF(W58&gt;=60,2,IF(W58&gt;=50,1,0)))+IF(X58&lt;0,2,0)+IF(AD58="下降トレンド▼",3,IF(AD58="もみ合い→",1,0))+IF(V58="年初来安値圏●",3,IF(V58="安値圏",2,0))+IF(Q58="売り▼",2,0)+IF(P58="急増↑↑",2,IF(P58="増加↑",1,0))+IF(Z58&lt;0,1,0)+IF(L58&lt;=-30,2,IF(L58&lt;=-15,1,0))+IF(AE58="25日戻り売り★",2,IF(AE58="5日戻り売り○",1,0))+N(AL58)+N(AP58)+N(AU58),0))</f>
        <v>11</v>
      </c>
      <c r="U58" s="212" t="str">
        <f>IF(T58="","",IF(AND(T58&gt;=3,O58&gt;=1.5),"有効",IF(T58&gt;=3,"要確認","除外")))</f>
        <v>要確認</v>
      </c>
      <c r="V58" s="212" t="str">
        <f>IF(AND(I58&lt;&gt;"",K58&lt;&gt;""),IF(I58&lt;=K58*0.6,"年初来安値圏●",IF(I58&lt;=K58*0.75,"安値圏","通常")),"")</f>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IF(AF58="","",AF58&amp;" | "&amp;AD58&amp;IF(AE58&lt;&gt;"なし"," "&amp;AE58,"")&amp;IF(X58&lt;0," MACD-"," MACD+")&amp;" RSI:"&amp;TEXT(W58,"0.0")&amp;IF(W58&gt;=70," [過熱]",IF(W58&lt;=30," [売られ過ぎ]",""))&amp;" 前日比:"&amp;TEXT(Z58,"+0.0;-0.0;0.0")&amp;"%"&amp;IF(V58="年初来安値圏●"," [年初来安値圏]",IF(V58="安値圏"," [安値圏]",""))&amp;IF(OR(AO58="通常",AO58="-"),""," ["&amp;AO58&amp;"]")&amp;IF(OR(AT58="通常",AT58="-"),"","前日["&amp;AT58&amp;"]")&amp;" ["&amp;T58&amp;"点]")</f>
        <v>相場上昇・見送り | 上昇トレンド▲ MACD- RSI:48.9 前日比:-9.4% [年初来安値圏] [11点]</v>
      </c>
      <c r="Z58" s="338">
        <f>IF(AND(E58&lt;&gt;"",G58&lt;&gt;"",G58&lt;&gt;0),(E58-G58)/G58*100,"")</f>
        <v>-9.4027202838557056</v>
      </c>
      <c r="AA58" s="212" t="str">
        <f>IF(OR(C58="",E58="",E58=0),"",IF(E58&gt;G58,"上昇▲",IF(E58&lt;G58,"下落▼","横ばい→")))</f>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IF(OR(C58="",AB58="",AC58="",AB58=0,AC58=0),"",IF(AND(E58&gt;AB58,AB58&gt;AC58),"パーフェクト▲",IF(E58&gt;AC58,"上昇トレンド▲",IF(AND(E58&lt;AB58,AB58&lt;AC58),"下降トレンド▼","もみ合い→"))))</f>
        <v>上昇トレンド▲</v>
      </c>
      <c r="AE58" s="212" t="str">
        <f>IF(OR(C58="",AB58="",AC58=""),"",IF(AND(ABS(E58-AC58)/AC58&lt;=0.02,E58&lt;AC58),"25日戻り売り★",IF(AND(ABS(E58-AB58)/AB58&lt;=0.01,E58&lt;AB58),"5日戻り売り○","なし")))</f>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IF(AND(T58&gt;=7,C58&lt;&gt;""),T58,0)</f>
        <v>11</v>
      </c>
      <c r="AH58">
        <f>IF(AG58&gt;0,AG58*10000-ROW(A58),0)</f>
        <v>109942</v>
      </c>
      <c r="AI58" s="373">
        <f t="array" ref="AI58">IF(C58="","",IFERROR((INDEX(終値!$E:$E,MATCH(TEXT(C58,"0"),終値!$A:$A,0))-INDEX(終値!$E:$CZ,MATCH(TEXT(C58,"0"),終値!$A:$A,0),$AN$2))/INDEX(終値!$E:$CZ,MATCH(TEXT(C58,"0"),終値!$A:$A,0),$AN$2)*100,""))</f>
        <v>-21.112255406797118</v>
      </c>
      <c r="AJ58" s="373">
        <f t="array" ref="AJ58">IFERROR((終値!$E$5-INDEX(終値!$E$5:$IT$5,1,$AN$2))/INDEX(終値!$E$5:$IT$5,1,$AN$2)*100,"")</f>
        <v>1.0179378228534113</v>
      </c>
      <c r="AK58" s="374">
        <f>IF(OR(AI58="",AJ58=""),"",AI58-AJ58)</f>
        <v>-22.13019322965053</v>
      </c>
      <c r="AL58" s="372">
        <f>IF(AK58="","",IF(AK58&lt;-5,3,IF(AK58&lt;0,1,IF(AK58&lt;3,-1,-2))))</f>
        <v>3</v>
      </c>
      <c r="AO58" s="376" t="str">
        <f>IF(OR($C58="",$E58="",$F58="",$H58="",$I58="",$H58-$I58&lt;=0),"-",IF(AND($H58-MAX($F58,$E58)&gt;=ABS($E58-$F58)*2,MIN($F58,$E58)-$I58&lt;=ABS($E58-$F58)*0.5,ABS($E58-$F58)&gt;0),"上ヒゲ陰線▼",IF(AND($E58&lt;$F58,ABS($E58-$F58)&gt;=($H58-$I58)*0.7),"大陰線▼",IF(AND(MIN($F58,$E58)-$I58&gt;=($H58-$I58)*0.5,$H58-MAX($F58,$E58)&lt;=($H58-$I58)*0.2),"長い下ヒゲ(反発警戒)","通常"))))</f>
        <v>通常</v>
      </c>
      <c r="AP58" s="377">
        <f>IF($AO58="上ヒゲ陰線▼",2,IF($AO58="大陰線▼",2,IF($AO58="長い下ヒゲ(反発警戒)",-2,0)))</f>
        <v>0</v>
      </c>
      <c r="AQ58">
        <f>IF(C58&lt;&gt;"",始値!F103,"")</f>
        <v>4830</v>
      </c>
      <c r="AR58">
        <f>IF(C58&lt;&gt;"",高値!F103,"")</f>
        <v>5110</v>
      </c>
      <c r="AS58">
        <f>IF(C58&lt;&gt;"",安値!F103,"")</f>
        <v>4799</v>
      </c>
      <c r="AT58" t="str">
        <f>IF(OR(C58="",AQ58="",AR58="",AS58="",AR58-AS58&lt;=0),"-",IF(AND(AR58-MAX(G58,AQ58)&gt;=ABS(G58-AQ58)*2,MIN(G58,AQ58)-AS58&lt;=ABS(G58-AQ58)*0.5,ABS(G58-AQ58)&gt;0),"上ヒゲ陰線▼",IF(AND(G58&lt;AQ58,ABS(G58-AQ58)&gt;=(AR58-AS58)*0.7),"大陰線▼",IF(AND(MIN(G58,AQ58)-AS58&gt;=(AR58-AS58)*0.5,AR58-MAX(G58,AQ58)&lt;=(AR58-AS58)*0.2),"長い下ヒゲ(反発)","通常"))))</f>
        <v>通常</v>
      </c>
      <c r="AU58">
        <f>IF(AT58="上ヒゲ陰線▼",2,IF(AT58="大陰線▼",2,IF(AT58="長い下ヒゲ(反発)",-2,0)))</f>
        <v>0</v>
      </c>
      <c r="BA58">
        <f>IFERROR((SUM(OFFSET(高値!$E$6,IFERROR(MATCH($C58,銘柄管理!$B$6:$B$305,0),MATCH(TEXT($C58,"0"),銘柄管理!$B$6:$B$305,0))-1,0,1,14))-SUM(OFFSET(安値!$E$6,IFERROR(MATCH($C58,銘柄管理!$B$6:$B$305,0),MATCH(TEXT($C58,"0"),銘柄管理!$B$6:$B$305,0))-1,0,1,14)))/SUM(OFFSET(終値!$E$6,IFERROR(MATCH($C58,銘柄管理!$B$6:$B$305,0),MATCH(TEXT($C58,"0"),銘柄管理!$B$6:$B$305,0))-1,0,1,14))*100,"")</f>
      </c>
      <c r="BB58">
        <f>IFERROR((MAX(OFFSET(高値!$E$6,IFERROR(MATCH($C58,銘柄管理!$B$6:$B$305,0),MATCH(TEXT($C58,"0"),銘柄管理!$B$6:$B$305,0))-1,0,1,25))-MIN(OFFSET(安値!$E$6,IFERROR(MATCH($C58,銘柄管理!$B$6:$B$305,0),MATCH(TEXT($C58,"0"),銘柄管理!$B$6:$B$305,0))-1,0,1,25)))/$E58*100,"")</f>
      </c>
      <c r="BC58">
        <f>IFERROR(($F58-$G58)/$G58*100,"")</f>
      </c>
      <c r="BD58">
        <f>IFERROR(($E58-MAX(OFFSET(高値!$E$6,IFERROR(MATCH($C58,銘柄管理!$B$6:$B$305,0),MATCH(TEXT($C58,"0"),銘柄管理!$B$6:$B$305,0))-1,0,1,25)))/MAX(OFFSET(高値!$E$6,IFERROR(MATCH($C58,銘柄管理!$B$6:$B$305,0),MATCH(TEXT($C58,"0"),銘柄管理!$B$6:$B$305,0))-1,0,1,25))*100,"")</f>
      </c>
      <c r="BE58">
        <f>IFERROR(($H58-$I58)/$F58*100,"")</f>
      </c>
      <c r="BF58">
        <f>IFERROR(-(($BA58-AVERAGE($BA$3:$BA$206))/STDEV($BA$3:$BA$206))-(($BE58-AVERAGE($BE$3:$BE$206))/STDEV($BE$3:$BE$206))-(($BB58-AVERAGE($BB$3:$BB$206))/STDEV($BB$3:$BB$206))-(($Z58-AVERAGE($Z$3:$Z$206))/STDEV($Z$3:$Z$206))-(($BC58-AVERAGE($BC$3:$BC$206))/STDEV($BC$3:$BC$206)),"")</f>
      </c>
      <c r="BG58">
        <f>IF(OR($C58="",$C58="TOPX",$BA58="",$BF58=""),0,IF(AND($BK$10=1,$BA58&lt;=$BK$2,$BB58&lt;=$BK$3,$BC58&lt;=$BK$4,$Z58&lt;=$BK$5,$Z58&gt;=$BK$6,$BD58&gt;=$BK$7,$BE58&lt;=$BK$8),1,0))</f>
      </c>
      <c r="BH58">
        <f>IF($C58="","",IF($BG58=1,"○ゲート通過",IF($BK$10&lt;&gt;1,"― この方向は停止中",IF($BA58&gt;$BK$2,"×値動きが荒い",IF($BB58&gt;$BK$3,"×レンジが広い",IF($BC58&gt;$BK$4,"×窓を開けて上昇",IF($Z58&gt;$BK$5,"×前日に急騰",IF($Z58&lt;$BK$6,"×前日に急落",IF($BD58&lt;$BK$7,"×高値から離れすぎ",IF($BE58&gt;$BK$8,"×当日の値幅が大きい","×")))))))))</f>
      </c>
    </row>
    <row r="59" spans="1:60"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IF(AND(E59&lt;&gt;"",K59&lt;&gt;"",K59&lt;&gt;0),(E59-K59)/K59*100,"")</f>
        <v>-5.6900964756841903</v>
      </c>
      <c r="M59" s="326">
        <f>IF(C59&lt;&gt;"",IFERROR(AVERAGE(出来高!E104:I104),""),"")</f>
        <v>5159220</v>
      </c>
      <c r="N59" s="326">
        <f>IF(C59&lt;&gt;"",IFERROR(AVERAGE(出来高!E104:AC104),""),"")</f>
        <v>5511388</v>
      </c>
      <c r="O59" s="328">
        <f>IF(AND(J59&lt;&gt;"",M59&lt;&gt;"",M59&lt;&gt;0),J59/M59,"")</f>
        <v>0.76015366663953077</v>
      </c>
      <c r="P59" s="325" t="str">
        <f>IF(O59="","",IF(O59&gt;=2,"急増↑↑",IF(O59&gt;=1.5,"増加↑",IF(O59&gt;=1,"普通→","減少↓"))))</f>
        <v>減少↓</v>
      </c>
      <c r="Q59" s="325" t="str">
        <f>IF(E59="","",IF(AND(E59&lt;G59,O59&gt;=1.5),"売り▼",IF(E59&gt;G59,"様子見▲","中立→")))</f>
        <v>様子見▲</v>
      </c>
      <c r="R59" s="326">
        <f>IF(E59&lt;&gt;"",ROUND(E59*0.92,0),"")</f>
        <v>2203</v>
      </c>
      <c r="S59" s="326">
        <f>IF(E59&lt;&gt;"",ROUND(E59*1.04,0),"")</f>
        <v>2491</v>
      </c>
      <c r="T59" s="325">
        <f>IF(C59="","",IFERROR(IF(W59&gt;=70,3,IF(W59&gt;=60,2,IF(W59&gt;=50,1,0)))+IF(X59&lt;0,2,0)+IF(AD59="下降トレンド▼",3,IF(AD59="もみ合い→",1,0))+IF(V59="年初来安値圏●",3,IF(V59="安値圏",2,0))+IF(Q59="売り▼",2,0)+IF(P59="急増↑↑",2,IF(P59="増加↑",1,0))+IF(Z59&lt;0,1,0)+IF(L59&lt;=-30,2,IF(L59&lt;=-15,1,0))+IF(AE59="25日戻り売り★",2,IF(AE59="5日戻り売り○",1,0))+N(AL59)+N(AP59)+N(AU59),0))</f>
        <v>-4</v>
      </c>
      <c r="U59" s="325" t="str">
        <f>IF(T59="","",IF(AND(T59&gt;=3,O59&gt;=1.5),"有効",IF(T59&gt;=3,"要確認","除外")))</f>
        <v>除外</v>
      </c>
      <c r="V59" s="325" t="str">
        <f>IF(AND(I59&lt;&gt;"",K59&lt;&gt;""),IF(I59&lt;=K59*0.6,"年初来安値圏●",IF(I59&lt;=K59*0.75,"安値圏","通常")),"")</f>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IF(AF59="","",AF59&amp;" | "&amp;AD59&amp;IF(AE59&lt;&gt;"なし"," "&amp;AE59,"")&amp;IF(X59&lt;0," MACD-"," MACD+")&amp;" RSI:"&amp;TEXT(W59,"0.0")&amp;IF(W59&gt;=70," [過熱]",IF(W59&lt;=30," [売られ過ぎ]",""))&amp;" 前日比:"&amp;TEXT(Z59,"+0.0;-0.0;0.0")&amp;"%"&amp;IF(V59="年初来安値圏●"," [年初来安値圏]",IF(V59="安値圏"," [安値圏]",""))&amp;IF(OR(AO59="通常",AO59="-"),""," ["&amp;AO59&amp;"]")&amp;IF(OR(AT59="通常",AT59="-"),"","前日["&amp;AT59&amp;"]")&amp;" ["&amp;T59&amp;"点]")</f>
        <v>相場上昇・見送り | 上昇トレンド▲ MACD+ RSI:45.2 前日比:+1.6%前日[長い下ヒゲ(反発)] [-4点]</v>
      </c>
      <c r="Z59" s="331">
        <f>IF(AND(E59&lt;&gt;"",G59&lt;&gt;"",G59&lt;&gt;0),(E59-G59)/G59*100,"")</f>
        <v>1.6122189223589309</v>
      </c>
      <c r="AA59" s="325" t="str">
        <f>IF(OR(C59="",E59="",E59=0),"",IF(E59&gt;G59,"上昇▲",IF(E59&lt;G59,"下落▼","横ばい→")))</f>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IF(OR(C59="",AB59="",AC59="",AB59=0,AC59=0),"",IF(AND(E59&gt;AB59,AB59&gt;AC59),"パーフェクト▲",IF(E59&gt;AC59,"上昇トレンド▲",IF(AND(E59&lt;AB59,AB59&lt;AC59),"下降トレンド▼","もみ合い→"))))</f>
        <v>上昇トレンド▲</v>
      </c>
      <c r="AE59" s="325" t="str">
        <f>IF(OR(C59="",AB59="",AC59=""),"",IF(AND(ABS(E59-AC59)/AC59&lt;=0.02,E59&lt;AC59),"25日戻り売り★",IF(AND(ABS(E59-AB59)/AB59&lt;=0.01,E59&lt;AB59),"5日戻り売り○","なし")))</f>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IF(AND(T59&gt;=7,C59&lt;&gt;""),T59,0)</f>
        <v>0</v>
      </c>
      <c r="AH59">
        <f>IF(AG59&gt;0,AG59*10000-ROW(A59),0)</f>
        <v>0</v>
      </c>
      <c r="AI59" s="373">
        <f t="array" ref="AI59">IF(C59="","",IFERROR((INDEX(終値!$E:$E,MATCH(TEXT(C59,"0"),終値!$A:$A,0))-INDEX(終値!$E:$CZ,MATCH(TEXT(C59,"0"),終値!$A:$A,0),$AN$2))/INDEX(終値!$E:$CZ,MATCH(TEXT(C59,"0"),終値!$A:$A,0),$AN$2)*100,""))</f>
        <v>10.445008070094536</v>
      </c>
      <c r="AJ59" s="373">
        <f t="array" ref="AJ59">IFERROR((終値!$E$5-INDEX(終値!$E$5:$IT$5,1,$AN$2))/INDEX(終値!$E$5:$IT$5,1,$AN$2)*100,"")</f>
        <v>1.0179378228534113</v>
      </c>
      <c r="AK59" s="374">
        <f>IF(OR(AI59="",AJ59=""),"",AI59-AJ59)</f>
        <v>9.4270702472411241</v>
      </c>
      <c r="AL59" s="372">
        <f>IF(AK59="","",IF(AK59&lt;-5,3,IF(AK59&lt;0,1,IF(AK59&lt;3,-1,-2))))</f>
        <v>-2</v>
      </c>
      <c r="AO59" s="376" t="str">
        <f>IF(OR($C59="",$E59="",$F59="",$H59="",$I59="",$H59-$I59&lt;=0),"-",IF(AND($H59-MAX($F59,$E59)&gt;=ABS($E59-$F59)*2,MIN($F59,$E59)-$I59&lt;=ABS($E59-$F59)*0.5,ABS($E59-$F59)&gt;0),"上ヒゲ陰線▼",IF(AND($E59&lt;$F59,ABS($E59-$F59)&gt;=($H59-$I59)*0.7),"大陰線▼",IF(AND(MIN($F59,$E59)-$I59&gt;=($H59-$I59)*0.5,$H59-MAX($F59,$E59)&lt;=($H59-$I59)*0.2),"長い下ヒゲ(反発警戒)","通常"))))</f>
        <v>通常</v>
      </c>
      <c r="AP59" s="377">
        <f>IF($AO59="上ヒゲ陰線▼",2,IF($AO59="大陰線▼",2,IF($AO59="長い下ヒゲ(反発警戒)",-2,0)))</f>
        <v>0</v>
      </c>
      <c r="AQ59">
        <f>IF(C59&lt;&gt;"",始値!F104,"")</f>
        <v>2340</v>
      </c>
      <c r="AR59">
        <f>IF(C59&lt;&gt;"",高値!F104,"")</f>
        <v>2357</v>
      </c>
      <c r="AS59">
        <f>IF(C59&lt;&gt;"",安値!F104,"")</f>
        <v>2316.5</v>
      </c>
      <c r="AT59" t="str">
        <f>IF(OR(C59="",AQ59="",AR59="",AS59="",AR59-AS59&lt;=0),"-",IF(AND(AR59-MAX(G59,AQ59)&gt;=ABS(G59-AQ59)*2,MIN(G59,AQ59)-AS59&lt;=ABS(G59-AQ59)*0.5,ABS(G59-AQ59)&gt;0),"上ヒゲ陰線▼",IF(AND(G59&lt;AQ59,ABS(G59-AQ59)&gt;=(AR59-AS59)*0.7),"大陰線▼",IF(AND(MIN(G59,AQ59)-AS59&gt;=(AR59-AS59)*0.5,AR59-MAX(G59,AQ59)&lt;=(AR59-AS59)*0.2),"長い下ヒゲ(反発)","通常"))))</f>
        <v>長い下ヒゲ(反発)</v>
      </c>
      <c r="AU59">
        <f>IF(AT59="上ヒゲ陰線▼",2,IF(AT59="大陰線▼",2,IF(AT59="長い下ヒゲ(反発)",-2,0)))</f>
        <v>-2</v>
      </c>
      <c r="BA59">
        <f>IFERROR((SUM(OFFSET(高値!$E$6,IFERROR(MATCH($C59,銘柄管理!$B$6:$B$305,0),MATCH(TEXT($C59,"0"),銘柄管理!$B$6:$B$305,0))-1,0,1,14))-SUM(OFFSET(安値!$E$6,IFERROR(MATCH($C59,銘柄管理!$B$6:$B$305,0),MATCH(TEXT($C59,"0"),銘柄管理!$B$6:$B$305,0))-1,0,1,14)))/SUM(OFFSET(終値!$E$6,IFERROR(MATCH($C59,銘柄管理!$B$6:$B$305,0),MATCH(TEXT($C59,"0"),銘柄管理!$B$6:$B$305,0))-1,0,1,14))*100,"")</f>
      </c>
      <c r="BB59">
        <f>IFERROR((MAX(OFFSET(高値!$E$6,IFERROR(MATCH($C59,銘柄管理!$B$6:$B$305,0),MATCH(TEXT($C59,"0"),銘柄管理!$B$6:$B$305,0))-1,0,1,25))-MIN(OFFSET(安値!$E$6,IFERROR(MATCH($C59,銘柄管理!$B$6:$B$305,0),MATCH(TEXT($C59,"0"),銘柄管理!$B$6:$B$305,0))-1,0,1,25)))/$E59*100,"")</f>
      </c>
      <c r="BC59">
        <f>IFERROR(($F59-$G59)/$G59*100,"")</f>
      </c>
      <c r="BD59">
        <f>IFERROR(($E59-MAX(OFFSET(高値!$E$6,IFERROR(MATCH($C59,銘柄管理!$B$6:$B$305,0),MATCH(TEXT($C59,"0"),銘柄管理!$B$6:$B$305,0))-1,0,1,25)))/MAX(OFFSET(高値!$E$6,IFERROR(MATCH($C59,銘柄管理!$B$6:$B$305,0),MATCH(TEXT($C59,"0"),銘柄管理!$B$6:$B$305,0))-1,0,1,25))*100,"")</f>
      </c>
      <c r="BE59">
        <f>IFERROR(($H59-$I59)/$F59*100,"")</f>
      </c>
      <c r="BF59">
        <f>IFERROR(-(($BA59-AVERAGE($BA$3:$BA$206))/STDEV($BA$3:$BA$206))-(($BE59-AVERAGE($BE$3:$BE$206))/STDEV($BE$3:$BE$206))-(($BB59-AVERAGE($BB$3:$BB$206))/STDEV($BB$3:$BB$206))-(($Z59-AVERAGE($Z$3:$Z$206))/STDEV($Z$3:$Z$206))-(($BC59-AVERAGE($BC$3:$BC$206))/STDEV($BC$3:$BC$206)),"")</f>
      </c>
      <c r="BG59">
        <f>IF(OR($C59="",$C59="TOPX",$BA59="",$BF59=""),0,IF(AND($BK$10=1,$BA59&lt;=$BK$2,$BB59&lt;=$BK$3,$BC59&lt;=$BK$4,$Z59&lt;=$BK$5,$Z59&gt;=$BK$6,$BD59&gt;=$BK$7,$BE59&lt;=$BK$8),1,0))</f>
      </c>
      <c r="BH59">
        <f>IF($C59="","",IF($BG59=1,"○ゲート通過",IF($BK$10&lt;&gt;1,"― この方向は停止中",IF($BA59&gt;$BK$2,"×値動きが荒い",IF($BB59&gt;$BK$3,"×レンジが広い",IF($BC59&gt;$BK$4,"×窓を開けて上昇",IF($Z59&gt;$BK$5,"×前日に急騰",IF($Z59&lt;$BK$6,"×前日に急落",IF($BD59&lt;$BK$7,"×高値から離れすぎ",IF($BE59&gt;$BK$8,"×当日の値幅が大きい","×")))))))))</f>
      </c>
    </row>
    <row r="60" spans="1:60"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IF(AND(E60&lt;&gt;"",K60&lt;&gt;"",K60&lt;&gt;0),(E60-K60)/K60*100,"")</f>
        <v>-2.5725593667546174</v>
      </c>
      <c r="M60" s="333">
        <f>IF(C60&lt;&gt;"",IFERROR(AVERAGE(出来高!E110:I110),""),"")</f>
        <v>509460</v>
      </c>
      <c r="N60" s="333">
        <f>IF(C60&lt;&gt;"",IFERROR(AVERAGE(出来高!E110:AC110),""),"")</f>
        <v>410856</v>
      </c>
      <c r="O60" s="335">
        <f>IF(AND(J60&lt;&gt;"",M60&lt;&gt;"",M60&lt;&gt;0),J60/M60,"")</f>
        <v>1.0835001766576375</v>
      </c>
      <c r="P60" s="212" t="str">
        <f>IF(O60="","",IF(O60&gt;=2,"急増↑↑",IF(O60&gt;=1.5,"増加↑",IF(O60&gt;=1,"普通→","減少↓"))))</f>
        <v>普通→</v>
      </c>
      <c r="Q60" s="212" t="str">
        <f>IF(E60="","",IF(AND(E60&lt;G60,O60&gt;=1.5),"売り▼",IF(E60&gt;G60,"様子見▲","中立→")))</f>
        <v>様子見▲</v>
      </c>
      <c r="R60" s="333">
        <f>IF(E60&lt;&gt;"",ROUND(E60*0.92,0),"")</f>
        <v>2038</v>
      </c>
      <c r="S60" s="333">
        <f>IF(E60&lt;&gt;"",ROUND(E60*1.04,0),"")</f>
        <v>2304</v>
      </c>
      <c r="T60" s="325">
        <f>IF(C60="","",IFERROR(IF(W60&gt;=70,3,IF(W60&gt;=60,2,IF(W60&gt;=50,1,0)))+IF(X60&lt;0,2,0)+IF(AD60="下降トレンド▼",3,IF(AD60="もみ合い→",1,0))+IF(V60="年初来安値圏●",3,IF(V60="安値圏",2,0))+IF(Q60="売り▼",2,0)+IF(P60="急増↑↑",2,IF(P60="増加↑",1,0))+IF(Z60&lt;0,1,0)+IF(L60&lt;=-30,2,IF(L60&lt;=-15,1,0))+IF(AE60="25日戻り売り★",2,IF(AE60="5日戻り売り○",1,0))+N(AL60)+N(AP60)+N(AU60),0))</f>
        <v>-1</v>
      </c>
      <c r="U60" s="212" t="str">
        <f>IF(T60="","",IF(AND(T60&gt;=3,O60&gt;=1.5),"有効",IF(T60&gt;=3,"要確認","除外")))</f>
        <v>除外</v>
      </c>
      <c r="V60" s="212" t="str">
        <f>IF(AND(I60&lt;&gt;"",K60&lt;&gt;""),IF(I60&lt;=K60*0.6,"年初来安値圏●",IF(I60&lt;=K60*0.75,"安値圏","通常")),"")</f>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IF(AF60="","",AF60&amp;" | "&amp;AD60&amp;IF(AE60&lt;&gt;"なし"," "&amp;AE60,"")&amp;IF(X60&lt;0," MACD-"," MACD+")&amp;" RSI:"&amp;TEXT(W60,"0.0")&amp;IF(W60&gt;=70," [過熱]",IF(W60&lt;=30," [売られ過ぎ]",""))&amp;" 前日比:"&amp;TEXT(Z60,"+0.0;-0.0;0.0")&amp;"%"&amp;IF(V60="年初来安値圏●"," [年初来安値圏]",IF(V60="安値圏"," [安値圏]",""))&amp;IF(OR(AO60="通常",AO60="-"),""," ["&amp;AO60&amp;"]")&amp;IF(OR(AT60="通常",AT60="-"),"","前日["&amp;AT60&amp;"]")&amp;" ["&amp;T60&amp;"点]")</f>
        <v>相場上昇・見送り | パーフェクト▲ MACD+ RSI:59.9 前日比:+0.9% [-1点]</v>
      </c>
      <c r="Z60" s="338">
        <f>IF(AND(E60&lt;&gt;"",G60&lt;&gt;"",G60&lt;&gt;0),(E60-G60)/G60*100,"")</f>
        <v>0.88797814207650272</v>
      </c>
      <c r="AA60" s="212" t="str">
        <f>IF(OR(C60="",E60="",E60=0),"",IF(E60&gt;G60,"上昇▲",IF(E60&lt;G60,"下落▼","横ばい→")))</f>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IF(OR(C60="",AB60="",AC60="",AB60=0,AC60=0),"",IF(AND(E60&gt;AB60,AB60&gt;AC60),"パーフェクト▲",IF(E60&gt;AC60,"上昇トレンド▲",IF(AND(E60&lt;AB60,AB60&lt;AC60),"下降トレンド▼","もみ合い→"))))</f>
        <v>パーフェクト▲</v>
      </c>
      <c r="AE60" s="212" t="str">
        <f>IF(OR(C60="",AB60="",AC60=""),"",IF(AND(ABS(E60-AC60)/AC60&lt;=0.02,E60&lt;AC60),"25日戻り売り★",IF(AND(ABS(E60-AB60)/AB60&lt;=0.01,E60&lt;AB60),"5日戻り売り○","なし")))</f>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IF(AND(T60&gt;=7,C60&lt;&gt;""),T60,0)</f>
        <v>0</v>
      </c>
      <c r="AH60">
        <f>IF(AG60&gt;0,AG60*10000-ROW(A60),0)</f>
        <v>0</v>
      </c>
      <c r="AI60" s="373">
        <f t="array" ref="AI60">IF(C60="","",IFERROR((INDEX(終値!$E:$E,MATCH(TEXT(C60,"0"),終値!$A:$A,0))-INDEX(終値!$E:$CZ,MATCH(TEXT(C60,"0"),終値!$A:$A,0),$AN$2))/INDEX(終値!$E:$CZ,MATCH(TEXT(C60,"0"),終値!$A:$A,0),$AN$2)*100,""))</f>
        <v>16.605263157894736</v>
      </c>
      <c r="AJ60" s="373">
        <f t="array" ref="AJ60">IFERROR((終値!$E$5-INDEX(終値!$E$5:$IT$5,1,$AN$2))/INDEX(終値!$E$5:$IT$5,1,$AN$2)*100,"")</f>
        <v>1.0179378228534113</v>
      </c>
      <c r="AK60" s="374">
        <f>IF(OR(AI60="",AJ60=""),"",AI60-AJ60)</f>
        <v>15.587325335041324</v>
      </c>
      <c r="AL60" s="372">
        <f>IF(AK60="","",IF(AK60&lt;-5,3,IF(AK60&lt;0,1,IF(AK60&lt;3,-1,-2))))</f>
        <v>-2</v>
      </c>
      <c r="AO60" s="376" t="str">
        <f>IF(OR($C60="",$E60="",$F60="",$H60="",$I60="",$H60-$I60&lt;=0),"-",IF(AND($H60-MAX($F60,$E60)&gt;=ABS($E60-$F60)*2,MIN($F60,$E60)-$I60&lt;=ABS($E60-$F60)*0.5,ABS($E60-$F60)&gt;0),"上ヒゲ陰線▼",IF(AND($E60&lt;$F60,ABS($E60-$F60)&gt;=($H60-$I60)*0.7),"大陰線▼",IF(AND(MIN($F60,$E60)-$I60&gt;=($H60-$I60)*0.5,$H60-MAX($F60,$E60)&lt;=($H60-$I60)*0.2),"長い下ヒゲ(反発警戒)","通常"))))</f>
        <v>通常</v>
      </c>
      <c r="AP60" s="377">
        <f>IF($AO60="上ヒゲ陰線▼",2,IF($AO60="大陰線▼",2,IF($AO60="長い下ヒゲ(反発警戒)",-2,0)))</f>
        <v>0</v>
      </c>
      <c r="AQ60">
        <f>IF(C60&lt;&gt;"",始値!F110,"")</f>
        <v>2202.5</v>
      </c>
      <c r="AR60">
        <f>IF(C60&lt;&gt;"",高値!F110,"")</f>
        <v>2218.5</v>
      </c>
      <c r="AS60">
        <f>IF(C60&lt;&gt;"",安値!F110,"")</f>
        <v>2186</v>
      </c>
      <c r="AT60" t="str">
        <f>IF(OR(C60="",AQ60="",AR60="",AS60="",AR60-AS60&lt;=0),"-",IF(AND(AR60-MAX(G60,AQ60)&gt;=ABS(G60-AQ60)*2,MIN(G60,AQ60)-AS60&lt;=ABS(G60-AQ60)*0.5,ABS(G60-AQ60)&gt;0),"上ヒゲ陰線▼",IF(AND(G60&lt;AQ60,ABS(G60-AQ60)&gt;=(AR60-AS60)*0.7),"大陰線▼",IF(AND(MIN(G60,AQ60)-AS60&gt;=(AR60-AS60)*0.5,AR60-MAX(G60,AQ60)&lt;=(AR60-AS60)*0.2),"長い下ヒゲ(反発)","通常"))))</f>
        <v>通常</v>
      </c>
      <c r="AU60">
        <f>IF(AT60="上ヒゲ陰線▼",2,IF(AT60="大陰線▼",2,IF(AT60="長い下ヒゲ(反発)",-2,0)))</f>
        <v>0</v>
      </c>
      <c r="BA60">
        <f>IFERROR((SUM(OFFSET(高値!$E$6,IFERROR(MATCH($C60,銘柄管理!$B$6:$B$305,0),MATCH(TEXT($C60,"0"),銘柄管理!$B$6:$B$305,0))-1,0,1,14))-SUM(OFFSET(安値!$E$6,IFERROR(MATCH($C60,銘柄管理!$B$6:$B$305,0),MATCH(TEXT($C60,"0"),銘柄管理!$B$6:$B$305,0))-1,0,1,14)))/SUM(OFFSET(終値!$E$6,IFERROR(MATCH($C60,銘柄管理!$B$6:$B$305,0),MATCH(TEXT($C60,"0"),銘柄管理!$B$6:$B$305,0))-1,0,1,14))*100,"")</f>
      </c>
      <c r="BB60">
        <f>IFERROR((MAX(OFFSET(高値!$E$6,IFERROR(MATCH($C60,銘柄管理!$B$6:$B$305,0),MATCH(TEXT($C60,"0"),銘柄管理!$B$6:$B$305,0))-1,0,1,25))-MIN(OFFSET(安値!$E$6,IFERROR(MATCH($C60,銘柄管理!$B$6:$B$305,0),MATCH(TEXT($C60,"0"),銘柄管理!$B$6:$B$305,0))-1,0,1,25)))/$E60*100,"")</f>
      </c>
      <c r="BC60">
        <f>IFERROR(($F60-$G60)/$G60*100,"")</f>
      </c>
      <c r="BD60">
        <f>IFERROR(($E60-MAX(OFFSET(高値!$E$6,IFERROR(MATCH($C60,銘柄管理!$B$6:$B$305,0),MATCH(TEXT($C60,"0"),銘柄管理!$B$6:$B$305,0))-1,0,1,25)))/MAX(OFFSET(高値!$E$6,IFERROR(MATCH($C60,銘柄管理!$B$6:$B$305,0),MATCH(TEXT($C60,"0"),銘柄管理!$B$6:$B$305,0))-1,0,1,25))*100,"")</f>
      </c>
      <c r="BE60">
        <f>IFERROR(($H60-$I60)/$F60*100,"")</f>
      </c>
      <c r="BF60">
        <f>IFERROR(-(($BA60-AVERAGE($BA$3:$BA$206))/STDEV($BA$3:$BA$206))-(($BE60-AVERAGE($BE$3:$BE$206))/STDEV($BE$3:$BE$206))-(($BB60-AVERAGE($BB$3:$BB$206))/STDEV($BB$3:$BB$206))-(($Z60-AVERAGE($Z$3:$Z$206))/STDEV($Z$3:$Z$206))-(($BC60-AVERAGE($BC$3:$BC$206))/STDEV($BC$3:$BC$206)),"")</f>
      </c>
      <c r="BG60">
        <f>IF(OR($C60="",$C60="TOPX",$BA60="",$BF60=""),0,IF(AND($BK$10=1,$BA60&lt;=$BK$2,$BB60&lt;=$BK$3,$BC60&lt;=$BK$4,$Z60&lt;=$BK$5,$Z60&gt;=$BK$6,$BD60&gt;=$BK$7,$BE60&lt;=$BK$8),1,0))</f>
      </c>
      <c r="BH60">
        <f>IF($C60="","",IF($BG60=1,"○ゲート通過",IF($BK$10&lt;&gt;1,"― この方向は停止中",IF($BA60&gt;$BK$2,"×値動きが荒い",IF($BB60&gt;$BK$3,"×レンジが広い",IF($BC60&gt;$BK$4,"×窓を開けて上昇",IF($Z60&gt;$BK$5,"×前日に急騰",IF($Z60&lt;$BK$6,"×前日に急落",IF($BD60&lt;$BK$7,"×高値から離れすぎ",IF($BE60&gt;$BK$8,"×当日の値幅が大きい","×")))))))))</f>
      </c>
    </row>
    <row r="61" spans="1:60"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IF(AND(E61&lt;&gt;"",K61&lt;&gt;"",K61&lt;&gt;0),(E61-K61)/K61*100,"")</f>
        <v>-5.3169734151329244</v>
      </c>
      <c r="M61" s="326">
        <f>IF(C61&lt;&gt;"",IFERROR(AVERAGE(出来高!E118:I118),""),"")</f>
        <v>1132180</v>
      </c>
      <c r="N61" s="326">
        <f>IF(C61&lt;&gt;"",IFERROR(AVERAGE(出来高!E118:AC118),""),"")</f>
        <v>972772</v>
      </c>
      <c r="O61" s="328">
        <f>IF(AND(J61&lt;&gt;"",M61&lt;&gt;"",M61&lt;&gt;0),J61/M61,"")</f>
        <v>0.79943118585383954</v>
      </c>
      <c r="P61" s="325" t="str">
        <f>IF(O61="","",IF(O61&gt;=2,"急増↑↑",IF(O61&gt;=1.5,"増加↑",IF(O61&gt;=1,"普通→","減少↓"))))</f>
        <v>減少↓</v>
      </c>
      <c r="Q61" s="325" t="str">
        <f>IF(E61="","",IF(AND(E61&lt;G61,O61&gt;=1.5),"売り▼",IF(E61&gt;G61,"様子見▲","中立→")))</f>
        <v>中立→</v>
      </c>
      <c r="R61" s="326">
        <f>IF(E61&lt;&gt;"",ROUND(E61*0.92,0),"")</f>
        <v>4260</v>
      </c>
      <c r="S61" s="326">
        <f>IF(E61&lt;&gt;"",ROUND(E61*1.04,0),"")</f>
        <v>4815</v>
      </c>
      <c r="T61" s="325">
        <f>IF(C61="","",IFERROR(IF(W61&gt;=70,3,IF(W61&gt;=60,2,IF(W61&gt;=50,1,0)))+IF(X61&lt;0,2,0)+IF(AD61="下降トレンド▼",3,IF(AD61="もみ合い→",1,0))+IF(V61="年初来安値圏●",3,IF(V61="安値圏",2,0))+IF(Q61="売り▼",2,0)+IF(P61="急増↑↑",2,IF(P61="増加↑",1,0))+IF(Z61&lt;0,1,0)+IF(L61&lt;=-30,2,IF(L61&lt;=-15,1,0))+IF(AE61="25日戻り売り★",2,IF(AE61="5日戻り売り○",1,0))+N(AL61)+N(AP61)+N(AU61),0))</f>
        <v>2</v>
      </c>
      <c r="U61" s="325" t="str">
        <f>IF(T61="","",IF(AND(T61&gt;=3,O61&gt;=1.5),"有効",IF(T61&gt;=3,"要確認","除外")))</f>
        <v>除外</v>
      </c>
      <c r="V61" s="325" t="str">
        <f>IF(AND(I61&lt;&gt;"",K61&lt;&gt;""),IF(I61&lt;=K61*0.6,"年初来安値圏●",IF(I61&lt;=K61*0.75,"安値圏","通常")),"")</f>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IF(AF61="","",AF61&amp;" | "&amp;AD61&amp;IF(AE61&lt;&gt;"なし"," "&amp;AE61,"")&amp;IF(X61&lt;0," MACD-"," MACD+")&amp;" RSI:"&amp;TEXT(W61,"0.0")&amp;IF(W61&gt;=70," [過熱]",IF(W61&lt;=30," [売られ過ぎ]",""))&amp;" 前日比:"&amp;TEXT(Z61,"+0.0;-0.0;0.0")&amp;"%"&amp;IF(V61="年初来安値圏●"," [年初来安値圏]",IF(V61="安値圏"," [安値圏]",""))&amp;IF(OR(AO61="通常",AO61="-"),""," ["&amp;AO61&amp;"]")&amp;IF(OR(AT61="通常",AT61="-"),"","前日["&amp;AT61&amp;"]")&amp;" ["&amp;T61&amp;"点]")</f>
        <v>相場上昇・見送り | パーフェクト▲ MACD- RSI:46.3 前日比:-1.0% [2点]</v>
      </c>
      <c r="Z61" s="331">
        <f>IF(AND(E61&lt;&gt;"",G61&lt;&gt;"",G61&lt;&gt;0),(E61-G61)/G61*100,"")</f>
        <v>-1.0049176822749626</v>
      </c>
      <c r="AA61" s="325" t="str">
        <f>IF(OR(C61="",E61="",E61=0),"",IF(E61&gt;G61,"上昇▲",IF(E61&lt;G61,"下落▼","横ばい→")))</f>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IF(OR(C61="",AB61="",AC61="",AB61=0,AC61=0),"",IF(AND(E61&gt;AB61,AB61&gt;AC61),"パーフェクト▲",IF(E61&gt;AC61,"上昇トレンド▲",IF(AND(E61&lt;AB61,AB61&lt;AC61),"下降トレンド▼","もみ合い→"))))</f>
        <v>パーフェクト▲</v>
      </c>
      <c r="AE61" s="325" t="str">
        <f>IF(OR(C61="",AB61="",AC61=""),"",IF(AND(ABS(E61-AC61)/AC61&lt;=0.02,E61&lt;AC61),"25日戻り売り★",IF(AND(ABS(E61-AB61)/AB61&lt;=0.01,E61&lt;AB61),"5日戻り売り○","なし")))</f>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IF(AND(T61&gt;=7,C61&lt;&gt;""),T61,0)</f>
        <v>0</v>
      </c>
      <c r="AH61">
        <f>IF(AG61&gt;0,AG61*10000-ROW(A61),0)</f>
        <v>0</v>
      </c>
      <c r="AI61" s="373">
        <f t="array" ref="AI61">IF(C61="","",IFERROR((INDEX(終値!$E:$E,MATCH(TEXT(C61,"0"),終値!$A:$A,0))-INDEX(終値!$E:$CZ,MATCH(TEXT(C61,"0"),終値!$A:$A,0),$AN$2))/INDEX(終値!$E:$CZ,MATCH(TEXT(C61,"0"),終値!$A:$A,0),$AN$2)*100,""))</f>
        <v>1.2464465340039361</v>
      </c>
      <c r="AJ61" s="373">
        <f t="array" ref="AJ61">IFERROR((終値!$E$5-INDEX(終値!$E$5:$IT$5,1,$AN$2))/INDEX(終値!$E$5:$IT$5,1,$AN$2)*100,"")</f>
        <v>1.0179378228534113</v>
      </c>
      <c r="AK61" s="374">
        <f>IF(OR(AI61="",AJ61=""),"",AI61-AJ61)</f>
        <v>0.22850871115052485</v>
      </c>
      <c r="AL61" s="372">
        <f>IF(AK61="","",IF(AK61&lt;-5,3,IF(AK61&lt;0,1,IF(AK61&lt;3,-1,-2))))</f>
        <v>-1</v>
      </c>
      <c r="AO61" s="376" t="str">
        <f>IF(OR($C61="",$E61="",$F61="",$H61="",$I61="",$H61-$I61&lt;=0),"-",IF(AND($H61-MAX($F61,$E61)&gt;=ABS($E61-$F61)*2,MIN($F61,$E61)-$I61&lt;=ABS($E61-$F61)*0.5,ABS($E61-$F61)&gt;0),"上ヒゲ陰線▼",IF(AND($E61&lt;$F61,ABS($E61-$F61)&gt;=($H61-$I61)*0.7),"大陰線▼",IF(AND(MIN($F61,$E61)-$I61&gt;=($H61-$I61)*0.5,$H61-MAX($F61,$E61)&lt;=($H61-$I61)*0.2),"長い下ヒゲ(反発警戒)","通常"))))</f>
        <v>通常</v>
      </c>
      <c r="AP61" s="377">
        <f>IF($AO61="上ヒゲ陰線▼",2,IF($AO61="大陰線▼",2,IF($AO61="長い下ヒゲ(反発警戒)",-2,0)))</f>
        <v>0</v>
      </c>
      <c r="AQ61">
        <f>IF(C61&lt;&gt;"",始値!F118,"")</f>
        <v>4540</v>
      </c>
      <c r="AR61">
        <f>IF(C61&lt;&gt;"",高値!F118,"")</f>
        <v>4677</v>
      </c>
      <c r="AS61">
        <f>IF(C61&lt;&gt;"",安値!F118,"")</f>
        <v>4535</v>
      </c>
      <c r="AT61" t="str">
        <f>IF(OR(C61="",AQ61="",AR61="",AS61="",AR61-AS61&lt;=0),"-",IF(AND(AR61-MAX(G61,AQ61)&gt;=ABS(G61-AQ61)*2,MIN(G61,AQ61)-AS61&lt;=ABS(G61-AQ61)*0.5,ABS(G61-AQ61)&gt;0),"上ヒゲ陰線▼",IF(AND(G61&lt;AQ61,ABS(G61-AQ61)&gt;=(AR61-AS61)*0.7),"大陰線▼",IF(AND(MIN(G61,AQ61)-AS61&gt;=(AR61-AS61)*0.5,AR61-MAX(G61,AQ61)&lt;=(AR61-AS61)*0.2),"長い下ヒゲ(反発)","通常"))))</f>
        <v>通常</v>
      </c>
      <c r="AU61">
        <f>IF(AT61="上ヒゲ陰線▼",2,IF(AT61="大陰線▼",2,IF(AT61="長い下ヒゲ(反発)",-2,0)))</f>
        <v>0</v>
      </c>
      <c r="BA61">
        <f>IFERROR((SUM(OFFSET(高値!$E$6,IFERROR(MATCH($C61,銘柄管理!$B$6:$B$305,0),MATCH(TEXT($C61,"0"),銘柄管理!$B$6:$B$305,0))-1,0,1,14))-SUM(OFFSET(安値!$E$6,IFERROR(MATCH($C61,銘柄管理!$B$6:$B$305,0),MATCH(TEXT($C61,"0"),銘柄管理!$B$6:$B$305,0))-1,0,1,14)))/SUM(OFFSET(終値!$E$6,IFERROR(MATCH($C61,銘柄管理!$B$6:$B$305,0),MATCH(TEXT($C61,"0"),銘柄管理!$B$6:$B$305,0))-1,0,1,14))*100,"")</f>
      </c>
      <c r="BB61">
        <f>IFERROR((MAX(OFFSET(高値!$E$6,IFERROR(MATCH($C61,銘柄管理!$B$6:$B$305,0),MATCH(TEXT($C61,"0"),銘柄管理!$B$6:$B$305,0))-1,0,1,25))-MIN(OFFSET(安値!$E$6,IFERROR(MATCH($C61,銘柄管理!$B$6:$B$305,0),MATCH(TEXT($C61,"0"),銘柄管理!$B$6:$B$305,0))-1,0,1,25)))/$E61*100,"")</f>
      </c>
      <c r="BC61">
        <f>IFERROR(($F61-$G61)/$G61*100,"")</f>
      </c>
      <c r="BD61">
        <f>IFERROR(($E61-MAX(OFFSET(高値!$E$6,IFERROR(MATCH($C61,銘柄管理!$B$6:$B$305,0),MATCH(TEXT($C61,"0"),銘柄管理!$B$6:$B$305,0))-1,0,1,25)))/MAX(OFFSET(高値!$E$6,IFERROR(MATCH($C61,銘柄管理!$B$6:$B$305,0),MATCH(TEXT($C61,"0"),銘柄管理!$B$6:$B$305,0))-1,0,1,25))*100,"")</f>
      </c>
      <c r="BE61">
        <f>IFERROR(($H61-$I61)/$F61*100,"")</f>
      </c>
      <c r="BF61">
        <f>IFERROR(-(($BA61-AVERAGE($BA$3:$BA$206))/STDEV($BA$3:$BA$206))-(($BE61-AVERAGE($BE$3:$BE$206))/STDEV($BE$3:$BE$206))-(($BB61-AVERAGE($BB$3:$BB$206))/STDEV($BB$3:$BB$206))-(($Z61-AVERAGE($Z$3:$Z$206))/STDEV($Z$3:$Z$206))-(($BC61-AVERAGE($BC$3:$BC$206))/STDEV($BC$3:$BC$206)),"")</f>
      </c>
      <c r="BG61">
        <f>IF(OR($C61="",$C61="TOPX",$BA61="",$BF61=""),0,IF(AND($BK$10=1,$BA61&lt;=$BK$2,$BB61&lt;=$BK$3,$BC61&lt;=$BK$4,$Z61&lt;=$BK$5,$Z61&gt;=$BK$6,$BD61&gt;=$BK$7,$BE61&lt;=$BK$8),1,0))</f>
      </c>
      <c r="BH61">
        <f>IF($C61="","",IF($BG61=1,"○ゲート通過",IF($BK$10&lt;&gt;1,"― この方向は停止中",IF($BA61&gt;$BK$2,"×値動きが荒い",IF($BB61&gt;$BK$3,"×レンジが広い",IF($BC61&gt;$BK$4,"×窓を開けて上昇",IF($Z61&gt;$BK$5,"×前日に急騰",IF($Z61&lt;$BK$6,"×前日に急落",IF($BD61&lt;$BK$7,"×高値から離れすぎ",IF($BE61&gt;$BK$8,"×当日の値幅が大きい","×")))))))))</f>
      </c>
    </row>
    <row r="62" spans="1:60"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IF(AND(E62&lt;&gt;"",K62&lt;&gt;"",K62&lt;&gt;0),(E62-K62)/K62*100,"")</f>
        <v>-45.126993502658003</v>
      </c>
      <c r="M62" s="333">
        <f>IF(C62&lt;&gt;"",IFERROR(AVERAGE(出来高!E147:I147),""),"")</f>
        <v>155040</v>
      </c>
      <c r="N62" s="333">
        <f>IF(C62&lt;&gt;"",IFERROR(AVERAGE(出来高!E147:AC147),""),"")</f>
        <v>114808.33333333333</v>
      </c>
      <c r="O62" s="335">
        <f>IF(AND(J62&lt;&gt;"",M62&lt;&gt;"",M62&lt;&gt;0),J62/M62,"")</f>
        <v>0.59726522187822495</v>
      </c>
      <c r="P62" s="212" t="str">
        <f>IF(O62="","",IF(O62&gt;=2,"急増↑↑",IF(O62&gt;=1.5,"増加↑",IF(O62&gt;=1,"普通→","減少↓"))))</f>
        <v>減少↓</v>
      </c>
      <c r="Q62" s="212" t="str">
        <f>IF(E62="","",IF(AND(E62&lt;G62,O62&gt;=1.5),"売り▼",IF(E62&gt;G62,"様子見▲","中立→")))</f>
        <v>中立→</v>
      </c>
      <c r="R62" s="333">
        <f>IF(E62&lt;&gt;"",ROUND(E62*0.92,0),"")</f>
        <v>8547</v>
      </c>
      <c r="S62" s="333">
        <f>IF(E62&lt;&gt;"",ROUND(E62*1.04,0),"")</f>
        <v>9662</v>
      </c>
      <c r="T62" s="325">
        <f>IF(C62="","",IFERROR(IF(W62&gt;=70,3,IF(W62&gt;=60,2,IF(W62&gt;=50,1,0)))+IF(X62&lt;0,2,0)+IF(AD62="下降トレンド▼",3,IF(AD62="もみ合い→",1,0))+IF(V62="年初来安値圏●",3,IF(V62="安値圏",2,0))+IF(Q62="売り▼",2,0)+IF(P62="急増↑↑",2,IF(P62="増加↑",1,0))+IF(Z62&lt;0,1,0)+IF(L62&lt;=-30,2,IF(L62&lt;=-15,1,0))+IF(AE62="25日戻り売り★",2,IF(AE62="5日戻り売り○",1,0))+N(AL62)+N(AP62)+N(AU62),0))</f>
        <v>14</v>
      </c>
      <c r="U62" s="212" t="str">
        <f>IF(T62="","",IF(AND(T62&gt;=3,O62&gt;=1.5),"有効",IF(T62&gt;=3,"要確認","除外")))</f>
        <v>要確認</v>
      </c>
      <c r="V62" s="212" t="str">
        <f>IF(AND(I62&lt;&gt;"",K62&lt;&gt;""),IF(I62&lt;=K62*0.6,"年初来安値圏●",IF(I62&lt;=K62*0.75,"安値圏","通常")),"")</f>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IF(AF62="","",AF62&amp;" | "&amp;AD62&amp;IF(AE62&lt;&gt;"なし"," "&amp;AE62,"")&amp;IF(X62&lt;0," MACD-"," MACD+")&amp;" RSI:"&amp;TEXT(W62,"0.0")&amp;IF(W62&gt;=70," [過熱]",IF(W62&lt;=30," [売られ過ぎ]",""))&amp;" 前日比:"&amp;TEXT(Z62,"+0.0;-0.0;0.0")&amp;"%"&amp;IF(V62="年初来安値圏●"," [年初来安値圏]",IF(V62="安値圏"," [安値圏]",""))&amp;IF(OR(AO62="通常",AO62="-"),""," ["&amp;AO62&amp;"]")&amp;IF(OR(AT62="通常",AT62="-"),"","前日["&amp;AT62&amp;"]")&amp;" ["&amp;T62&amp;"点]")</f>
        <v>★逆張り売り | 下降トレンド▼ 25日戻り売り★ MACD- RSI:45.2 前日比:-5.8% [年初来安値圏]前日[長い下ヒゲ(反発)] [14点]</v>
      </c>
      <c r="Z62" s="338">
        <f>IF(AND(E62&lt;&gt;"",G62&lt;&gt;"",G62&lt;&gt;0),(E62-G62)/G62*100,"")</f>
        <v>-5.7809330628803242</v>
      </c>
      <c r="AA62" s="212" t="str">
        <f>IF(OR(C62="",E62="",E62=0),"",IF(E62&gt;G62,"上昇▲",IF(E62&lt;G62,"下落▼","横ばい→")))</f>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IF(OR(C62="",AB62="",AC62="",AB62=0,AC62=0),"",IF(AND(E62&gt;AB62,AB62&gt;AC62),"パーフェクト▲",IF(E62&gt;AC62,"上昇トレンド▲",IF(AND(E62&lt;AB62,AB62&lt;AC62),"下降トレンド▼","もみ合い→"))))</f>
        <v>下降トレンド▼</v>
      </c>
      <c r="AE62" s="212" t="str">
        <f>IF(OR(C62="",AB62="",AC62=""),"",IF(AND(ABS(E62-AC62)/AC62&lt;=0.02,E62&lt;AC62),"25日戻り売り★",IF(AND(ABS(E62-AB62)/AB62&lt;=0.01,E62&lt;AB62),"5日戻り売り○","なし")))</f>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IF(AND(T62&gt;=7,C62&lt;&gt;""),T62,0)</f>
        <v>14</v>
      </c>
      <c r="AH62">
        <f>IF(AG62&gt;0,AG62*10000-ROW(A62),0)</f>
        <v>139938</v>
      </c>
      <c r="AI62" s="373">
        <f t="array" ref="AI62">IF(C62="","",IFERROR((INDEX(終値!$E:$E,MATCH(TEXT(C62,"0"),終値!$A:$A,0))-INDEX(終値!$E:$CZ,MATCH(TEXT(C62,"0"),終値!$A:$A,0),$AN$2))/INDEX(終値!$E:$CZ,MATCH(TEXT(C62,"0"),終値!$A:$A,0),$AN$2)*100,""))</f>
        <v>-33.926031294452343</v>
      </c>
      <c r="AJ62" s="373">
        <f t="array" ref="AJ62">IFERROR((終値!$E$5-INDEX(終値!$E$5:$IT$5,1,$AN$2))/INDEX(終値!$E$5:$IT$5,1,$AN$2)*100,"")</f>
        <v>1.0179378228534113</v>
      </c>
      <c r="AK62" s="374">
        <f>IF(OR(AI62="",AJ62=""),"",AI62-AJ62)</f>
        <v>-34.943969117305755</v>
      </c>
      <c r="AL62" s="372">
        <f>IF(AK62="","",IF(AK62&lt;-5,3,IF(AK62&lt;0,1,IF(AK62&lt;3,-1,-2))))</f>
        <v>3</v>
      </c>
      <c r="AO62" s="376" t="str">
        <f>IF(OR($C62="",$E62="",$F62="",$H62="",$I62="",$H62-$I62&lt;=0),"-",IF(AND($H62-MAX($F62,$E62)&gt;=ABS($E62-$F62)*2,MIN($F62,$E62)-$I62&lt;=ABS($E62-$F62)*0.5,ABS($E62-$F62)&gt;0),"上ヒゲ陰線▼",IF(AND($E62&lt;$F62,ABS($E62-$F62)&gt;=($H62-$I62)*0.7),"大陰線▼",IF(AND(MIN($F62,$E62)-$I62&gt;=($H62-$I62)*0.5,$H62-MAX($F62,$E62)&lt;=($H62-$I62)*0.2),"長い下ヒゲ(反発警戒)","通常"))))</f>
        <v>通常</v>
      </c>
      <c r="AP62" s="377">
        <f>IF($AO62="上ヒゲ陰線▼",2,IF($AO62="大陰線▼",2,IF($AO62="長い下ヒゲ(反発警戒)",-2,0)))</f>
        <v>0</v>
      </c>
      <c r="AQ62">
        <f>IF(C62&lt;&gt;"",始値!F147,"")</f>
        <v>9950</v>
      </c>
      <c r="AR62">
        <f>IF(C62&lt;&gt;"",高値!F147,"")</f>
        <v>9960</v>
      </c>
      <c r="AS62">
        <f>IF(C62&lt;&gt;"",安値!F147,"")</f>
        <v>9460</v>
      </c>
      <c r="AT62" t="str">
        <f>IF(OR(C62="",AQ62="",AR62="",AS62="",AR62-AS62&lt;=0),"-",IF(AND(AR62-MAX(G62,AQ62)&gt;=ABS(G62-AQ62)*2,MIN(G62,AQ62)-AS62&lt;=ABS(G62-AQ62)*0.5,ABS(G62-AQ62)&gt;0),"上ヒゲ陰線▼",IF(AND(G62&lt;AQ62,ABS(G62-AQ62)&gt;=(AR62-AS62)*0.7),"大陰線▼",IF(AND(MIN(G62,AQ62)-AS62&gt;=(AR62-AS62)*0.5,AR62-MAX(G62,AQ62)&lt;=(AR62-AS62)*0.2),"長い下ヒゲ(反発)","通常"))))</f>
        <v>長い下ヒゲ(反発)</v>
      </c>
      <c r="AU62">
        <f>IF(AT62="上ヒゲ陰線▼",2,IF(AT62="大陰線▼",2,IF(AT62="長い下ヒゲ(反発)",-2,0)))</f>
        <v>-2</v>
      </c>
      <c r="BA62">
        <f>IFERROR((SUM(OFFSET(高値!$E$6,IFERROR(MATCH($C62,銘柄管理!$B$6:$B$305,0),MATCH(TEXT($C62,"0"),銘柄管理!$B$6:$B$305,0))-1,0,1,14))-SUM(OFFSET(安値!$E$6,IFERROR(MATCH($C62,銘柄管理!$B$6:$B$305,0),MATCH(TEXT($C62,"0"),銘柄管理!$B$6:$B$305,0))-1,0,1,14)))/SUM(OFFSET(終値!$E$6,IFERROR(MATCH($C62,銘柄管理!$B$6:$B$305,0),MATCH(TEXT($C62,"0"),銘柄管理!$B$6:$B$305,0))-1,0,1,14))*100,"")</f>
      </c>
      <c r="BB62">
        <f>IFERROR((MAX(OFFSET(高値!$E$6,IFERROR(MATCH($C62,銘柄管理!$B$6:$B$305,0),MATCH(TEXT($C62,"0"),銘柄管理!$B$6:$B$305,0))-1,0,1,25))-MIN(OFFSET(安値!$E$6,IFERROR(MATCH($C62,銘柄管理!$B$6:$B$305,0),MATCH(TEXT($C62,"0"),銘柄管理!$B$6:$B$305,0))-1,0,1,25)))/$E62*100,"")</f>
      </c>
      <c r="BC62">
        <f>IFERROR(($F62-$G62)/$G62*100,"")</f>
      </c>
      <c r="BD62">
        <f>IFERROR(($E62-MAX(OFFSET(高値!$E$6,IFERROR(MATCH($C62,銘柄管理!$B$6:$B$305,0),MATCH(TEXT($C62,"0"),銘柄管理!$B$6:$B$305,0))-1,0,1,25)))/MAX(OFFSET(高値!$E$6,IFERROR(MATCH($C62,銘柄管理!$B$6:$B$305,0),MATCH(TEXT($C62,"0"),銘柄管理!$B$6:$B$305,0))-1,0,1,25))*100,"")</f>
      </c>
      <c r="BE62">
        <f>IFERROR(($H62-$I62)/$F62*100,"")</f>
      </c>
      <c r="BF62">
        <f>IFERROR(-(($BA62-AVERAGE($BA$3:$BA$206))/STDEV($BA$3:$BA$206))-(($BE62-AVERAGE($BE$3:$BE$206))/STDEV($BE$3:$BE$206))-(($BB62-AVERAGE($BB$3:$BB$206))/STDEV($BB$3:$BB$206))-(($Z62-AVERAGE($Z$3:$Z$206))/STDEV($Z$3:$Z$206))-(($BC62-AVERAGE($BC$3:$BC$206))/STDEV($BC$3:$BC$206)),"")</f>
      </c>
      <c r="BG62">
        <f>IF(OR($C62="",$C62="TOPX",$BA62="",$BF62=""),0,IF(AND($BK$10=1,$BA62&lt;=$BK$2,$BB62&lt;=$BK$3,$BC62&lt;=$BK$4,$Z62&lt;=$BK$5,$Z62&gt;=$BK$6,$BD62&gt;=$BK$7,$BE62&lt;=$BK$8),1,0))</f>
      </c>
      <c r="BH62">
        <f>IF($C62="","",IF($BG62=1,"○ゲート通過",IF($BK$10&lt;&gt;1,"― この方向は停止中",IF($BA62&gt;$BK$2,"×値動きが荒い",IF($BB62&gt;$BK$3,"×レンジが広い",IF($BC62&gt;$BK$4,"×窓を開けて上昇",IF($Z62&gt;$BK$5,"×前日に急騰",IF($Z62&lt;$BK$6,"×前日に急落",IF($BD62&lt;$BK$7,"×高値から離れすぎ",IF($BE62&gt;$BK$8,"×当日の値幅が大きい","×")))))))))</f>
      </c>
    </row>
    <row r="63" spans="1:60"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IF(AND(E63&lt;&gt;"",K63&lt;&gt;"",K63&lt;&gt;0),(E63-K63)/K63*100,"")</f>
        <v>2.1867115222876365</v>
      </c>
      <c r="M63" s="326">
        <f>IF(C63&lt;&gt;"",IFERROR(AVERAGE(出来高!E152:I152),""),"")</f>
        <v>639940</v>
      </c>
      <c r="N63" s="326">
        <f>IF(C63&lt;&gt;"",IFERROR(AVERAGE(出来高!E152:AC152),""),"")</f>
        <v>543020</v>
      </c>
      <c r="O63" s="328">
        <f>IF(AND(J63&lt;&gt;"",M63&lt;&gt;"",M63&lt;&gt;0),J63/M63,"")</f>
        <v>0.8997718536112761</v>
      </c>
      <c r="P63" s="325" t="str">
        <f>IF(O63="","",IF(O63&gt;=2,"急増↑↑",IF(O63&gt;=1.5,"増加↑",IF(O63&gt;=1,"普通→","減少↓"))))</f>
        <v>減少↓</v>
      </c>
      <c r="Q63" s="325" t="str">
        <f>IF(E63="","",IF(AND(E63&lt;G63,O63&gt;=1.5),"売り▼",IF(E63&gt;G63,"様子見▲","中立→")))</f>
        <v>様子見▲</v>
      </c>
      <c r="R63" s="326">
        <f>IF(E63&lt;&gt;"",ROUND(E63*0.92,0),"")</f>
        <v>1118</v>
      </c>
      <c r="S63" s="326">
        <f>IF(E63&lt;&gt;"",ROUND(E63*1.04,0),"")</f>
        <v>1264</v>
      </c>
      <c r="T63" s="325">
        <f>IF(C63="","",IFERROR(IF(W63&gt;=70,3,IF(W63&gt;=60,2,IF(W63&gt;=50,1,0)))+IF(X63&lt;0,2,0)+IF(AD63="下降トレンド▼",3,IF(AD63="もみ合い→",1,0))+IF(V63="年初来安値圏●",3,IF(V63="安値圏",2,0))+IF(Q63="売り▼",2,0)+IF(P63="急増↑↑",2,IF(P63="増加↑",1,0))+IF(Z63&lt;0,1,0)+IF(L63&lt;=-30,2,IF(L63&lt;=-15,1,0))+IF(AE63="25日戻り売り★",2,IF(AE63="5日戻り売り○",1,0))+N(AL63)+N(AP63)+N(AU63),0))</f>
        <v>-1</v>
      </c>
      <c r="U63" s="325" t="str">
        <f>IF(T63="","",IF(AND(T63&gt;=3,O63&gt;=1.5),"有効",IF(T63&gt;=3,"要確認","除外")))</f>
        <v>除外</v>
      </c>
      <c r="V63" s="325" t="str">
        <f>IF(AND(I63&lt;&gt;"",K63&lt;&gt;""),IF(I63&lt;=K63*0.6,"年初来安値圏●",IF(I63&lt;=K63*0.75,"安値圏","通常")),"")</f>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IF(AF63="","",AF63&amp;" | "&amp;AD63&amp;IF(AE63&lt;&gt;"なし"," "&amp;AE63,"")&amp;IF(X63&lt;0," MACD-"," MACD+")&amp;" RSI:"&amp;TEXT(W63,"0.0")&amp;IF(W63&gt;=70," [過熱]",IF(W63&lt;=30," [売られ過ぎ]",""))&amp;" 前日比:"&amp;TEXT(Z63,"+0.0;-0.0;0.0")&amp;"%"&amp;IF(V63="年初来安値圏●"," [年初来安値圏]",IF(V63="安値圏"," [安値圏]",""))&amp;IF(OR(AO63="通常",AO63="-"),""," ["&amp;AO63&amp;"]")&amp;IF(OR(AT63="通常",AT63="-"),"","前日["&amp;AT63&amp;"]")&amp;" ["&amp;T63&amp;"点]")</f>
        <v>相場上昇・見送り | パーフェクト▲ MACD+ RSI:55.1 前日比:+4.2% [-1点]</v>
      </c>
      <c r="Z63" s="331">
        <f>IF(AND(E63&lt;&gt;"",G63&lt;&gt;"",G63&lt;&gt;0),(E63-G63)/G63*100,"")</f>
        <v>4.2024013722126927</v>
      </c>
      <c r="AA63" s="325" t="str">
        <f>IF(OR(C63="",E63="",E63=0),"",IF(E63&gt;G63,"上昇▲",IF(E63&lt;G63,"下落▼","横ばい→")))</f>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IF(OR(C63="",AB63="",AC63="",AB63=0,AC63=0),"",IF(AND(E63&gt;AB63,AB63&gt;AC63),"パーフェクト▲",IF(E63&gt;AC63,"上昇トレンド▲",IF(AND(E63&lt;AB63,AB63&lt;AC63),"下降トレンド▼","もみ合い→"))))</f>
        <v>パーフェクト▲</v>
      </c>
      <c r="AE63" s="325" t="str">
        <f>IF(OR(C63="",AB63="",AC63=""),"",IF(AND(ABS(E63-AC63)/AC63&lt;=0.02,E63&lt;AC63),"25日戻り売り★",IF(AND(ABS(E63-AB63)/AB63&lt;=0.01,E63&lt;AB63),"5日戻り売り○","なし")))</f>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IF(AND(T63&gt;=7,C63&lt;&gt;""),T63,0)</f>
        <v>0</v>
      </c>
      <c r="AH63">
        <f>IF(AG63&gt;0,AG63*10000-ROW(A63),0)</f>
        <v>0</v>
      </c>
      <c r="AI63" s="373">
        <f t="array" ref="AI63">IF(C63="","",IFERROR((INDEX(終値!$E:$E,MATCH(TEXT(C63,"0"),終値!$A:$A,0))-INDEX(終値!$E:$CZ,MATCH(TEXT(C63,"0"),終値!$A:$A,0),$AN$2))/INDEX(終値!$E:$CZ,MATCH(TEXT(C63,"0"),終値!$A:$A,0),$AN$2)*100,""))</f>
        <v>18.421052631578945</v>
      </c>
      <c r="AJ63" s="373">
        <f t="array" ref="AJ63">IFERROR((終値!$E$5-INDEX(終値!$E$5:$IT$5,1,$AN$2))/INDEX(終値!$E$5:$IT$5,1,$AN$2)*100,"")</f>
        <v>1.0179378228534113</v>
      </c>
      <c r="AK63" s="374">
        <f>IF(OR(AI63="",AJ63=""),"",AI63-AJ63)</f>
        <v>17.403114808725533</v>
      </c>
      <c r="AL63" s="372">
        <f>IF(AK63="","",IF(AK63&lt;-5,3,IF(AK63&lt;0,1,IF(AK63&lt;3,-1,-2))))</f>
        <v>-2</v>
      </c>
      <c r="AO63" s="376" t="str">
        <f>IF(OR($C63="",$E63="",$F63="",$H63="",$I63="",$H63-$I63&lt;=0),"-",IF(AND($H63-MAX($F63,$E63)&gt;=ABS($E63-$F63)*2,MIN($F63,$E63)-$I63&lt;=ABS($E63-$F63)*0.5,ABS($E63-$F63)&gt;0),"上ヒゲ陰線▼",IF(AND($E63&lt;$F63,ABS($E63-$F63)&gt;=($H63-$I63)*0.7),"大陰線▼",IF(AND(MIN($F63,$E63)-$I63&gt;=($H63-$I63)*0.5,$H63-MAX($F63,$E63)&lt;=($H63-$I63)*0.2),"長い下ヒゲ(反発警戒)","通常"))))</f>
        <v>通常</v>
      </c>
      <c r="AP63" s="377">
        <f>IF($AO63="上ヒゲ陰線▼",2,IF($AO63="大陰線▼",2,IF($AO63="長い下ヒゲ(反発警戒)",-2,0)))</f>
        <v>0</v>
      </c>
      <c r="AQ63">
        <f>IF(C63&lt;&gt;"",始値!F152,"")</f>
        <v>1138</v>
      </c>
      <c r="AR63">
        <f>IF(C63&lt;&gt;"",高値!F152,"")</f>
        <v>1178</v>
      </c>
      <c r="AS63">
        <f>IF(C63&lt;&gt;"",安値!F152,"")</f>
        <v>1138</v>
      </c>
      <c r="AT63" t="str">
        <f>IF(OR(C63="",AQ63="",AR63="",AS63="",AR63-AS63&lt;=0),"-",IF(AND(AR63-MAX(G63,AQ63)&gt;=ABS(G63-AQ63)*2,MIN(G63,AQ63)-AS63&lt;=ABS(G63-AQ63)*0.5,ABS(G63-AQ63)&gt;0),"上ヒゲ陰線▼",IF(AND(G63&lt;AQ63,ABS(G63-AQ63)&gt;=(AR63-AS63)*0.7),"大陰線▼",IF(AND(MIN(G63,AQ63)-AS63&gt;=(AR63-AS63)*0.5,AR63-MAX(G63,AQ63)&lt;=(AR63-AS63)*0.2),"長い下ヒゲ(反発)","通常"))))</f>
        <v>通常</v>
      </c>
      <c r="AU63">
        <f>IF(AT63="上ヒゲ陰線▼",2,IF(AT63="大陰線▼",2,IF(AT63="長い下ヒゲ(反発)",-2,0)))</f>
        <v>0</v>
      </c>
      <c r="BA63">
        <f>IFERROR((SUM(OFFSET(高値!$E$6,IFERROR(MATCH($C63,銘柄管理!$B$6:$B$305,0),MATCH(TEXT($C63,"0"),銘柄管理!$B$6:$B$305,0))-1,0,1,14))-SUM(OFFSET(安値!$E$6,IFERROR(MATCH($C63,銘柄管理!$B$6:$B$305,0),MATCH(TEXT($C63,"0"),銘柄管理!$B$6:$B$305,0))-1,0,1,14)))/SUM(OFFSET(終値!$E$6,IFERROR(MATCH($C63,銘柄管理!$B$6:$B$305,0),MATCH(TEXT($C63,"0"),銘柄管理!$B$6:$B$305,0))-1,0,1,14))*100,"")</f>
      </c>
      <c r="BB63">
        <f>IFERROR((MAX(OFFSET(高値!$E$6,IFERROR(MATCH($C63,銘柄管理!$B$6:$B$305,0),MATCH(TEXT($C63,"0"),銘柄管理!$B$6:$B$305,0))-1,0,1,25))-MIN(OFFSET(安値!$E$6,IFERROR(MATCH($C63,銘柄管理!$B$6:$B$305,0),MATCH(TEXT($C63,"0"),銘柄管理!$B$6:$B$305,0))-1,0,1,25)))/$E63*100,"")</f>
      </c>
      <c r="BC63">
        <f>IFERROR(($F63-$G63)/$G63*100,"")</f>
      </c>
      <c r="BD63">
        <f>IFERROR(($E63-MAX(OFFSET(高値!$E$6,IFERROR(MATCH($C63,銘柄管理!$B$6:$B$305,0),MATCH(TEXT($C63,"0"),銘柄管理!$B$6:$B$305,0))-1,0,1,25)))/MAX(OFFSET(高値!$E$6,IFERROR(MATCH($C63,銘柄管理!$B$6:$B$305,0),MATCH(TEXT($C63,"0"),銘柄管理!$B$6:$B$305,0))-1,0,1,25))*100,"")</f>
      </c>
      <c r="BE63">
        <f>IFERROR(($H63-$I63)/$F63*100,"")</f>
      </c>
      <c r="BF63">
        <f>IFERROR(-(($BA63-AVERAGE($BA$3:$BA$206))/STDEV($BA$3:$BA$206))-(($BE63-AVERAGE($BE$3:$BE$206))/STDEV($BE$3:$BE$206))-(($BB63-AVERAGE($BB$3:$BB$206))/STDEV($BB$3:$BB$206))-(($Z63-AVERAGE($Z$3:$Z$206))/STDEV($Z$3:$Z$206))-(($BC63-AVERAGE($BC$3:$BC$206))/STDEV($BC$3:$BC$206)),"")</f>
      </c>
      <c r="BG63">
        <f>IF(OR($C63="",$C63="TOPX",$BA63="",$BF63=""),0,IF(AND($BK$10=1,$BA63&lt;=$BK$2,$BB63&lt;=$BK$3,$BC63&lt;=$BK$4,$Z63&lt;=$BK$5,$Z63&gt;=$BK$6,$BD63&gt;=$BK$7,$BE63&lt;=$BK$8),1,0))</f>
      </c>
      <c r="BH63">
        <f>IF($C63="","",IF($BG63=1,"○ゲート通過",IF($BK$10&lt;&gt;1,"― この方向は停止中",IF($BA63&gt;$BK$2,"×値動きが荒い",IF($BB63&gt;$BK$3,"×レンジが広い",IF($BC63&gt;$BK$4,"×窓を開けて上昇",IF($Z63&gt;$BK$5,"×前日に急騰",IF($Z63&lt;$BK$6,"×前日に急落",IF($BD63&lt;$BK$7,"×高値から離れすぎ",IF($BE63&gt;$BK$8,"×当日の値幅が大きい","×")))))))))</f>
      </c>
    </row>
    <row r="64" spans="1:60"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IF(AND(E64&lt;&gt;"",K64&lt;&gt;"",K64&lt;&gt;0),(E64-K64)/K64*100,"")</f>
        <v>-17.041420118343193</v>
      </c>
      <c r="M64" s="333">
        <f>IF(C64&lt;&gt;"",IFERROR(AVERAGE(出来高!E183:I183),""),"")</f>
        <v>199660</v>
      </c>
      <c r="N64" s="333">
        <f>IF(C64&lt;&gt;"",IFERROR(AVERAGE(出来高!E183:AC183),""),"")</f>
        <v>158780</v>
      </c>
      <c r="O64" s="335">
        <f>IF(AND(J64&lt;&gt;"",M64&lt;&gt;"",M64&lt;&gt;0),J64/M64,"")</f>
        <v>0.75528398277071018</v>
      </c>
      <c r="P64" s="212" t="str">
        <f>IF(O64="","",IF(O64&gt;=2,"急増↑↑",IF(O64&gt;=1.5,"増加↑",IF(O64&gt;=1,"普通→","減少↓"))))</f>
        <v>減少↓</v>
      </c>
      <c r="Q64" s="212" t="str">
        <f>IF(E64="","",IF(AND(E64&lt;G64,O64&gt;=1.5),"売り▼",IF(E64&gt;G64,"様子見▲","中立→")))</f>
        <v>中立→</v>
      </c>
      <c r="R64" s="333">
        <f>IF(E64&lt;&gt;"",ROUND(E64*0.92,0),"")</f>
        <v>12898</v>
      </c>
      <c r="S64" s="333">
        <f>IF(E64&lt;&gt;"",ROUND(E64*1.04,0),"")</f>
        <v>14581</v>
      </c>
      <c r="T64" s="325">
        <f>IF(C64="","",IFERROR(IF(W64&gt;=70,3,IF(W64&gt;=60,2,IF(W64&gt;=50,1,0)))+IF(X64&lt;0,2,0)+IF(AD64="下降トレンド▼",3,IF(AD64="もみ合い→",1,0))+IF(V64="年初来安値圏●",3,IF(V64="安値圏",2,0))+IF(Q64="売り▼",2,0)+IF(P64="急増↑↑",2,IF(P64="増加↑",1,0))+IF(Z64&lt;0,1,0)+IF(L64&lt;=-30,2,IF(L64&lt;=-15,1,0))+IF(AE64="25日戻り売り★",2,IF(AE64="5日戻り売り○",1,0))+N(AL64)+N(AP64)+N(AU64),0))</f>
        <v>8</v>
      </c>
      <c r="U64" s="212" t="str">
        <f>IF(T64="","",IF(AND(T64&gt;=3,O64&gt;=1.5),"有効",IF(T64&gt;=3,"要確認","除外")))</f>
        <v>要確認</v>
      </c>
      <c r="V64" s="212" t="str">
        <f>IF(AND(I64&lt;&gt;"",K64&lt;&gt;""),IF(I64&lt;=K64*0.6,"年初来安値圏●",IF(I64&lt;=K64*0.75,"安値圏","通常")),"")</f>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IF(AF64="","",AF64&amp;" | "&amp;AD64&amp;IF(AE64&lt;&gt;"なし"," "&amp;AE64,"")&amp;IF(X64&lt;0," MACD-"," MACD+")&amp;" RSI:"&amp;TEXT(W64,"0.0")&amp;IF(W64&gt;=70," [過熱]",IF(W64&lt;=30," [売られ過ぎ]",""))&amp;" 前日比:"&amp;TEXT(Z64,"+0.0;-0.0;0.0")&amp;"%"&amp;IF(V64="年初来安値圏●"," [年初来安値圏]",IF(V64="安値圏"," [安値圏]",""))&amp;IF(OR(AO64="通常",AO64="-"),""," ["&amp;AO64&amp;"]")&amp;IF(OR(AT64="通常",AT64="-"),"","前日["&amp;AT64&amp;"]")&amp;" ["&amp;T64&amp;"点]")</f>
        <v>相場上昇・見送り | 上昇トレンド▲ 5日戻り売り○ MACD- RSI:49.4 前日比:-5.4% [8点]</v>
      </c>
      <c r="Z64" s="338">
        <f>IF(AND(E64&lt;&gt;"",G64&lt;&gt;"",G64&lt;&gt;0),(E64-G64)/G64*100,"")</f>
        <v>-5.3981106612685563</v>
      </c>
      <c r="AA64" s="212" t="str">
        <f>IF(OR(C64="",E64="",E64=0),"",IF(E64&gt;G64,"上昇▲",IF(E64&lt;G64,"下落▼","横ばい→")))</f>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IF(OR(C64="",AB64="",AC64="",AB64=0,AC64=0),"",IF(AND(E64&gt;AB64,AB64&gt;AC64),"パーフェクト▲",IF(E64&gt;AC64,"上昇トレンド▲",IF(AND(E64&lt;AB64,AB64&lt;AC64),"下降トレンド▼","もみ合い→"))))</f>
        <v>上昇トレンド▲</v>
      </c>
      <c r="AE64" s="212" t="str">
        <f>IF(OR(C64="",AB64="",AC64=""),"",IF(AND(ABS(E64-AC64)/AC64&lt;=0.02,E64&lt;AC64),"25日戻り売り★",IF(AND(ABS(E64-AB64)/AB64&lt;=0.01,E64&lt;AB64),"5日戻り売り○","なし")))</f>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IF(AND(T64&gt;=7,C64&lt;&gt;""),T64,0)</f>
        <v>8</v>
      </c>
      <c r="AH64">
        <f>IF(AG64&gt;0,AG64*10000-ROW(A64),0)</f>
        <v>79936</v>
      </c>
      <c r="AI64" s="373">
        <f t="array" ref="AI64">IF(C64="","",IFERROR((INDEX(終値!$E:$E,MATCH(TEXT(C64,"0"),終値!$A:$A,0))-INDEX(終値!$E:$CZ,MATCH(TEXT(C64,"0"),終値!$A:$A,0),$AN$2))/INDEX(終値!$E:$CZ,MATCH(TEXT(C64,"0"),終値!$A:$A,0),$AN$2)*100,""))</f>
        <v>-14.927184466019416</v>
      </c>
      <c r="AJ64" s="373">
        <f t="array" ref="AJ64">IFERROR((終値!$E$5-INDEX(終値!$E$5:$IT$5,1,$AN$2))/INDEX(終値!$E$5:$IT$5,1,$AN$2)*100,"")</f>
        <v>1.0179378228534113</v>
      </c>
      <c r="AK64" s="374">
        <f>IF(OR(AI64="",AJ64=""),"",AI64-AJ64)</f>
        <v>-15.945122288872827</v>
      </c>
      <c r="AL64" s="372">
        <f>IF(AK64="","",IF(AK64&lt;-5,3,IF(AK64&lt;0,1,IF(AK64&lt;3,-1,-2))))</f>
        <v>3</v>
      </c>
      <c r="AO64" s="376" t="str">
        <f>IF(OR($C64="",$E64="",$F64="",$H64="",$I64="",$H64-$I64&lt;=0),"-",IF(AND($H64-MAX($F64,$E64)&gt;=ABS($E64-$F64)*2,MIN($F64,$E64)-$I64&lt;=ABS($E64-$F64)*0.5,ABS($E64-$F64)&gt;0),"上ヒゲ陰線▼",IF(AND($E64&lt;$F64,ABS($E64-$F64)&gt;=($H64-$I64)*0.7),"大陰線▼",IF(AND(MIN($F64,$E64)-$I64&gt;=($H64-$I64)*0.5,$H64-MAX($F64,$E64)&lt;=($H64-$I64)*0.2),"長い下ヒゲ(反発警戒)","通常"))))</f>
        <v>通常</v>
      </c>
      <c r="AP64" s="377">
        <f>IF($AO64="上ヒゲ陰線▼",2,IF($AO64="大陰線▼",2,IF($AO64="長い下ヒゲ(反発警戒)",-2,0)))</f>
        <v>0</v>
      </c>
      <c r="AQ64">
        <f>IF(C64&lt;&gt;"",始値!F183,"")</f>
        <v>14450</v>
      </c>
      <c r="AR64">
        <f>IF(C64&lt;&gt;"",高値!F183,"")</f>
        <v>15060</v>
      </c>
      <c r="AS64">
        <f>IF(C64&lt;&gt;"",安値!F183,"")</f>
        <v>14150</v>
      </c>
      <c r="AT64" t="str">
        <f>IF(OR(C64="",AQ64="",AR64="",AS64="",AR64-AS64&lt;=0),"-",IF(AND(AR64-MAX(G64,AQ64)&gt;=ABS(G64-AQ64)*2,MIN(G64,AQ64)-AS64&lt;=ABS(G64-AQ64)*0.5,ABS(G64-AQ64)&gt;0),"上ヒゲ陰線▼",IF(AND(G64&lt;AQ64,ABS(G64-AQ64)&gt;=(AR64-AS64)*0.7),"大陰線▼",IF(AND(MIN(G64,AQ64)-AS64&gt;=(AR64-AS64)*0.5,AR64-MAX(G64,AQ64)&lt;=(AR64-AS64)*0.2),"長い下ヒゲ(反発)","通常"))))</f>
        <v>通常</v>
      </c>
      <c r="AU64">
        <f>IF(AT64="上ヒゲ陰線▼",2,IF(AT64="大陰線▼",2,IF(AT64="長い下ヒゲ(反発)",-2,0)))</f>
        <v>0</v>
      </c>
      <c r="BA64">
        <f>IFERROR((SUM(OFFSET(高値!$E$6,IFERROR(MATCH($C64,銘柄管理!$B$6:$B$305,0),MATCH(TEXT($C64,"0"),銘柄管理!$B$6:$B$305,0))-1,0,1,14))-SUM(OFFSET(安値!$E$6,IFERROR(MATCH($C64,銘柄管理!$B$6:$B$305,0),MATCH(TEXT($C64,"0"),銘柄管理!$B$6:$B$305,0))-1,0,1,14)))/SUM(OFFSET(終値!$E$6,IFERROR(MATCH($C64,銘柄管理!$B$6:$B$305,0),MATCH(TEXT($C64,"0"),銘柄管理!$B$6:$B$305,0))-1,0,1,14))*100,"")</f>
      </c>
      <c r="BB64">
        <f>IFERROR((MAX(OFFSET(高値!$E$6,IFERROR(MATCH($C64,銘柄管理!$B$6:$B$305,0),MATCH(TEXT($C64,"0"),銘柄管理!$B$6:$B$305,0))-1,0,1,25))-MIN(OFFSET(安値!$E$6,IFERROR(MATCH($C64,銘柄管理!$B$6:$B$305,0),MATCH(TEXT($C64,"0"),銘柄管理!$B$6:$B$305,0))-1,0,1,25)))/$E64*100,"")</f>
      </c>
      <c r="BC64">
        <f>IFERROR(($F64-$G64)/$G64*100,"")</f>
      </c>
      <c r="BD64">
        <f>IFERROR(($E64-MAX(OFFSET(高値!$E$6,IFERROR(MATCH($C64,銘柄管理!$B$6:$B$305,0),MATCH(TEXT($C64,"0"),銘柄管理!$B$6:$B$305,0))-1,0,1,25)))/MAX(OFFSET(高値!$E$6,IFERROR(MATCH($C64,銘柄管理!$B$6:$B$305,0),MATCH(TEXT($C64,"0"),銘柄管理!$B$6:$B$305,0))-1,0,1,25))*100,"")</f>
      </c>
      <c r="BE64">
        <f>IFERROR(($H64-$I64)/$F64*100,"")</f>
      </c>
      <c r="BF64">
        <f>IFERROR(-(($BA64-AVERAGE($BA$3:$BA$206))/STDEV($BA$3:$BA$206))-(($BE64-AVERAGE($BE$3:$BE$206))/STDEV($BE$3:$BE$206))-(($BB64-AVERAGE($BB$3:$BB$206))/STDEV($BB$3:$BB$206))-(($Z64-AVERAGE($Z$3:$Z$206))/STDEV($Z$3:$Z$206))-(($BC64-AVERAGE($BC$3:$BC$206))/STDEV($BC$3:$BC$206)),"")</f>
      </c>
      <c r="BG64">
        <f>IF(OR($C64="",$C64="TOPX",$BA64="",$BF64=""),0,IF(AND($BK$10=1,$BA64&lt;=$BK$2,$BB64&lt;=$BK$3,$BC64&lt;=$BK$4,$Z64&lt;=$BK$5,$Z64&gt;=$BK$6,$BD64&gt;=$BK$7,$BE64&lt;=$BK$8),1,0))</f>
      </c>
      <c r="BH64">
        <f>IF($C64="","",IF($BG64=1,"○ゲート通過",IF($BK$10&lt;&gt;1,"― この方向は停止中",IF($BA64&gt;$BK$2,"×値動きが荒い",IF($BB64&gt;$BK$3,"×レンジが広い",IF($BC64&gt;$BK$4,"×窓を開けて上昇",IF($Z64&gt;$BK$5,"×前日に急騰",IF($Z64&lt;$BK$6,"×前日に急落",IF($BD64&lt;$BK$7,"×高値から離れすぎ",IF($BE64&gt;$BK$8,"×当日の値幅が大きい","×")))))))))</f>
      </c>
    </row>
    <row r="65" spans="1:60"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IF(AND(E65&lt;&gt;"",K65&lt;&gt;"",K65&lt;&gt;0),(E65-K65)/K65*100,"")</f>
        <v>-1.3096970498743219</v>
      </c>
      <c r="M65" s="326">
        <f>IF(C65&lt;&gt;"",IFERROR(AVERAGE(出来高!E204:I204),""),"")</f>
        <v>3735360</v>
      </c>
      <c r="N65" s="326">
        <f>IF(C65&lt;&gt;"",IFERROR(AVERAGE(出来高!E204:AC204),""),"")</f>
        <v>2956032</v>
      </c>
      <c r="O65" s="328">
        <f>IF(AND(J65&lt;&gt;"",M65&lt;&gt;"",M65&lt;&gt;0),J65/M65,"")</f>
        <v>0.85962263342756784</v>
      </c>
      <c r="P65" s="325" t="str">
        <f>IF(O65="","",IF(O65&gt;=2,"急増↑↑",IF(O65&gt;=1.5,"増加↑",IF(O65&gt;=1,"普通→","減少↓"))))</f>
        <v>減少↓</v>
      </c>
      <c r="Q65" s="325" t="str">
        <f>IF(E65="","",IF(AND(E65&lt;G65,O65&gt;=1.5),"売り▼",IF(E65&gt;G65,"様子見▲","中立→")))</f>
        <v>様子見▲</v>
      </c>
      <c r="R65" s="326">
        <f>IF(E65&lt;&gt;"",ROUND(E65*0.92,0),"")</f>
        <v>6863</v>
      </c>
      <c r="S65" s="326">
        <f>IF(E65&lt;&gt;"",ROUND(E65*1.04,0),"")</f>
        <v>7758</v>
      </c>
      <c r="T65" s="325">
        <f>IF(C65="","",IFERROR(IF(W65&gt;=70,3,IF(W65&gt;=60,2,IF(W65&gt;=50,1,0)))+IF(X65&lt;0,2,0)+IF(AD65="下降トレンド▼",3,IF(AD65="もみ合い→",1,0))+IF(V65="年初来安値圏●",3,IF(V65="安値圏",2,0))+IF(Q65="売り▼",2,0)+IF(P65="急増↑↑",2,IF(P65="増加↑",1,0))+IF(Z65&lt;0,1,0)+IF(L65&lt;=-30,2,IF(L65&lt;=-15,1,0))+IF(AE65="25日戻り売り★",2,IF(AE65="5日戻り売り○",1,0))+N(AL65)+N(AP65)+N(AU65),0))</f>
        <v>1</v>
      </c>
      <c r="U65" s="325" t="str">
        <f>IF(T65="","",IF(AND(T65&gt;=3,O65&gt;=1.5),"有効",IF(T65&gt;=3,"要確認","除外")))</f>
        <v>除外</v>
      </c>
      <c r="V65" s="325" t="str">
        <f>IF(AND(I65&lt;&gt;"",K65&lt;&gt;""),IF(I65&lt;=K65*0.6,"年初来安値圏●",IF(I65&lt;=K65*0.75,"安値圏","通常")),"")</f>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IF(AF65="","",AF65&amp;" | "&amp;AD65&amp;IF(AE65&lt;&gt;"なし"," "&amp;AE65,"")&amp;IF(X65&lt;0," MACD-"," MACD+")&amp;" RSI:"&amp;TEXT(W65,"0.0")&amp;IF(W65&gt;=70," [過熱]",IF(W65&lt;=30," [売られ過ぎ]",""))&amp;" 前日比:"&amp;TEXT(Z65,"+0.0;-0.0;0.0")&amp;"%"&amp;IF(V65="年初来安値圏●"," [年初来安値圏]",IF(V65="安値圏"," [安値圏]",""))&amp;IF(OR(AO65="通常",AO65="-"),""," ["&amp;AO65&amp;"]")&amp;IF(OR(AT65="通常",AT65="-"),"","前日["&amp;AT65&amp;"]")&amp;" ["&amp;T65&amp;"点]")</f>
        <v>△過熱・様子見 | パーフェクト▲ MACD+ RSI:75.0 [過熱] 前日比:+3.0% [1点]</v>
      </c>
      <c r="Z65" s="331">
        <f>IF(AND(E65&lt;&gt;"",G65&lt;&gt;"",G65&lt;&gt;0),(E65-G65)/G65*100,"")</f>
        <v>2.9959961341985366</v>
      </c>
      <c r="AA65" s="325" t="str">
        <f>IF(OR(C65="",E65="",E65=0),"",IF(E65&gt;G65,"上昇▲",IF(E65&lt;G65,"下落▼","横ばい→")))</f>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IF(OR(C65="",AB65="",AC65="",AB65=0,AC65=0),"",IF(AND(E65&gt;AB65,AB65&gt;AC65),"パーフェクト▲",IF(E65&gt;AC65,"上昇トレンド▲",IF(AND(E65&lt;AB65,AB65&lt;AC65),"下降トレンド▼","もみ合い→"))))</f>
        <v>パーフェクト▲</v>
      </c>
      <c r="AE65" s="325" t="str">
        <f>IF(OR(C65="",AB65="",AC65=""),"",IF(AND(ABS(E65-AC65)/AC65&lt;=0.02,E65&lt;AC65),"25日戻り売り★",IF(AND(ABS(E65-AB65)/AB65&lt;=0.01,E65&lt;AB65),"5日戻り売り○","なし")))</f>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IF(AND(T65&gt;=7,C65&lt;&gt;""),T65,0)</f>
        <v>0</v>
      </c>
      <c r="AH65">
        <f>IF(AG65&gt;0,AG65*10000-ROW(A65),0)</f>
        <v>0</v>
      </c>
      <c r="AI65" s="373">
        <f t="array" ref="AI65">IF(C65="","",IFERROR((INDEX(終値!$E:$E,MATCH(TEXT(C65,"0"),終値!$A:$A,0))-INDEX(終値!$E:$CZ,MATCH(TEXT(C65,"0"),終値!$A:$A,0),$AN$2))/INDEX(終値!$E:$CZ,MATCH(TEXT(C65,"0"),終値!$A:$A,0),$AN$2)*100,""))</f>
        <v>24.023275145469658</v>
      </c>
      <c r="AJ65" s="373">
        <f t="array" ref="AJ65">IFERROR((終値!$E$5-INDEX(終値!$E$5:$IT$5,1,$AN$2))/INDEX(終値!$E$5:$IT$5,1,$AN$2)*100,"")</f>
        <v>1.0179378228534113</v>
      </c>
      <c r="AK65" s="374">
        <f>IF(OR(AI65="",AJ65=""),"",AI65-AJ65)</f>
        <v>23.005337322616246</v>
      </c>
      <c r="AL65" s="372">
        <f>IF(AK65="","",IF(AK65&lt;-5,3,IF(AK65&lt;0,1,IF(AK65&lt;3,-1,-2))))</f>
        <v>-2</v>
      </c>
      <c r="AO65" s="376" t="str">
        <f>IF(OR($C65="",$E65="",$F65="",$H65="",$I65="",$H65-$I65&lt;=0),"-",IF(AND($H65-MAX($F65,$E65)&gt;=ABS($E65-$F65)*2,MIN($F65,$E65)-$I65&lt;=ABS($E65-$F65)*0.5,ABS($E65-$F65)&gt;0),"上ヒゲ陰線▼",IF(AND($E65&lt;$F65,ABS($E65-$F65)&gt;=($H65-$I65)*0.7),"大陰線▼",IF(AND(MIN($F65,$E65)-$I65&gt;=($H65-$I65)*0.5,$H65-MAX($F65,$E65)&lt;=($H65-$I65)*0.2),"長い下ヒゲ(反発警戒)","通常"))))</f>
        <v>通常</v>
      </c>
      <c r="AP65" s="377">
        <f>IF($AO65="上ヒゲ陰線▼",2,IF($AO65="大陰線▼",2,IF($AO65="長い下ヒゲ(反発警戒)",-2,0)))</f>
        <v>0</v>
      </c>
      <c r="AQ65">
        <f>IF(C65&lt;&gt;"",始値!F204,"")</f>
        <v>6990</v>
      </c>
      <c r="AR65">
        <f>IF(C65&lt;&gt;"",高値!F204,"")</f>
        <v>7243</v>
      </c>
      <c r="AS65">
        <f>IF(C65&lt;&gt;"",安値!F204,"")</f>
        <v>6868</v>
      </c>
      <c r="AT65" t="str">
        <f>IF(OR(C65="",AQ65="",AR65="",AS65="",AR65-AS65&lt;=0),"-",IF(AND(AR65-MAX(G65,AQ65)&gt;=ABS(G65-AQ65)*2,MIN(G65,AQ65)-AS65&lt;=ABS(G65-AQ65)*0.5,ABS(G65-AQ65)&gt;0),"上ヒゲ陰線▼",IF(AND(G65&lt;AQ65,ABS(G65-AQ65)&gt;=(AR65-AS65)*0.7),"大陰線▼",IF(AND(MIN(G65,AQ65)-AS65&gt;=(AR65-AS65)*0.5,AR65-MAX(G65,AQ65)&lt;=(AR65-AS65)*0.2),"長い下ヒゲ(反発)","通常"))))</f>
        <v>通常</v>
      </c>
      <c r="AU65">
        <f>IF(AT65="上ヒゲ陰線▼",2,IF(AT65="大陰線▼",2,IF(AT65="長い下ヒゲ(反発)",-2,0)))</f>
        <v>0</v>
      </c>
      <c r="BA65">
        <f>IFERROR((SUM(OFFSET(高値!$E$6,IFERROR(MATCH($C65,銘柄管理!$B$6:$B$305,0),MATCH(TEXT($C65,"0"),銘柄管理!$B$6:$B$305,0))-1,0,1,14))-SUM(OFFSET(安値!$E$6,IFERROR(MATCH($C65,銘柄管理!$B$6:$B$305,0),MATCH(TEXT($C65,"0"),銘柄管理!$B$6:$B$305,0))-1,0,1,14)))/SUM(OFFSET(終値!$E$6,IFERROR(MATCH($C65,銘柄管理!$B$6:$B$305,0),MATCH(TEXT($C65,"0"),銘柄管理!$B$6:$B$305,0))-1,0,1,14))*100,"")</f>
      </c>
      <c r="BB65">
        <f>IFERROR((MAX(OFFSET(高値!$E$6,IFERROR(MATCH($C65,銘柄管理!$B$6:$B$305,0),MATCH(TEXT($C65,"0"),銘柄管理!$B$6:$B$305,0))-1,0,1,25))-MIN(OFFSET(安値!$E$6,IFERROR(MATCH($C65,銘柄管理!$B$6:$B$305,0),MATCH(TEXT($C65,"0"),銘柄管理!$B$6:$B$305,0))-1,0,1,25)))/$E65*100,"")</f>
      </c>
      <c r="BC65">
        <f>IFERROR(($F65-$G65)/$G65*100,"")</f>
      </c>
      <c r="BD65">
        <f>IFERROR(($E65-MAX(OFFSET(高値!$E$6,IFERROR(MATCH($C65,銘柄管理!$B$6:$B$305,0),MATCH(TEXT($C65,"0"),銘柄管理!$B$6:$B$305,0))-1,0,1,25)))/MAX(OFFSET(高値!$E$6,IFERROR(MATCH($C65,銘柄管理!$B$6:$B$305,0),MATCH(TEXT($C65,"0"),銘柄管理!$B$6:$B$305,0))-1,0,1,25))*100,"")</f>
      </c>
      <c r="BE65">
        <f>IFERROR(($H65-$I65)/$F65*100,"")</f>
      </c>
      <c r="BF65">
        <f>IFERROR(-(($BA65-AVERAGE($BA$3:$BA$206))/STDEV($BA$3:$BA$206))-(($BE65-AVERAGE($BE$3:$BE$206))/STDEV($BE$3:$BE$206))-(($BB65-AVERAGE($BB$3:$BB$206))/STDEV($BB$3:$BB$206))-(($Z65-AVERAGE($Z$3:$Z$206))/STDEV($Z$3:$Z$206))-(($BC65-AVERAGE($BC$3:$BC$206))/STDEV($BC$3:$BC$206)),"")</f>
      </c>
      <c r="BG65">
        <f>IF(OR($C65="",$C65="TOPX",$BA65="",$BF65=""),0,IF(AND($BK$10=1,$BA65&lt;=$BK$2,$BB65&lt;=$BK$3,$BC65&lt;=$BK$4,$Z65&lt;=$BK$5,$Z65&gt;=$BK$6,$BD65&gt;=$BK$7,$BE65&lt;=$BK$8),1,0))</f>
      </c>
      <c r="BH65">
        <f>IF($C65="","",IF($BG65=1,"○ゲート通過",IF($BK$10&lt;&gt;1,"― この方向は停止中",IF($BA65&gt;$BK$2,"×値動きが荒い",IF($BB65&gt;$BK$3,"×レンジが広い",IF($BC65&gt;$BK$4,"×窓を開けて上昇",IF($Z65&gt;$BK$5,"×前日に急騰",IF($Z65&lt;$BK$6,"×前日に急落",IF($BD65&lt;$BK$7,"×高値から離れすぎ",IF($BE65&gt;$BK$8,"×当日の値幅が大きい","×")))))))))</f>
      </c>
    </row>
    <row r="66" spans="1:60"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IF(AND(E66&lt;&gt;"",K66&lt;&gt;"",K66&lt;&gt;0),(E66-K66)/K66*100,"")</f>
        <v>-3.5957350272232307</v>
      </c>
      <c r="M66" s="333">
        <f>IF(C66&lt;&gt;"",IFERROR(AVERAGE(出来高!E19:I19),""),"")</f>
        <v>10416060</v>
      </c>
      <c r="N66" s="333">
        <f>IF(C66&lt;&gt;"",IFERROR(AVERAGE(出来高!E19:AC19),""),"")</f>
        <v>9841340</v>
      </c>
      <c r="O66" s="335">
        <f>IF(AND(J66&lt;&gt;"",M66&lt;&gt;"",M66&lt;&gt;0),J66/M66,"")</f>
        <v>0.8944840947536784</v>
      </c>
      <c r="P66" s="212" t="str">
        <f>IF(O66="","",IF(O66&gt;=2,"急増↑↑",IF(O66&gt;=1.5,"増加↑",IF(O66&gt;=1,"普通→","減少↓"))))</f>
        <v>減少↓</v>
      </c>
      <c r="Q66" s="212" t="str">
        <f>IF(E66="","",IF(AND(E66&lt;G66,O66&gt;=1.5),"売り▼",IF(E66&gt;G66,"様子見▲","中立→")))</f>
        <v>様子見▲</v>
      </c>
      <c r="R66" s="333">
        <f>IF(E66&lt;&gt;"",ROUND(E66*0.92,0),"")</f>
        <v>7819</v>
      </c>
      <c r="S66" s="333">
        <f>IF(E66&lt;&gt;"",ROUND(E66*1.04,0),"")</f>
        <v>8839</v>
      </c>
      <c r="T66" s="325">
        <f>IF(C66="","",IFERROR(IF(W66&gt;=70,3,IF(W66&gt;=60,2,IF(W66&gt;=50,1,0)))+IF(X66&lt;0,2,0)+IF(AD66="下降トレンド▼",3,IF(AD66="もみ合い→",1,0))+IF(V66="年初来安値圏●",3,IF(V66="安値圏",2,0))+IF(Q66="売り▼",2,0)+IF(P66="急増↑↑",2,IF(P66="増加↑",1,0))+IF(Z66&lt;0,1,0)+IF(L66&lt;=-30,2,IF(L66&lt;=-15,1,0))+IF(AE66="25日戻り売り★",2,IF(AE66="5日戻り売り○",1,0))+N(AL66)+N(AP66)+N(AU66),0))</f>
        <v>0</v>
      </c>
      <c r="U66" s="212" t="str">
        <f>IF(T66="","",IF(AND(T66&gt;=3,O66&gt;=1.5),"有効",IF(T66&gt;=3,"要確認","除外")))</f>
        <v>除外</v>
      </c>
      <c r="V66" s="212" t="str">
        <f>IF(AND(I66&lt;&gt;"",K66&lt;&gt;""),IF(I66&lt;=K66*0.6,"年初来安値圏●",IF(I66&lt;=K66*0.75,"安値圏","通常")),"")</f>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IF(AF66="","",AF66&amp;" | "&amp;AD66&amp;IF(AE66&lt;&gt;"なし"," "&amp;AE66,"")&amp;IF(X66&lt;0," MACD-"," MACD+")&amp;" RSI:"&amp;TEXT(W66,"0.0")&amp;IF(W66&gt;=70," [過熱]",IF(W66&lt;=30," [売られ過ぎ]",""))&amp;" 前日比:"&amp;TEXT(Z66,"+0.0;-0.0;0.0")&amp;"%"&amp;IF(V66="年初来安値圏●"," [年初来安値圏]",IF(V66="安値圏"," [安値圏]",""))&amp;IF(OR(AO66="通常",AO66="-"),""," ["&amp;AO66&amp;"]")&amp;IF(OR(AT66="通常",AT66="-"),"","前日["&amp;AT66&amp;"]")&amp;" ["&amp;T66&amp;"点]")</f>
        <v>相場上昇・見送り | パーフェクト▲ MACD+ RSI:47.6 前日比:+0.3% [上ヒゲ陰線▼] [0点]</v>
      </c>
      <c r="Z66" s="338">
        <f>IF(AND(E66&lt;&gt;"",G66&lt;&gt;"",G66&lt;&gt;0),(E66-G66)/G66*100,"")</f>
        <v>0.34238488783943333</v>
      </c>
      <c r="AA66" s="212" t="str">
        <f>IF(OR(C66="",E66="",E66=0),"",IF(E66&gt;G66,"上昇▲",IF(E66&lt;G66,"下落▼","横ばい→")))</f>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IF(OR(C66="",AB66="",AC66="",AB66=0,AC66=0),"",IF(AND(E66&gt;AB66,AB66&gt;AC66),"パーフェクト▲",IF(E66&gt;AC66,"上昇トレンド▲",IF(AND(E66&lt;AB66,AB66&lt;AC66),"下降トレンド▼","もみ合い→"))))</f>
        <v>パーフェクト▲</v>
      </c>
      <c r="AE66" s="212" t="str">
        <f>IF(OR(C66="",AB66="",AC66=""),"",IF(AND(ABS(E66-AC66)/AC66&lt;=0.02,E66&lt;AC66),"25日戻り売り★",IF(AND(ABS(E66-AB66)/AB66&lt;=0.01,E66&lt;AB66),"5日戻り売り○","なし")))</f>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IF(AND(T66&gt;=7,C66&lt;&gt;""),T66,0)</f>
        <v>0</v>
      </c>
      <c r="AH66">
        <f>IF(AG66&gt;0,AG66*10000-ROW(A66),0)</f>
        <v>0</v>
      </c>
      <c r="AI66" s="373">
        <f t="array" ref="AI66">IF(C66="","",IFERROR((INDEX(終値!$E:$E,MATCH(TEXT(C66,"0"),終値!$A:$A,0))-INDEX(終値!$E:$CZ,MATCH(TEXT(C66,"0"),終値!$A:$A,0),$AN$2))/INDEX(終値!$E:$CZ,MATCH(TEXT(C66,"0"),終値!$A:$A,0),$AN$2)*100,""))</f>
        <v>8.766316867161505</v>
      </c>
      <c r="AJ66" s="373">
        <f t="array" ref="AJ66">IFERROR((終値!$E$5-INDEX(終値!$E$5:$IT$5,1,$AN$2))/INDEX(終値!$E$5:$IT$5,1,$AN$2)*100,"")</f>
        <v>1.0179378228534113</v>
      </c>
      <c r="AK66" s="374">
        <f>IF(OR(AI66="",AJ66=""),"",AI66-AJ66)</f>
        <v>7.748379044308094</v>
      </c>
      <c r="AL66" s="372">
        <f>IF(AK66="","",IF(AK66&lt;-5,3,IF(AK66&lt;0,1,IF(AK66&lt;3,-1,-2))))</f>
        <v>-2</v>
      </c>
      <c r="AO66" s="376" t="str">
        <f>IF(OR($C66="",$E66="",$F66="",$H66="",$I66="",$H66-$I66&lt;=0),"-",IF(AND($H66-MAX($F66,$E66)&gt;=ABS($E66-$F66)*2,MIN($F66,$E66)-$I66&lt;=ABS($E66-$F66)*0.5,ABS($E66-$F66)&gt;0),"上ヒゲ陰線▼",IF(AND($E66&lt;$F66,ABS($E66-$F66)&gt;=($H66-$I66)*0.7),"大陰線▼",IF(AND(MIN($F66,$E66)-$I66&gt;=($H66-$I66)*0.5,$H66-MAX($F66,$E66)&lt;=($H66-$I66)*0.2),"長い下ヒゲ(反発警戒)","通常"))))</f>
        <v>上ヒゲ陰線▼</v>
      </c>
      <c r="AP66" s="377">
        <f>IF($AO66="上ヒゲ陰線▼",2,IF($AO66="大陰線▼",2,IF($AO66="長い下ヒゲ(反発警戒)",-2,0)))</f>
        <v>2</v>
      </c>
      <c r="AQ66">
        <f>IF(C66&lt;&gt;"",始値!F19,"")</f>
        <v>8188</v>
      </c>
      <c r="AR66">
        <f>IF(C66&lt;&gt;"",高値!F19,"")</f>
        <v>8479</v>
      </c>
      <c r="AS66">
        <f>IF(C66&lt;&gt;"",安値!F19,"")</f>
        <v>8137</v>
      </c>
      <c r="AT66" t="str">
        <f>IF(OR(C66="",AQ66="",AR66="",AS66="",AR66-AS66&lt;=0),"-",IF(AND(AR66-MAX(G66,AQ66)&gt;=ABS(G66-AQ66)*2,MIN(G66,AQ66)-AS66&lt;=ABS(G66-AQ66)*0.5,ABS(G66-AQ66)&gt;0),"上ヒゲ陰線▼",IF(AND(G66&lt;AQ66,ABS(G66-AQ66)&gt;=(AR66-AS66)*0.7),"大陰線▼",IF(AND(MIN(G66,AQ66)-AS66&gt;=(AR66-AS66)*0.5,AR66-MAX(G66,AQ66)&lt;=(AR66-AS66)*0.2),"長い下ヒゲ(反発)","通常"))))</f>
        <v>通常</v>
      </c>
      <c r="AU66">
        <f>IF(AT66="上ヒゲ陰線▼",2,IF(AT66="大陰線▼",2,IF(AT66="長い下ヒゲ(反発)",-2,0)))</f>
        <v>0</v>
      </c>
      <c r="BA66">
        <f>IFERROR((SUM(OFFSET(高値!$E$6,IFERROR(MATCH($C66,銘柄管理!$B$6:$B$305,0),MATCH(TEXT($C66,"0"),銘柄管理!$B$6:$B$305,0))-1,0,1,14))-SUM(OFFSET(安値!$E$6,IFERROR(MATCH($C66,銘柄管理!$B$6:$B$305,0),MATCH(TEXT($C66,"0"),銘柄管理!$B$6:$B$305,0))-1,0,1,14)))/SUM(OFFSET(終値!$E$6,IFERROR(MATCH($C66,銘柄管理!$B$6:$B$305,0),MATCH(TEXT($C66,"0"),銘柄管理!$B$6:$B$305,0))-1,0,1,14))*100,"")</f>
      </c>
      <c r="BB66">
        <f>IFERROR((MAX(OFFSET(高値!$E$6,IFERROR(MATCH($C66,銘柄管理!$B$6:$B$305,0),MATCH(TEXT($C66,"0"),銘柄管理!$B$6:$B$305,0))-1,0,1,25))-MIN(OFFSET(安値!$E$6,IFERROR(MATCH($C66,銘柄管理!$B$6:$B$305,0),MATCH(TEXT($C66,"0"),銘柄管理!$B$6:$B$305,0))-1,0,1,25)))/$E66*100,"")</f>
      </c>
      <c r="BC66">
        <f>IFERROR(($F66-$G66)/$G66*100,"")</f>
      </c>
      <c r="BD66">
        <f>IFERROR(($E66-MAX(OFFSET(高値!$E$6,IFERROR(MATCH($C66,銘柄管理!$B$6:$B$305,0),MATCH(TEXT($C66,"0"),銘柄管理!$B$6:$B$305,0))-1,0,1,25)))/MAX(OFFSET(高値!$E$6,IFERROR(MATCH($C66,銘柄管理!$B$6:$B$305,0),MATCH(TEXT($C66,"0"),銘柄管理!$B$6:$B$305,0))-1,0,1,25))*100,"")</f>
      </c>
      <c r="BE66">
        <f>IFERROR(($H66-$I66)/$F66*100,"")</f>
      </c>
      <c r="BF66">
        <f>IFERROR(-(($BA66-AVERAGE($BA$3:$BA$206))/STDEV($BA$3:$BA$206))-(($BE66-AVERAGE($BE$3:$BE$206))/STDEV($BE$3:$BE$206))-(($BB66-AVERAGE($BB$3:$BB$206))/STDEV($BB$3:$BB$206))-(($Z66-AVERAGE($Z$3:$Z$206))/STDEV($Z$3:$Z$206))-(($BC66-AVERAGE($BC$3:$BC$206))/STDEV($BC$3:$BC$206)),"")</f>
      </c>
      <c r="BG66">
        <f>IF(OR($C66="",$C66="TOPX",$BA66="",$BF66=""),0,IF(AND($BK$10=1,$BA66&lt;=$BK$2,$BB66&lt;=$BK$3,$BC66&lt;=$BK$4,$Z66&lt;=$BK$5,$Z66&gt;=$BK$6,$BD66&gt;=$BK$7,$BE66&lt;=$BK$8),1,0))</f>
      </c>
      <c r="BH66">
        <f>IF($C66="","",IF($BG66=1,"○ゲート通過",IF($BK$10&lt;&gt;1,"― この方向は停止中",IF($BA66&gt;$BK$2,"×値動きが荒い",IF($BB66&gt;$BK$3,"×レンジが広い",IF($BC66&gt;$BK$4,"×窓を開けて上昇",IF($Z66&gt;$BK$5,"×前日に急騰",IF($Z66&lt;$BK$6,"×前日に急落",IF($BD66&lt;$BK$7,"×高値から離れすぎ",IF($BE66&gt;$BK$8,"×当日の値幅が大きい","×")))))))))</f>
      </c>
    </row>
    <row r="67" spans="1:60"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IF(AND(E67&lt;&gt;"",K67&lt;&gt;"",K67&lt;&gt;0),(E67-K67)/K67*100,"")</f>
        <v>-2.5</v>
      </c>
      <c r="M67" s="326">
        <f>IF(C67&lt;&gt;"",IFERROR(AVERAGE(出来高!E26:I26),""),"")</f>
        <v>3313460</v>
      </c>
      <c r="N67" s="326">
        <f>IF(C67&lt;&gt;"",IFERROR(AVERAGE(出来高!E26:AC26),""),"")</f>
        <v>3144688</v>
      </c>
      <c r="O67" s="328">
        <f>IF(AND(J67&lt;&gt;"",M67&lt;&gt;"",M67&lt;&gt;0),J67/M67,"")</f>
        <v>0.86722036783302048</v>
      </c>
      <c r="P67" s="325" t="str">
        <f>IF(O67="","",IF(O67&gt;=2,"急増↑↑",IF(O67&gt;=1.5,"増加↑",IF(O67&gt;=1,"普通→","減少↓"))))</f>
        <v>減少↓</v>
      </c>
      <c r="Q67" s="325" t="str">
        <f>IF(E67="","",IF(AND(E67&lt;G67,O67&gt;=1.5),"売り▼",IF(E67&gt;G67,"様子見▲","中立→")))</f>
        <v>中立→</v>
      </c>
      <c r="R67" s="326">
        <f>IF(E67&lt;&gt;"",ROUND(E67*0.92,0),"")</f>
        <v>5992</v>
      </c>
      <c r="S67" s="326">
        <f>IF(E67&lt;&gt;"",ROUND(E67*1.04,0),"")</f>
        <v>6774</v>
      </c>
      <c r="T67" s="325">
        <f>IF(C67="","",IFERROR(IF(W67&gt;=70,3,IF(W67&gt;=60,2,IF(W67&gt;=50,1,0)))+IF(X67&lt;0,2,0)+IF(AD67="下降トレンド▼",3,IF(AD67="もみ合い→",1,0))+IF(V67="年初来安値圏●",3,IF(V67="安値圏",2,0))+IF(Q67="売り▼",2,0)+IF(P67="急増↑↑",2,IF(P67="増加↑",1,0))+IF(Z67&lt;0,1,0)+IF(L67&lt;=-30,2,IF(L67&lt;=-15,1,0))+IF(AE67="25日戻り売り★",2,IF(AE67="5日戻り売り○",1,0))+N(AL67)+N(AP67)+N(AU67),0))</f>
        <v>-1</v>
      </c>
      <c r="U67" s="325" t="str">
        <f>IF(T67="","",IF(AND(T67&gt;=3,O67&gt;=1.5),"有効",IF(T67&gt;=3,"要確認","除外")))</f>
        <v>除外</v>
      </c>
      <c r="V67" s="325" t="str">
        <f>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IF(AND(E67&lt;&gt;"",G67&lt;&gt;"",G67&lt;&gt;0),(E67-G67)/G67*100,"")</f>
        <v>-0.51932182679089667</v>
      </c>
      <c r="AA67" s="325" t="str">
        <f>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IF(OR(C67="",AB67="",AC67="",AB67=0,AC67=0),"",IF(AND(E67&gt;AB67,AB67&gt;AC67),"パーフェクト▲",IF(E67&gt;AC67,"上昇トレンド▲",IF(AND(E67&lt;AB67,AB67&lt;AC67),"下降トレンド▼","もみ合い→"))))</f>
        <v>パーフェクト▲</v>
      </c>
      <c r="AE67" s="325" t="str">
        <f>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IF(AND(T67&gt;=7,C67&lt;&gt;""),T67,0)</f>
        <v>0</v>
      </c>
      <c r="AH67">
        <f>IF(AG67&gt;0,AG67*10000-ROW(A67),0)</f>
        <v>0</v>
      </c>
      <c r="AI67" s="373">
        <f t="array" ref="AI67">IF(C67="","",IFERROR((INDEX(終値!$E:$E,MATCH(TEXT(C67,"0"),終値!$A:$A,0))-INDEX(終値!$E:$CZ,MATCH(TEXT(C67,"0"),終値!$A:$A,0),$AN$2))/INDEX(終値!$E:$CZ,MATCH(TEXT(C67,"0"),終値!$A:$A,0),$AN$2)*100,""))</f>
        <v>5.0653331182448778</v>
      </c>
      <c r="AJ67" s="373">
        <f t="array" ref="AJ67">IFERROR((終値!$E$5-INDEX(終値!$E$5:$IT$5,1,$AN$2))/INDEX(終値!$E$5:$IT$5,1,$AN$2)*100,"")</f>
        <v>1.0179378228534113</v>
      </c>
      <c r="AK67" s="374">
        <f>IF(OR(AI67="",AJ67=""),"",AI67-AJ67)</f>
        <v>4.0473952953914667</v>
      </c>
      <c r="AL67" s="372">
        <f>IF(AK67="","",IF(AK67&lt;-5,3,IF(AK67&lt;0,1,IF(AK67&lt;3,-1,-2))))</f>
        <v>-2</v>
      </c>
      <c r="AO67" s="376" t="str">
        <f>IF(OR($C67="",$E67="",$F67="",$H67="",$I67="",$H67-$I67&lt;=0),"-",IF(AND($H67-MAX($F67,$E67)&gt;=ABS($E67-$F67)*2,MIN($F67,$E67)-$I67&lt;=ABS($E67-$F67)*0.5,ABS($E67-$F67)&gt;0),"上ヒゲ陰線▼",IF(AND($E67&lt;$F67,ABS($E67-$F67)&gt;=($H67-$I67)*0.7),"大陰線▼",IF(AND(MIN($F67,$E67)-$I67&gt;=($H67-$I67)*0.5,$H67-MAX($F67,$E67)&lt;=($H67-$I67)*0.2),"長い下ヒゲ(反発警戒)","通常"))))</f>
        <v>通常</v>
      </c>
      <c r="AP67" s="377">
        <f>IF($AO67="上ヒゲ陰線▼",2,IF($AO67="大陰線▼",2,IF($AO67="長い下ヒゲ(反発警戒)",-2,0)))</f>
        <v>0</v>
      </c>
      <c r="AQ67">
        <f>IF(C67&lt;&gt;"",始値!F26,"")</f>
        <v>6384</v>
      </c>
      <c r="AR67">
        <f>IF(C67&lt;&gt;"",高値!F26,"")</f>
        <v>6547</v>
      </c>
      <c r="AS67">
        <f>IF(C67&lt;&gt;"",安値!F26,"")</f>
        <v>6384</v>
      </c>
      <c r="AT67" t="str">
        <f>IF(OR(C67="",AQ67="",AR67="",AS67="",AR67-AS67&lt;=0),"-",IF(AND(AR67-MAX(G67,AQ67)&gt;=ABS(G67-AQ67)*2,MIN(G67,AQ67)-AS67&lt;=ABS(G67-AQ67)*0.5,ABS(G67-AQ67)&gt;0),"上ヒゲ陰線▼",IF(AND(G67&lt;AQ67,ABS(G67-AQ67)&gt;=(AR67-AS67)*0.7),"大陰線▼",IF(AND(MIN(G67,AQ67)-AS67&gt;=(AR67-AS67)*0.5,AR67-MAX(G67,AQ67)&lt;=(AR67-AS67)*0.2),"長い下ヒゲ(反発)","通常"))))</f>
        <v>通常</v>
      </c>
      <c r="AU67">
        <f>IF(AT67="上ヒゲ陰線▼",2,IF(AT67="大陰線▼",2,IF(AT67="長い下ヒゲ(反発)",-2,0)))</f>
        <v>0</v>
      </c>
      <c r="BA67">
        <f>IFERROR((SUM(OFFSET(高値!$E$6,IFERROR(MATCH($C67,銘柄管理!$B$6:$B$305,0),MATCH(TEXT($C67,"0"),銘柄管理!$B$6:$B$305,0))-1,0,1,14))-SUM(OFFSET(安値!$E$6,IFERROR(MATCH($C67,銘柄管理!$B$6:$B$305,0),MATCH(TEXT($C67,"0"),銘柄管理!$B$6:$B$305,0))-1,0,1,14)))/SUM(OFFSET(終値!$E$6,IFERROR(MATCH($C67,銘柄管理!$B$6:$B$305,0),MATCH(TEXT($C67,"0"),銘柄管理!$B$6:$B$305,0))-1,0,1,14))*100,"")</f>
      </c>
      <c r="BB67">
        <f>IFERROR((MAX(OFFSET(高値!$E$6,IFERROR(MATCH($C67,銘柄管理!$B$6:$B$305,0),MATCH(TEXT($C67,"0"),銘柄管理!$B$6:$B$305,0))-1,0,1,25))-MIN(OFFSET(安値!$E$6,IFERROR(MATCH($C67,銘柄管理!$B$6:$B$305,0),MATCH(TEXT($C67,"0"),銘柄管理!$B$6:$B$305,0))-1,0,1,25)))/$E67*100,"")</f>
      </c>
      <c r="BC67">
        <f>IFERROR(($F67-$G67)/$G67*100,"")</f>
      </c>
      <c r="BD67">
        <f>IFERROR(($E67-MAX(OFFSET(高値!$E$6,IFERROR(MATCH($C67,銘柄管理!$B$6:$B$305,0),MATCH(TEXT($C67,"0"),銘柄管理!$B$6:$B$305,0))-1,0,1,25)))/MAX(OFFSET(高値!$E$6,IFERROR(MATCH($C67,銘柄管理!$B$6:$B$305,0),MATCH(TEXT($C67,"0"),銘柄管理!$B$6:$B$305,0))-1,0,1,25))*100,"")</f>
      </c>
      <c r="BE67">
        <f>IFERROR(($H67-$I67)/$F67*100,"")</f>
      </c>
      <c r="BF67">
        <f>IFERROR(-(($BA67-AVERAGE($BA$3:$BA$206))/STDEV($BA$3:$BA$206))-(($BE67-AVERAGE($BE$3:$BE$206))/STDEV($BE$3:$BE$206))-(($BB67-AVERAGE($BB$3:$BB$206))/STDEV($BB$3:$BB$206))-(($Z67-AVERAGE($Z$3:$Z$206))/STDEV($Z$3:$Z$206))-(($BC67-AVERAGE($BC$3:$BC$206))/STDEV($BC$3:$BC$206)),"")</f>
      </c>
      <c r="BG67">
        <f>IF(OR($C67="",$C67="TOPX",$BA67="",$BF67=""),0,IF(AND($BK$10=1,$BA67&lt;=$BK$2,$BB67&lt;=$BK$3,$BC67&lt;=$BK$4,$Z67&lt;=$BK$5,$Z67&gt;=$BK$6,$BD67&gt;=$BK$7,$BE67&lt;=$BK$8),1,0))</f>
      </c>
      <c r="BH67">
        <f>IF($C67="","",IF($BG67=1,"○ゲート通過",IF($BK$10&lt;&gt;1,"― この方向は停止中",IF($BA67&gt;$BK$2,"×値動きが荒い",IF($BB67&gt;$BK$3,"×レンジが広い",IF($BC67&gt;$BK$4,"×窓を開けて上昇",IF($Z67&gt;$BK$5,"×前日に急騰",IF($Z67&lt;$BK$6,"×前日に急落",IF($BD67&lt;$BK$7,"×高値から離れすぎ",IF($BE67&gt;$BK$8,"×当日の値幅が大きい","×")))))))))</f>
      </c>
    </row>
    <row r="68" spans="1:60"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IF(AND(E68&lt;&gt;"",K68&lt;&gt;"",K68&lt;&gt;0),(E68-K68)/K68*100,"")</f>
        <v>-1.5249266862170088</v>
      </c>
      <c r="M68" s="333">
        <f>IF(C68&lt;&gt;"",IFERROR(AVERAGE(出来高!E31:I31),""),"")</f>
        <v>11203700</v>
      </c>
      <c r="N68" s="333">
        <f>IF(C68&lt;&gt;"",IFERROR(AVERAGE(出来高!E31:AC31),""),"")</f>
        <v>4648868</v>
      </c>
      <c r="O68" s="335">
        <f>IF(AND(J68&lt;&gt;"",M68&lt;&gt;"",M68&lt;&gt;0),J68/M68,"")</f>
        <v>0.68725510322482752</v>
      </c>
      <c r="P68" s="212" t="str">
        <f>IF(O68="","",IF(O68&gt;=2,"急増↑↑",IF(O68&gt;=1.5,"増加↑",IF(O68&gt;=1,"普通→","減少↓"))))</f>
        <v>減少↓</v>
      </c>
      <c r="Q68" s="212" t="str">
        <f>IF(E68="","",IF(AND(E68&lt;G68,O68&gt;=1.5),"売り▼",IF(E68&gt;G68,"様子見▲","中立→")))</f>
        <v>様子見▲</v>
      </c>
      <c r="R68" s="333">
        <f>IF(E68&lt;&gt;"",ROUND(E68*0.92,0),"")</f>
        <v>1545</v>
      </c>
      <c r="S68" s="333">
        <f>IF(E68&lt;&gt;"",ROUND(E68*1.04,0),"")</f>
        <v>1746</v>
      </c>
      <c r="T68" s="325">
        <f>IF(C68="","",IFERROR(IF(W68&gt;=70,3,IF(W68&gt;=60,2,IF(W68&gt;=50,1,0)))+IF(X68&lt;0,2,0)+IF(AD68="下降トレンド▼",3,IF(AD68="もみ合い→",1,0))+IF(V68="年初来安値圏●",3,IF(V68="安値圏",2,0))+IF(Q68="売り▼",2,0)+IF(P68="急増↑↑",2,IF(P68="増加↑",1,0))+IF(Z68&lt;0,1,0)+IF(L68&lt;=-30,2,IF(L68&lt;=-15,1,0))+IF(AE68="25日戻り売り★",2,IF(AE68="5日戻り売り○",1,0))+N(AL68)+N(AP68)+N(AU68),0))</f>
        <v>-2</v>
      </c>
      <c r="U68" s="212" t="str">
        <f>IF(T68="","",IF(AND(T68&gt;=3,O68&gt;=1.5),"有効",IF(T68&gt;=3,"要確認","除外")))</f>
        <v>除外</v>
      </c>
      <c r="V68" s="212" t="str">
        <f>IF(AND(I68&lt;&gt;"",K68&lt;&gt;""),IF(I68&lt;=K68*0.6,"年初来安値圏●",IF(I68&lt;=K68*0.75,"安値圏","通常")),"")</f>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IF(AF68="","",AF68&amp;" | "&amp;AD68&amp;IF(AE68&lt;&gt;"なし"," "&amp;AE68,"")&amp;IF(X68&lt;0," MACD-"," MACD+")&amp;" RSI:"&amp;TEXT(W68,"0.0")&amp;IF(W68&gt;=70," [過熱]",IF(W68&lt;=30," [売られ過ぎ]",""))&amp;" 前日比:"&amp;TEXT(Z68,"+0.0;-0.0;0.0")&amp;"%"&amp;IF(V68="年初来安値圏●"," [年初来安値圏]",IF(V68="安値圏"," [安値圏]",""))&amp;IF(OR(AO68="通常",AO68="-"),""," ["&amp;AO68&amp;"]")&amp;IF(OR(AT68="通常",AT68="-"),"","前日["&amp;AT68&amp;"]")&amp;" ["&amp;T68&amp;"点]")</f>
        <v>相場上昇・見送り | 上昇トレンド▲ MACD+ RSI:46.1 前日比:+1.1% [-2点]</v>
      </c>
      <c r="Z68" s="338">
        <f>IF(AND(E68&lt;&gt;"",G68&lt;&gt;"",G68&lt;&gt;0),(E68-G68)/G68*100,"")</f>
        <v>1.0836845273931366</v>
      </c>
      <c r="AA68" s="212" t="str">
        <f>IF(OR(C68="",E68="",E68=0),"",IF(E68&gt;G68,"上昇▲",IF(E68&lt;G68,"下落▼","横ばい→")))</f>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IF(OR(C68="",AB68="",AC68="",AB68=0,AC68=0),"",IF(AND(E68&gt;AB68,AB68&gt;AC68),"パーフェクト▲",IF(E68&gt;AC68,"上昇トレンド▲",IF(AND(E68&lt;AB68,AB68&lt;AC68),"下降トレンド▼","もみ合い→"))))</f>
        <v>上昇トレンド▲</v>
      </c>
      <c r="AE68" s="212" t="str">
        <f>IF(OR(C68="",AB68="",AC68=""),"",IF(AND(ABS(E68-AC68)/AC68&lt;=0.02,E68&lt;AC68),"25日戻り売り★",IF(AND(ABS(E68-AB68)/AB68&lt;=0.01,E68&lt;AB68),"5日戻り売り○","なし")))</f>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IF(AND(T68&gt;=7,C68&lt;&gt;""),T68,0)</f>
        <v>0</v>
      </c>
      <c r="AH68">
        <f>IF(AG68&gt;0,AG68*10000-ROW(A68),0)</f>
        <v>0</v>
      </c>
      <c r="AI68" s="373">
        <f t="array" ref="AI68">IF(C68="","",IFERROR((INDEX(終値!$E:$E,MATCH(TEXT(C68,"0"),終値!$A:$A,0))-INDEX(終値!$E:$CZ,MATCH(TEXT(C68,"0"),終値!$A:$A,0),$AN$2))/INDEX(終値!$E:$CZ,MATCH(TEXT(C68,"0"),終値!$A:$A,0),$AN$2)*100,""))</f>
        <v>9.7385620915032689</v>
      </c>
      <c r="AJ68" s="373">
        <f t="array" ref="AJ68">IFERROR((終値!$E$5-INDEX(終値!$E$5:$IT$5,1,$AN$2))/INDEX(終値!$E$5:$IT$5,1,$AN$2)*100,"")</f>
        <v>1.0179378228534113</v>
      </c>
      <c r="AK68" s="374">
        <f>IF(OR(AI68="",AJ68=""),"",AI68-AJ68)</f>
        <v>8.720624268649857</v>
      </c>
      <c r="AL68" s="372">
        <f>IF(AK68="","",IF(AK68&lt;-5,3,IF(AK68&lt;0,1,IF(AK68&lt;3,-1,-2))))</f>
        <v>-2</v>
      </c>
      <c r="AO68" s="376" t="str">
        <f>IF(OR($C68="",$E68="",$F68="",$H68="",$I68="",$H68-$I68&lt;=0),"-",IF(AND($H68-MAX($F68,$E68)&gt;=ABS($E68-$F68)*2,MIN($F68,$E68)-$I68&lt;=ABS($E68-$F68)*0.5,ABS($E68-$F68)&gt;0),"上ヒゲ陰線▼",IF(AND($E68&lt;$F68,ABS($E68-$F68)&gt;=($H68-$I68)*0.7),"大陰線▼",IF(AND(MIN($F68,$E68)-$I68&gt;=($H68-$I68)*0.5,$H68-MAX($F68,$E68)&lt;=($H68-$I68)*0.2),"長い下ヒゲ(反発警戒)","通常"))))</f>
        <v>通常</v>
      </c>
      <c r="AP68" s="377">
        <f>IF($AO68="上ヒゲ陰線▼",2,IF($AO68="大陰線▼",2,IF($AO68="長い下ヒゲ(反発警戒)",-2,0)))</f>
        <v>0</v>
      </c>
      <c r="AQ68">
        <f>IF(C68&lt;&gt;"",始値!F31,"")</f>
        <v>1642</v>
      </c>
      <c r="AR68">
        <f>IF(C68&lt;&gt;"",高値!F31,"")</f>
        <v>1666.5</v>
      </c>
      <c r="AS68">
        <f>IF(C68&lt;&gt;"",安値!F31,"")</f>
        <v>1621</v>
      </c>
      <c r="AT68" t="str">
        <f>IF(OR(C68="",AQ68="",AR68="",AS68="",AR68-AS68&lt;=0),"-",IF(AND(AR68-MAX(G68,AQ68)&gt;=ABS(G68-AQ68)*2,MIN(G68,AQ68)-AS68&lt;=ABS(G68-AQ68)*0.5,ABS(G68-AQ68)&gt;0),"上ヒゲ陰線▼",IF(AND(G68&lt;AQ68,ABS(G68-AQ68)&gt;=(AR68-AS68)*0.7),"大陰線▼",IF(AND(MIN(G68,AQ68)-AS68&gt;=(AR68-AS68)*0.5,AR68-MAX(G68,AQ68)&lt;=(AR68-AS68)*0.2),"長い下ヒゲ(反発)","通常"))))</f>
        <v>通常</v>
      </c>
      <c r="AU68">
        <f>IF(AT68="上ヒゲ陰線▼",2,IF(AT68="大陰線▼",2,IF(AT68="長い下ヒゲ(反発)",-2,0)))</f>
        <v>0</v>
      </c>
      <c r="BA68">
        <f>IFERROR((SUM(OFFSET(高値!$E$6,IFERROR(MATCH($C68,銘柄管理!$B$6:$B$305,0),MATCH(TEXT($C68,"0"),銘柄管理!$B$6:$B$305,0))-1,0,1,14))-SUM(OFFSET(安値!$E$6,IFERROR(MATCH($C68,銘柄管理!$B$6:$B$305,0),MATCH(TEXT($C68,"0"),銘柄管理!$B$6:$B$305,0))-1,0,1,14)))/SUM(OFFSET(終値!$E$6,IFERROR(MATCH($C68,銘柄管理!$B$6:$B$305,0),MATCH(TEXT($C68,"0"),銘柄管理!$B$6:$B$305,0))-1,0,1,14))*100,"")</f>
      </c>
      <c r="BB68">
        <f>IFERROR((MAX(OFFSET(高値!$E$6,IFERROR(MATCH($C68,銘柄管理!$B$6:$B$305,0),MATCH(TEXT($C68,"0"),銘柄管理!$B$6:$B$305,0))-1,0,1,25))-MIN(OFFSET(安値!$E$6,IFERROR(MATCH($C68,銘柄管理!$B$6:$B$305,0),MATCH(TEXT($C68,"0"),銘柄管理!$B$6:$B$305,0))-1,0,1,25)))/$E68*100,"")</f>
      </c>
      <c r="BC68">
        <f>IFERROR(($F68-$G68)/$G68*100,"")</f>
      </c>
      <c r="BD68">
        <f>IFERROR(($E68-MAX(OFFSET(高値!$E$6,IFERROR(MATCH($C68,銘柄管理!$B$6:$B$305,0),MATCH(TEXT($C68,"0"),銘柄管理!$B$6:$B$305,0))-1,0,1,25)))/MAX(OFFSET(高値!$E$6,IFERROR(MATCH($C68,銘柄管理!$B$6:$B$305,0),MATCH(TEXT($C68,"0"),銘柄管理!$B$6:$B$305,0))-1,0,1,25))*100,"")</f>
      </c>
      <c r="BE68">
        <f>IFERROR(($H68-$I68)/$F68*100,"")</f>
      </c>
      <c r="BF68">
        <f>IFERROR(-(($BA68-AVERAGE($BA$3:$BA$206))/STDEV($BA$3:$BA$206))-(($BE68-AVERAGE($BE$3:$BE$206))/STDEV($BE$3:$BE$206))-(($BB68-AVERAGE($BB$3:$BB$206))/STDEV($BB$3:$BB$206))-(($Z68-AVERAGE($Z$3:$Z$206))/STDEV($Z$3:$Z$206))-(($BC68-AVERAGE($BC$3:$BC$206))/STDEV($BC$3:$BC$206)),"")</f>
      </c>
      <c r="BG68">
        <f>IF(OR($C68="",$C68="TOPX",$BA68="",$BF68=""),0,IF(AND($BK$10=1,$BA68&lt;=$BK$2,$BB68&lt;=$BK$3,$BC68&lt;=$BK$4,$Z68&lt;=$BK$5,$Z68&gt;=$BK$6,$BD68&gt;=$BK$7,$BE68&lt;=$BK$8),1,0))</f>
      </c>
      <c r="BH68">
        <f>IF($C68="","",IF($BG68=1,"○ゲート通過",IF($BK$10&lt;&gt;1,"― この方向は停止中",IF($BA68&gt;$BK$2,"×値動きが荒い",IF($BB68&gt;$BK$3,"×レンジが広い",IF($BC68&gt;$BK$4,"×窓を開けて上昇",IF($Z68&gt;$BK$5,"×前日に急騰",IF($Z68&lt;$BK$6,"×前日に急落",IF($BD68&lt;$BK$7,"×高値から離れすぎ",IF($BE68&gt;$BK$8,"×当日の値幅が大きい","×")))))))))</f>
      </c>
    </row>
    <row r="69" spans="1:60"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IF(AND(E69&lt;&gt;"",K69&lt;&gt;"",K69&lt;&gt;0),(E69-K69)/K69*100,"")</f>
        <v>-15.149393090569561</v>
      </c>
      <c r="M69" s="326">
        <f>IF(C69&lt;&gt;"",IFERROR(AVERAGE(出来高!E49:I49),""),"")</f>
        <v>1085400</v>
      </c>
      <c r="N69" s="326">
        <f>IF(C69&lt;&gt;"",IFERROR(AVERAGE(出来高!E49:AC49),""),"")</f>
        <v>670133.33333333337</v>
      </c>
      <c r="O69" s="328">
        <f>IF(AND(J69&lt;&gt;"",M69&lt;&gt;"",M69&lt;&gt;0),J69/M69,"")</f>
        <v>0.56928321356182054</v>
      </c>
      <c r="P69" s="325" t="str">
        <f>IF(O69="","",IF(O69&gt;=2,"急増↑↑",IF(O69&gt;=1.5,"増加↑",IF(O69&gt;=1,"普通→","減少↓"))))</f>
        <v>減少↓</v>
      </c>
      <c r="Q69" s="325" t="str">
        <f>IF(E69="","",IF(AND(E69&lt;G69,O69&gt;=1.5),"売り▼",IF(E69&gt;G69,"様子見▲","中立→")))</f>
        <v>様子見▲</v>
      </c>
      <c r="R69" s="326">
        <f>IF(E69&lt;&gt;"",ROUND(E69*0.92,0),"")</f>
        <v>3344</v>
      </c>
      <c r="S69" s="326">
        <f>IF(E69&lt;&gt;"",ROUND(E69*1.04,0),"")</f>
        <v>3780</v>
      </c>
      <c r="T69" s="325">
        <f>IF(C69="","",IFERROR(IF(W69&gt;=70,3,IF(W69&gt;=60,2,IF(W69&gt;=50,1,0)))+IF(X69&lt;0,2,0)+IF(AD69="下降トレンド▼",3,IF(AD69="もみ合い→",1,0))+IF(V69="年初来安値圏●",3,IF(V69="安値圏",2,0))+IF(Q69="売り▼",2,0)+IF(P69="急増↑↑",2,IF(P69="増加↑",1,0))+IF(Z69&lt;0,1,0)+IF(L69&lt;=-30,2,IF(L69&lt;=-15,1,0))+IF(AE69="25日戻り売り★",2,IF(AE69="5日戻り売り○",1,0))+N(AL69)+N(AP69)+N(AU69),0))</f>
        <v>4</v>
      </c>
      <c r="U69" s="325" t="str">
        <f>IF(T69="","",IF(AND(T69&gt;=3,O69&gt;=1.5),"有効",IF(T69&gt;=3,"要確認","除外")))</f>
        <v>要確認</v>
      </c>
      <c r="V69" s="325" t="str">
        <f>IF(AND(I69&lt;&gt;"",K69&lt;&gt;""),IF(I69&lt;=K69*0.6,"年初来安値圏●",IF(I69&lt;=K69*0.75,"安値圏","通常")),"")</f>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IF(AF69="","",AF69&amp;" | "&amp;AD69&amp;IF(AE69&lt;&gt;"なし"," "&amp;AE69,"")&amp;IF(X69&lt;0," MACD-"," MACD+")&amp;" RSI:"&amp;TEXT(W69,"0.0")&amp;IF(W69&gt;=70," [過熱]",IF(W69&lt;=30," [売られ過ぎ]",""))&amp;" 前日比:"&amp;TEXT(Z69,"+0.0;-0.0;0.0")&amp;"%"&amp;IF(V69="年初来安値圏●"," [年初来安値圏]",IF(V69="安値圏"," [安値圏]",""))&amp;IF(OR(AO69="通常",AO69="-"),""," ["&amp;AO69&amp;"]")&amp;IF(OR(AT69="通常",AT69="-"),"","前日["&amp;AT69&amp;"]")&amp;" ["&amp;T69&amp;"点]")</f>
        <v>相場上昇・見送り | パーフェクト▲ MACD- RSI:49.4 前日比:+0.6% [4点]</v>
      </c>
      <c r="Z69" s="331">
        <f>IF(AND(E69&lt;&gt;"",G69&lt;&gt;"",G69&lt;&gt;0),(E69-G69)/G69*100,"")</f>
        <v>0.63676633444075303</v>
      </c>
      <c r="AA69" s="325" t="str">
        <f>IF(OR(C69="",E69="",E69=0),"",IF(E69&gt;G69,"上昇▲",IF(E69&lt;G69,"下落▼","横ばい→")))</f>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IF(OR(C69="",AB69="",AC69="",AB69=0,AC69=0),"",IF(AND(E69&gt;AB69,AB69&gt;AC69),"パーフェクト▲",IF(E69&gt;AC69,"上昇トレンド▲",IF(AND(E69&lt;AB69,AB69&lt;AC69),"下降トレンド▼","もみ合い→"))))</f>
        <v>パーフェクト▲</v>
      </c>
      <c r="AE69" s="325" t="str">
        <f>IF(OR(C69="",AB69="",AC69=""),"",IF(AND(ABS(E69-AC69)/AC69&lt;=0.02,E69&lt;AC69),"25日戻り売り★",IF(AND(ABS(E69-AB69)/AB69&lt;=0.01,E69&lt;AB69),"5日戻り売り○","なし")))</f>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IF(AND(T69&gt;=7,C69&lt;&gt;""),T69,0)</f>
        <v>0</v>
      </c>
      <c r="AH69">
        <f>IF(AG69&gt;0,AG69*10000-ROW(A69),0)</f>
        <v>0</v>
      </c>
      <c r="AI69" s="373">
        <f t="array" ref="AI69">IF(C69="","",IFERROR((INDEX(終値!$E:$E,MATCH(TEXT(C69,"0"),終値!$A:$A,0))-INDEX(終値!$E:$CZ,MATCH(TEXT(C69,"0"),終値!$A:$A,0),$AN$2))/INDEX(終値!$E:$CZ,MATCH(TEXT(C69,"0"),終値!$A:$A,0),$AN$2)*100,""))</f>
        <v>-2.859433458043827</v>
      </c>
      <c r="AJ69" s="373">
        <f t="array" ref="AJ69">IFERROR((終値!$E$5-INDEX(終値!$E$5:$IT$5,1,$AN$2))/INDEX(終値!$E$5:$IT$5,1,$AN$2)*100,"")</f>
        <v>1.0179378228534113</v>
      </c>
      <c r="AK69" s="374">
        <f>IF(OR(AI69="",AJ69=""),"",AI69-AJ69)</f>
        <v>-3.877371280897238</v>
      </c>
      <c r="AL69" s="372">
        <f>IF(AK69="","",IF(AK69&lt;-5,3,IF(AK69&lt;0,1,IF(AK69&lt;3,-1,-2))))</f>
        <v>1</v>
      </c>
      <c r="AO69" s="376" t="str">
        <f>IF(OR($C69="",$E69="",$F69="",$H69="",$I69="",$H69-$I69&lt;=0),"-",IF(AND($H69-MAX($F69,$E69)&gt;=ABS($E69-$F69)*2,MIN($F69,$E69)-$I69&lt;=ABS($E69-$F69)*0.5,ABS($E69-$F69)&gt;0),"上ヒゲ陰線▼",IF(AND($E69&lt;$F69,ABS($E69-$F69)&gt;=($H69-$I69)*0.7),"大陰線▼",IF(AND(MIN($F69,$E69)-$I69&gt;=($H69-$I69)*0.5,$H69-MAX($F69,$E69)&lt;=($H69-$I69)*0.2),"長い下ヒゲ(反発警戒)","通常"))))</f>
        <v>通常</v>
      </c>
      <c r="AP69" s="377">
        <f>IF($AO69="上ヒゲ陰線▼",2,IF($AO69="大陰線▼",2,IF($AO69="長い下ヒゲ(反発警戒)",-2,0)))</f>
        <v>0</v>
      </c>
      <c r="AQ69">
        <f>IF(C69&lt;&gt;"",始値!F49,"")</f>
        <v>3516</v>
      </c>
      <c r="AR69">
        <f>IF(C69&lt;&gt;"",高値!F49,"")</f>
        <v>3629</v>
      </c>
      <c r="AS69">
        <f>IF(C69&lt;&gt;"",安値!F49,"")</f>
        <v>3516</v>
      </c>
      <c r="AT69" t="str">
        <f>IF(OR(C69="",AQ69="",AR69="",AS69="",AR69-AS69&lt;=0),"-",IF(AND(AR69-MAX(G69,AQ69)&gt;=ABS(G69-AQ69)*2,MIN(G69,AQ69)-AS69&lt;=ABS(G69-AQ69)*0.5,ABS(G69-AQ69)&gt;0),"上ヒゲ陰線▼",IF(AND(G69&lt;AQ69,ABS(G69-AQ69)&gt;=(AR69-AS69)*0.7),"大陰線▼",IF(AND(MIN(G69,AQ69)-AS69&gt;=(AR69-AS69)*0.5,AR69-MAX(G69,AQ69)&lt;=(AR69-AS69)*0.2),"長い下ヒゲ(反発)","通常"))))</f>
        <v>通常</v>
      </c>
      <c r="AU69">
        <f>IF(AT69="上ヒゲ陰線▼",2,IF(AT69="大陰線▼",2,IF(AT69="長い下ヒゲ(反発)",-2,0)))</f>
        <v>0</v>
      </c>
      <c r="BA69">
        <f>IFERROR((SUM(OFFSET(高値!$E$6,IFERROR(MATCH($C69,銘柄管理!$B$6:$B$305,0),MATCH(TEXT($C69,"0"),銘柄管理!$B$6:$B$305,0))-1,0,1,14))-SUM(OFFSET(安値!$E$6,IFERROR(MATCH($C69,銘柄管理!$B$6:$B$305,0),MATCH(TEXT($C69,"0"),銘柄管理!$B$6:$B$305,0))-1,0,1,14)))/SUM(OFFSET(終値!$E$6,IFERROR(MATCH($C69,銘柄管理!$B$6:$B$305,0),MATCH(TEXT($C69,"0"),銘柄管理!$B$6:$B$305,0))-1,0,1,14))*100,"")</f>
      </c>
      <c r="BB69">
        <f>IFERROR((MAX(OFFSET(高値!$E$6,IFERROR(MATCH($C69,銘柄管理!$B$6:$B$305,0),MATCH(TEXT($C69,"0"),銘柄管理!$B$6:$B$305,0))-1,0,1,25))-MIN(OFFSET(安値!$E$6,IFERROR(MATCH($C69,銘柄管理!$B$6:$B$305,0),MATCH(TEXT($C69,"0"),銘柄管理!$B$6:$B$305,0))-1,0,1,25)))/$E69*100,"")</f>
      </c>
      <c r="BC69">
        <f>IFERROR(($F69-$G69)/$G69*100,"")</f>
      </c>
      <c r="BD69">
        <f>IFERROR(($E69-MAX(OFFSET(高値!$E$6,IFERROR(MATCH($C69,銘柄管理!$B$6:$B$305,0),MATCH(TEXT($C69,"0"),銘柄管理!$B$6:$B$305,0))-1,0,1,25)))/MAX(OFFSET(高値!$E$6,IFERROR(MATCH($C69,銘柄管理!$B$6:$B$305,0),MATCH(TEXT($C69,"0"),銘柄管理!$B$6:$B$305,0))-1,0,1,25))*100,"")</f>
      </c>
      <c r="BE69">
        <f>IFERROR(($H69-$I69)/$F69*100,"")</f>
      </c>
      <c r="BF69">
        <f>IFERROR(-(($BA69-AVERAGE($BA$3:$BA$206))/STDEV($BA$3:$BA$206))-(($BE69-AVERAGE($BE$3:$BE$206))/STDEV($BE$3:$BE$206))-(($BB69-AVERAGE($BB$3:$BB$206))/STDEV($BB$3:$BB$206))-(($Z69-AVERAGE($Z$3:$Z$206))/STDEV($Z$3:$Z$206))-(($BC69-AVERAGE($BC$3:$BC$206))/STDEV($BC$3:$BC$206)),"")</f>
      </c>
      <c r="BG69">
        <f>IF(OR($C69="",$C69="TOPX",$BA69="",$BF69=""),0,IF(AND($BK$10=1,$BA69&lt;=$BK$2,$BB69&lt;=$BK$3,$BC69&lt;=$BK$4,$Z69&lt;=$BK$5,$Z69&gt;=$BK$6,$BD69&gt;=$BK$7,$BE69&lt;=$BK$8),1,0))</f>
      </c>
      <c r="BH69">
        <f>IF($C69="","",IF($BG69=1,"○ゲート通過",IF($BK$10&lt;&gt;1,"― この方向は停止中",IF($BA69&gt;$BK$2,"×値動きが荒い",IF($BB69&gt;$BK$3,"×レンジが広い",IF($BC69&gt;$BK$4,"×窓を開けて上昇",IF($Z69&gt;$BK$5,"×前日に急騰",IF($Z69&lt;$BK$6,"×前日に急落",IF($BD69&lt;$BK$7,"×高値から離れすぎ",IF($BE69&gt;$BK$8,"×当日の値幅が大きい","×")))))))))</f>
      </c>
    </row>
    <row r="70" spans="1:60"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IF(AND(E70&lt;&gt;"",K70&lt;&gt;"",K70&lt;&gt;0),(E70-K70)/K70*100,"")</f>
        <v>-6.5977961432506893</v>
      </c>
      <c r="M70" s="333">
        <f>IF(C70&lt;&gt;"",IFERROR(AVERAGE(出来高!E50:I50),""),"")</f>
        <v>14272960</v>
      </c>
      <c r="N70" s="333">
        <f>IF(C70&lt;&gt;"",IFERROR(AVERAGE(出来高!E50:AC50),""),"")</f>
        <v>12951480</v>
      </c>
      <c r="O70" s="335">
        <f>IF(AND(J70&lt;&gt;"",M70&lt;&gt;"",M70&lt;&gt;0),J70/M70,"")</f>
        <v>0.74868842902943744</v>
      </c>
      <c r="P70" s="212" t="str">
        <f>IF(O70="","",IF(O70&gt;=2,"急増↑↑",IF(O70&gt;=1.5,"増加↑",IF(O70&gt;=1,"普通→","減少↓"))))</f>
        <v>減少↓</v>
      </c>
      <c r="Q70" s="212" t="str">
        <f>IF(E70="","",IF(AND(E70&lt;G70,O70&gt;=1.5),"売り▼",IF(E70&gt;G70,"様子見▲","中立→")))</f>
        <v>様子見▲</v>
      </c>
      <c r="R70" s="333">
        <f>IF(E70&lt;&gt;"",ROUND(E70*0.92,0),"")</f>
        <v>6239</v>
      </c>
      <c r="S70" s="333">
        <f>IF(E70&lt;&gt;"",ROUND(E70*1.04,0),"")</f>
        <v>7052</v>
      </c>
      <c r="T70" s="325">
        <f>IF(C70="","",IFERROR(IF(W70&gt;=70,3,IF(W70&gt;=60,2,IF(W70&gt;=50,1,0)))+IF(X70&lt;0,2,0)+IF(AD70="下降トレンド▼",3,IF(AD70="もみ合い→",1,0))+IF(V70="年初来安値圏●",3,IF(V70="安値圏",2,0))+IF(Q70="売り▼",2,0)+IF(P70="急増↑↑",2,IF(P70="増加↑",1,0))+IF(Z70&lt;0,1,0)+IF(L70&lt;=-30,2,IF(L70&lt;=-15,1,0))+IF(AE70="25日戻り売り★",2,IF(AE70="5日戻り売り○",1,0))+N(AL70)+N(AP70)+N(AU70),0))</f>
        <v>3</v>
      </c>
      <c r="U70" s="212" t="str">
        <f>IF(T70="","",IF(AND(T70&gt;=3,O70&gt;=1.5),"有効",IF(T70&gt;=3,"要確認","除外")))</f>
        <v>要確認</v>
      </c>
      <c r="V70" s="212" t="str">
        <f>IF(AND(I70&lt;&gt;"",K70&lt;&gt;""),IF(I70&lt;=K70*0.6,"年初来安値圏●",IF(I70&lt;=K70*0.75,"安値圏","通常")),"")</f>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IF(AF70="","",AF70&amp;" | "&amp;AD70&amp;IF(AE70&lt;&gt;"なし"," "&amp;AE70,"")&amp;IF(X70&lt;0," MACD-"," MACD+")&amp;" RSI:"&amp;TEXT(W70,"0.0")&amp;IF(W70&gt;=70," [過熱]",IF(W70&lt;=30," [売られ過ぎ]",""))&amp;" 前日比:"&amp;TEXT(Z70,"+0.0;-0.0;0.0")&amp;"%"&amp;IF(V70="年初来安値圏●"," [年初来安値圏]",IF(V70="安値圏"," [安値圏]",""))&amp;IF(OR(AO70="通常",AO70="-"),""," ["&amp;AO70&amp;"]")&amp;IF(OR(AT70="通常",AT70="-"),"","前日["&amp;AT70&amp;"]")&amp;" ["&amp;T70&amp;"点]")</f>
        <v>○逆張り売り | もみ合い→ 25日戻り売り★ MACD- RSI:38.9 前日比:+1.7% [3点]</v>
      </c>
      <c r="Z70" s="338">
        <f>IF(AND(E70&lt;&gt;"",G70&lt;&gt;"",G70&lt;&gt;0),(E70-G70)/G70*100,"")</f>
        <v>1.7251725172517254</v>
      </c>
      <c r="AA70" s="212" t="str">
        <f>IF(OR(C70="",E70="",E70=0),"",IF(E70&gt;G70,"上昇▲",IF(E70&lt;G70,"下落▼","横ばい→")))</f>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IF(OR(C70="",AB70="",AC70="",AB70=0,AC70=0),"",IF(AND(E70&gt;AB70,AB70&gt;AC70),"パーフェクト▲",IF(E70&gt;AC70,"上昇トレンド▲",IF(AND(E70&lt;AB70,AB70&lt;AC70),"下降トレンド▼","もみ合い→"))))</f>
        <v>もみ合い→</v>
      </c>
      <c r="AE70" s="212" t="str">
        <f>IF(OR(C70="",AB70="",AC70=""),"",IF(AND(ABS(E70-AC70)/AC70&lt;=0.02,E70&lt;AC70),"25日戻り売り★",IF(AND(ABS(E70-AB70)/AB70&lt;=0.01,E70&lt;AB70),"5日戻り売り○","なし")))</f>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IF(AND(T70&gt;=7,C70&lt;&gt;""),T70,0)</f>
        <v>0</v>
      </c>
      <c r="AH70">
        <f>IF(AG70&gt;0,AG70*10000-ROW(A70),0)</f>
        <v>0</v>
      </c>
      <c r="AI70" s="373">
        <f t="array" ref="AI70">IF(C70="","",IFERROR((INDEX(終値!$E:$E,MATCH(TEXT(C70,"0"),終値!$A:$A,0))-INDEX(終値!$E:$CZ,MATCH(TEXT(C70,"0"),終値!$A:$A,0),$AN$2))/INDEX(終値!$E:$CZ,MATCH(TEXT(C70,"0"),終値!$A:$A,0),$AN$2)*100,""))</f>
        <v>5.4096067153738536</v>
      </c>
      <c r="AJ70" s="373">
        <f t="array" ref="AJ70">IFERROR((終値!$E$5-INDEX(終値!$E$5:$IT$5,1,$AN$2))/INDEX(終値!$E$5:$IT$5,1,$AN$2)*100,"")</f>
        <v>1.0179378228534113</v>
      </c>
      <c r="AK70" s="374">
        <f>IF(OR(AI70="",AJ70=""),"",AI70-AJ70)</f>
        <v>4.3916688925204426</v>
      </c>
      <c r="AL70" s="372">
        <f>IF(AK70="","",IF(AK70&lt;-5,3,IF(AK70&lt;0,1,IF(AK70&lt;3,-1,-2))))</f>
        <v>-2</v>
      </c>
      <c r="AO70" s="376" t="str">
        <f>IF(OR($C70="",$E70="",$F70="",$H70="",$I70="",$H70-$I70&lt;=0),"-",IF(AND($H70-MAX($F70,$E70)&gt;=ABS($E70-$F70)*2,MIN($F70,$E70)-$I70&lt;=ABS($E70-$F70)*0.5,ABS($E70-$F70)&gt;0),"上ヒゲ陰線▼",IF(AND($E70&lt;$F70,ABS($E70-$F70)&gt;=($H70-$I70)*0.7),"大陰線▼",IF(AND(MIN($F70,$E70)-$I70&gt;=($H70-$I70)*0.5,$H70-MAX($F70,$E70)&lt;=($H70-$I70)*0.2),"長い下ヒゲ(反発警戒)","通常"))))</f>
        <v>通常</v>
      </c>
      <c r="AP70" s="377">
        <f>IF($AO70="上ヒゲ陰線▼",2,IF($AO70="大陰線▼",2,IF($AO70="長い下ヒゲ(反発警戒)",-2,0)))</f>
        <v>0</v>
      </c>
      <c r="AQ70">
        <f>IF(C70&lt;&gt;"",始値!F50,"")</f>
        <v>6560</v>
      </c>
      <c r="AR70">
        <f>IF(C70&lt;&gt;"",高値!F50,"")</f>
        <v>6670</v>
      </c>
      <c r="AS70">
        <f>IF(C70&lt;&gt;"",安値!F50,"")</f>
        <v>6474</v>
      </c>
      <c r="AT70" t="str">
        <f>IF(OR(C70="",AQ70="",AR70="",AS70="",AR70-AS70&lt;=0),"-",IF(AND(AR70-MAX(G70,AQ70)&gt;=ABS(G70-AQ70)*2,MIN(G70,AQ70)-AS70&lt;=ABS(G70-AQ70)*0.5,ABS(G70-AQ70)&gt;0),"上ヒゲ陰線▼",IF(AND(G70&lt;AQ70,ABS(G70-AQ70)&gt;=(AR70-AS70)*0.7),"大陰線▼",IF(AND(MIN(G70,AQ70)-AS70&gt;=(AR70-AS70)*0.5,AR70-MAX(G70,AQ70)&lt;=(AR70-AS70)*0.2),"長い下ヒゲ(反発)","通常"))))</f>
        <v>通常</v>
      </c>
      <c r="AU70">
        <f>IF(AT70="上ヒゲ陰線▼",2,IF(AT70="大陰線▼",2,IF(AT70="長い下ヒゲ(反発)",-2,0)))</f>
        <v>0</v>
      </c>
      <c r="BA70">
        <f>IFERROR((SUM(OFFSET(高値!$E$6,IFERROR(MATCH($C70,銘柄管理!$B$6:$B$305,0),MATCH(TEXT($C70,"0"),銘柄管理!$B$6:$B$305,0))-1,0,1,14))-SUM(OFFSET(安値!$E$6,IFERROR(MATCH($C70,銘柄管理!$B$6:$B$305,0),MATCH(TEXT($C70,"0"),銘柄管理!$B$6:$B$305,0))-1,0,1,14)))/SUM(OFFSET(終値!$E$6,IFERROR(MATCH($C70,銘柄管理!$B$6:$B$305,0),MATCH(TEXT($C70,"0"),銘柄管理!$B$6:$B$305,0))-1,0,1,14))*100,"")</f>
      </c>
      <c r="BB70">
        <f>IFERROR((MAX(OFFSET(高値!$E$6,IFERROR(MATCH($C70,銘柄管理!$B$6:$B$305,0),MATCH(TEXT($C70,"0"),銘柄管理!$B$6:$B$305,0))-1,0,1,25))-MIN(OFFSET(安値!$E$6,IFERROR(MATCH($C70,銘柄管理!$B$6:$B$305,0),MATCH(TEXT($C70,"0"),銘柄管理!$B$6:$B$305,0))-1,0,1,25)))/$E70*100,"")</f>
      </c>
      <c r="BC70">
        <f>IFERROR(($F70-$G70)/$G70*100,"")</f>
      </c>
      <c r="BD70">
        <f>IFERROR(($E70-MAX(OFFSET(高値!$E$6,IFERROR(MATCH($C70,銘柄管理!$B$6:$B$305,0),MATCH(TEXT($C70,"0"),銘柄管理!$B$6:$B$305,0))-1,0,1,25)))/MAX(OFFSET(高値!$E$6,IFERROR(MATCH($C70,銘柄管理!$B$6:$B$305,0),MATCH(TEXT($C70,"0"),銘柄管理!$B$6:$B$305,0))-1,0,1,25))*100,"")</f>
      </c>
      <c r="BE70">
        <f>IFERROR(($H70-$I70)/$F70*100,"")</f>
      </c>
      <c r="BF70">
        <f>IFERROR(-(($BA70-AVERAGE($BA$3:$BA$206))/STDEV($BA$3:$BA$206))-(($BE70-AVERAGE($BE$3:$BE$206))/STDEV($BE$3:$BE$206))-(($BB70-AVERAGE($BB$3:$BB$206))/STDEV($BB$3:$BB$206))-(($Z70-AVERAGE($Z$3:$Z$206))/STDEV($Z$3:$Z$206))-(($BC70-AVERAGE($BC$3:$BC$206))/STDEV($BC$3:$BC$206)),"")</f>
      </c>
      <c r="BG70">
        <f>IF(OR($C70="",$C70="TOPX",$BA70="",$BF70=""),0,IF(AND($BK$10=1,$BA70&lt;=$BK$2,$BB70&lt;=$BK$3,$BC70&lt;=$BK$4,$Z70&lt;=$BK$5,$Z70&gt;=$BK$6,$BD70&gt;=$BK$7,$BE70&lt;=$BK$8),1,0))</f>
      </c>
      <c r="BH70">
        <f>IF($C70="","",IF($BG70=1,"○ゲート通過",IF($BK$10&lt;&gt;1,"― この方向は停止中",IF($BA70&gt;$BK$2,"×値動きが荒い",IF($BB70&gt;$BK$3,"×レンジが広い",IF($BC70&gt;$BK$4,"×窓を開けて上昇",IF($Z70&gt;$BK$5,"×前日に急騰",IF($Z70&lt;$BK$6,"×前日に急落",IF($BD70&lt;$BK$7,"×高値から離れすぎ",IF($BE70&gt;$BK$8,"×当日の値幅が大きい","×")))))))))</f>
      </c>
    </row>
    <row r="71" spans="1:60"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IF(AND(E71&lt;&gt;"",K71&lt;&gt;"",K71&lt;&gt;0),(E71-K71)/K71*100,"")</f>
        <v>-3.4968210717529522</v>
      </c>
      <c r="M71" s="326">
        <f>IF(C71&lt;&gt;"",IFERROR(AVERAGE(出来高!E55:I55),""),"")</f>
        <v>290760</v>
      </c>
      <c r="N71" s="326">
        <f>IF(C71&lt;&gt;"",IFERROR(AVERAGE(出来高!E55:AC55),""),"")</f>
        <v>225568</v>
      </c>
      <c r="O71" s="328">
        <f>IF(AND(J71&lt;&gt;"",M71&lt;&gt;"",M71&lt;&gt;0),J71/M71,"")</f>
        <v>1.3186132893107718</v>
      </c>
      <c r="P71" s="325" t="str">
        <f>IF(O71="","",IF(O71&gt;=2,"急増↑↑",IF(O71&gt;=1.5,"増加↑",IF(O71&gt;=1,"普通→","減少↓"))))</f>
        <v>普通→</v>
      </c>
      <c r="Q71" s="325" t="str">
        <f>IF(E71="","",IF(AND(E71&lt;G71,O71&gt;=1.5),"売り▼",IF(E71&gt;G71,"様子見▲","中立→")))</f>
        <v>様子見▲</v>
      </c>
      <c r="R71" s="326">
        <f>IF(E71&lt;&gt;"",ROUND(E71*0.92,0),"")</f>
        <v>3910</v>
      </c>
      <c r="S71" s="326">
        <f>IF(E71&lt;&gt;"",ROUND(E71*1.04,0),"")</f>
        <v>4420</v>
      </c>
      <c r="T71" s="325">
        <f>IF(C71="","",IFERROR(IF(W71&gt;=70,3,IF(W71&gt;=60,2,IF(W71&gt;=50,1,0)))+IF(X71&lt;0,2,0)+IF(AD71="下降トレンド▼",3,IF(AD71="もみ合い→",1,0))+IF(V71="年初来安値圏●",3,IF(V71="安値圏",2,0))+IF(Q71="売り▼",2,0)+IF(P71="急増↑↑",2,IF(P71="増加↑",1,0))+IF(Z71&lt;0,1,0)+IF(L71&lt;=-30,2,IF(L71&lt;=-15,1,0))+IF(AE71="25日戻り売り★",2,IF(AE71="5日戻り売り○",1,0))+N(AL71)+N(AP71)+N(AU71),0))</f>
        <v>0</v>
      </c>
      <c r="U71" s="325" t="str">
        <f>IF(T71="","",IF(AND(T71&gt;=3,O71&gt;=1.5),"有効",IF(T71&gt;=3,"要確認","除外")))</f>
        <v>除外</v>
      </c>
      <c r="V71" s="325" t="str">
        <f>IF(AND(I71&lt;&gt;"",K71&lt;&gt;""),IF(I71&lt;=K71*0.6,"年初来安値圏●",IF(I71&lt;=K71*0.75,"安値圏","通常")),"")</f>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IF(AF71="","",AF71&amp;" | "&amp;AD71&amp;IF(AE71&lt;&gt;"なし"," "&amp;AE71,"")&amp;IF(X71&lt;0," MACD-"," MACD+")&amp;" RSI:"&amp;TEXT(W71,"0.0")&amp;IF(W71&gt;=70," [過熱]",IF(W71&lt;=30," [売られ過ぎ]",""))&amp;" 前日比:"&amp;TEXT(Z71,"+0.0;-0.0;0.0")&amp;"%"&amp;IF(V71="年初来安値圏●"," [年初来安値圏]",IF(V71="安値圏"," [安値圏]",""))&amp;IF(OR(AO71="通常",AO71="-"),""," ["&amp;AO71&amp;"]")&amp;IF(OR(AT71="通常",AT71="-"),"","前日["&amp;AT71&amp;"]")&amp;" ["&amp;T71&amp;"点]")</f>
        <v>相場上昇・見送り | パーフェクト▲ MACD+ RSI:64.9 前日比:+0.3% [0点]</v>
      </c>
      <c r="Z71" s="331">
        <f>IF(AND(E71&lt;&gt;"",G71&lt;&gt;"",G71&lt;&gt;0),(E71-G71)/G71*100,"")</f>
        <v>0.25949516395376265</v>
      </c>
      <c r="AA71" s="325" t="str">
        <f>IF(OR(C71="",E71="",E71=0),"",IF(E71&gt;G71,"上昇▲",IF(E71&lt;G71,"下落▼","横ばい→")))</f>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IF(OR(C71="",AB71="",AC71="",AB71=0,AC71=0),"",IF(AND(E71&gt;AB71,AB71&gt;AC71),"パーフェクト▲",IF(E71&gt;AC71,"上昇トレンド▲",IF(AND(E71&lt;AB71,AB71&lt;AC71),"下降トレンド▼","もみ合い→"))))</f>
        <v>パーフェクト▲</v>
      </c>
      <c r="AE71" s="325" t="str">
        <f>IF(OR(C71="",AB71="",AC71=""),"",IF(AND(ABS(E71-AC71)/AC71&lt;=0.02,E71&lt;AC71),"25日戻り売り★",IF(AND(ABS(E71-AB71)/AB71&lt;=0.01,E71&lt;AB71),"5日戻り売り○","なし")))</f>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IF(AND(T71&gt;=7,C71&lt;&gt;""),T71,0)</f>
        <v>0</v>
      </c>
      <c r="AH71">
        <f>IF(AG71&gt;0,AG71*10000-ROW(A71),0)</f>
        <v>0</v>
      </c>
      <c r="AI71" s="373">
        <f t="array" ref="AI71">IF(C71="","",IFERROR((INDEX(終値!$E:$E,MATCH(TEXT(C71,"0"),終値!$A:$A,0))-INDEX(終値!$E:$CZ,MATCH(TEXT(C71,"0"),終値!$A:$A,0),$AN$2))/INDEX(終値!$E:$CZ,MATCH(TEXT(C71,"0"),終値!$A:$A,0),$AN$2)*100,""))</f>
        <v>4.192203971561657</v>
      </c>
      <c r="AJ71" s="373">
        <f t="array" ref="AJ71">IFERROR((終値!$E$5-INDEX(終値!$E$5:$IT$5,1,$AN$2))/INDEX(終値!$E$5:$IT$5,1,$AN$2)*100,"")</f>
        <v>1.0179378228534113</v>
      </c>
      <c r="AK71" s="374">
        <f>IF(OR(AI71="",AJ71=""),"",AI71-AJ71)</f>
        <v>3.174266148708246</v>
      </c>
      <c r="AL71" s="372">
        <f>IF(AK71="","",IF(AK71&lt;-5,3,IF(AK71&lt;0,1,IF(AK71&lt;3,-1,-2))))</f>
        <v>-2</v>
      </c>
      <c r="AO71" s="376" t="str">
        <f>IF(OR($C71="",$E71="",$F71="",$H71="",$I71="",$H71-$I71&lt;=0),"-",IF(AND($H71-MAX($F71,$E71)&gt;=ABS($E71-$F71)*2,MIN($F71,$E71)-$I71&lt;=ABS($E71-$F71)*0.5,ABS($E71-$F71)&gt;0),"上ヒゲ陰線▼",IF(AND($E71&lt;$F71,ABS($E71-$F71)&gt;=($H71-$I71)*0.7),"大陰線▼",IF(AND(MIN($F71,$E71)-$I71&gt;=($H71-$I71)*0.5,$H71-MAX($F71,$E71)&lt;=($H71-$I71)*0.2),"長い下ヒゲ(反発警戒)","通常"))))</f>
        <v>通常</v>
      </c>
      <c r="AP71" s="377">
        <f>IF($AO71="上ヒゲ陰線▼",2,IF($AO71="大陰線▼",2,IF($AO71="長い下ヒゲ(反発警戒)",-2,0)))</f>
        <v>0</v>
      </c>
      <c r="AQ71">
        <f>IF(C71&lt;&gt;"",始値!F55,"")</f>
        <v>4000</v>
      </c>
      <c r="AR71">
        <f>IF(C71&lt;&gt;"",高値!F55,"")</f>
        <v>4305</v>
      </c>
      <c r="AS71">
        <f>IF(C71&lt;&gt;"",安値!F55,"")</f>
        <v>3990</v>
      </c>
      <c r="AT71" t="str">
        <f>IF(OR(C71="",AQ71="",AR71="",AS71="",AR71-AS71&lt;=0),"-",IF(AND(AR71-MAX(G71,AQ71)&gt;=ABS(G71-AQ71)*2,MIN(G71,AQ71)-AS71&lt;=ABS(G71-AQ71)*0.5,ABS(G71-AQ71)&gt;0),"上ヒゲ陰線▼",IF(AND(G71&lt;AQ71,ABS(G71-AQ71)&gt;=(AR71-AS71)*0.7),"大陰線▼",IF(AND(MIN(G71,AQ71)-AS71&gt;=(AR71-AS71)*0.5,AR71-MAX(G71,AQ71)&lt;=(AR71-AS71)*0.2),"長い下ヒゲ(反発)","通常"))))</f>
        <v>通常</v>
      </c>
      <c r="AU71">
        <f>IF(AT71="上ヒゲ陰線▼",2,IF(AT71="大陰線▼",2,IF(AT71="長い下ヒゲ(反発)",-2,0)))</f>
        <v>0</v>
      </c>
      <c r="BA71">
        <f>IFERROR((SUM(OFFSET(高値!$E$6,IFERROR(MATCH($C71,銘柄管理!$B$6:$B$305,0),MATCH(TEXT($C71,"0"),銘柄管理!$B$6:$B$305,0))-1,0,1,14))-SUM(OFFSET(安値!$E$6,IFERROR(MATCH($C71,銘柄管理!$B$6:$B$305,0),MATCH(TEXT($C71,"0"),銘柄管理!$B$6:$B$305,0))-1,0,1,14)))/SUM(OFFSET(終値!$E$6,IFERROR(MATCH($C71,銘柄管理!$B$6:$B$305,0),MATCH(TEXT($C71,"0"),銘柄管理!$B$6:$B$305,0))-1,0,1,14))*100,"")</f>
      </c>
      <c r="BB71">
        <f>IFERROR((MAX(OFFSET(高値!$E$6,IFERROR(MATCH($C71,銘柄管理!$B$6:$B$305,0),MATCH(TEXT($C71,"0"),銘柄管理!$B$6:$B$305,0))-1,0,1,25))-MIN(OFFSET(安値!$E$6,IFERROR(MATCH($C71,銘柄管理!$B$6:$B$305,0),MATCH(TEXT($C71,"0"),銘柄管理!$B$6:$B$305,0))-1,0,1,25)))/$E71*100,"")</f>
      </c>
      <c r="BC71">
        <f>IFERROR(($F71-$G71)/$G71*100,"")</f>
      </c>
      <c r="BD71">
        <f>IFERROR(($E71-MAX(OFFSET(高値!$E$6,IFERROR(MATCH($C71,銘柄管理!$B$6:$B$305,0),MATCH(TEXT($C71,"0"),銘柄管理!$B$6:$B$305,0))-1,0,1,25)))/MAX(OFFSET(高値!$E$6,IFERROR(MATCH($C71,銘柄管理!$B$6:$B$305,0),MATCH(TEXT($C71,"0"),銘柄管理!$B$6:$B$305,0))-1,0,1,25))*100,"")</f>
      </c>
      <c r="BE71">
        <f>IFERROR(($H71-$I71)/$F71*100,"")</f>
      </c>
      <c r="BF71">
        <f>IFERROR(-(($BA71-AVERAGE($BA$3:$BA$206))/STDEV($BA$3:$BA$206))-(($BE71-AVERAGE($BE$3:$BE$206))/STDEV($BE$3:$BE$206))-(($BB71-AVERAGE($BB$3:$BB$206))/STDEV($BB$3:$BB$206))-(($Z71-AVERAGE($Z$3:$Z$206))/STDEV($Z$3:$Z$206))-(($BC71-AVERAGE($BC$3:$BC$206))/STDEV($BC$3:$BC$206)),"")</f>
      </c>
      <c r="BG71">
        <f>IF(OR($C71="",$C71="TOPX",$BA71="",$BF71=""),0,IF(AND($BK$10=1,$BA71&lt;=$BK$2,$BB71&lt;=$BK$3,$BC71&lt;=$BK$4,$Z71&lt;=$BK$5,$Z71&gt;=$BK$6,$BD71&gt;=$BK$7,$BE71&lt;=$BK$8),1,0))</f>
      </c>
      <c r="BH71">
        <f>IF($C71="","",IF($BG71=1,"○ゲート通過",IF($BK$10&lt;&gt;1,"― この方向は停止中",IF($BA71&gt;$BK$2,"×値動きが荒い",IF($BB71&gt;$BK$3,"×レンジが広い",IF($BC71&gt;$BK$4,"×窓を開けて上昇",IF($Z71&gt;$BK$5,"×前日に急騰",IF($Z71&lt;$BK$6,"×前日に急落",IF($BD71&lt;$BK$7,"×高値から離れすぎ",IF($BE71&gt;$BK$8,"×当日の値幅が大きい","×")))))))))</f>
      </c>
    </row>
    <row r="72" spans="1:60"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IF(AND(E72&lt;&gt;"",K72&lt;&gt;"",K72&lt;&gt;0),(E72-K72)/K72*100,"")</f>
        <v>-40.780413159908186</v>
      </c>
      <c r="M72" s="333">
        <f>IF(C72&lt;&gt;"",IFERROR(AVERAGE(出来高!E69:I69),""),"")</f>
        <v>2912260</v>
      </c>
      <c r="N72" s="333">
        <f>IF(C72&lt;&gt;"",IFERROR(AVERAGE(出来高!E69:AC69),""),"")</f>
        <v>1896376</v>
      </c>
      <c r="O72" s="335">
        <f>IF(AND(J72&lt;&gt;"",M72&lt;&gt;"",M72&lt;&gt;0),J72/M72,"")</f>
        <v>1.0803980413836676</v>
      </c>
      <c r="P72" s="212" t="str">
        <f>IF(O72="","",IF(O72&gt;=2,"急増↑↑",IF(O72&gt;=1.5,"増加↑",IF(O72&gt;=1,"普通→","減少↓"))))</f>
        <v>普通→</v>
      </c>
      <c r="Q72" s="212" t="str">
        <f>IF(E72="","",IF(AND(E72&lt;G72,O72&gt;=1.5),"売り▼",IF(E72&gt;G72,"様子見▲","中立→")))</f>
        <v>中立→</v>
      </c>
      <c r="R72" s="333">
        <f>IF(E72&lt;&gt;"",ROUND(E72*0.92,0),"")</f>
        <v>2848</v>
      </c>
      <c r="S72" s="333">
        <f>IF(E72&lt;&gt;"",ROUND(E72*1.04,0),"")</f>
        <v>3220</v>
      </c>
      <c r="T72" s="325">
        <f>IF(C72="","",IFERROR(IF(W72&gt;=70,3,IF(W72&gt;=60,2,IF(W72&gt;=50,1,0)))+IF(X72&lt;0,2,0)+IF(AD72="下降トレンド▼",3,IF(AD72="もみ合い→",1,0))+IF(V72="年初来安値圏●",3,IF(V72="安値圏",2,0))+IF(Q72="売り▼",2,0)+IF(P72="急増↑↑",2,IF(P72="増加↑",1,0))+IF(Z72&lt;0,1,0)+IF(L72&lt;=-30,2,IF(L72&lt;=-15,1,0))+IF(AE72="25日戻り売り★",2,IF(AE72="5日戻り売り○",1,0))+N(AL72)+N(AP72)+N(AU72),0))</f>
        <v>14</v>
      </c>
      <c r="U72" s="212" t="str">
        <f>IF(T72="","",IF(AND(T72&gt;=3,O72&gt;=1.5),"有効",IF(T72&gt;=3,"要確認","除外")))</f>
        <v>要確認</v>
      </c>
      <c r="V72" s="212" t="str">
        <f>IF(AND(I72&lt;&gt;"",K72&lt;&gt;""),IF(I72&lt;=K72*0.6,"年初来安値圏●",IF(I72&lt;=K72*0.75,"安値圏","通常")),"")</f>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IF(AF72="","",AF72&amp;" | "&amp;AD72&amp;IF(AE72&lt;&gt;"なし"," "&amp;AE72,"")&amp;IF(X72&lt;0," MACD-"," MACD+")&amp;" RSI:"&amp;TEXT(W72,"0.0")&amp;IF(W72&gt;=70," [過熱]",IF(W72&lt;=30," [売られ過ぎ]",""))&amp;" 前日比:"&amp;TEXT(Z72,"+0.0;-0.0;0.0")&amp;"%"&amp;IF(V72="年初来安値圏●"," [年初来安値圏]",IF(V72="安値圏"," [安値圏]",""))&amp;IF(OR(AO72="通常",AO72="-"),""," ["&amp;AO72&amp;"]")&amp;IF(OR(AT72="通常",AT72="-"),"","前日["&amp;AT72&amp;"]")&amp;" ["&amp;T72&amp;"点]")</f>
        <v>相場上昇・見送り | 下降トレンド▼ MACD- RSI:32.5 前日比:-5.9% [年初来安値圏] [14点]</v>
      </c>
      <c r="Z72" s="338">
        <f>IF(AND(E72&lt;&gt;"",G72&lt;&gt;"",G72&lt;&gt;0),(E72-G72)/G72*100,"")</f>
        <v>-5.9252506836827719</v>
      </c>
      <c r="AA72" s="212" t="str">
        <f>IF(OR(C72="",E72="",E72=0),"",IF(E72&gt;G72,"上昇▲",IF(E72&lt;G72,"下落▼","横ばい→")))</f>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IF(OR(C72="",AB72="",AC72="",AB72=0,AC72=0),"",IF(AND(E72&gt;AB72,AB72&gt;AC72),"パーフェクト▲",IF(E72&gt;AC72,"上昇トレンド▲",IF(AND(E72&lt;AB72,AB72&lt;AC72),"下降トレンド▼","もみ合い→"))))</f>
        <v>下降トレンド▼</v>
      </c>
      <c r="AE72" s="212" t="str">
        <f>IF(OR(C72="",AB72="",AC72=""),"",IF(AND(ABS(E72-AC72)/AC72&lt;=0.02,E72&lt;AC72),"25日戻り売り★",IF(AND(ABS(E72-AB72)/AB72&lt;=0.01,E72&lt;AB72),"5日戻り売り○","なし")))</f>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IF(AND(T72&gt;=7,C72&lt;&gt;""),T72,0)</f>
        <v>14</v>
      </c>
      <c r="AH72">
        <f>IF(AG72&gt;0,AG72*10000-ROW(A72),0)</f>
        <v>139928</v>
      </c>
      <c r="AI72" s="373">
        <f t="array" ref="AI72">IF(C72="","",IFERROR((INDEX(終値!$E:$E,MATCH(TEXT(C72,"0"),終値!$A:$A,0))-INDEX(終値!$E:$CZ,MATCH(TEXT(C72,"0"),終値!$A:$A,0),$AN$2))/INDEX(終値!$E:$CZ,MATCH(TEXT(C72,"0"),終値!$A:$A,0),$AN$2)*100,""))</f>
        <v>-26.33832976445396</v>
      </c>
      <c r="AJ72" s="373">
        <f t="array" ref="AJ72">IFERROR((終値!$E$5-INDEX(終値!$E$5:$IT$5,1,$AN$2))/INDEX(終値!$E$5:$IT$5,1,$AN$2)*100,"")</f>
        <v>1.0179378228534113</v>
      </c>
      <c r="AK72" s="374">
        <f>IF(OR(AI72="",AJ72=""),"",AI72-AJ72)</f>
        <v>-27.356267587307372</v>
      </c>
      <c r="AL72" s="372">
        <f>IF(AK72="","",IF(AK72&lt;-5,3,IF(AK72&lt;0,1,IF(AK72&lt;3,-1,-2))))</f>
        <v>3</v>
      </c>
      <c r="AO72" s="376" t="str">
        <f>IF(OR($C72="",$E72="",$F72="",$H72="",$I72="",$H72-$I72&lt;=0),"-",IF(AND($H72-MAX($F72,$E72)&gt;=ABS($E72-$F72)*2,MIN($F72,$E72)-$I72&lt;=ABS($E72-$F72)*0.5,ABS($E72-$F72)&gt;0),"上ヒゲ陰線▼",IF(AND($E72&lt;$F72,ABS($E72-$F72)&gt;=($H72-$I72)*0.7),"大陰線▼",IF(AND(MIN($F72,$E72)-$I72&gt;=($H72-$I72)*0.5,$H72-MAX($F72,$E72)&lt;=($H72-$I72)*0.2),"長い下ヒゲ(反発警戒)","通常"))))</f>
        <v>通常</v>
      </c>
      <c r="AP72" s="377">
        <f>IF($AO72="上ヒゲ陰線▼",2,IF($AO72="大陰線▼",2,IF($AO72="長い下ヒゲ(反発警戒)",-2,0)))</f>
        <v>0</v>
      </c>
      <c r="AQ72">
        <f>IF(C72&lt;&gt;"",始値!F69,"")</f>
        <v>3271</v>
      </c>
      <c r="AR72">
        <f>IF(C72&lt;&gt;"",高値!F69,"")</f>
        <v>3349</v>
      </c>
      <c r="AS72">
        <f>IF(C72&lt;&gt;"",安値!F69,"")</f>
        <v>3170</v>
      </c>
      <c r="AT72" t="str">
        <f>IF(OR(C72="",AQ72="",AR72="",AS72="",AR72-AS72&lt;=0),"-",IF(AND(AR72-MAX(G72,AQ72)&gt;=ABS(G72-AQ72)*2,MIN(G72,AQ72)-AS72&lt;=ABS(G72-AQ72)*0.5,ABS(G72-AQ72)&gt;0),"上ヒゲ陰線▼",IF(AND(G72&lt;AQ72,ABS(G72-AQ72)&gt;=(AR72-AS72)*0.7),"大陰線▼",IF(AND(MIN(G72,AQ72)-AS72&gt;=(AR72-AS72)*0.5,AR72-MAX(G72,AQ72)&lt;=(AR72-AS72)*0.2),"長い下ヒゲ(反発)","通常"))))</f>
        <v>通常</v>
      </c>
      <c r="AU72">
        <f>IF(AT72="上ヒゲ陰線▼",2,IF(AT72="大陰線▼",2,IF(AT72="長い下ヒゲ(反発)",-2,0)))</f>
        <v>0</v>
      </c>
      <c r="BA72">
        <f>IFERROR((SUM(OFFSET(高値!$E$6,IFERROR(MATCH($C72,銘柄管理!$B$6:$B$305,0),MATCH(TEXT($C72,"0"),銘柄管理!$B$6:$B$305,0))-1,0,1,14))-SUM(OFFSET(安値!$E$6,IFERROR(MATCH($C72,銘柄管理!$B$6:$B$305,0),MATCH(TEXT($C72,"0"),銘柄管理!$B$6:$B$305,0))-1,0,1,14)))/SUM(OFFSET(終値!$E$6,IFERROR(MATCH($C72,銘柄管理!$B$6:$B$305,0),MATCH(TEXT($C72,"0"),銘柄管理!$B$6:$B$305,0))-1,0,1,14))*100,"")</f>
      </c>
      <c r="BB72">
        <f>IFERROR((MAX(OFFSET(高値!$E$6,IFERROR(MATCH($C72,銘柄管理!$B$6:$B$305,0),MATCH(TEXT($C72,"0"),銘柄管理!$B$6:$B$305,0))-1,0,1,25))-MIN(OFFSET(安値!$E$6,IFERROR(MATCH($C72,銘柄管理!$B$6:$B$305,0),MATCH(TEXT($C72,"0"),銘柄管理!$B$6:$B$305,0))-1,0,1,25)))/$E72*100,"")</f>
      </c>
      <c r="BC72">
        <f>IFERROR(($F72-$G72)/$G72*100,"")</f>
      </c>
      <c r="BD72">
        <f>IFERROR(($E72-MAX(OFFSET(高値!$E$6,IFERROR(MATCH($C72,銘柄管理!$B$6:$B$305,0),MATCH(TEXT($C72,"0"),銘柄管理!$B$6:$B$305,0))-1,0,1,25)))/MAX(OFFSET(高値!$E$6,IFERROR(MATCH($C72,銘柄管理!$B$6:$B$305,0),MATCH(TEXT($C72,"0"),銘柄管理!$B$6:$B$305,0))-1,0,1,25))*100,"")</f>
      </c>
      <c r="BE72">
        <f>IFERROR(($H72-$I72)/$F72*100,"")</f>
      </c>
      <c r="BF72">
        <f>IFERROR(-(($BA72-AVERAGE($BA$3:$BA$206))/STDEV($BA$3:$BA$206))-(($BE72-AVERAGE($BE$3:$BE$206))/STDEV($BE$3:$BE$206))-(($BB72-AVERAGE($BB$3:$BB$206))/STDEV($BB$3:$BB$206))-(($Z72-AVERAGE($Z$3:$Z$206))/STDEV($Z$3:$Z$206))-(($BC72-AVERAGE($BC$3:$BC$206))/STDEV($BC$3:$BC$206)),"")</f>
      </c>
      <c r="BG72">
        <f>IF(OR($C72="",$C72="TOPX",$BA72="",$BF72=""),0,IF(AND($BK$10=1,$BA72&lt;=$BK$2,$BB72&lt;=$BK$3,$BC72&lt;=$BK$4,$Z72&lt;=$BK$5,$Z72&gt;=$BK$6,$BD72&gt;=$BK$7,$BE72&lt;=$BK$8),1,0))</f>
      </c>
      <c r="BH72">
        <f>IF($C72="","",IF($BG72=1,"○ゲート通過",IF($BK$10&lt;&gt;1,"― この方向は停止中",IF($BA72&gt;$BK$2,"×値動きが荒い",IF($BB72&gt;$BK$3,"×レンジが広い",IF($BC72&gt;$BK$4,"×窓を開けて上昇",IF($Z72&gt;$BK$5,"×前日に急騰",IF($Z72&lt;$BK$6,"×前日に急落",IF($BD72&lt;$BK$7,"×高値から離れすぎ",IF($BE72&gt;$BK$8,"×当日の値幅が大きい","×")))))))))</f>
      </c>
    </row>
    <row r="73" spans="1:60"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IF(AND(E73&lt;&gt;"",K73&lt;&gt;"",K73&lt;&gt;0),(E73-K73)/K73*100,"")</f>
        <v>-25.412499999999998</v>
      </c>
      <c r="M73" s="326">
        <f>IF(C73&lt;&gt;"",IFERROR(AVERAGE(出来高!E77:I77),""),"")</f>
        <v>46197340</v>
      </c>
      <c r="N73" s="326">
        <f>IF(C73&lt;&gt;"",IFERROR(AVERAGE(出来高!E77:AC77),""),"")</f>
        <v>34860832</v>
      </c>
      <c r="O73" s="328">
        <f>IF(AND(J73&lt;&gt;"",M73&lt;&gt;"",M73&lt;&gt;0),J73/M73,"")</f>
        <v>0.69202902158435964</v>
      </c>
      <c r="P73" s="325" t="str">
        <f>IF(O73="","",IF(O73&gt;=2,"急増↑↑",IF(O73&gt;=1.5,"増加↑",IF(O73&gt;=1,"普通→","減少↓"))))</f>
        <v>減少↓</v>
      </c>
      <c r="Q73" s="325" t="str">
        <f>IF(E73="","",IF(AND(E73&lt;G73,O73&gt;=1.5),"売り▼",IF(E73&gt;G73,"様子見▲","中立→")))</f>
        <v>様子見▲</v>
      </c>
      <c r="R73" s="326">
        <f>IF(E73&lt;&gt;"",ROUND(E73*0.92,0),"")</f>
        <v>2745</v>
      </c>
      <c r="S73" s="326">
        <f>IF(E73&lt;&gt;"",ROUND(E73*1.04,0),"")</f>
        <v>3103</v>
      </c>
      <c r="T73" s="325">
        <f>IF(C73="","",IFERROR(IF(W73&gt;=70,3,IF(W73&gt;=60,2,IF(W73&gt;=50,1,0)))+IF(X73&lt;0,2,0)+IF(AD73="下降トレンド▼",3,IF(AD73="もみ合い→",1,0))+IF(V73="年初来安値圏●",3,IF(V73="安値圏",2,0))+IF(Q73="売り▼",2,0)+IF(P73="急増↑↑",2,IF(P73="増加↑",1,0))+IF(Z73&lt;0,1,0)+IF(L73&lt;=-30,2,IF(L73&lt;=-15,1,0))+IF(AE73="25日戻り売り★",2,IF(AE73="5日戻り売り○",1,0))+N(AL73)+N(AP73)+N(AU73),0))</f>
        <v>0</v>
      </c>
      <c r="U73" s="325" t="str">
        <f>IF(T73="","",IF(AND(T73&gt;=3,O73&gt;=1.5),"有効",IF(T73&gt;=3,"要確認","除外")))</f>
        <v>除外</v>
      </c>
      <c r="V73" s="325" t="str">
        <f>IF(AND(I73&lt;&gt;"",K73&lt;&gt;""),IF(I73&lt;=K73*0.6,"年初来安値圏●",IF(I73&lt;=K73*0.75,"安値圏","通常")),"")</f>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IF(AF73="","",AF73&amp;" | "&amp;AD73&amp;IF(AE73&lt;&gt;"なし"," "&amp;AE73,"")&amp;IF(X73&lt;0," MACD-"," MACD+")&amp;" RSI:"&amp;TEXT(W73,"0.0")&amp;IF(W73&gt;=70," [過熱]",IF(W73&lt;=30," [売られ過ぎ]",""))&amp;" 前日比:"&amp;TEXT(Z73,"+0.0;-0.0;0.0")&amp;"%"&amp;IF(V73="年初来安値圏●"," [年初来安値圏]",IF(V73="安値圏"," [安値圏]",""))&amp;IF(OR(AO73="通常",AO73="-"),""," ["&amp;AO73&amp;"]")&amp;IF(OR(AT73="通常",AT73="-"),"","前日["&amp;AT73&amp;"]")&amp;" ["&amp;T73&amp;"点]")</f>
        <v>相場上昇・見送り | 上昇トレンド▲ MACD+ RSI:52.5 前日比:+2.4% [安値圏]前日[長い下ヒゲ(反発)] [0点]</v>
      </c>
      <c r="Z73" s="331">
        <f>IF(AND(E73&lt;&gt;"",G73&lt;&gt;"",G73&lt;&gt;0),(E73-G73)/G73*100,"")</f>
        <v>2.3674729799279466</v>
      </c>
      <c r="AA73" s="325" t="str">
        <f>IF(OR(C73="",E73="",E73=0),"",IF(E73&gt;G73,"上昇▲",IF(E73&lt;G73,"下落▼","横ばい→")))</f>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IF(OR(C73="",AB73="",AC73="",AB73=0,AC73=0),"",IF(AND(E73&gt;AB73,AB73&gt;AC73),"パーフェクト▲",IF(E73&gt;AC73,"上昇トレンド▲",IF(AND(E73&lt;AB73,AB73&lt;AC73),"下降トレンド▼","もみ合い→"))))</f>
        <v>上昇トレンド▲</v>
      </c>
      <c r="AE73" s="325" t="str">
        <f>IF(OR(C73="",AB73="",AC73=""),"",IF(AND(ABS(E73-AC73)/AC73&lt;=0.02,E73&lt;AC73),"25日戻り売り★",IF(AND(ABS(E73-AB73)/AB73&lt;=0.01,E73&lt;AB73),"5日戻り売り○","なし")))</f>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IF(AND(T73&gt;=7,C73&lt;&gt;""),T73,0)</f>
        <v>0</v>
      </c>
      <c r="AH73">
        <f>IF(AG73&gt;0,AG73*10000-ROW(A73),0)</f>
        <v>0</v>
      </c>
      <c r="AI73" s="373">
        <f t="array" ref="AI73">IF(C73="","",IFERROR((INDEX(終値!$E:$E,MATCH(TEXT(C73,"0"),終値!$A:$A,0))-INDEX(終値!$E:$CZ,MATCH(TEXT(C73,"0"),終値!$A:$A,0),$AN$2))/INDEX(終値!$E:$CZ,MATCH(TEXT(C73,"0"),終値!$A:$A,0),$AN$2)*100,""))</f>
        <v>9.5063314369609095</v>
      </c>
      <c r="AJ73" s="373">
        <f t="array" ref="AJ73">IFERROR((終値!$E$5-INDEX(終値!$E$5:$IT$5,1,$AN$2))/INDEX(終値!$E$5:$IT$5,1,$AN$2)*100,"")</f>
        <v>1.0179378228534113</v>
      </c>
      <c r="AK73" s="374">
        <f>IF(OR(AI73="",AJ73=""),"",AI73-AJ73)</f>
        <v>8.4883936141074976</v>
      </c>
      <c r="AL73" s="372">
        <f>IF(AK73="","",IF(AK73&lt;-5,3,IF(AK73&lt;0,1,IF(AK73&lt;3,-1,-2))))</f>
        <v>-2</v>
      </c>
      <c r="AO73" s="376" t="str">
        <f>IF(OR($C73="",$E73="",$F73="",$H73="",$I73="",$H73-$I73&lt;=0),"-",IF(AND($H73-MAX($F73,$E73)&gt;=ABS($E73-$F73)*2,MIN($F73,$E73)-$I73&lt;=ABS($E73-$F73)*0.5,ABS($E73-$F73)&gt;0),"上ヒゲ陰線▼",IF(AND($E73&lt;$F73,ABS($E73-$F73)&gt;=($H73-$I73)*0.7),"大陰線▼",IF(AND(MIN($F73,$E73)-$I73&gt;=($H73-$I73)*0.5,$H73-MAX($F73,$E73)&lt;=($H73-$I73)*0.2),"長い下ヒゲ(反発警戒)","通常"))))</f>
        <v>通常</v>
      </c>
      <c r="AP73" s="377">
        <f>IF($AO73="上ヒゲ陰線▼",2,IF($AO73="大陰線▼",2,IF($AO73="長い下ヒゲ(反発警戒)",-2,0)))</f>
        <v>0</v>
      </c>
      <c r="AQ73">
        <f>IF(C73&lt;&gt;"",始値!F77,"")</f>
        <v>2903</v>
      </c>
      <c r="AR73">
        <f>IF(C73&lt;&gt;"",高値!F77,"")</f>
        <v>2924.5</v>
      </c>
      <c r="AS73">
        <f>IF(C73&lt;&gt;"",安値!F77,"")</f>
        <v>2869.5</v>
      </c>
      <c r="AT73" t="str">
        <f>IF(OR(C73="",AQ73="",AR73="",AS73="",AR73-AS73&lt;=0),"-",IF(AND(AR73-MAX(G73,AQ73)&gt;=ABS(G73-AQ73)*2,MIN(G73,AQ73)-AS73&lt;=ABS(G73-AQ73)*0.5,ABS(G73-AQ73)&gt;0),"上ヒゲ陰線▼",IF(AND(G73&lt;AQ73,ABS(G73-AQ73)&gt;=(AR73-AS73)*0.7),"大陰線▼",IF(AND(MIN(G73,AQ73)-AS73&gt;=(AR73-AS73)*0.5,AR73-MAX(G73,AQ73)&lt;=(AR73-AS73)*0.2),"長い下ヒゲ(反発)","通常"))))</f>
        <v>長い下ヒゲ(反発)</v>
      </c>
      <c r="AU73">
        <f>IF(AT73="上ヒゲ陰線▼",2,IF(AT73="大陰線▼",2,IF(AT73="長い下ヒゲ(反発)",-2,0)))</f>
        <v>-2</v>
      </c>
      <c r="BA73">
        <f>IFERROR((SUM(OFFSET(高値!$E$6,IFERROR(MATCH($C73,銘柄管理!$B$6:$B$305,0),MATCH(TEXT($C73,"0"),銘柄管理!$B$6:$B$305,0))-1,0,1,14))-SUM(OFFSET(安値!$E$6,IFERROR(MATCH($C73,銘柄管理!$B$6:$B$305,0),MATCH(TEXT($C73,"0"),銘柄管理!$B$6:$B$305,0))-1,0,1,14)))/SUM(OFFSET(終値!$E$6,IFERROR(MATCH($C73,銘柄管理!$B$6:$B$305,0),MATCH(TEXT($C73,"0"),銘柄管理!$B$6:$B$305,0))-1,0,1,14))*100,"")</f>
      </c>
      <c r="BB73">
        <f>IFERROR((MAX(OFFSET(高値!$E$6,IFERROR(MATCH($C73,銘柄管理!$B$6:$B$305,0),MATCH(TEXT($C73,"0"),銘柄管理!$B$6:$B$305,0))-1,0,1,25))-MIN(OFFSET(安値!$E$6,IFERROR(MATCH($C73,銘柄管理!$B$6:$B$305,0),MATCH(TEXT($C73,"0"),銘柄管理!$B$6:$B$305,0))-1,0,1,25)))/$E73*100,"")</f>
      </c>
      <c r="BC73">
        <f>IFERROR(($F73-$G73)/$G73*100,"")</f>
      </c>
      <c r="BD73">
        <f>IFERROR(($E73-MAX(OFFSET(高値!$E$6,IFERROR(MATCH($C73,銘柄管理!$B$6:$B$305,0),MATCH(TEXT($C73,"0"),銘柄管理!$B$6:$B$305,0))-1,0,1,25)))/MAX(OFFSET(高値!$E$6,IFERROR(MATCH($C73,銘柄管理!$B$6:$B$305,0),MATCH(TEXT($C73,"0"),銘柄管理!$B$6:$B$305,0))-1,0,1,25))*100,"")</f>
      </c>
      <c r="BE73">
        <f>IFERROR(($H73-$I73)/$F73*100,"")</f>
      </c>
      <c r="BF73">
        <f>IFERROR(-(($BA73-AVERAGE($BA$3:$BA$206))/STDEV($BA$3:$BA$206))-(($BE73-AVERAGE($BE$3:$BE$206))/STDEV($BE$3:$BE$206))-(($BB73-AVERAGE($BB$3:$BB$206))/STDEV($BB$3:$BB$206))-(($Z73-AVERAGE($Z$3:$Z$206))/STDEV($Z$3:$Z$206))-(($BC73-AVERAGE($BC$3:$BC$206))/STDEV($BC$3:$BC$206)),"")</f>
      </c>
      <c r="BG73">
        <f>IF(OR($C73="",$C73="TOPX",$BA73="",$BF73=""),0,IF(AND($BK$10=1,$BA73&lt;=$BK$2,$BB73&lt;=$BK$3,$BC73&lt;=$BK$4,$Z73&lt;=$BK$5,$Z73&gt;=$BK$6,$BD73&gt;=$BK$7,$BE73&lt;=$BK$8),1,0))</f>
      </c>
      <c r="BH73">
        <f>IF($C73="","",IF($BG73=1,"○ゲート通過",IF($BK$10&lt;&gt;1,"― この方向は停止中",IF($BA73&gt;$BK$2,"×値動きが荒い",IF($BB73&gt;$BK$3,"×レンジが広い",IF($BC73&gt;$BK$4,"×窓を開けて上昇",IF($Z73&gt;$BK$5,"×前日に急騰",IF($Z73&lt;$BK$6,"×前日に急落",IF($BD73&lt;$BK$7,"×高値から離れすぎ",IF($BE73&gt;$BK$8,"×当日の値幅が大きい","×")))))))))</f>
      </c>
    </row>
    <row r="74" spans="1:60"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IF(AND(E74&lt;&gt;"",K74&lt;&gt;"",K74&lt;&gt;0),(E74-K74)/K74*100,"")</f>
        <v>-25.626461744069495</v>
      </c>
      <c r="M74" s="333">
        <f>IF(C74&lt;&gt;"",IFERROR(AVERAGE(出来高!E89:I89),""),"")</f>
        <v>33440</v>
      </c>
      <c r="N74" s="333">
        <f>IF(C74&lt;&gt;"",IFERROR(AVERAGE(出来高!E89:AC89),""),"")</f>
        <v>46228</v>
      </c>
      <c r="O74" s="335">
        <f>IF(AND(J74&lt;&gt;"",M74&lt;&gt;"",M74&lt;&gt;0),J74/M74,"")</f>
        <v>0.83433014354066981</v>
      </c>
      <c r="P74" s="212" t="str">
        <f>IF(O74="","",IF(O74&gt;=2,"急増↑↑",IF(O74&gt;=1.5,"増加↑",IF(O74&gt;=1,"普通→","減少↓"))))</f>
        <v>減少↓</v>
      </c>
      <c r="Q74" s="212" t="str">
        <f>IF(E74="","",IF(AND(E74&lt;G74,O74&gt;=1.5),"売り▼",IF(E74&gt;G74,"様子見▲","中立→")))</f>
        <v>様子見▲</v>
      </c>
      <c r="R74" s="333">
        <f>IF(E74&lt;&gt;"",ROUND(E74*0.92,0),"")</f>
        <v>2048</v>
      </c>
      <c r="S74" s="333">
        <f>IF(E74&lt;&gt;"",ROUND(E74*1.04,0),"")</f>
        <v>2315</v>
      </c>
      <c r="T74" s="325">
        <f>IF(C74="","",IFERROR(IF(W74&gt;=70,3,IF(W74&gt;=60,2,IF(W74&gt;=50,1,0)))+IF(X74&lt;0,2,0)+IF(AD74="下降トレンド▼",3,IF(AD74="もみ合い→",1,0))+IF(V74="年初来安値圏●",3,IF(V74="安値圏",2,0))+IF(Q74="売り▼",2,0)+IF(P74="急増↑↑",2,IF(P74="増加↑",1,0))+IF(Z74&lt;0,1,0)+IF(L74&lt;=-30,2,IF(L74&lt;=-15,1,0))+IF(AE74="25日戻り売り★",2,IF(AE74="5日戻り売り○",1,0))+N(AL74)+N(AP74)+N(AU74),0))</f>
        <v>3</v>
      </c>
      <c r="U74" s="212" t="str">
        <f>IF(T74="","",IF(AND(T74&gt;=3,O74&gt;=1.5),"有効",IF(T74&gt;=3,"要確認","除外")))</f>
        <v>要確認</v>
      </c>
      <c r="V74" s="212" t="str">
        <f>IF(AND(I74&lt;&gt;"",K74&lt;&gt;""),IF(I74&lt;=K74*0.6,"年初来安値圏●",IF(I74&lt;=K74*0.75,"安値圏","通常")),"")</f>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IF(AF74="","",AF74&amp;" | "&amp;AD74&amp;IF(AE74&lt;&gt;"なし"," "&amp;AE74,"")&amp;IF(X74&lt;0," MACD-"," MACD+")&amp;" RSI:"&amp;TEXT(W74,"0.0")&amp;IF(W74&gt;=70," [過熱]",IF(W74&lt;=30," [売られ過ぎ]",""))&amp;" 前日比:"&amp;TEXT(Z74,"+0.0;-0.0;0.0")&amp;"%"&amp;IF(V74="年初来安値圏●"," [年初来安値圏]",IF(V74="安値圏"," [安値圏]",""))&amp;IF(OR(AO74="通常",AO74="-"),""," ["&amp;AO74&amp;"]")&amp;IF(OR(AT74="通常",AT74="-"),"","前日["&amp;AT74&amp;"]")&amp;" ["&amp;T74&amp;"点]")</f>
        <v>相場上昇・見送り | パーフェクト▲ MACD+ RSI:62.4 前日比:+0.6% [安値圏] [3点]</v>
      </c>
      <c r="Z74" s="338">
        <f>IF(AND(E74&lt;&gt;"",G74&lt;&gt;"",G74&lt;&gt;0),(E74-G74)/G74*100,"")</f>
        <v>0.58743786714866697</v>
      </c>
      <c r="AA74" s="212" t="str">
        <f>IF(OR(C74="",E74="",E74=0),"",IF(E74&gt;G74,"上昇▲",IF(E74&lt;G74,"下落▼","横ばい→")))</f>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IF(OR(C74="",AB74="",AC74="",AB74=0,AC74=0),"",IF(AND(E74&gt;AB74,AB74&gt;AC74),"パーフェクト▲",IF(E74&gt;AC74,"上昇トレンド▲",IF(AND(E74&lt;AB74,AB74&lt;AC74),"下降トレンド▼","もみ合い→"))))</f>
        <v>パーフェクト▲</v>
      </c>
      <c r="AE74" s="212" t="str">
        <f>IF(OR(C74="",AB74="",AC74=""),"",IF(AND(ABS(E74-AC74)/AC74&lt;=0.02,E74&lt;AC74),"25日戻り売り★",IF(AND(ABS(E74-AB74)/AB74&lt;=0.01,E74&lt;AB74),"5日戻り売り○","なし")))</f>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IF(AND(T74&gt;=7,C74&lt;&gt;""),T74,0)</f>
        <v>0</v>
      </c>
      <c r="AH74">
        <f>IF(AG74&gt;0,AG74*10000-ROW(A74),0)</f>
        <v>0</v>
      </c>
      <c r="AI74" s="373">
        <f t="array" ref="AI74">IF(C74="","",IFERROR((INDEX(終値!$E:$E,MATCH(TEXT(C74,"0"),終値!$A:$A,0))-INDEX(終値!$E:$CZ,MATCH(TEXT(C74,"0"),終値!$A:$A,0),$AN$2))/INDEX(終値!$E:$CZ,MATCH(TEXT(C74,"0"),終値!$A:$A,0),$AN$2)*100,""))</f>
        <v>9.5472440944881889</v>
      </c>
      <c r="AJ74" s="373">
        <f t="array" ref="AJ74">IFERROR((終値!$E$5-INDEX(終値!$E$5:$IT$5,1,$AN$2))/INDEX(終値!$E$5:$IT$5,1,$AN$2)*100,"")</f>
        <v>1.0179378228534113</v>
      </c>
      <c r="AK74" s="374">
        <f>IF(OR(AI74="",AJ74=""),"",AI74-AJ74)</f>
        <v>8.5293062716347769</v>
      </c>
      <c r="AL74" s="372">
        <f>IF(AK74="","",IF(AK74&lt;-5,3,IF(AK74&lt;0,1,IF(AK74&lt;3,-1,-2))))</f>
        <v>-2</v>
      </c>
      <c r="AO74" s="376" t="str">
        <f>IF(OR($C74="",$E74="",$F74="",$H74="",$I74="",$H74-$I74&lt;=0),"-",IF(AND($H74-MAX($F74,$E74)&gt;=ABS($E74-$F74)*2,MIN($F74,$E74)-$I74&lt;=ABS($E74-$F74)*0.5,ABS($E74-$F74)&gt;0),"上ヒゲ陰線▼",IF(AND($E74&lt;$F74,ABS($E74-$F74)&gt;=($H74-$I74)*0.7),"大陰線▼",IF(AND(MIN($F74,$E74)-$I74&gt;=($H74-$I74)*0.5,$H74-MAX($F74,$E74)&lt;=($H74-$I74)*0.2),"長い下ヒゲ(反発警戒)","通常"))))</f>
        <v>通常</v>
      </c>
      <c r="AP74" s="377">
        <f>IF($AO74="上ヒゲ陰線▼",2,IF($AO74="大陰線▼",2,IF($AO74="長い下ヒゲ(反発警戒)",-2,0)))</f>
        <v>0</v>
      </c>
      <c r="AQ74">
        <f>IF(C74&lt;&gt;"",始値!F89,"")</f>
        <v>2124</v>
      </c>
      <c r="AR74">
        <f>IF(C74&lt;&gt;"",高値!F89,"")</f>
        <v>2213</v>
      </c>
      <c r="AS74">
        <f>IF(C74&lt;&gt;"",安値!F89,"")</f>
        <v>2120</v>
      </c>
      <c r="AT74" t="str">
        <f>IF(OR(C74="",AQ74="",AR74="",AS74="",AR74-AS74&lt;=0),"-",IF(AND(AR74-MAX(G74,AQ74)&gt;=ABS(G74-AQ74)*2,MIN(G74,AQ74)-AS74&lt;=ABS(G74-AQ74)*0.5,ABS(G74-AQ74)&gt;0),"上ヒゲ陰線▼",IF(AND(G74&lt;AQ74,ABS(G74-AQ74)&gt;=(AR74-AS74)*0.7),"大陰線▼",IF(AND(MIN(G74,AQ74)-AS74&gt;=(AR74-AS74)*0.5,AR74-MAX(G74,AQ74)&lt;=(AR74-AS74)*0.2),"長い下ヒゲ(反発)","通常"))))</f>
        <v>通常</v>
      </c>
      <c r="AU74">
        <f>IF(AT74="上ヒゲ陰線▼",2,IF(AT74="大陰線▼",2,IF(AT74="長い下ヒゲ(反発)",-2,0)))</f>
        <v>0</v>
      </c>
      <c r="BA74">
        <f>IFERROR((SUM(OFFSET(高値!$E$6,IFERROR(MATCH($C74,銘柄管理!$B$6:$B$305,0),MATCH(TEXT($C74,"0"),銘柄管理!$B$6:$B$305,0))-1,0,1,14))-SUM(OFFSET(安値!$E$6,IFERROR(MATCH($C74,銘柄管理!$B$6:$B$305,0),MATCH(TEXT($C74,"0"),銘柄管理!$B$6:$B$305,0))-1,0,1,14)))/SUM(OFFSET(終値!$E$6,IFERROR(MATCH($C74,銘柄管理!$B$6:$B$305,0),MATCH(TEXT($C74,"0"),銘柄管理!$B$6:$B$305,0))-1,0,1,14))*100,"")</f>
      </c>
      <c r="BB74">
        <f>IFERROR((MAX(OFFSET(高値!$E$6,IFERROR(MATCH($C74,銘柄管理!$B$6:$B$305,0),MATCH(TEXT($C74,"0"),銘柄管理!$B$6:$B$305,0))-1,0,1,25))-MIN(OFFSET(安値!$E$6,IFERROR(MATCH($C74,銘柄管理!$B$6:$B$305,0),MATCH(TEXT($C74,"0"),銘柄管理!$B$6:$B$305,0))-1,0,1,25)))/$E74*100,"")</f>
      </c>
      <c r="BC74">
        <f>IFERROR(($F74-$G74)/$G74*100,"")</f>
      </c>
      <c r="BD74">
        <f>IFERROR(($E74-MAX(OFFSET(高値!$E$6,IFERROR(MATCH($C74,銘柄管理!$B$6:$B$305,0),MATCH(TEXT($C74,"0"),銘柄管理!$B$6:$B$305,0))-1,0,1,25)))/MAX(OFFSET(高値!$E$6,IFERROR(MATCH($C74,銘柄管理!$B$6:$B$305,0),MATCH(TEXT($C74,"0"),銘柄管理!$B$6:$B$305,0))-1,0,1,25))*100,"")</f>
      </c>
      <c r="BE74">
        <f>IFERROR(($H74-$I74)/$F74*100,"")</f>
      </c>
      <c r="BF74">
        <f>IFERROR(-(($BA74-AVERAGE($BA$3:$BA$206))/STDEV($BA$3:$BA$206))-(($BE74-AVERAGE($BE$3:$BE$206))/STDEV($BE$3:$BE$206))-(($BB74-AVERAGE($BB$3:$BB$206))/STDEV($BB$3:$BB$206))-(($Z74-AVERAGE($Z$3:$Z$206))/STDEV($Z$3:$Z$206))-(($BC74-AVERAGE($BC$3:$BC$206))/STDEV($BC$3:$BC$206)),"")</f>
      </c>
      <c r="BG74">
        <f>IF(OR($C74="",$C74="TOPX",$BA74="",$BF74=""),0,IF(AND($BK$10=1,$BA74&lt;=$BK$2,$BB74&lt;=$BK$3,$BC74&lt;=$BK$4,$Z74&lt;=$BK$5,$Z74&gt;=$BK$6,$BD74&gt;=$BK$7,$BE74&lt;=$BK$8),1,0))</f>
      </c>
      <c r="BH74">
        <f>IF($C74="","",IF($BG74=1,"○ゲート通過",IF($BK$10&lt;&gt;1,"― この方向は停止中",IF($BA74&gt;$BK$2,"×値動きが荒い",IF($BB74&gt;$BK$3,"×レンジが広い",IF($BC74&gt;$BK$4,"×窓を開けて上昇",IF($Z74&gt;$BK$5,"×前日に急騰",IF($Z74&lt;$BK$6,"×前日に急落",IF($BD74&lt;$BK$7,"×高値から離れすぎ",IF($BE74&gt;$BK$8,"×当日の値幅が大きい","×")))))))))</f>
      </c>
    </row>
    <row r="75" spans="1:60"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IF(AND(E75&lt;&gt;"",K75&lt;&gt;"",K75&lt;&gt;0),(E75-K75)/K75*100,"")</f>
        <v>-21.610317183687698</v>
      </c>
      <c r="M75" s="326">
        <f>IF(C75&lt;&gt;"",IFERROR(AVERAGE(出来高!E97:I97),""),"")</f>
        <v>1463180</v>
      </c>
      <c r="N75" s="326">
        <f>IF(C75&lt;&gt;"",IFERROR(AVERAGE(出来高!E97:AC97),""),"")</f>
        <v>1115108</v>
      </c>
      <c r="O75" s="328">
        <f>IF(AND(J75&lt;&gt;"",M75&lt;&gt;"",M75&lt;&gt;0),J75/M75,"")</f>
        <v>0.71788843477904296</v>
      </c>
      <c r="P75" s="325" t="str">
        <f>IF(O75="","",IF(O75&gt;=2,"急増↑↑",IF(O75&gt;=1.5,"増加↑",IF(O75&gt;=1,"普通→","減少↓"))))</f>
        <v>減少↓</v>
      </c>
      <c r="Q75" s="325" t="str">
        <f>IF(E75="","",IF(AND(E75&lt;G75,O75&gt;=1.5),"売り▼",IF(E75&gt;G75,"様子見▲","中立→")))</f>
        <v>中立→</v>
      </c>
      <c r="R75" s="326">
        <f>IF(E75&lt;&gt;"",ROUND(E75*0.92,0),"")</f>
        <v>4138</v>
      </c>
      <c r="S75" s="326">
        <f>IF(E75&lt;&gt;"",ROUND(E75*1.04,0),"")</f>
        <v>4678</v>
      </c>
      <c r="T75" s="325">
        <f>IF(C75="","",IFERROR(IF(W75&gt;=70,3,IF(W75&gt;=60,2,IF(W75&gt;=50,1,0)))+IF(X75&lt;0,2,0)+IF(AD75="下降トレンド▼",3,IF(AD75="もみ合い→",1,0))+IF(V75="年初来安値圏●",3,IF(V75="安値圏",2,0))+IF(Q75="売り▼",2,0)+IF(P75="急増↑↑",2,IF(P75="増加↑",1,0))+IF(Z75&lt;0,1,0)+IF(L75&lt;=-30,2,IF(L75&lt;=-15,1,0))+IF(AE75="25日戻り売り★",2,IF(AE75="5日戻り売り○",1,0))+N(AL75)+N(AP75)+N(AU75),0))</f>
        <v>7</v>
      </c>
      <c r="U75" s="325" t="str">
        <f>IF(T75="","",IF(AND(T75&gt;=3,O75&gt;=1.5),"有効",IF(T75&gt;=3,"要確認","除外")))</f>
        <v>要確認</v>
      </c>
      <c r="V75" s="325" t="str">
        <f>IF(AND(I75&lt;&gt;"",K75&lt;&gt;""),IF(I75&lt;=K75*0.6,"年初来安値圏●",IF(I75&lt;=K75*0.75,"安値圏","通常")),"")</f>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IF(AF75="","",AF75&amp;" | "&amp;AD75&amp;IF(AE75&lt;&gt;"なし"," "&amp;AE75,"")&amp;IF(X75&lt;0," MACD-"," MACD+")&amp;" RSI:"&amp;TEXT(W75,"0.0")&amp;IF(W75&gt;=70," [過熱]",IF(W75&lt;=30," [売られ過ぎ]",""))&amp;" 前日比:"&amp;TEXT(Z75,"+0.0;-0.0;0.0")&amp;"%"&amp;IF(V75="年初来安値圏●"," [年初来安値圏]",IF(V75="安値圏"," [安値圏]",""))&amp;IF(OR(AO75="通常",AO75="-"),""," ["&amp;AO75&amp;"]")&amp;IF(OR(AT75="通常",AT75="-"),"","前日["&amp;AT75&amp;"]")&amp;" ["&amp;T75&amp;"点]")</f>
        <v>相場上昇・見送り | パーフェクト▲ MACD- RSI:48.5 前日比:-4.1% [7点]</v>
      </c>
      <c r="Z75" s="331">
        <f>IF(AND(E75&lt;&gt;"",G75&lt;&gt;"",G75&lt;&gt;0),(E75-G75)/G75*100,"")</f>
        <v>-4.1142613515241955</v>
      </c>
      <c r="AA75" s="325" t="str">
        <f>IF(OR(C75="",E75="",E75=0),"",IF(E75&gt;G75,"上昇▲",IF(E75&lt;G75,"下落▼","横ばい→")))</f>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IF(OR(C75="",AB75="",AC75="",AB75=0,AC75=0),"",IF(AND(E75&gt;AB75,AB75&gt;AC75),"パーフェクト▲",IF(E75&gt;AC75,"上昇トレンド▲",IF(AND(E75&lt;AB75,AB75&lt;AC75),"下降トレンド▼","もみ合い→"))))</f>
        <v>パーフェクト▲</v>
      </c>
      <c r="AE75" s="325" t="str">
        <f>IF(OR(C75="",AB75="",AC75=""),"",IF(AND(ABS(E75-AC75)/AC75&lt;=0.02,E75&lt;AC75),"25日戻り売り★",IF(AND(ABS(E75-AB75)/AB75&lt;=0.01,E75&lt;AB75),"5日戻り売り○","なし")))</f>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IF(AND(T75&gt;=7,C75&lt;&gt;""),T75,0)</f>
        <v>7</v>
      </c>
      <c r="AH75">
        <f>IF(AG75&gt;0,AG75*10000-ROW(A75),0)</f>
        <v>69925</v>
      </c>
      <c r="AI75" s="373">
        <f t="array" ref="AI75">IF(C75="","",IFERROR((INDEX(終値!$E:$E,MATCH(TEXT(C75,"0"),終値!$A:$A,0))-INDEX(終値!$E:$CZ,MATCH(TEXT(C75,"0"),終値!$A:$A,0),$AN$2))/INDEX(終値!$E:$CZ,MATCH(TEXT(C75,"0"),終値!$A:$A,0),$AN$2)*100,""))</f>
        <v>-12.795657231485071</v>
      </c>
      <c r="AJ75" s="373">
        <f t="array" ref="AJ75">IFERROR((終値!$E$5-INDEX(終値!$E$5:$IT$5,1,$AN$2))/INDEX(終値!$E$5:$IT$5,1,$AN$2)*100,"")</f>
        <v>1.0179378228534113</v>
      </c>
      <c r="AK75" s="374">
        <f>IF(OR(AI75="",AJ75=""),"",AI75-AJ75)</f>
        <v>-13.813595054338483</v>
      </c>
      <c r="AL75" s="372">
        <f>IF(AK75="","",IF(AK75&lt;-5,3,IF(AK75&lt;0,1,IF(AK75&lt;3,-1,-2))))</f>
        <v>3</v>
      </c>
      <c r="AO75" s="376" t="str">
        <f>IF(OR($C75="",$E75="",$F75="",$H75="",$I75="",$H75-$I75&lt;=0),"-",IF(AND($H75-MAX($F75,$E75)&gt;=ABS($E75-$F75)*2,MIN($F75,$E75)-$I75&lt;=ABS($E75-$F75)*0.5,ABS($E75-$F75)&gt;0),"上ヒゲ陰線▼",IF(AND($E75&lt;$F75,ABS($E75-$F75)&gt;=($H75-$I75)*0.7),"大陰線▼",IF(AND(MIN($F75,$E75)-$I75&gt;=($H75-$I75)*0.5,$H75-MAX($F75,$E75)&lt;=($H75-$I75)*0.2),"長い下ヒゲ(反発警戒)","通常"))))</f>
        <v>通常</v>
      </c>
      <c r="AP75" s="377">
        <f>IF($AO75="上ヒゲ陰線▼",2,IF($AO75="大陰線▼",2,IF($AO75="長い下ヒゲ(反発警戒)",-2,0)))</f>
        <v>0</v>
      </c>
      <c r="AQ75">
        <f>IF(C75&lt;&gt;"",始値!F97,"")</f>
        <v>4590</v>
      </c>
      <c r="AR75">
        <f>IF(C75&lt;&gt;"",高値!F97,"")</f>
        <v>4720</v>
      </c>
      <c r="AS75">
        <f>IF(C75&lt;&gt;"",安値!F97,"")</f>
        <v>4539</v>
      </c>
      <c r="AT75" t="str">
        <f>IF(OR(C75="",AQ75="",AR75="",AS75="",AR75-AS75&lt;=0),"-",IF(AND(AR75-MAX(G75,AQ75)&gt;=ABS(G75-AQ75)*2,MIN(G75,AQ75)-AS75&lt;=ABS(G75-AQ75)*0.5,ABS(G75-AQ75)&gt;0),"上ヒゲ陰線▼",IF(AND(G75&lt;AQ75,ABS(G75-AQ75)&gt;=(AR75-AS75)*0.7),"大陰線▼",IF(AND(MIN(G75,AQ75)-AS75&gt;=(AR75-AS75)*0.5,AR75-MAX(G75,AQ75)&lt;=(AR75-AS75)*0.2),"長い下ヒゲ(反発)","通常"))))</f>
        <v>通常</v>
      </c>
      <c r="AU75">
        <f>IF(AT75="上ヒゲ陰線▼",2,IF(AT75="大陰線▼",2,IF(AT75="長い下ヒゲ(反発)",-2,0)))</f>
        <v>0</v>
      </c>
      <c r="BA75">
        <f>IFERROR((SUM(OFFSET(高値!$E$6,IFERROR(MATCH($C75,銘柄管理!$B$6:$B$305,0),MATCH(TEXT($C75,"0"),銘柄管理!$B$6:$B$305,0))-1,0,1,14))-SUM(OFFSET(安値!$E$6,IFERROR(MATCH($C75,銘柄管理!$B$6:$B$305,0),MATCH(TEXT($C75,"0"),銘柄管理!$B$6:$B$305,0))-1,0,1,14)))/SUM(OFFSET(終値!$E$6,IFERROR(MATCH($C75,銘柄管理!$B$6:$B$305,0),MATCH(TEXT($C75,"0"),銘柄管理!$B$6:$B$305,0))-1,0,1,14))*100,"")</f>
      </c>
      <c r="BB75">
        <f>IFERROR((MAX(OFFSET(高値!$E$6,IFERROR(MATCH($C75,銘柄管理!$B$6:$B$305,0),MATCH(TEXT($C75,"0"),銘柄管理!$B$6:$B$305,0))-1,0,1,25))-MIN(OFFSET(安値!$E$6,IFERROR(MATCH($C75,銘柄管理!$B$6:$B$305,0),MATCH(TEXT($C75,"0"),銘柄管理!$B$6:$B$305,0))-1,0,1,25)))/$E75*100,"")</f>
      </c>
      <c r="BC75">
        <f>IFERROR(($F75-$G75)/$G75*100,"")</f>
      </c>
      <c r="BD75">
        <f>IFERROR(($E75-MAX(OFFSET(高値!$E$6,IFERROR(MATCH($C75,銘柄管理!$B$6:$B$305,0),MATCH(TEXT($C75,"0"),銘柄管理!$B$6:$B$305,0))-1,0,1,25)))/MAX(OFFSET(高値!$E$6,IFERROR(MATCH($C75,銘柄管理!$B$6:$B$305,0),MATCH(TEXT($C75,"0"),銘柄管理!$B$6:$B$305,0))-1,0,1,25))*100,"")</f>
      </c>
      <c r="BE75">
        <f>IFERROR(($H75-$I75)/$F75*100,"")</f>
      </c>
      <c r="BF75">
        <f>IFERROR(-(($BA75-AVERAGE($BA$3:$BA$206))/STDEV($BA$3:$BA$206))-(($BE75-AVERAGE($BE$3:$BE$206))/STDEV($BE$3:$BE$206))-(($BB75-AVERAGE($BB$3:$BB$206))/STDEV($BB$3:$BB$206))-(($Z75-AVERAGE($Z$3:$Z$206))/STDEV($Z$3:$Z$206))-(($BC75-AVERAGE($BC$3:$BC$206))/STDEV($BC$3:$BC$206)),"")</f>
      </c>
      <c r="BG75">
        <f>IF(OR($C75="",$C75="TOPX",$BA75="",$BF75=""),0,IF(AND($BK$10=1,$BA75&lt;=$BK$2,$BB75&lt;=$BK$3,$BC75&lt;=$BK$4,$Z75&lt;=$BK$5,$Z75&gt;=$BK$6,$BD75&gt;=$BK$7,$BE75&lt;=$BK$8),1,0))</f>
      </c>
      <c r="BH75">
        <f>IF($C75="","",IF($BG75=1,"○ゲート通過",IF($BK$10&lt;&gt;1,"― この方向は停止中",IF($BA75&gt;$BK$2,"×値動きが荒い",IF($BB75&gt;$BK$3,"×レンジが広い",IF($BC75&gt;$BK$4,"×窓を開けて上昇",IF($Z75&gt;$BK$5,"×前日に急騰",IF($Z75&lt;$BK$6,"×前日に急落",IF($BD75&lt;$BK$7,"×高値から離れすぎ",IF($BE75&gt;$BK$8,"×当日の値幅が大きい","×")))))))))</f>
      </c>
    </row>
    <row r="76" spans="1:60"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IF(AND(E76&lt;&gt;"",K76&lt;&gt;"",K76&lt;&gt;0),(E76-K76)/K76*100,"")</f>
        <v>-17.723513194170934</v>
      </c>
      <c r="M76" s="333">
        <f>IF(C76&lt;&gt;"",IFERROR(AVERAGE(出来高!E106:I106),""),"")</f>
        <v>1480</v>
      </c>
      <c r="N76" s="333">
        <f>IF(C76&lt;&gt;"",IFERROR(AVERAGE(出来高!E106:AC106),""),"")</f>
        <v>1556</v>
      </c>
      <c r="O76" s="335">
        <f>IF(AND(J76&lt;&gt;"",M76&lt;&gt;"",M76&lt;&gt;0),J76/M76,"")</f>
        <v>0.94594594594594594</v>
      </c>
      <c r="P76" s="212" t="str">
        <f>IF(O76="","",IF(O76&gt;=2,"急増↑↑",IF(O76&gt;=1.5,"増加↑",IF(O76&gt;=1,"普通→","減少↓"))))</f>
        <v>減少↓</v>
      </c>
      <c r="Q76" s="212" t="str">
        <f>IF(E76="","",IF(AND(E76&lt;G76,O76&gt;=1.5),"売り▼",IF(E76&gt;G76,"様子見▲","中立→")))</f>
        <v>様子見▲</v>
      </c>
      <c r="R76" s="333">
        <f>IF(E76&lt;&gt;"",ROUND(E76*0.92,0),"")</f>
        <v>1922</v>
      </c>
      <c r="S76" s="333">
        <f>IF(E76&lt;&gt;"",ROUND(E76*1.04,0),"")</f>
        <v>2173</v>
      </c>
      <c r="T76" s="325">
        <f>IF(C76="","",IFERROR(IF(W76&gt;=70,3,IF(W76&gt;=60,2,IF(W76&gt;=50,1,0)))+IF(X76&lt;0,2,0)+IF(AD76="下降トレンド▼",3,IF(AD76="もみ合い→",1,0))+IF(V76="年初来安値圏●",3,IF(V76="安値圏",2,0))+IF(Q76="売り▼",2,0)+IF(P76="急増↑↑",2,IF(P76="増加↑",1,0))+IF(Z76&lt;0,1,0)+IF(L76&lt;=-30,2,IF(L76&lt;=-15,1,0))+IF(AE76="25日戻り売り★",2,IF(AE76="5日戻り売り○",1,0))+N(AL76)+N(AP76)+N(AU76),0))</f>
        <v>0</v>
      </c>
      <c r="U76" s="212" t="str">
        <f>IF(T76="","",IF(AND(T76&gt;=3,O76&gt;=1.5),"有効",IF(T76&gt;=3,"要確認","除外")))</f>
        <v>除外</v>
      </c>
      <c r="V76" s="212" t="str">
        <f>IF(AND(I76&lt;&gt;"",K76&lt;&gt;""),IF(I76&lt;=K76*0.6,"年初来安値圏●",IF(I76&lt;=K76*0.75,"安値圏","通常")),"")</f>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IF(AF76="","",AF76&amp;" | "&amp;AD76&amp;IF(AE76&lt;&gt;"なし"," "&amp;AE76,"")&amp;IF(X76&lt;0," MACD-"," MACD+")&amp;" RSI:"&amp;TEXT(W76,"0.0")&amp;IF(W76&gt;=70," [過熱]",IF(W76&lt;=30," [売られ過ぎ]",""))&amp;" 前日比:"&amp;TEXT(Z76,"+0.0;-0.0;0.0")&amp;"%"&amp;IF(V76="年初来安値圏●"," [年初来安値圏]",IF(V76="安値圏"," [安値圏]",""))&amp;IF(OR(AO76="通常",AO76="-"),""," ["&amp;AO76&amp;"]")&amp;IF(OR(AT76="通常",AT76="-"),"","前日["&amp;AT76&amp;"]")&amp;" ["&amp;T76&amp;"点]")</f>
        <v>△過熱・様子見 | パーフェクト▲ MACD+ RSI:88.1 [過熱] 前日比:+1.9% [長い下ヒゲ(反発警戒)] [0点]</v>
      </c>
      <c r="Z76" s="338">
        <f>IF(AND(E76&lt;&gt;"",G76&lt;&gt;"",G76&lt;&gt;0),(E76-G76)/G76*100,"")</f>
        <v>1.9024390243902438</v>
      </c>
      <c r="AA76" s="212" t="str">
        <f>IF(OR(C76="",E76="",E76=0),"",IF(E76&gt;G76,"上昇▲",IF(E76&lt;G76,"下落▼","横ばい→")))</f>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IF(OR(C76="",AB76="",AC76="",AB76=0,AC76=0),"",IF(AND(E76&gt;AB76,AB76&gt;AC76),"パーフェクト▲",IF(E76&gt;AC76,"上昇トレンド▲",IF(AND(E76&lt;AB76,AB76&lt;AC76),"下降トレンド▼","もみ合い→"))))</f>
        <v>パーフェクト▲</v>
      </c>
      <c r="AE76" s="212" t="str">
        <f>IF(OR(C76="",AB76="",AC76=""),"",IF(AND(ABS(E76-AC76)/AC76&lt;=0.02,E76&lt;AC76),"25日戻り売り★",IF(AND(ABS(E76-AB76)/AB76&lt;=0.01,E76&lt;AB76),"5日戻り売り○","なし")))</f>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IF(AND(T76&gt;=7,C76&lt;&gt;""),T76,0)</f>
        <v>0</v>
      </c>
      <c r="AH76">
        <f>IF(AG76&gt;0,AG76*10000-ROW(A76),0)</f>
        <v>0</v>
      </c>
      <c r="AI76" s="373">
        <f t="array" ref="AI76">IF(C76="","",IFERROR((INDEX(終値!$E:$E,MATCH(TEXT(C76,"0"),終値!$A:$A,0))-INDEX(終値!$E:$CZ,MATCH(TEXT(C76,"0"),終値!$A:$A,0),$AN$2))/INDEX(終値!$E:$CZ,MATCH(TEXT(C76,"0"),終値!$A:$A,0),$AN$2)*100,""))</f>
        <v>16.120066703724291</v>
      </c>
      <c r="AJ76" s="373">
        <f t="array" ref="AJ76">IFERROR((終値!$E$5-INDEX(終値!$E$5:$IT$5,1,$AN$2))/INDEX(終値!$E$5:$IT$5,1,$AN$2)*100,"")</f>
        <v>1.0179378228534113</v>
      </c>
      <c r="AK76" s="374">
        <f>IF(OR(AI76="",AJ76=""),"",AI76-AJ76)</f>
        <v>15.102128880870879</v>
      </c>
      <c r="AL76" s="372">
        <f>IF(AK76="","",IF(AK76&lt;-5,3,IF(AK76&lt;0,1,IF(AK76&lt;3,-1,-2))))</f>
        <v>-2</v>
      </c>
      <c r="AO76" s="376" t="str">
        <f>IF(OR($C76="",$E76="",$F76="",$H76="",$I76="",$H76-$I76&lt;=0),"-",IF(AND($H76-MAX($F76,$E76)&gt;=ABS($E76-$F76)*2,MIN($F76,$E76)-$I76&lt;=ABS($E76-$F76)*0.5,ABS($E76-$F76)&gt;0),"上ヒゲ陰線▼",IF(AND($E76&lt;$F76,ABS($E76-$F76)&gt;=($H76-$I76)*0.7),"大陰線▼",IF(AND(MIN($F76,$E76)-$I76&gt;=($H76-$I76)*0.5,$H76-MAX($F76,$E76)&lt;=($H76-$I76)*0.2),"長い下ヒゲ(反発警戒)","通常"))))</f>
        <v>長い下ヒゲ(反発警戒)</v>
      </c>
      <c r="AP76" s="377">
        <f>IF($AO76="上ヒゲ陰線▼",2,IF($AO76="大陰線▼",2,IF($AO76="長い下ヒゲ(反発警戒)",-2,0)))</f>
        <v>-2</v>
      </c>
      <c r="AQ76">
        <f>IF(C76&lt;&gt;"",始値!F106,"")</f>
        <v>2101</v>
      </c>
      <c r="AR76">
        <f>IF(C76&lt;&gt;"",高値!F106,"")</f>
        <v>2149</v>
      </c>
      <c r="AS76">
        <f>IF(C76&lt;&gt;"",安値!F106,"")</f>
        <v>2050</v>
      </c>
      <c r="AT76" t="str">
        <f>IF(OR(C76="",AQ76="",AR76="",AS76="",AR76-AS76&lt;=0),"-",IF(AND(AR76-MAX(G76,AQ76)&gt;=ABS(G76-AQ76)*2,MIN(G76,AQ76)-AS76&lt;=ABS(G76-AQ76)*0.5,ABS(G76-AQ76)&gt;0),"上ヒゲ陰線▼",IF(AND(G76&lt;AQ76,ABS(G76-AQ76)&gt;=(AR76-AS76)*0.7),"大陰線▼",IF(AND(MIN(G76,AQ76)-AS76&gt;=(AR76-AS76)*0.5,AR76-MAX(G76,AQ76)&lt;=(AR76-AS76)*0.2),"長い下ヒゲ(反発)","通常"))))</f>
        <v>通常</v>
      </c>
      <c r="AU76">
        <f>IF(AT76="上ヒゲ陰線▼",2,IF(AT76="大陰線▼",2,IF(AT76="長い下ヒゲ(反発)",-2,0)))</f>
        <v>0</v>
      </c>
      <c r="BA76">
        <f>IFERROR((SUM(OFFSET(高値!$E$6,IFERROR(MATCH($C76,銘柄管理!$B$6:$B$305,0),MATCH(TEXT($C76,"0"),銘柄管理!$B$6:$B$305,0))-1,0,1,14))-SUM(OFFSET(安値!$E$6,IFERROR(MATCH($C76,銘柄管理!$B$6:$B$305,0),MATCH(TEXT($C76,"0"),銘柄管理!$B$6:$B$305,0))-1,0,1,14)))/SUM(OFFSET(終値!$E$6,IFERROR(MATCH($C76,銘柄管理!$B$6:$B$305,0),MATCH(TEXT($C76,"0"),銘柄管理!$B$6:$B$305,0))-1,0,1,14))*100,"")</f>
      </c>
      <c r="BB76">
        <f>IFERROR((MAX(OFFSET(高値!$E$6,IFERROR(MATCH($C76,銘柄管理!$B$6:$B$305,0),MATCH(TEXT($C76,"0"),銘柄管理!$B$6:$B$305,0))-1,0,1,25))-MIN(OFFSET(安値!$E$6,IFERROR(MATCH($C76,銘柄管理!$B$6:$B$305,0),MATCH(TEXT($C76,"0"),銘柄管理!$B$6:$B$305,0))-1,0,1,25)))/$E76*100,"")</f>
      </c>
      <c r="BC76">
        <f>IFERROR(($F76-$G76)/$G76*100,"")</f>
      </c>
      <c r="BD76">
        <f>IFERROR(($E76-MAX(OFFSET(高値!$E$6,IFERROR(MATCH($C76,銘柄管理!$B$6:$B$305,0),MATCH(TEXT($C76,"0"),銘柄管理!$B$6:$B$305,0))-1,0,1,25)))/MAX(OFFSET(高値!$E$6,IFERROR(MATCH($C76,銘柄管理!$B$6:$B$305,0),MATCH(TEXT($C76,"0"),銘柄管理!$B$6:$B$305,0))-1,0,1,25))*100,"")</f>
      </c>
      <c r="BE76">
        <f>IFERROR(($H76-$I76)/$F76*100,"")</f>
      </c>
      <c r="BF76">
        <f>IFERROR(-(($BA76-AVERAGE($BA$3:$BA$206))/STDEV($BA$3:$BA$206))-(($BE76-AVERAGE($BE$3:$BE$206))/STDEV($BE$3:$BE$206))-(($BB76-AVERAGE($BB$3:$BB$206))/STDEV($BB$3:$BB$206))-(($Z76-AVERAGE($Z$3:$Z$206))/STDEV($Z$3:$Z$206))-(($BC76-AVERAGE($BC$3:$BC$206))/STDEV($BC$3:$BC$206)),"")</f>
      </c>
      <c r="BG76">
        <f>IF(OR($C76="",$C76="TOPX",$BA76="",$BF76=""),0,IF(AND($BK$10=1,$BA76&lt;=$BK$2,$BB76&lt;=$BK$3,$BC76&lt;=$BK$4,$Z76&lt;=$BK$5,$Z76&gt;=$BK$6,$BD76&gt;=$BK$7,$BE76&lt;=$BK$8),1,0))</f>
      </c>
      <c r="BH76">
        <f>IF($C76="","",IF($BG76=1,"○ゲート通過",IF($BK$10&lt;&gt;1,"― この方向は停止中",IF($BA76&gt;$BK$2,"×値動きが荒い",IF($BB76&gt;$BK$3,"×レンジが広い",IF($BC76&gt;$BK$4,"×窓を開けて上昇",IF($Z76&gt;$BK$5,"×前日に急騰",IF($Z76&lt;$BK$6,"×前日に急落",IF($BD76&lt;$BK$7,"×高値から離れすぎ",IF($BE76&gt;$BK$8,"×当日の値幅が大きい","×")))))))))</f>
      </c>
    </row>
    <row r="77" spans="1:60"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IF(AND(E77&lt;&gt;"",K77&lt;&gt;"",K77&lt;&gt;0),(E77-K77)/K77*100,"")</f>
        <v>-2.4639702463970248</v>
      </c>
      <c r="M77" s="326">
        <f>IF(C77&lt;&gt;"",IFERROR(AVERAGE(出来高!E113:I113),""),"")</f>
        <v>464320</v>
      </c>
      <c r="N77" s="326">
        <f>IF(C77&lt;&gt;"",IFERROR(AVERAGE(出来高!E113:AC113),""),"")</f>
        <v>509904</v>
      </c>
      <c r="O77" s="328">
        <f>IF(AND(J77&lt;&gt;"",M77&lt;&gt;"",M77&lt;&gt;0),J77/M77,"")</f>
        <v>0.80461750516884911</v>
      </c>
      <c r="P77" s="325" t="str">
        <f>IF(O77="","",IF(O77&gt;=2,"急増↑↑",IF(O77&gt;=1.5,"増加↑",IF(O77&gt;=1,"普通→","減少↓"))))</f>
        <v>減少↓</v>
      </c>
      <c r="Q77" s="325" t="str">
        <f>IF(E77="","",IF(AND(E77&lt;G77,O77&gt;=1.5),"売り▼",IF(E77&gt;G77,"様子見▲","中立→")))</f>
        <v>様子見▲</v>
      </c>
      <c r="R77" s="326">
        <f>IF(E77&lt;&gt;"",ROUND(E77*0.92,0),"")</f>
        <v>3860</v>
      </c>
      <c r="S77" s="326">
        <f>IF(E77&lt;&gt;"",ROUND(E77*1.04,0),"")</f>
        <v>4364</v>
      </c>
      <c r="T77" s="325">
        <f>IF(C77="","",IFERROR(IF(W77&gt;=70,3,IF(W77&gt;=60,2,IF(W77&gt;=50,1,0)))+IF(X77&lt;0,2,0)+IF(AD77="下降トレンド▼",3,IF(AD77="もみ合い→",1,0))+IF(V77="年初来安値圏●",3,IF(V77="安値圏",2,0))+IF(Q77="売り▼",2,0)+IF(P77="急増↑↑",2,IF(P77="増加↑",1,0))+IF(Z77&lt;0,1,0)+IF(L77&lt;=-30,2,IF(L77&lt;=-15,1,0))+IF(AE77="25日戻り売り★",2,IF(AE77="5日戻り売り○",1,0))+N(AL77)+N(AP77)+N(AU77),0))</f>
        <v>-3</v>
      </c>
      <c r="U77" s="325" t="str">
        <f>IF(T77="","",IF(AND(T77&gt;=3,O77&gt;=1.5),"有効",IF(T77&gt;=3,"要確認","除外")))</f>
        <v>除外</v>
      </c>
      <c r="V77" s="325" t="str">
        <f>IF(AND(I77&lt;&gt;"",K77&lt;&gt;""),IF(I77&lt;=K77*0.6,"年初来安値圏●",IF(I77&lt;=K77*0.75,"安値圏","通常")),"")</f>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IF(AF77="","",AF77&amp;" | "&amp;AD77&amp;IF(AE77&lt;&gt;"なし"," "&amp;AE77,"")&amp;IF(X77&lt;0," MACD-"," MACD+")&amp;" RSI:"&amp;TEXT(W77,"0.0")&amp;IF(W77&gt;=70," [過熱]",IF(W77&lt;=30," [売られ過ぎ]",""))&amp;" 前日比:"&amp;TEXT(Z77,"+0.0;-0.0;0.0")&amp;"%"&amp;IF(V77="年初来安値圏●"," [年初来安値圏]",IF(V77="安値圏"," [安値圏]",""))&amp;IF(OR(AO77="通常",AO77="-"),""," ["&amp;AO77&amp;"]")&amp;IF(OR(AT77="通常",AT77="-"),"","前日["&amp;AT77&amp;"]")&amp;" ["&amp;T77&amp;"点]")</f>
        <v>相場上昇・見送り | パーフェクト▲ MACD+ RSI:59.1 前日比:+0.3% [長い下ヒゲ(反発警戒)] [-3点]</v>
      </c>
      <c r="Z77" s="331">
        <f>IF(AND(E77&lt;&gt;"",G77&lt;&gt;"",G77&lt;&gt;0),(E77-G77)/G77*100,"")</f>
        <v>0.28680688336520077</v>
      </c>
      <c r="AA77" s="325" t="str">
        <f>IF(OR(C77="",E77="",E77=0),"",IF(E77&gt;G77,"上昇▲",IF(E77&lt;G77,"下落▼","横ばい→")))</f>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IF(OR(C77="",AB77="",AC77="",AB77=0,AC77=0),"",IF(AND(E77&gt;AB77,AB77&gt;AC77),"パーフェクト▲",IF(E77&gt;AC77,"上昇トレンド▲",IF(AND(E77&lt;AB77,AB77&lt;AC77),"下降トレンド▼","もみ合い→"))))</f>
        <v>パーフェクト▲</v>
      </c>
      <c r="AE77" s="325" t="str">
        <f>IF(OR(C77="",AB77="",AC77=""),"",IF(AND(ABS(E77-AC77)/AC77&lt;=0.02,E77&lt;AC77),"25日戻り売り★",IF(AND(ABS(E77-AB77)/AB77&lt;=0.01,E77&lt;AB77),"5日戻り売り○","なし")))</f>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IF(AND(T77&gt;=7,C77&lt;&gt;""),T77,0)</f>
        <v>0</v>
      </c>
      <c r="AH77">
        <f>IF(AG77&gt;0,AG77*10000-ROW(A77),0)</f>
        <v>0</v>
      </c>
      <c r="AI77" s="373">
        <f t="array" ref="AI77">IF(C77="","",IFERROR((INDEX(終値!$E:$E,MATCH(TEXT(C77,"0"),終値!$A:$A,0))-INDEX(終値!$E:$CZ,MATCH(TEXT(C77,"0"),終値!$A:$A,0),$AN$2))/INDEX(終値!$E:$CZ,MATCH(TEXT(C77,"0"),終値!$A:$A,0),$AN$2)*100,""))</f>
        <v>24.510385756676559</v>
      </c>
      <c r="AJ77" s="373">
        <f t="array" ref="AJ77">IFERROR((終値!$E$5-INDEX(終値!$E$5:$IT$5,1,$AN$2))/INDEX(終値!$E$5:$IT$5,1,$AN$2)*100,"")</f>
        <v>1.0179378228534113</v>
      </c>
      <c r="AK77" s="374">
        <f>IF(OR(AI77="",AJ77=""),"",AI77-AJ77)</f>
        <v>23.492447933823147</v>
      </c>
      <c r="AL77" s="372">
        <f>IF(AK77="","",IF(AK77&lt;-5,3,IF(AK77&lt;0,1,IF(AK77&lt;3,-1,-2))))</f>
        <v>-2</v>
      </c>
      <c r="AO77" s="376" t="str">
        <f>IF(OR($C77="",$E77="",$F77="",$H77="",$I77="",$H77-$I77&lt;=0),"-",IF(AND($H77-MAX($F77,$E77)&gt;=ABS($E77-$F77)*2,MIN($F77,$E77)-$I77&lt;=ABS($E77-$F77)*0.5,ABS($E77-$F77)&gt;0),"上ヒゲ陰線▼",IF(AND($E77&lt;$F77,ABS($E77-$F77)&gt;=($H77-$I77)*0.7),"大陰線▼",IF(AND(MIN($F77,$E77)-$I77&gt;=($H77-$I77)*0.5,$H77-MAX($F77,$E77)&lt;=($H77-$I77)*0.2),"長い下ヒゲ(反発警戒)","通常"))))</f>
        <v>長い下ヒゲ(反発警戒)</v>
      </c>
      <c r="AP77" s="377">
        <f>IF($AO77="上ヒゲ陰線▼",2,IF($AO77="大陰線▼",2,IF($AO77="長い下ヒゲ(反発警戒)",-2,0)))</f>
        <v>-2</v>
      </c>
      <c r="AQ77">
        <f>IF(C77&lt;&gt;"",始値!F113,"")</f>
        <v>4218</v>
      </c>
      <c r="AR77">
        <f>IF(C77&lt;&gt;"",高値!F113,"")</f>
        <v>4274</v>
      </c>
      <c r="AS77">
        <f>IF(C77&lt;&gt;"",安値!F113,"")</f>
        <v>4151</v>
      </c>
      <c r="AT77" t="str">
        <f>IF(OR(C77="",AQ77="",AR77="",AS77="",AR77-AS77&lt;=0),"-",IF(AND(AR77-MAX(G77,AQ77)&gt;=ABS(G77-AQ77)*2,MIN(G77,AQ77)-AS77&lt;=ABS(G77-AQ77)*0.5,ABS(G77-AQ77)&gt;0),"上ヒゲ陰線▼",IF(AND(G77&lt;AQ77,ABS(G77-AQ77)&gt;=(AR77-AS77)*0.7),"大陰線▼",IF(AND(MIN(G77,AQ77)-AS77&gt;=(AR77-AS77)*0.5,AR77-MAX(G77,AQ77)&lt;=(AR77-AS77)*0.2),"長い下ヒゲ(反発)","通常"))))</f>
        <v>通常</v>
      </c>
      <c r="AU77">
        <f>IF(AT77="上ヒゲ陰線▼",2,IF(AT77="大陰線▼",2,IF(AT77="長い下ヒゲ(反発)",-2,0)))</f>
        <v>0</v>
      </c>
      <c r="BA77">
        <f>IFERROR((SUM(OFFSET(高値!$E$6,IFERROR(MATCH($C77,銘柄管理!$B$6:$B$305,0),MATCH(TEXT($C77,"0"),銘柄管理!$B$6:$B$305,0))-1,0,1,14))-SUM(OFFSET(安値!$E$6,IFERROR(MATCH($C77,銘柄管理!$B$6:$B$305,0),MATCH(TEXT($C77,"0"),銘柄管理!$B$6:$B$305,0))-1,0,1,14)))/SUM(OFFSET(終値!$E$6,IFERROR(MATCH($C77,銘柄管理!$B$6:$B$305,0),MATCH(TEXT($C77,"0"),銘柄管理!$B$6:$B$305,0))-1,0,1,14))*100,"")</f>
      </c>
      <c r="BB77">
        <f>IFERROR((MAX(OFFSET(高値!$E$6,IFERROR(MATCH($C77,銘柄管理!$B$6:$B$305,0),MATCH(TEXT($C77,"0"),銘柄管理!$B$6:$B$305,0))-1,0,1,25))-MIN(OFFSET(安値!$E$6,IFERROR(MATCH($C77,銘柄管理!$B$6:$B$305,0),MATCH(TEXT($C77,"0"),銘柄管理!$B$6:$B$305,0))-1,0,1,25)))/$E77*100,"")</f>
      </c>
      <c r="BC77">
        <f>IFERROR(($F77-$G77)/$G77*100,"")</f>
      </c>
      <c r="BD77">
        <f>IFERROR(($E77-MAX(OFFSET(高値!$E$6,IFERROR(MATCH($C77,銘柄管理!$B$6:$B$305,0),MATCH(TEXT($C77,"0"),銘柄管理!$B$6:$B$305,0))-1,0,1,25)))/MAX(OFFSET(高値!$E$6,IFERROR(MATCH($C77,銘柄管理!$B$6:$B$305,0),MATCH(TEXT($C77,"0"),銘柄管理!$B$6:$B$305,0))-1,0,1,25))*100,"")</f>
      </c>
      <c r="BE77">
        <f>IFERROR(($H77-$I77)/$F77*100,"")</f>
      </c>
      <c r="BF77">
        <f>IFERROR(-(($BA77-AVERAGE($BA$3:$BA$206))/STDEV($BA$3:$BA$206))-(($BE77-AVERAGE($BE$3:$BE$206))/STDEV($BE$3:$BE$206))-(($BB77-AVERAGE($BB$3:$BB$206))/STDEV($BB$3:$BB$206))-(($Z77-AVERAGE($Z$3:$Z$206))/STDEV($Z$3:$Z$206))-(($BC77-AVERAGE($BC$3:$BC$206))/STDEV($BC$3:$BC$206)),"")</f>
      </c>
      <c r="BG77">
        <f>IF(OR($C77="",$C77="TOPX",$BA77="",$BF77=""),0,IF(AND($BK$10=1,$BA77&lt;=$BK$2,$BB77&lt;=$BK$3,$BC77&lt;=$BK$4,$Z77&lt;=$BK$5,$Z77&gt;=$BK$6,$BD77&gt;=$BK$7,$BE77&lt;=$BK$8),1,0))</f>
      </c>
      <c r="BH77">
        <f>IF($C77="","",IF($BG77=1,"○ゲート通過",IF($BK$10&lt;&gt;1,"― この方向は停止中",IF($BA77&gt;$BK$2,"×値動きが荒い",IF($BB77&gt;$BK$3,"×レンジが広い",IF($BC77&gt;$BK$4,"×窓を開けて上昇",IF($Z77&gt;$BK$5,"×前日に急騰",IF($Z77&lt;$BK$6,"×前日に急落",IF($BD77&lt;$BK$7,"×高値から離れすぎ",IF($BE77&gt;$BK$8,"×当日の値幅が大きい","×")))))))))</f>
      </c>
    </row>
    <row r="78" spans="1:60"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IF(AND(E78&lt;&gt;"",K78&lt;&gt;"",K78&lt;&gt;0),(E78-K78)/K78*100,"")</f>
        <v>-27.371616493802176</v>
      </c>
      <c r="M78" s="333">
        <f>IF(C78&lt;&gt;"",IFERROR(AVERAGE(出来高!E119:I119),""),"")</f>
        <v>674800</v>
      </c>
      <c r="N78" s="333">
        <f>IF(C78&lt;&gt;"",IFERROR(AVERAGE(出来高!E119:AC119),""),"")</f>
        <v>510732</v>
      </c>
      <c r="O78" s="335">
        <f>IF(AND(J78&lt;&gt;"",M78&lt;&gt;"",M78&lt;&gt;0),J78/M78,"")</f>
        <v>0.8934499110847659</v>
      </c>
      <c r="P78" s="212" t="str">
        <f>IF(O78="","",IF(O78&gt;=2,"急増↑↑",IF(O78&gt;=1.5,"増加↑",IF(O78&gt;=1,"普通→","減少↓"))))</f>
        <v>減少↓</v>
      </c>
      <c r="Q78" s="212" t="str">
        <f>IF(E78="","",IF(AND(E78&lt;G78,O78&gt;=1.5),"売り▼",IF(E78&gt;G78,"様子見▲","中立→")))</f>
        <v>様子見▲</v>
      </c>
      <c r="R78" s="333">
        <f>IF(E78&lt;&gt;"",ROUND(E78*0.92,0),"")</f>
        <v>2641</v>
      </c>
      <c r="S78" s="333">
        <f>IF(E78&lt;&gt;"",ROUND(E78*1.04,0),"")</f>
        <v>2986</v>
      </c>
      <c r="T78" s="325">
        <f>IF(C78="","",IFERROR(IF(W78&gt;=70,3,IF(W78&gt;=60,2,IF(W78&gt;=50,1,0)))+IF(X78&lt;0,2,0)+IF(AD78="下降トレンド▼",3,IF(AD78="もみ合い→",1,0))+IF(V78="年初来安値圏●",3,IF(V78="安値圏",2,0))+IF(Q78="売り▼",2,0)+IF(P78="急増↑↑",2,IF(P78="増加↑",1,0))+IF(Z78&lt;0,1,0)+IF(L78&lt;=-30,2,IF(L78&lt;=-15,1,0))+IF(AE78="25日戻り売り★",2,IF(AE78="5日戻り売り○",1,0))+N(AL78)+N(AP78)+N(AU78),0))</f>
        <v>7</v>
      </c>
      <c r="U78" s="212" t="str">
        <f>IF(T78="","",IF(AND(T78&gt;=3,O78&gt;=1.5),"有効",IF(T78&gt;=3,"要確認","除外")))</f>
        <v>要確認</v>
      </c>
      <c r="V78" s="212" t="str">
        <f>IF(AND(I78&lt;&gt;"",K78&lt;&gt;""),IF(I78&lt;=K78*0.6,"年初来安値圏●",IF(I78&lt;=K78*0.75,"安値圏","通常")),"")</f>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IF(AF78="","",AF78&amp;" | "&amp;AD78&amp;IF(AE78&lt;&gt;"なし"," "&amp;AE78,"")&amp;IF(X78&lt;0," MACD-"," MACD+")&amp;" RSI:"&amp;TEXT(W78,"0.0")&amp;IF(W78&gt;=70," [過熱]",IF(W78&lt;=30," [売られ過ぎ]",""))&amp;" 前日比:"&amp;TEXT(Z78,"+0.0;-0.0;0.0")&amp;"%"&amp;IF(V78="年初来安値圏●"," [年初来安値圏]",IF(V78="安値圏"," [安値圏]",""))&amp;IF(OR(AO78="通常",AO78="-"),""," ["&amp;AO78&amp;"]")&amp;IF(OR(AT78="通常",AT78="-"),"","前日["&amp;AT78&amp;"]")&amp;" ["&amp;T78&amp;"点]")</f>
        <v>○逆張り売り | もみ合い→ 25日戻り売り★ MACD- RSI:43.2 前日比:+3.5% [安値圏] [7点]</v>
      </c>
      <c r="Z78" s="338">
        <f>IF(AND(E78&lt;&gt;"",G78&lt;&gt;"",G78&lt;&gt;0),(E78-G78)/G78*100,"")</f>
        <v>3.5154137371552192</v>
      </c>
      <c r="AA78" s="212" t="str">
        <f>IF(OR(C78="",E78="",E78=0),"",IF(E78&gt;G78,"上昇▲",IF(E78&lt;G78,"下落▼","横ばい→")))</f>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IF(OR(C78="",AB78="",AC78="",AB78=0,AC78=0),"",IF(AND(E78&gt;AB78,AB78&gt;AC78),"パーフェクト▲",IF(E78&gt;AC78,"上昇トレンド▲",IF(AND(E78&lt;AB78,AB78&lt;AC78),"下降トレンド▼","もみ合い→"))))</f>
        <v>もみ合い→</v>
      </c>
      <c r="AE78" s="212" t="str">
        <f>IF(OR(C78="",AB78="",AC78=""),"",IF(AND(ABS(E78-AC78)/AC78&lt;=0.02,E78&lt;AC78),"25日戻り売り★",IF(AND(ABS(E78-AB78)/AB78&lt;=0.01,E78&lt;AB78),"5日戻り売り○","なし")))</f>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IF(AND(T78&gt;=7,C78&lt;&gt;""),T78,0)</f>
        <v>7</v>
      </c>
      <c r="AH78">
        <f>IF(AG78&gt;0,AG78*10000-ROW(A78),0)</f>
        <v>69922</v>
      </c>
      <c r="AI78" s="373">
        <f t="array" ref="AI78">IF(C78="","",IFERROR((INDEX(終値!$E:$E,MATCH(TEXT(C78,"0"),終値!$A:$A,0))-INDEX(終値!$E:$CZ,MATCH(TEXT(C78,"0"),終値!$A:$A,0),$AN$2))/INDEX(終値!$E:$CZ,MATCH(TEXT(C78,"0"),終値!$A:$A,0),$AN$2)*100,""))</f>
        <v>1.7543859649122806</v>
      </c>
      <c r="AJ78" s="373">
        <f t="array" ref="AJ78">IFERROR((終値!$E$5-INDEX(終値!$E$5:$IT$5,1,$AN$2))/INDEX(終値!$E$5:$IT$5,1,$AN$2)*100,"")</f>
        <v>1.0179378228534113</v>
      </c>
      <c r="AK78" s="374">
        <f>IF(OR(AI78="",AJ78=""),"",AI78-AJ78)</f>
        <v>0.73644814205886933</v>
      </c>
      <c r="AL78" s="372">
        <f>IF(AK78="","",IF(AK78&lt;-5,3,IF(AK78&lt;0,1,IF(AK78&lt;3,-1,-2))))</f>
        <v>-1</v>
      </c>
      <c r="AO78" s="376" t="str">
        <f>IF(OR($C78="",$E78="",$F78="",$H78="",$I78="",$H78-$I78&lt;=0),"-",IF(AND($H78-MAX($F78,$E78)&gt;=ABS($E78-$F78)*2,MIN($F78,$E78)-$I78&lt;=ABS($E78-$F78)*0.5,ABS($E78-$F78)&gt;0),"上ヒゲ陰線▼",IF(AND($E78&lt;$F78,ABS($E78-$F78)&gt;=($H78-$I78)*0.7),"大陰線▼",IF(AND(MIN($F78,$E78)-$I78&gt;=($H78-$I78)*0.5,$H78-MAX($F78,$E78)&lt;=($H78-$I78)*0.2),"長い下ヒゲ(反発警戒)","通常"))))</f>
        <v>通常</v>
      </c>
      <c r="AP78" s="377">
        <f>IF($AO78="上ヒゲ陰線▼",2,IF($AO78="大陰線▼",2,IF($AO78="長い下ヒゲ(反発警戒)",-2,0)))</f>
        <v>0</v>
      </c>
      <c r="AQ78">
        <f>IF(C78&lt;&gt;"",始値!F119,"")</f>
        <v>2833.5</v>
      </c>
      <c r="AR78">
        <f>IF(C78&lt;&gt;"",高値!F119,"")</f>
        <v>2844</v>
      </c>
      <c r="AS78">
        <f>IF(C78&lt;&gt;"",安値!F119,"")</f>
        <v>2753</v>
      </c>
      <c r="AT78" t="str">
        <f>IF(OR(C78="",AQ78="",AR78="",AS78="",AR78-AS78&lt;=0),"-",IF(AND(AR78-MAX(G78,AQ78)&gt;=ABS(G78-AQ78)*2,MIN(G78,AQ78)-AS78&lt;=ABS(G78-AQ78)*0.5,ABS(G78-AQ78)&gt;0),"上ヒゲ陰線▼",IF(AND(G78&lt;AQ78,ABS(G78-AQ78)&gt;=(AR78-AS78)*0.7),"大陰線▼",IF(AND(MIN(G78,AQ78)-AS78&gt;=(AR78-AS78)*0.5,AR78-MAX(G78,AQ78)&lt;=(AR78-AS78)*0.2),"長い下ヒゲ(反発)","通常"))))</f>
        <v>通常</v>
      </c>
      <c r="AU78">
        <f>IF(AT78="上ヒゲ陰線▼",2,IF(AT78="大陰線▼",2,IF(AT78="長い下ヒゲ(反発)",-2,0)))</f>
        <v>0</v>
      </c>
      <c r="BA78">
        <f>IFERROR((SUM(OFFSET(高値!$E$6,IFERROR(MATCH($C78,銘柄管理!$B$6:$B$305,0),MATCH(TEXT($C78,"0"),銘柄管理!$B$6:$B$305,0))-1,0,1,14))-SUM(OFFSET(安値!$E$6,IFERROR(MATCH($C78,銘柄管理!$B$6:$B$305,0),MATCH(TEXT($C78,"0"),銘柄管理!$B$6:$B$305,0))-1,0,1,14)))/SUM(OFFSET(終値!$E$6,IFERROR(MATCH($C78,銘柄管理!$B$6:$B$305,0),MATCH(TEXT($C78,"0"),銘柄管理!$B$6:$B$305,0))-1,0,1,14))*100,"")</f>
      </c>
      <c r="BB78">
        <f>IFERROR((MAX(OFFSET(高値!$E$6,IFERROR(MATCH($C78,銘柄管理!$B$6:$B$305,0),MATCH(TEXT($C78,"0"),銘柄管理!$B$6:$B$305,0))-1,0,1,25))-MIN(OFFSET(安値!$E$6,IFERROR(MATCH($C78,銘柄管理!$B$6:$B$305,0),MATCH(TEXT($C78,"0"),銘柄管理!$B$6:$B$305,0))-1,0,1,25)))/$E78*100,"")</f>
      </c>
      <c r="BC78">
        <f>IFERROR(($F78-$G78)/$G78*100,"")</f>
      </c>
      <c r="BD78">
        <f>IFERROR(($E78-MAX(OFFSET(高値!$E$6,IFERROR(MATCH($C78,銘柄管理!$B$6:$B$305,0),MATCH(TEXT($C78,"0"),銘柄管理!$B$6:$B$305,0))-1,0,1,25)))/MAX(OFFSET(高値!$E$6,IFERROR(MATCH($C78,銘柄管理!$B$6:$B$305,0),MATCH(TEXT($C78,"0"),銘柄管理!$B$6:$B$305,0))-1,0,1,25))*100,"")</f>
      </c>
      <c r="BE78">
        <f>IFERROR(($H78-$I78)/$F78*100,"")</f>
      </c>
      <c r="BF78">
        <f>IFERROR(-(($BA78-AVERAGE($BA$3:$BA$206))/STDEV($BA$3:$BA$206))-(($BE78-AVERAGE($BE$3:$BE$206))/STDEV($BE$3:$BE$206))-(($BB78-AVERAGE($BB$3:$BB$206))/STDEV($BB$3:$BB$206))-(($Z78-AVERAGE($Z$3:$Z$206))/STDEV($Z$3:$Z$206))-(($BC78-AVERAGE($BC$3:$BC$206))/STDEV($BC$3:$BC$206)),"")</f>
      </c>
      <c r="BG78">
        <f>IF(OR($C78="",$C78="TOPX",$BA78="",$BF78=""),0,IF(AND($BK$10=1,$BA78&lt;=$BK$2,$BB78&lt;=$BK$3,$BC78&lt;=$BK$4,$Z78&lt;=$BK$5,$Z78&gt;=$BK$6,$BD78&gt;=$BK$7,$BE78&lt;=$BK$8),1,0))</f>
      </c>
      <c r="BH78">
        <f>IF($C78="","",IF($BG78=1,"○ゲート通過",IF($BK$10&lt;&gt;1,"― この方向は停止中",IF($BA78&gt;$BK$2,"×値動きが荒い",IF($BB78&gt;$BK$3,"×レンジが広い",IF($BC78&gt;$BK$4,"×窓を開けて上昇",IF($Z78&gt;$BK$5,"×前日に急騰",IF($Z78&lt;$BK$6,"×前日に急落",IF($BD78&lt;$BK$7,"×高値から離れすぎ",IF($BE78&gt;$BK$8,"×当日の値幅が大きい","×")))))))))</f>
      </c>
    </row>
    <row r="79" spans="1:60"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IF(AND(E79&lt;&gt;"",K79&lt;&gt;"",K79&lt;&gt;0),(E79-K79)/K79*100,"")</f>
        <v>-21.045694200351495</v>
      </c>
      <c r="M79" s="326">
        <f>IF(C79&lt;&gt;"",IFERROR(AVERAGE(出来高!E127:I127),""),"")</f>
        <v>1011680</v>
      </c>
      <c r="N79" s="326">
        <f>IF(C79&lt;&gt;"",IFERROR(AVERAGE(出来高!E127:AC127),""),"")</f>
        <v>926596</v>
      </c>
      <c r="O79" s="328">
        <f>IF(AND(J79&lt;&gt;"",M79&lt;&gt;"",M79&lt;&gt;0),J79/M79,"")</f>
        <v>0.99735094100901467</v>
      </c>
      <c r="P79" s="325" t="str">
        <f>IF(O79="","",IF(O79&gt;=2,"急増↑↑",IF(O79&gt;=1.5,"増加↑",IF(O79&gt;=1,"普通→","減少↓"))))</f>
        <v>減少↓</v>
      </c>
      <c r="Q79" s="325" t="str">
        <f>IF(E79="","",IF(AND(E79&lt;G79,O79&gt;=1.5),"売り▼",IF(E79&gt;G79,"様子見▲","中立→")))</f>
        <v>様子見▲</v>
      </c>
      <c r="R79" s="326">
        <f>IF(E79&lt;&gt;"",ROUND(E79*0.92,0),"")</f>
        <v>4960</v>
      </c>
      <c r="S79" s="326">
        <f>IF(E79&lt;&gt;"",ROUND(E79*1.04,0),"")</f>
        <v>5607</v>
      </c>
      <c r="T79" s="325">
        <f>IF(C79="","",IFERROR(IF(W79&gt;=70,3,IF(W79&gt;=60,2,IF(W79&gt;=50,1,0)))+IF(X79&lt;0,2,0)+IF(AD79="下降トレンド▼",3,IF(AD79="もみ合い→",1,0))+IF(V79="年初来安値圏●",3,IF(V79="安値圏",2,0))+IF(Q79="売り▼",2,0)+IF(P79="急増↑↑",2,IF(P79="増加↑",1,0))+IF(Z79&lt;0,1,0)+IF(L79&lt;=-30,2,IF(L79&lt;=-15,1,0))+IF(AE79="25日戻り売り★",2,IF(AE79="5日戻り売り○",1,0))+N(AL79)+N(AP79)+N(AU79),0))</f>
        <v>3</v>
      </c>
      <c r="U79" s="325" t="str">
        <f>IF(T79="","",IF(AND(T79&gt;=3,O79&gt;=1.5),"有効",IF(T79&gt;=3,"要確認","除外")))</f>
        <v>要確認</v>
      </c>
      <c r="V79" s="325" t="str">
        <f>IF(AND(I79&lt;&gt;"",K79&lt;&gt;""),IF(I79&lt;=K79*0.6,"年初来安値圏●",IF(I79&lt;=K79*0.75,"安値圏","通常")),"")</f>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IF(AF79="","",AF79&amp;" | "&amp;AD79&amp;IF(AE79&lt;&gt;"なし"," "&amp;AE79,"")&amp;IF(X79&lt;0," MACD-"," MACD+")&amp;" RSI:"&amp;TEXT(W79,"0.0")&amp;IF(W79&gt;=70," [過熱]",IF(W79&lt;=30," [売られ過ぎ]",""))&amp;" 前日比:"&amp;TEXT(Z79,"+0.0;-0.0;0.0")&amp;"%"&amp;IF(V79="年初来安値圏●"," [年初来安値圏]",IF(V79="安値圏"," [安値圏]",""))&amp;IF(OR(AO79="通常",AO79="-"),""," ["&amp;AO79&amp;"]")&amp;IF(OR(AT79="通常",AT79="-"),"","前日["&amp;AT79&amp;"]")&amp;" ["&amp;T79&amp;"点]")</f>
        <v>○逆張り売り | もみ合い→ 25日戻り売り★ MACD+ RSI:44.1 前日比:+1.5% [3点]</v>
      </c>
      <c r="Z79" s="331">
        <f>IF(AND(E79&lt;&gt;"",G79&lt;&gt;"",G79&lt;&gt;0),(E79-G79)/G79*100,"")</f>
        <v>1.5254237288135595</v>
      </c>
      <c r="AA79" s="325" t="str">
        <f>IF(OR(C79="",E79="",E79=0),"",IF(E79&gt;G79,"上昇▲",IF(E79&lt;G79,"下落▼","横ばい→")))</f>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IF(OR(C79="",AB79="",AC79="",AB79=0,AC79=0),"",IF(AND(E79&gt;AB79,AB79&gt;AC79),"パーフェクト▲",IF(E79&gt;AC79,"上昇トレンド▲",IF(AND(E79&lt;AB79,AB79&lt;AC79),"下降トレンド▼","もみ合い→"))))</f>
        <v>もみ合い→</v>
      </c>
      <c r="AE79" s="325" t="str">
        <f>IF(OR(C79="",AB79="",AC79=""),"",IF(AND(ABS(E79-AC79)/AC79&lt;=0.02,E79&lt;AC79),"25日戻り売り★",IF(AND(ABS(E79-AB79)/AB79&lt;=0.01,E79&lt;AB79),"5日戻り売り○","なし")))</f>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IF(AND(T79&gt;=7,C79&lt;&gt;""),T79,0)</f>
        <v>0</v>
      </c>
      <c r="AH79">
        <f>IF(AG79&gt;0,AG79*10000-ROW(A79),0)</f>
        <v>0</v>
      </c>
      <c r="AI79" s="373">
        <f t="array" ref="AI79">IF(C79="","",IFERROR((INDEX(終値!$E:$E,MATCH(TEXT(C79,"0"),終値!$A:$A,0))-INDEX(終値!$E:$CZ,MATCH(TEXT(C79,"0"),終値!$A:$A,0),$AN$2))/INDEX(終値!$E:$CZ,MATCH(TEXT(C79,"0"),終値!$A:$A,0),$AN$2)*100,""))</f>
        <v>1.7553793884484712</v>
      </c>
      <c r="AJ79" s="373">
        <f t="array" ref="AJ79">IFERROR((終値!$E$5-INDEX(終値!$E$5:$IT$5,1,$AN$2))/INDEX(終値!$E$5:$IT$5,1,$AN$2)*100,"")</f>
        <v>1.0179378228534113</v>
      </c>
      <c r="AK79" s="374">
        <f>IF(OR(AI79="",AJ79=""),"",AI79-AJ79)</f>
        <v>0.73744156559505991</v>
      </c>
      <c r="AL79" s="372">
        <f>IF(AK79="","",IF(AK79&lt;-5,3,IF(AK79&lt;0,1,IF(AK79&lt;3,-1,-2))))</f>
        <v>-1</v>
      </c>
      <c r="AO79" s="376" t="str">
        <f>IF(OR($C79="",$E79="",$F79="",$H79="",$I79="",$H79-$I79&lt;=0),"-",IF(AND($H79-MAX($F79,$E79)&gt;=ABS($E79-$F79)*2,MIN($F79,$E79)-$I79&lt;=ABS($E79-$F79)*0.5,ABS($E79-$F79)&gt;0),"上ヒゲ陰線▼",IF(AND($E79&lt;$F79,ABS($E79-$F79)&gt;=($H79-$I79)*0.7),"大陰線▼",IF(AND(MIN($F79,$E79)-$I79&gt;=($H79-$I79)*0.5,$H79-MAX($F79,$E79)&lt;=($H79-$I79)*0.2),"長い下ヒゲ(反発警戒)","通常"))))</f>
        <v>通常</v>
      </c>
      <c r="AP79" s="377">
        <f>IF($AO79="上ヒゲ陰線▼",2,IF($AO79="大陰線▼",2,IF($AO79="長い下ヒゲ(反発警戒)",-2,0)))</f>
        <v>0</v>
      </c>
      <c r="AQ79">
        <f>IF(C79&lt;&gt;"",始値!F127,"")</f>
        <v>5375</v>
      </c>
      <c r="AR79">
        <f>IF(C79&lt;&gt;"",高値!F127,"")</f>
        <v>5389</v>
      </c>
      <c r="AS79">
        <f>IF(C79&lt;&gt;"",安値!F127,"")</f>
        <v>5266</v>
      </c>
      <c r="AT79" t="str">
        <f>IF(OR(C79="",AQ79="",AR79="",AS79="",AR79-AS79&lt;=0),"-",IF(AND(AR79-MAX(G79,AQ79)&gt;=ABS(G79-AQ79)*2,MIN(G79,AQ79)-AS79&lt;=ABS(G79-AQ79)*0.5,ABS(G79-AQ79)&gt;0),"上ヒゲ陰線▼",IF(AND(G79&lt;AQ79,ABS(G79-AQ79)&gt;=(AR79-AS79)*0.7),"大陰線▼",IF(AND(MIN(G79,AQ79)-AS79&gt;=(AR79-AS79)*0.5,AR79-MAX(G79,AQ79)&lt;=(AR79-AS79)*0.2),"長い下ヒゲ(反発)","通常"))))</f>
        <v>通常</v>
      </c>
      <c r="AU79">
        <f>IF(AT79="上ヒゲ陰線▼",2,IF(AT79="大陰線▼",2,IF(AT79="長い下ヒゲ(反発)",-2,0)))</f>
        <v>0</v>
      </c>
      <c r="BA79">
        <f>IFERROR((SUM(OFFSET(高値!$E$6,IFERROR(MATCH($C79,銘柄管理!$B$6:$B$305,0),MATCH(TEXT($C79,"0"),銘柄管理!$B$6:$B$305,0))-1,0,1,14))-SUM(OFFSET(安値!$E$6,IFERROR(MATCH($C79,銘柄管理!$B$6:$B$305,0),MATCH(TEXT($C79,"0"),銘柄管理!$B$6:$B$305,0))-1,0,1,14)))/SUM(OFFSET(終値!$E$6,IFERROR(MATCH($C79,銘柄管理!$B$6:$B$305,0),MATCH(TEXT($C79,"0"),銘柄管理!$B$6:$B$305,0))-1,0,1,14))*100,"")</f>
      </c>
      <c r="BB79">
        <f>IFERROR((MAX(OFFSET(高値!$E$6,IFERROR(MATCH($C79,銘柄管理!$B$6:$B$305,0),MATCH(TEXT($C79,"0"),銘柄管理!$B$6:$B$305,0))-1,0,1,25))-MIN(OFFSET(安値!$E$6,IFERROR(MATCH($C79,銘柄管理!$B$6:$B$305,0),MATCH(TEXT($C79,"0"),銘柄管理!$B$6:$B$305,0))-1,0,1,25)))/$E79*100,"")</f>
      </c>
      <c r="BC79">
        <f>IFERROR(($F79-$G79)/$G79*100,"")</f>
      </c>
      <c r="BD79">
        <f>IFERROR(($E79-MAX(OFFSET(高値!$E$6,IFERROR(MATCH($C79,銘柄管理!$B$6:$B$305,0),MATCH(TEXT($C79,"0"),銘柄管理!$B$6:$B$305,0))-1,0,1,25)))/MAX(OFFSET(高値!$E$6,IFERROR(MATCH($C79,銘柄管理!$B$6:$B$305,0),MATCH(TEXT($C79,"0"),銘柄管理!$B$6:$B$305,0))-1,0,1,25))*100,"")</f>
      </c>
      <c r="BE79">
        <f>IFERROR(($H79-$I79)/$F79*100,"")</f>
      </c>
      <c r="BF79">
        <f>IFERROR(-(($BA79-AVERAGE($BA$3:$BA$206))/STDEV($BA$3:$BA$206))-(($BE79-AVERAGE($BE$3:$BE$206))/STDEV($BE$3:$BE$206))-(($BB79-AVERAGE($BB$3:$BB$206))/STDEV($BB$3:$BB$206))-(($Z79-AVERAGE($Z$3:$Z$206))/STDEV($Z$3:$Z$206))-(($BC79-AVERAGE($BC$3:$BC$206))/STDEV($BC$3:$BC$206)),"")</f>
      </c>
      <c r="BG79">
        <f>IF(OR($C79="",$C79="TOPX",$BA79="",$BF79=""),0,IF(AND($BK$10=1,$BA79&lt;=$BK$2,$BB79&lt;=$BK$3,$BC79&lt;=$BK$4,$Z79&lt;=$BK$5,$Z79&gt;=$BK$6,$BD79&gt;=$BK$7,$BE79&lt;=$BK$8),1,0))</f>
      </c>
      <c r="BH79">
        <f>IF($C79="","",IF($BG79=1,"○ゲート通過",IF($BK$10&lt;&gt;1,"― この方向は停止中",IF($BA79&gt;$BK$2,"×値動きが荒い",IF($BB79&gt;$BK$3,"×レンジが広い",IF($BC79&gt;$BK$4,"×窓を開けて上昇",IF($Z79&gt;$BK$5,"×前日に急騰",IF($Z79&lt;$BK$6,"×前日に急落",IF($BD79&lt;$BK$7,"×高値から離れすぎ",IF($BE79&gt;$BK$8,"×当日の値幅が大きい","×")))))))))</f>
      </c>
    </row>
    <row r="80" spans="1:60"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IF(AND(E80&lt;&gt;"",K80&lt;&gt;"",K80&lt;&gt;0),(E80-K80)/K80*100,"")</f>
        <v>-71.806451612903217</v>
      </c>
      <c r="M80" s="333">
        <f>IF(C80&lt;&gt;"",IFERROR(AVERAGE(出来高!E136:I136),""),"")</f>
        <v>343580</v>
      </c>
      <c r="N80" s="333">
        <f>IF(C80&lt;&gt;"",IFERROR(AVERAGE(出来高!E136:AC136),""),"")</f>
        <v>341495.83333333331</v>
      </c>
      <c r="O80" s="335">
        <f>IF(AND(J80&lt;&gt;"",M80&lt;&gt;"",M80&lt;&gt;0),J80/M80,"")</f>
        <v>0.61004715059083769</v>
      </c>
      <c r="P80" s="212" t="str">
        <f>IF(O80="","",IF(O80&gt;=2,"急増↑↑",IF(O80&gt;=1.5,"増加↑",IF(O80&gt;=1,"普通→","減少↓"))))</f>
        <v>減少↓</v>
      </c>
      <c r="Q80" s="212" t="str">
        <f>IF(E80="","",IF(AND(E80&lt;G80,O80&gt;=1.5),"売り▼",IF(E80&gt;G80,"様子見▲","中立→")))</f>
        <v>中立→</v>
      </c>
      <c r="R80" s="333">
        <f>IF(E80&lt;&gt;"",ROUND(E80*0.92,0),"")</f>
        <v>804</v>
      </c>
      <c r="S80" s="333">
        <f>IF(E80&lt;&gt;"",ROUND(E80*1.04,0),"")</f>
        <v>909</v>
      </c>
      <c r="T80" s="325">
        <f>IF(C80="","",IFERROR(IF(W80&gt;=70,3,IF(W80&gt;=60,2,IF(W80&gt;=50,1,0)))+IF(X80&lt;0,2,0)+IF(AD80="下降トレンド▼",3,IF(AD80="もみ合い→",1,0))+IF(V80="年初来安値圏●",3,IF(V80="安値圏",2,0))+IF(Q80="売り▼",2,0)+IF(P80="急増↑↑",2,IF(P80="増加↑",1,0))+IF(Z80&lt;0,1,0)+IF(L80&lt;=-30,2,IF(L80&lt;=-15,1,0))+IF(AE80="25日戻り売り★",2,IF(AE80="5日戻り売り○",1,0))+N(AL80)+N(AP80)+N(AU80),0))</f>
        <v>18</v>
      </c>
      <c r="U80" s="212" t="str">
        <f>IF(T80="","",IF(AND(T80&gt;=3,O80&gt;=1.5),"有効",IF(T80&gt;=3,"要確認","除外")))</f>
        <v>要確認</v>
      </c>
      <c r="V80" s="212" t="str">
        <f>IF(AND(I80&lt;&gt;"",K80&lt;&gt;""),IF(I80&lt;=K80*0.6,"年初来安値圏●",IF(I80&lt;=K80*0.75,"安値圏","通常")),"")</f>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IF(AF80="","",AF80&amp;" | "&amp;AD80&amp;IF(AE80&lt;&gt;"なし"," "&amp;AE80,"")&amp;IF(X80&lt;0," MACD-"," MACD+")&amp;" RSI:"&amp;TEXT(W80,"0.0")&amp;IF(W80&gt;=70," [過熱]",IF(W80&lt;=30," [売られ過ぎ]",""))&amp;" 前日比:"&amp;TEXT(Z80,"+0.0;-0.0;0.0")&amp;"%"&amp;IF(V80="年初来安値圏●"," [年初来安値圏]",IF(V80="安値圏"," [安値圏]",""))&amp;IF(OR(AO80="通常",AO80="-"),""," ["&amp;AO80&amp;"]")&amp;IF(OR(AT80="通常",AT80="-"),"","前日["&amp;AT80&amp;"]")&amp;" ["&amp;T80&amp;"点]")</f>
        <v>★逆張り売り | 下降トレンド▼ 25日戻り売り★ MACD- RSI:47.2 前日比:-2.6% [年初来安値圏] [大陰線▼] [18点]</v>
      </c>
      <c r="Z80" s="338">
        <f>IF(AND(E80&lt;&gt;"",G80&lt;&gt;"",G80&lt;&gt;0),(E80-G80)/G80*100,"")</f>
        <v>-2.5641025641025639</v>
      </c>
      <c r="AA80" s="212" t="str">
        <f>IF(OR(C80="",E80="",E80=0),"",IF(E80&gt;G80,"上昇▲",IF(E80&lt;G80,"下落▼","横ばい→")))</f>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IF(OR(C80="",AB80="",AC80="",AB80=0,AC80=0),"",IF(AND(E80&gt;AB80,AB80&gt;AC80),"パーフェクト▲",IF(E80&gt;AC80,"上昇トレンド▲",IF(AND(E80&lt;AB80,AB80&lt;AC80),"下降トレンド▼","もみ合い→"))))</f>
        <v>下降トレンド▼</v>
      </c>
      <c r="AE80" s="212" t="str">
        <f>IF(OR(C80="",AB80="",AC80=""),"",IF(AND(ABS(E80-AC80)/AC80&lt;=0.02,E80&lt;AC80),"25日戻り売り★",IF(AND(ABS(E80-AB80)/AB80&lt;=0.01,E80&lt;AB80),"5日戻り売り○","なし")))</f>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IF(AND(T80&gt;=7,C80&lt;&gt;""),T80,0)</f>
        <v>18</v>
      </c>
      <c r="AH80">
        <f>IF(AG80&gt;0,AG80*10000-ROW(A80),0)</f>
        <v>179920</v>
      </c>
      <c r="AI80" s="373">
        <f t="array" ref="AI80">IF(C80="","",IFERROR((INDEX(終値!$E:$E,MATCH(TEXT(C80,"0"),終値!$A:$A,0))-INDEX(終値!$E:$CZ,MATCH(TEXT(C80,"0"),終値!$A:$A,0),$AN$2))/INDEX(終値!$E:$CZ,MATCH(TEXT(C80,"0"),終値!$A:$A,0),$AN$2)*100,""))</f>
        <v>-28.18405916187346</v>
      </c>
      <c r="AJ80" s="373">
        <f t="array" ref="AJ80">IFERROR((終値!$E$5-INDEX(終値!$E$5:$IT$5,1,$AN$2))/INDEX(終値!$E$5:$IT$5,1,$AN$2)*100,"")</f>
        <v>1.0179378228534113</v>
      </c>
      <c r="AK80" s="374">
        <f>IF(OR(AI80="",AJ80=""),"",AI80-AJ80)</f>
        <v>-29.201996984726872</v>
      </c>
      <c r="AL80" s="372">
        <f>IF(AK80="","",IF(AK80&lt;-5,3,IF(AK80&lt;0,1,IF(AK80&lt;3,-1,-2))))</f>
        <v>3</v>
      </c>
      <c r="AO80" s="376" t="str">
        <f>IF(OR($C80="",$E80="",$F80="",$H80="",$I80="",$H80-$I80&lt;=0),"-",IF(AND($H80-MAX($F80,$E80)&gt;=ABS($E80-$F80)*2,MIN($F80,$E80)-$I80&lt;=ABS($E80-$F80)*0.5,ABS($E80-$F80)&gt;0),"上ヒゲ陰線▼",IF(AND($E80&lt;$F80,ABS($E80-$F80)&gt;=($H80-$I80)*0.7),"大陰線▼",IF(AND(MIN($F80,$E80)-$I80&gt;=($H80-$I80)*0.5,$H80-MAX($F80,$E80)&lt;=($H80-$I80)*0.2),"長い下ヒゲ(反発警戒)","通常"))))</f>
        <v>大陰線▼</v>
      </c>
      <c r="AP80" s="377">
        <f>IF($AO80="上ヒゲ陰線▼",2,IF($AO80="大陰線▼",2,IF($AO80="長い下ヒゲ(反発警戒)",-2,0)))</f>
        <v>2</v>
      </c>
      <c r="AQ80">
        <f>IF(C80&lt;&gt;"",始値!F136,"")</f>
        <v>886</v>
      </c>
      <c r="AR80">
        <f>IF(C80&lt;&gt;"",高値!F136,"")</f>
        <v>909</v>
      </c>
      <c r="AS80">
        <f>IF(C80&lt;&gt;"",安値!F136,"")</f>
        <v>871</v>
      </c>
      <c r="AT80" t="str">
        <f>IF(OR(C80="",AQ80="",AR80="",AS80="",AR80-AS80&lt;=0),"-",IF(AND(AR80-MAX(G80,AQ80)&gt;=ABS(G80-AQ80)*2,MIN(G80,AQ80)-AS80&lt;=ABS(G80-AQ80)*0.5,ABS(G80-AQ80)&gt;0),"上ヒゲ陰線▼",IF(AND(G80&lt;AQ80,ABS(G80-AQ80)&gt;=(AR80-AS80)*0.7),"大陰線▼",IF(AND(MIN(G80,AQ80)-AS80&gt;=(AR80-AS80)*0.5,AR80-MAX(G80,AQ80)&lt;=(AR80-AS80)*0.2),"長い下ヒゲ(反発)","通常"))))</f>
        <v>通常</v>
      </c>
      <c r="AU80">
        <f>IF(AT80="上ヒゲ陰線▼",2,IF(AT80="大陰線▼",2,IF(AT80="長い下ヒゲ(反発)",-2,0)))</f>
        <v>0</v>
      </c>
      <c r="BA80">
        <f>IFERROR((SUM(OFFSET(高値!$E$6,IFERROR(MATCH($C80,銘柄管理!$B$6:$B$305,0),MATCH(TEXT($C80,"0"),銘柄管理!$B$6:$B$305,0))-1,0,1,14))-SUM(OFFSET(安値!$E$6,IFERROR(MATCH($C80,銘柄管理!$B$6:$B$305,0),MATCH(TEXT($C80,"0"),銘柄管理!$B$6:$B$305,0))-1,0,1,14)))/SUM(OFFSET(終値!$E$6,IFERROR(MATCH($C80,銘柄管理!$B$6:$B$305,0),MATCH(TEXT($C80,"0"),銘柄管理!$B$6:$B$305,0))-1,0,1,14))*100,"")</f>
      </c>
      <c r="BB80">
        <f>IFERROR((MAX(OFFSET(高値!$E$6,IFERROR(MATCH($C80,銘柄管理!$B$6:$B$305,0),MATCH(TEXT($C80,"0"),銘柄管理!$B$6:$B$305,0))-1,0,1,25))-MIN(OFFSET(安値!$E$6,IFERROR(MATCH($C80,銘柄管理!$B$6:$B$305,0),MATCH(TEXT($C80,"0"),銘柄管理!$B$6:$B$305,0))-1,0,1,25)))/$E80*100,"")</f>
      </c>
      <c r="BC80">
        <f>IFERROR(($F80-$G80)/$G80*100,"")</f>
      </c>
      <c r="BD80">
        <f>IFERROR(($E80-MAX(OFFSET(高値!$E$6,IFERROR(MATCH($C80,銘柄管理!$B$6:$B$305,0),MATCH(TEXT($C80,"0"),銘柄管理!$B$6:$B$305,0))-1,0,1,25)))/MAX(OFFSET(高値!$E$6,IFERROR(MATCH($C80,銘柄管理!$B$6:$B$305,0),MATCH(TEXT($C80,"0"),銘柄管理!$B$6:$B$305,0))-1,0,1,25))*100,"")</f>
      </c>
      <c r="BE80">
        <f>IFERROR(($H80-$I80)/$F80*100,"")</f>
      </c>
      <c r="BF80">
        <f>IFERROR(-(($BA80-AVERAGE($BA$3:$BA$206))/STDEV($BA$3:$BA$206))-(($BE80-AVERAGE($BE$3:$BE$206))/STDEV($BE$3:$BE$206))-(($BB80-AVERAGE($BB$3:$BB$206))/STDEV($BB$3:$BB$206))-(($Z80-AVERAGE($Z$3:$Z$206))/STDEV($Z$3:$Z$206))-(($BC80-AVERAGE($BC$3:$BC$206))/STDEV($BC$3:$BC$206)),"")</f>
      </c>
      <c r="BG80">
        <f>IF(OR($C80="",$C80="TOPX",$BA80="",$BF80=""),0,IF(AND($BK$10=1,$BA80&lt;=$BK$2,$BB80&lt;=$BK$3,$BC80&lt;=$BK$4,$Z80&lt;=$BK$5,$Z80&gt;=$BK$6,$BD80&gt;=$BK$7,$BE80&lt;=$BK$8),1,0))</f>
      </c>
      <c r="BH80">
        <f>IF($C80="","",IF($BG80=1,"○ゲート通過",IF($BK$10&lt;&gt;1,"― この方向は停止中",IF($BA80&gt;$BK$2,"×値動きが荒い",IF($BB80&gt;$BK$3,"×レンジが広い",IF($BC80&gt;$BK$4,"×窓を開けて上昇",IF($Z80&gt;$BK$5,"×前日に急騰",IF($Z80&lt;$BK$6,"×前日に急落",IF($BD80&lt;$BK$7,"×高値から離れすぎ",IF($BE80&gt;$BK$8,"×当日の値幅が大きい","×")))))))))</f>
      </c>
    </row>
    <row r="81" spans="1:60"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IF(AND(E81&lt;&gt;"",K81&lt;&gt;"",K81&lt;&gt;0),(E81-K81)/K81*100,"")</f>
        <v>-71.278538812785385</v>
      </c>
      <c r="M81" s="326">
        <f>IF(C81&lt;&gt;"",IFERROR(AVERAGE(出来高!E138:I138),""),"")</f>
        <v>8521560</v>
      </c>
      <c r="N81" s="326">
        <f>IF(C81&lt;&gt;"",IFERROR(AVERAGE(出来高!E138:AC138),""),"")</f>
        <v>3725828</v>
      </c>
      <c r="O81" s="328">
        <f>IF(AND(J81&lt;&gt;"",M81&lt;&gt;"",M81&lt;&gt;0),J81/M81,"")</f>
        <v>3.4863217532939976</v>
      </c>
      <c r="P81" s="325" t="str">
        <f>IF(O81="","",IF(O81&gt;=2,"急増↑↑",IF(O81&gt;=1.5,"増加↑",IF(O81&gt;=1,"普通→","減少↓"))))</f>
        <v>急増↑↑</v>
      </c>
      <c r="Q81" s="325" t="str">
        <f>IF(E81="","",IF(AND(E81&lt;G81,O81&gt;=1.5),"売り▼",IF(E81&gt;G81,"様子見▲","中立→")))</f>
        <v>様子見▲</v>
      </c>
      <c r="R81" s="326">
        <f>IF(E81&lt;&gt;"",ROUND(E81*0.92,0),"")</f>
        <v>1157</v>
      </c>
      <c r="S81" s="326">
        <f>IF(E81&lt;&gt;"",ROUND(E81*1.04,0),"")</f>
        <v>1308</v>
      </c>
      <c r="T81" s="325">
        <f>IF(C81="","",IFERROR(IF(W81&gt;=70,3,IF(W81&gt;=60,2,IF(W81&gt;=50,1,0)))+IF(X81&lt;0,2,0)+IF(AD81="下降トレンド▼",3,IF(AD81="もみ合い→",1,0))+IF(V81="年初来安値圏●",3,IF(V81="安値圏",2,0))+IF(Q81="売り▼",2,0)+IF(P81="急増↑↑",2,IF(P81="増加↑",1,0))+IF(Z81&lt;0,1,0)+IF(L81&lt;=-30,2,IF(L81&lt;=-15,1,0))+IF(AE81="25日戻り売り★",2,IF(AE81="5日戻り売り○",1,0))+N(AL81)+N(AP81)+N(AU81),0))</f>
        <v>6</v>
      </c>
      <c r="U81" s="325" t="str">
        <f>IF(T81="","",IF(AND(T81&gt;=3,O81&gt;=1.5),"有効",IF(T81&gt;=3,"要確認","除外")))</f>
        <v>有効</v>
      </c>
      <c r="V81" s="325" t="str">
        <f>IF(AND(I81&lt;&gt;"",K81&lt;&gt;""),IF(I81&lt;=K81*0.6,"年初来安値圏●",IF(I81&lt;=K81*0.75,"安値圏","通常")),"")</f>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IF(AF81="","",AF81&amp;" | "&amp;AD81&amp;IF(AE81&lt;&gt;"なし"," "&amp;AE81,"")&amp;IF(X81&lt;0," MACD-"," MACD+")&amp;" RSI:"&amp;TEXT(W81,"0.0")&amp;IF(W81&gt;=70," [過熱]",IF(W81&lt;=30," [売られ過ぎ]",""))&amp;" 前日比:"&amp;TEXT(Z81,"+0.0;-0.0;0.0")&amp;"%"&amp;IF(V81="年初来安値圏●"," [年初来安値圏]",IF(V81="安値圏"," [安値圏]",""))&amp;IF(OR(AO81="通常",AO81="-"),""," ["&amp;AO81&amp;"]")&amp;IF(OR(AT81="通常",AT81="-"),"","前日["&amp;AT81&amp;"]")&amp;" ["&amp;T81&amp;"点]")</f>
        <v>相場上昇・見送り | パーフェクト▲ MACD+ RSI:53.1 前日比:+24.7% [年初来安値圏] [6点]</v>
      </c>
      <c r="Z81" s="331">
        <f>IF(AND(E81&lt;&gt;"",G81&lt;&gt;"",G81&lt;&gt;0),(E81-G81)/G81*100,"")</f>
        <v>24.677898909811695</v>
      </c>
      <c r="AA81" s="325" t="str">
        <f>IF(OR(C81="",E81="",E81=0),"",IF(E81&gt;G81,"上昇▲",IF(E81&lt;G81,"下落▼","横ばい→")))</f>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IF(OR(C81="",AB81="",AC81="",AB81=0,AC81=0),"",IF(AND(E81&gt;AB81,AB81&gt;AC81),"パーフェクト▲",IF(E81&gt;AC81,"上昇トレンド▲",IF(AND(E81&lt;AB81,AB81&lt;AC81),"下降トレンド▼","もみ合い→"))))</f>
        <v>パーフェクト▲</v>
      </c>
      <c r="AE81" s="325" t="str">
        <f>IF(OR(C81="",AB81="",AC81=""),"",IF(AND(ABS(E81-AC81)/AC81&lt;=0.02,E81&lt;AC81),"25日戻り売り★",IF(AND(ABS(E81-AB81)/AB81&lt;=0.01,E81&lt;AB81),"5日戻り売り○","なし")))</f>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IF(AND(T81&gt;=7,C81&lt;&gt;""),T81,0)</f>
        <v>0</v>
      </c>
      <c r="AH81">
        <f>IF(AG81&gt;0,AG81*10000-ROW(A81),0)</f>
        <v>0</v>
      </c>
      <c r="AI81" s="373">
        <f t="array" ref="AI81">IF(C81="","",IFERROR((INDEX(終値!$E:$E,MATCH(TEXT(C81,"0"),終値!$A:$A,0))-INDEX(終値!$E:$CZ,MATCH(TEXT(C81,"0"),終値!$A:$A,0),$AN$2))/INDEX(終値!$E:$CZ,MATCH(TEXT(C81,"0"),終値!$A:$A,0),$AN$2)*100,""))</f>
        <v>25.049701789264411</v>
      </c>
      <c r="AJ81" s="373">
        <f t="array" ref="AJ81">IFERROR((終値!$E$5-INDEX(終値!$E$5:$IT$5,1,$AN$2))/INDEX(終値!$E$5:$IT$5,1,$AN$2)*100,"")</f>
        <v>1.0179378228534113</v>
      </c>
      <c r="AK81" s="374">
        <f>IF(OR(AI81="",AJ81=""),"",AI81-AJ81)</f>
        <v>24.031763966410999</v>
      </c>
      <c r="AL81" s="372">
        <f>IF(AK81="","",IF(AK81&lt;-5,3,IF(AK81&lt;0,1,IF(AK81&lt;3,-1,-2))))</f>
        <v>-2</v>
      </c>
      <c r="AO81" s="376" t="str">
        <f>IF(OR($C81="",$E81="",$F81="",$H81="",$I81="",$H81-$I81&lt;=0),"-",IF(AND($H81-MAX($F81,$E81)&gt;=ABS($E81-$F81)*2,MIN($F81,$E81)-$I81&lt;=ABS($E81-$F81)*0.5,ABS($E81-$F81)&gt;0),"上ヒゲ陰線▼",IF(AND($E81&lt;$F81,ABS($E81-$F81)&gt;=($H81-$I81)*0.7),"大陰線▼",IF(AND(MIN($F81,$E81)-$I81&gt;=($H81-$I81)*0.5,$H81-MAX($F81,$E81)&lt;=($H81-$I81)*0.2),"長い下ヒゲ(反発警戒)","通常"))))</f>
        <v>通常</v>
      </c>
      <c r="AP81" s="377">
        <f>IF($AO81="上ヒゲ陰線▼",2,IF($AO81="大陰線▼",2,IF($AO81="長い下ヒゲ(反発警戒)",-2,0)))</f>
        <v>0</v>
      </c>
      <c r="AQ81">
        <f>IF(C81&lt;&gt;"",始値!F138,"")</f>
        <v>914</v>
      </c>
      <c r="AR81">
        <f>IF(C81&lt;&gt;"",高値!F138,"")</f>
        <v>1025</v>
      </c>
      <c r="AS81">
        <f>IF(C81&lt;&gt;"",安値!F138,"")</f>
        <v>914</v>
      </c>
      <c r="AT81" t="str">
        <f>IF(OR(C81="",AQ81="",AR81="",AS81="",AR81-AS81&lt;=0),"-",IF(AND(AR81-MAX(G81,AQ81)&gt;=ABS(G81-AQ81)*2,MIN(G81,AQ81)-AS81&lt;=ABS(G81-AQ81)*0.5,ABS(G81-AQ81)&gt;0),"上ヒゲ陰線▼",IF(AND(G81&lt;AQ81,ABS(G81-AQ81)&gt;=(AR81-AS81)*0.7),"大陰線▼",IF(AND(MIN(G81,AQ81)-AS81&gt;=(AR81-AS81)*0.5,AR81-MAX(G81,AQ81)&lt;=(AR81-AS81)*0.2),"長い下ヒゲ(反発)","通常"))))</f>
        <v>通常</v>
      </c>
      <c r="AU81">
        <f>IF(AT81="上ヒゲ陰線▼",2,IF(AT81="大陰線▼",2,IF(AT81="長い下ヒゲ(反発)",-2,0)))</f>
        <v>0</v>
      </c>
      <c r="BA81">
        <f>IFERROR((SUM(OFFSET(高値!$E$6,IFERROR(MATCH($C81,銘柄管理!$B$6:$B$305,0),MATCH(TEXT($C81,"0"),銘柄管理!$B$6:$B$305,0))-1,0,1,14))-SUM(OFFSET(安値!$E$6,IFERROR(MATCH($C81,銘柄管理!$B$6:$B$305,0),MATCH(TEXT($C81,"0"),銘柄管理!$B$6:$B$305,0))-1,0,1,14)))/SUM(OFFSET(終値!$E$6,IFERROR(MATCH($C81,銘柄管理!$B$6:$B$305,0),MATCH(TEXT($C81,"0"),銘柄管理!$B$6:$B$305,0))-1,0,1,14))*100,"")</f>
      </c>
      <c r="BB81">
        <f>IFERROR((MAX(OFFSET(高値!$E$6,IFERROR(MATCH($C81,銘柄管理!$B$6:$B$305,0),MATCH(TEXT($C81,"0"),銘柄管理!$B$6:$B$305,0))-1,0,1,25))-MIN(OFFSET(安値!$E$6,IFERROR(MATCH($C81,銘柄管理!$B$6:$B$305,0),MATCH(TEXT($C81,"0"),銘柄管理!$B$6:$B$305,0))-1,0,1,25)))/$E81*100,"")</f>
      </c>
      <c r="BC81">
        <f>IFERROR(($F81-$G81)/$G81*100,"")</f>
      </c>
      <c r="BD81">
        <f>IFERROR(($E81-MAX(OFFSET(高値!$E$6,IFERROR(MATCH($C81,銘柄管理!$B$6:$B$305,0),MATCH(TEXT($C81,"0"),銘柄管理!$B$6:$B$305,0))-1,0,1,25)))/MAX(OFFSET(高値!$E$6,IFERROR(MATCH($C81,銘柄管理!$B$6:$B$305,0),MATCH(TEXT($C81,"0"),銘柄管理!$B$6:$B$305,0))-1,0,1,25))*100,"")</f>
      </c>
      <c r="BE81">
        <f>IFERROR(($H81-$I81)/$F81*100,"")</f>
      </c>
      <c r="BF81">
        <f>IFERROR(-(($BA81-AVERAGE($BA$3:$BA$206))/STDEV($BA$3:$BA$206))-(($BE81-AVERAGE($BE$3:$BE$206))/STDEV($BE$3:$BE$206))-(($BB81-AVERAGE($BB$3:$BB$206))/STDEV($BB$3:$BB$206))-(($Z81-AVERAGE($Z$3:$Z$206))/STDEV($Z$3:$Z$206))-(($BC81-AVERAGE($BC$3:$BC$206))/STDEV($BC$3:$BC$206)),"")</f>
      </c>
      <c r="BG81">
        <f>IF(OR($C81="",$C81="TOPX",$BA81="",$BF81=""),0,IF(AND($BK$10=1,$BA81&lt;=$BK$2,$BB81&lt;=$BK$3,$BC81&lt;=$BK$4,$Z81&lt;=$BK$5,$Z81&gt;=$BK$6,$BD81&gt;=$BK$7,$BE81&lt;=$BK$8),1,0))</f>
      </c>
      <c r="BH81">
        <f>IF($C81="","",IF($BG81=1,"○ゲート通過",IF($BK$10&lt;&gt;1,"― この方向は停止中",IF($BA81&gt;$BK$2,"×値動きが荒い",IF($BB81&gt;$BK$3,"×レンジが広い",IF($BC81&gt;$BK$4,"×窓を開けて上昇",IF($Z81&gt;$BK$5,"×前日に急騰",IF($Z81&lt;$BK$6,"×前日に急落",IF($BD81&lt;$BK$7,"×高値から離れすぎ",IF($BE81&gt;$BK$8,"×当日の値幅が大きい","×")))))))))</f>
      </c>
    </row>
    <row r="82" spans="1:60"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IF(AND(E82&lt;&gt;"",K82&lt;&gt;"",K82&lt;&gt;0),(E82-K82)/K82*100,"")</f>
        <v>-10.643564356435643</v>
      </c>
      <c r="M82" s="333">
        <f>IF(C82&lt;&gt;"",IFERROR(AVERAGE(出来高!E160:I160),""),"")</f>
        <v>1175520</v>
      </c>
      <c r="N82" s="333">
        <f>IF(C82&lt;&gt;"",IFERROR(AVERAGE(出来高!E160:AC160),""),"")</f>
        <v>1149560</v>
      </c>
      <c r="O82" s="335">
        <f>IF(AND(J82&lt;&gt;"",M82&lt;&gt;"",M82&lt;&gt;0),J82/M82,"")</f>
        <v>0.95608751871512176</v>
      </c>
      <c r="P82" s="212" t="str">
        <f>IF(O82="","",IF(O82&gt;=2,"急増↑↑",IF(O82&gt;=1.5,"増加↑",IF(O82&gt;=1,"普通→","減少↓"))))</f>
        <v>減少↓</v>
      </c>
      <c r="Q82" s="212" t="str">
        <f>IF(E82="","",IF(AND(E82&lt;G82,O82&gt;=1.5),"売り▼",IF(E82&gt;G82,"様子見▲","中立→")))</f>
        <v>様子見▲</v>
      </c>
      <c r="R82" s="333">
        <f>IF(E82&lt;&gt;"",ROUND(E82*0.92,0),"")</f>
        <v>996</v>
      </c>
      <c r="S82" s="333">
        <f>IF(E82&lt;&gt;"",ROUND(E82*1.04,0),"")</f>
        <v>1126</v>
      </c>
      <c r="T82" s="325">
        <f>IF(C82="","",IFERROR(IF(W82&gt;=70,3,IF(W82&gt;=60,2,IF(W82&gt;=50,1,0)))+IF(X82&lt;0,2,0)+IF(AD82="下降トレンド▼",3,IF(AD82="もみ合い→",1,0))+IF(V82="年初来安値圏●",3,IF(V82="安値圏",2,0))+IF(Q82="売り▼",2,0)+IF(P82="急増↑↑",2,IF(P82="増加↑",1,0))+IF(Z82&lt;0,1,0)+IF(L82&lt;=-30,2,IF(L82&lt;=-15,1,0))+IF(AE82="25日戻り売り★",2,IF(AE82="5日戻り売り○",1,0))+N(AL82)+N(AP82)+N(AU82),0))</f>
        <v>4</v>
      </c>
      <c r="U82" s="212" t="str">
        <f>IF(T82="","",IF(AND(T82&gt;=3,O82&gt;=1.5),"有効",IF(T82&gt;=3,"要確認","除外")))</f>
        <v>要確認</v>
      </c>
      <c r="V82" s="212" t="str">
        <f>IF(AND(I82&lt;&gt;"",K82&lt;&gt;""),IF(I82&lt;=K82*0.6,"年初来安値圏●",IF(I82&lt;=K82*0.75,"安値圏","通常")),"")</f>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IF(AF82="","",AF82&amp;" | "&amp;AD82&amp;IF(AE82&lt;&gt;"なし"," "&amp;AE82,"")&amp;IF(X82&lt;0," MACD-"," MACD+")&amp;" RSI:"&amp;TEXT(W82,"0.0")&amp;IF(W82&gt;=70," [過熱]",IF(W82&lt;=30," [売られ過ぎ]",""))&amp;" 前日比:"&amp;TEXT(Z82,"+0.0;-0.0;0.0")&amp;"%"&amp;IF(V82="年初来安値圏●"," [年初来安値圏]",IF(V82="安値圏"," [安値圏]",""))&amp;IF(OR(AO82="通常",AO82="-"),""," ["&amp;AO82&amp;"]")&amp;IF(OR(AT82="通常",AT82="-"),"","前日["&amp;AT82&amp;"]")&amp;" ["&amp;T82&amp;"点]")</f>
        <v>★逆張り売り | 下降トレンド▼ 25日戻り売り★ MACD+ RSI:55.3 前日比:+1.3% [4点]</v>
      </c>
      <c r="Z82" s="338">
        <f>IF(AND(E82&lt;&gt;"",G82&lt;&gt;"",G82&lt;&gt;0),(E82-G82)/G82*100,"")</f>
        <v>1.3096351730589337</v>
      </c>
      <c r="AA82" s="212" t="str">
        <f>IF(OR(C82="",E82="",E82=0),"",IF(E82&gt;G82,"上昇▲",IF(E82&lt;G82,"下落▼","横ばい→")))</f>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IF(OR(C82="",AB82="",AC82="",AB82=0,AC82=0),"",IF(AND(E82&gt;AB82,AB82&gt;AC82),"パーフェクト▲",IF(E82&gt;AC82,"上昇トレンド▲",IF(AND(E82&lt;AB82,AB82&lt;AC82),"下降トレンド▼","もみ合い→"))))</f>
        <v>下降トレンド▼</v>
      </c>
      <c r="AE82" s="212" t="str">
        <f>IF(OR(C82="",AB82="",AC82=""),"",IF(AND(ABS(E82-AC82)/AC82&lt;=0.02,E82&lt;AC82),"25日戻り売り★",IF(AND(ABS(E82-AB82)/AB82&lt;=0.01,E82&lt;AB82),"5日戻り売り○","なし")))</f>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IF(AND(T82&gt;=7,C82&lt;&gt;""),T82,0)</f>
        <v>0</v>
      </c>
      <c r="AH82">
        <f>IF(AG82&gt;0,AG82*10000-ROW(A82),0)</f>
        <v>0</v>
      </c>
      <c r="AI82" s="373">
        <f t="array" ref="AI82">IF(C82="","",IFERROR((INDEX(終値!$E:$E,MATCH(TEXT(C82,"0"),終値!$A:$A,0))-INDEX(終値!$E:$CZ,MATCH(TEXT(C82,"0"),終値!$A:$A,0),$AN$2))/INDEX(終値!$E:$CZ,MATCH(TEXT(C82,"0"),終値!$A:$A,0),$AN$2)*100,""))</f>
        <v>14.603174603174605</v>
      </c>
      <c r="AJ82" s="373">
        <f t="array" ref="AJ82">IFERROR((終値!$E$5-INDEX(終値!$E$5:$IT$5,1,$AN$2))/INDEX(終値!$E$5:$IT$5,1,$AN$2)*100,"")</f>
        <v>1.0179378228534113</v>
      </c>
      <c r="AK82" s="374">
        <f>IF(OR(AI82="",AJ82=""),"",AI82-AJ82)</f>
        <v>13.585236780321193</v>
      </c>
      <c r="AL82" s="372">
        <f>IF(AK82="","",IF(AK82&lt;-5,3,IF(AK82&lt;0,1,IF(AK82&lt;3,-1,-2))))</f>
        <v>-2</v>
      </c>
      <c r="AO82" s="376" t="str">
        <f>IF(OR($C82="",$E82="",$F82="",$H82="",$I82="",$H82-$I82&lt;=0),"-",IF(AND($H82-MAX($F82,$E82)&gt;=ABS($E82-$F82)*2,MIN($F82,$E82)-$I82&lt;=ABS($E82-$F82)*0.5,ABS($E82-$F82)&gt;0),"上ヒゲ陰線▼",IF(AND($E82&lt;$F82,ABS($E82-$F82)&gt;=($H82-$I82)*0.7),"大陰線▼",IF(AND(MIN($F82,$E82)-$I82&gt;=($H82-$I82)*0.5,$H82-MAX($F82,$E82)&lt;=($H82-$I82)*0.2),"長い下ヒゲ(反発警戒)","通常"))))</f>
        <v>通常</v>
      </c>
      <c r="AP82" s="377">
        <f>IF($AO82="上ヒゲ陰線▼",2,IF($AO82="大陰線▼",2,IF($AO82="長い下ヒゲ(反発警戒)",-2,0)))</f>
        <v>0</v>
      </c>
      <c r="AQ82">
        <f>IF(C82&lt;&gt;"",始値!F160,"")</f>
        <v>1100</v>
      </c>
      <c r="AR82">
        <f>IF(C82&lt;&gt;"",高値!F160,"")</f>
        <v>1105</v>
      </c>
      <c r="AS82">
        <f>IF(C82&lt;&gt;"",安値!F160,"")</f>
        <v>1055</v>
      </c>
      <c r="AT82" t="str">
        <f>IF(OR(C82="",AQ82="",AR82="",AS82="",AR82-AS82&lt;=0),"-",IF(AND(AR82-MAX(G82,AQ82)&gt;=ABS(G82-AQ82)*2,MIN(G82,AQ82)-AS82&lt;=ABS(G82-AQ82)*0.5,ABS(G82-AQ82)&gt;0),"上ヒゲ陰線▼",IF(AND(G82&lt;AQ82,ABS(G82-AQ82)&gt;=(AR82-AS82)*0.7),"大陰線▼",IF(AND(MIN(G82,AQ82)-AS82&gt;=(AR82-AS82)*0.5,AR82-MAX(G82,AQ82)&lt;=(AR82-AS82)*0.2),"長い下ヒゲ(反発)","通常"))))</f>
        <v>通常</v>
      </c>
      <c r="AU82">
        <f>IF(AT82="上ヒゲ陰線▼",2,IF(AT82="大陰線▼",2,IF(AT82="長い下ヒゲ(反発)",-2,0)))</f>
        <v>0</v>
      </c>
      <c r="BA82">
        <f>IFERROR((SUM(OFFSET(高値!$E$6,IFERROR(MATCH($C82,銘柄管理!$B$6:$B$305,0),MATCH(TEXT($C82,"0"),銘柄管理!$B$6:$B$305,0))-1,0,1,14))-SUM(OFFSET(安値!$E$6,IFERROR(MATCH($C82,銘柄管理!$B$6:$B$305,0),MATCH(TEXT($C82,"0"),銘柄管理!$B$6:$B$305,0))-1,0,1,14)))/SUM(OFFSET(終値!$E$6,IFERROR(MATCH($C82,銘柄管理!$B$6:$B$305,0),MATCH(TEXT($C82,"0"),銘柄管理!$B$6:$B$305,0))-1,0,1,14))*100,"")</f>
      </c>
      <c r="BB82">
        <f>IFERROR((MAX(OFFSET(高値!$E$6,IFERROR(MATCH($C82,銘柄管理!$B$6:$B$305,0),MATCH(TEXT($C82,"0"),銘柄管理!$B$6:$B$305,0))-1,0,1,25))-MIN(OFFSET(安値!$E$6,IFERROR(MATCH($C82,銘柄管理!$B$6:$B$305,0),MATCH(TEXT($C82,"0"),銘柄管理!$B$6:$B$305,0))-1,0,1,25)))/$E82*100,"")</f>
      </c>
      <c r="BC82">
        <f>IFERROR(($F82-$G82)/$G82*100,"")</f>
      </c>
      <c r="BD82">
        <f>IFERROR(($E82-MAX(OFFSET(高値!$E$6,IFERROR(MATCH($C82,銘柄管理!$B$6:$B$305,0),MATCH(TEXT($C82,"0"),銘柄管理!$B$6:$B$305,0))-1,0,1,25)))/MAX(OFFSET(高値!$E$6,IFERROR(MATCH($C82,銘柄管理!$B$6:$B$305,0),MATCH(TEXT($C82,"0"),銘柄管理!$B$6:$B$305,0))-1,0,1,25))*100,"")</f>
      </c>
      <c r="BE82">
        <f>IFERROR(($H82-$I82)/$F82*100,"")</f>
      </c>
      <c r="BF82">
        <f>IFERROR(-(($BA82-AVERAGE($BA$3:$BA$206))/STDEV($BA$3:$BA$206))-(($BE82-AVERAGE($BE$3:$BE$206))/STDEV($BE$3:$BE$206))-(($BB82-AVERAGE($BB$3:$BB$206))/STDEV($BB$3:$BB$206))-(($Z82-AVERAGE($Z$3:$Z$206))/STDEV($Z$3:$Z$206))-(($BC82-AVERAGE($BC$3:$BC$206))/STDEV($BC$3:$BC$206)),"")</f>
      </c>
      <c r="BG82">
        <f>IF(OR($C82="",$C82="TOPX",$BA82="",$BF82=""),0,IF(AND($BK$10=1,$BA82&lt;=$BK$2,$BB82&lt;=$BK$3,$BC82&lt;=$BK$4,$Z82&lt;=$BK$5,$Z82&gt;=$BK$6,$BD82&gt;=$BK$7,$BE82&lt;=$BK$8),1,0))</f>
      </c>
      <c r="BH82">
        <f>IF($C82="","",IF($BG82=1,"○ゲート通過",IF($BK$10&lt;&gt;1,"― この方向は停止中",IF($BA82&gt;$BK$2,"×値動きが荒い",IF($BB82&gt;$BK$3,"×レンジが広い",IF($BC82&gt;$BK$4,"×窓を開けて上昇",IF($Z82&gt;$BK$5,"×前日に急騰",IF($Z82&lt;$BK$6,"×前日に急落",IF($BD82&lt;$BK$7,"×高値から離れすぎ",IF($BE82&gt;$BK$8,"×当日の値幅が大きい","×")))))))))</f>
      </c>
    </row>
    <row r="83" spans="1:60"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IF(AND(E83&lt;&gt;"",K83&lt;&gt;"",K83&lt;&gt;0),(E83-K83)/K83*100,"")</f>
        <v>-16.474464579901152</v>
      </c>
      <c r="M83" s="326">
        <f>IF(C83&lt;&gt;"",IFERROR(AVERAGE(出来高!E163:I163),""),"")</f>
        <v>98880</v>
      </c>
      <c r="N83" s="326">
        <f>IF(C83&lt;&gt;"",IFERROR(AVERAGE(出来高!E163:AC163),""),"")</f>
        <v>111920</v>
      </c>
      <c r="O83" s="328">
        <f>IF(AND(J83&lt;&gt;"",M83&lt;&gt;"",M83&lt;&gt;0),J83/M83,"")</f>
        <v>0.60578478964401294</v>
      </c>
      <c r="P83" s="325" t="str">
        <f>IF(O83="","",IF(O83&gt;=2,"急増↑↑",IF(O83&gt;=1.5,"増加↑",IF(O83&gt;=1,"普通→","減少↓"))))</f>
        <v>減少↓</v>
      </c>
      <c r="Q83" s="325" t="str">
        <f>IF(E83="","",IF(AND(E83&lt;G83,O83&gt;=1.5),"売り▼",IF(E83&gt;G83,"様子見▲","中立→")))</f>
        <v>中立→</v>
      </c>
      <c r="R83" s="326">
        <f>IF(E83&lt;&gt;"",ROUND(E83*0.92,0),"")</f>
        <v>1399</v>
      </c>
      <c r="S83" s="326">
        <f>IF(E83&lt;&gt;"",ROUND(E83*1.04,0),"")</f>
        <v>1582</v>
      </c>
      <c r="T83" s="325">
        <f>IF(C83="","",IFERROR(IF(W83&gt;=70,3,IF(W83&gt;=60,2,IF(W83&gt;=50,1,0)))+IF(X83&lt;0,2,0)+IF(AD83="下降トレンド▼",3,IF(AD83="もみ合い→",1,0))+IF(V83="年初来安値圏●",3,IF(V83="安値圏",2,0))+IF(Q83="売り▼",2,0)+IF(P83="急増↑↑",2,IF(P83="増加↑",1,0))+IF(Z83&lt;0,1,0)+IF(L83&lt;=-30,2,IF(L83&lt;=-15,1,0))+IF(AE83="25日戻り売り★",2,IF(AE83="5日戻り売り○",1,0))+N(AL83)+N(AP83)+N(AU83),0))</f>
        <v>10</v>
      </c>
      <c r="U83" s="325" t="str">
        <f>IF(T83="","",IF(AND(T83&gt;=3,O83&gt;=1.5),"有効",IF(T83&gt;=3,"要確認","除外")))</f>
        <v>要確認</v>
      </c>
      <c r="V83" s="325" t="str">
        <f>IF(AND(I83&lt;&gt;"",K83&lt;&gt;""),IF(I83&lt;=K83*0.6,"年初来安値圏●",IF(I83&lt;=K83*0.75,"安値圏","通常")),"")</f>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IF(AF83="","",AF83&amp;" | "&amp;AD83&amp;IF(AE83&lt;&gt;"なし"," "&amp;AE83,"")&amp;IF(X83&lt;0," MACD-"," MACD+")&amp;" RSI:"&amp;TEXT(W83,"0.0")&amp;IF(W83&gt;=70," [過熱]",IF(W83&lt;=30," [売られ過ぎ]",""))&amp;" 前日比:"&amp;TEXT(Z83,"+0.0;-0.0;0.0")&amp;"%"&amp;IF(V83="年初来安値圏●"," [年初来安値圏]",IF(V83="安値圏"," [安値圏]",""))&amp;IF(OR(AO83="通常",AO83="-"),""," ["&amp;AO83&amp;"]")&amp;IF(OR(AT83="通常",AT83="-"),"","前日["&amp;AT83&amp;"]")&amp;" ["&amp;T83&amp;"点]")</f>
        <v>○逆張り売り | もみ合い→ 25日戻り売り★ MACD- RSI:39.3 前日比:-0.6% [10点]</v>
      </c>
      <c r="Z83" s="331">
        <f>IF(AND(E83&lt;&gt;"",G83&lt;&gt;"",G83&lt;&gt;0),(E83-G83)/G83*100,"")</f>
        <v>-0.58823529411764708</v>
      </c>
      <c r="AA83" s="325" t="str">
        <f>IF(OR(C83="",E83="",E83=0),"",IF(E83&gt;G83,"上昇▲",IF(E83&lt;G83,"下落▼","横ばい→")))</f>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IF(OR(C83="",AB83="",AC83="",AB83=0,AC83=0),"",IF(AND(E83&gt;AB83,AB83&gt;AC83),"パーフェクト▲",IF(E83&gt;AC83,"上昇トレンド▲",IF(AND(E83&lt;AB83,AB83&lt;AC83),"下降トレンド▼","もみ合い→"))))</f>
        <v>もみ合い→</v>
      </c>
      <c r="AE83" s="325" t="str">
        <f>IF(OR(C83="",AB83="",AC83=""),"",IF(AND(ABS(E83-AC83)/AC83&lt;=0.02,E83&lt;AC83),"25日戻り売り★",IF(AND(ABS(E83-AB83)/AB83&lt;=0.01,E83&lt;AB83),"5日戻り売り○","なし")))</f>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IF(AND(T83&gt;=7,C83&lt;&gt;""),T83,0)</f>
        <v>10</v>
      </c>
      <c r="AH83">
        <f>IF(AG83&gt;0,AG83*10000-ROW(A83),0)</f>
        <v>99917</v>
      </c>
      <c r="AI83" s="373">
        <f t="array" ref="AI83">IF(C83="","",IFERROR((INDEX(終値!$E:$E,MATCH(TEXT(C83,"0"),終値!$A:$A,0))-INDEX(終値!$E:$CZ,MATCH(TEXT(C83,"0"),終値!$A:$A,0),$AN$2))/INDEX(終値!$E:$CZ,MATCH(TEXT(C83,"0"),終値!$A:$A,0),$AN$2)*100,""))</f>
        <v>-9.3563766388557799</v>
      </c>
      <c r="AJ83" s="373">
        <f t="array" ref="AJ83">IFERROR((終値!$E$5-INDEX(終値!$E$5:$IT$5,1,$AN$2))/INDEX(終値!$E$5:$IT$5,1,$AN$2)*100,"")</f>
        <v>1.0179378228534113</v>
      </c>
      <c r="AK83" s="374">
        <f>IF(OR(AI83="",AJ83=""),"",AI83-AJ83)</f>
        <v>-10.374314461709192</v>
      </c>
      <c r="AL83" s="372">
        <f>IF(AK83="","",IF(AK83&lt;-5,3,IF(AK83&lt;0,1,IF(AK83&lt;3,-1,-2))))</f>
        <v>3</v>
      </c>
      <c r="AO83" s="376" t="str">
        <f>IF(OR($C83="",$E83="",$F83="",$H83="",$I83="",$H83-$I83&lt;=0),"-",IF(AND($H83-MAX($F83,$E83)&gt;=ABS($E83-$F83)*2,MIN($F83,$E83)-$I83&lt;=ABS($E83-$F83)*0.5,ABS($E83-$F83)&gt;0),"上ヒゲ陰線▼",IF(AND($E83&lt;$F83,ABS($E83-$F83)&gt;=($H83-$I83)*0.7),"大陰線▼",IF(AND(MIN($F83,$E83)-$I83&gt;=($H83-$I83)*0.5,$H83-MAX($F83,$E83)&lt;=($H83-$I83)*0.2),"長い下ヒゲ(反発警戒)","通常"))))</f>
        <v>通常</v>
      </c>
      <c r="AP83" s="377">
        <f>IF($AO83="上ヒゲ陰線▼",2,IF($AO83="大陰線▼",2,IF($AO83="長い下ヒゲ(反発警戒)",-2,0)))</f>
        <v>0</v>
      </c>
      <c r="AQ83">
        <f>IF(C83&lt;&gt;"",始値!F163,"")</f>
        <v>1493</v>
      </c>
      <c r="AR83">
        <f>IF(C83&lt;&gt;"",高値!F163,"")</f>
        <v>1530</v>
      </c>
      <c r="AS83">
        <f>IF(C83&lt;&gt;"",安値!F163,"")</f>
        <v>1484</v>
      </c>
      <c r="AT83" t="str">
        <f>IF(OR(C83="",AQ83="",AR83="",AS83="",AR83-AS83&lt;=0),"-",IF(AND(AR83-MAX(G83,AQ83)&gt;=ABS(G83-AQ83)*2,MIN(G83,AQ83)-AS83&lt;=ABS(G83-AQ83)*0.5,ABS(G83-AQ83)&gt;0),"上ヒゲ陰線▼",IF(AND(G83&lt;AQ83,ABS(G83-AQ83)&gt;=(AR83-AS83)*0.7),"大陰線▼",IF(AND(MIN(G83,AQ83)-AS83&gt;=(AR83-AS83)*0.5,AR83-MAX(G83,AQ83)&lt;=(AR83-AS83)*0.2),"長い下ヒゲ(反発)","通常"))))</f>
        <v>通常</v>
      </c>
      <c r="AU83">
        <f>IF(AT83="上ヒゲ陰線▼",2,IF(AT83="大陰線▼",2,IF(AT83="長い下ヒゲ(反発)",-2,0)))</f>
        <v>0</v>
      </c>
      <c r="BA83">
        <f>IFERROR((SUM(OFFSET(高値!$E$6,IFERROR(MATCH($C83,銘柄管理!$B$6:$B$305,0),MATCH(TEXT($C83,"0"),銘柄管理!$B$6:$B$305,0))-1,0,1,14))-SUM(OFFSET(安値!$E$6,IFERROR(MATCH($C83,銘柄管理!$B$6:$B$305,0),MATCH(TEXT($C83,"0"),銘柄管理!$B$6:$B$305,0))-1,0,1,14)))/SUM(OFFSET(終値!$E$6,IFERROR(MATCH($C83,銘柄管理!$B$6:$B$305,0),MATCH(TEXT($C83,"0"),銘柄管理!$B$6:$B$305,0))-1,0,1,14))*100,"")</f>
      </c>
      <c r="BB83">
        <f>IFERROR((MAX(OFFSET(高値!$E$6,IFERROR(MATCH($C83,銘柄管理!$B$6:$B$305,0),MATCH(TEXT($C83,"0"),銘柄管理!$B$6:$B$305,0))-1,0,1,25))-MIN(OFFSET(安値!$E$6,IFERROR(MATCH($C83,銘柄管理!$B$6:$B$305,0),MATCH(TEXT($C83,"0"),銘柄管理!$B$6:$B$305,0))-1,0,1,25)))/$E83*100,"")</f>
      </c>
      <c r="BC83">
        <f>IFERROR(($F83-$G83)/$G83*100,"")</f>
      </c>
      <c r="BD83">
        <f>IFERROR(($E83-MAX(OFFSET(高値!$E$6,IFERROR(MATCH($C83,銘柄管理!$B$6:$B$305,0),MATCH(TEXT($C83,"0"),銘柄管理!$B$6:$B$305,0))-1,0,1,25)))/MAX(OFFSET(高値!$E$6,IFERROR(MATCH($C83,銘柄管理!$B$6:$B$305,0),MATCH(TEXT($C83,"0"),銘柄管理!$B$6:$B$305,0))-1,0,1,25))*100,"")</f>
      </c>
      <c r="BE83">
        <f>IFERROR(($H83-$I83)/$F83*100,"")</f>
      </c>
      <c r="BF83">
        <f>IFERROR(-(($BA83-AVERAGE($BA$3:$BA$206))/STDEV($BA$3:$BA$206))-(($BE83-AVERAGE($BE$3:$BE$206))/STDEV($BE$3:$BE$206))-(($BB83-AVERAGE($BB$3:$BB$206))/STDEV($BB$3:$BB$206))-(($Z83-AVERAGE($Z$3:$Z$206))/STDEV($Z$3:$Z$206))-(($BC83-AVERAGE($BC$3:$BC$206))/STDEV($BC$3:$BC$206)),"")</f>
      </c>
      <c r="BG83">
        <f>IF(OR($C83="",$C83="TOPX",$BA83="",$BF83=""),0,IF(AND($BK$10=1,$BA83&lt;=$BK$2,$BB83&lt;=$BK$3,$BC83&lt;=$BK$4,$Z83&lt;=$BK$5,$Z83&gt;=$BK$6,$BD83&gt;=$BK$7,$BE83&lt;=$BK$8),1,0))</f>
      </c>
      <c r="BH83">
        <f>IF($C83="","",IF($BG83=1,"○ゲート通過",IF($BK$10&lt;&gt;1,"― この方向は停止中",IF($BA83&gt;$BK$2,"×値動きが荒い",IF($BB83&gt;$BK$3,"×レンジが広い",IF($BC83&gt;$BK$4,"×窓を開けて上昇",IF($Z83&gt;$BK$5,"×前日に急騰",IF($Z83&lt;$BK$6,"×前日に急落",IF($BD83&lt;$BK$7,"×高値から離れすぎ",IF($BE83&gt;$BK$8,"×当日の値幅が大きい","×")))))))))</f>
      </c>
    </row>
    <row r="84" spans="1:60"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IF(AND(E84&lt;&gt;"",K84&lt;&gt;"",K84&lt;&gt;0),(E84-K84)/K84*100,"")</f>
        <v>-26.032775691362243</v>
      </c>
      <c r="M84" s="333">
        <f>IF(C84&lt;&gt;"",IFERROR(AVERAGE(出来高!E199:I199),""),"")</f>
        <v>4306560</v>
      </c>
      <c r="N84" s="333">
        <f>IF(C84&lt;&gt;"",IFERROR(AVERAGE(出来高!E199:AC199),""),"")</f>
        <v>3538468</v>
      </c>
      <c r="O84" s="335">
        <f>IF(AND(J84&lt;&gt;"",M84&lt;&gt;"",M84&lt;&gt;0),J84/M84,"")</f>
        <v>0.64220630851538119</v>
      </c>
      <c r="P84" s="212" t="str">
        <f>IF(O84="","",IF(O84&gt;=2,"急増↑↑",IF(O84&gt;=1.5,"増加↑",IF(O84&gt;=1,"普通→","減少↓"))))</f>
        <v>減少↓</v>
      </c>
      <c r="Q84" s="212" t="str">
        <f>IF(E84="","",IF(AND(E84&lt;G84,O84&gt;=1.5),"売り▼",IF(E84&gt;G84,"様子見▲","中立→")))</f>
        <v>中立→</v>
      </c>
      <c r="R84" s="333">
        <f>IF(E84&lt;&gt;"",ROUND(E84*0.92,0),"")</f>
        <v>39864</v>
      </c>
      <c r="S84" s="333">
        <f>IF(E84&lt;&gt;"",ROUND(E84*1.04,0),"")</f>
        <v>45063</v>
      </c>
      <c r="T84" s="325">
        <f>IF(C84="","",IFERROR(IF(W84&gt;=70,3,IF(W84&gt;=60,2,IF(W84&gt;=50,1,0)))+IF(X84&lt;0,2,0)+IF(AD84="下降トレンド▼",3,IF(AD84="もみ合い→",1,0))+IF(V84="年初来安値圏●",3,IF(V84="安値圏",2,0))+IF(Q84="売り▼",2,0)+IF(P84="急増↑↑",2,IF(P84="増加↑",1,0))+IF(Z84&lt;0,1,0)+IF(L84&lt;=-30,2,IF(L84&lt;=-15,1,0))+IF(AE84="25日戻り売り★",2,IF(AE84="5日戻り売り○",1,0))+N(AL84)+N(AP84)+N(AU84),0))</f>
        <v>12</v>
      </c>
      <c r="U84" s="212" t="str">
        <f>IF(T84="","",IF(AND(T84&gt;=3,O84&gt;=1.5),"有効",IF(T84&gt;=3,"要確認","除外")))</f>
        <v>要確認</v>
      </c>
      <c r="V84" s="212" t="str">
        <f>IF(AND(I84&lt;&gt;"",K84&lt;&gt;""),IF(I84&lt;=K84*0.6,"年初来安値圏●",IF(I84&lt;=K84*0.75,"安値圏","通常")),"")</f>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IF(AF84="","",AF84&amp;" | "&amp;AD84&amp;IF(AE84&lt;&gt;"なし"," "&amp;AE84,"")&amp;IF(X84&lt;0," MACD-"," MACD+")&amp;" RSI:"&amp;TEXT(W84,"0.0")&amp;IF(W84&gt;=70," [過熱]",IF(W84&lt;=30," [売られ過ぎ]",""))&amp;" 前日比:"&amp;TEXT(Z84,"+0.0;-0.0;0.0")&amp;"%"&amp;IF(V84="年初来安値圏●"," [年初来安値圏]",IF(V84="安値圏"," [安値圏]",""))&amp;IF(OR(AO84="通常",AO84="-"),""," ["&amp;AO84&amp;"]")&amp;IF(OR(AT84="通常",AT84="-"),"","前日["&amp;AT84&amp;"]")&amp;" ["&amp;T84&amp;"点]")</f>
        <v>相場上昇・見送り | 上昇トレンド▲ 5日戻り売り○ MACD- RSI:45.9 前日比:-7.2% [安値圏] [大陰線▼] [12点]</v>
      </c>
      <c r="Z84" s="338">
        <f>IF(AND(E84&lt;&gt;"",G84&lt;&gt;"",G84&lt;&gt;0),(E84-G84)/G84*100,"")</f>
        <v>-7.1765209940017147</v>
      </c>
      <c r="AA84" s="212" t="str">
        <f>IF(OR(C84="",E84="",E84=0),"",IF(E84&gt;G84,"上昇▲",IF(E84&lt;G84,"下落▼","横ばい→")))</f>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IF(OR(C84="",AB84="",AC84="",AB84=0,AC84=0),"",IF(AND(E84&gt;AB84,AB84&gt;AC84),"パーフェクト▲",IF(E84&gt;AC84,"上昇トレンド▲",IF(AND(E84&lt;AB84,AB84&lt;AC84),"下降トレンド▼","もみ合い→"))))</f>
        <v>上昇トレンド▲</v>
      </c>
      <c r="AE84" s="212" t="str">
        <f>IF(OR(C84="",AB84="",AC84=""),"",IF(AND(ABS(E84-AC84)/AC84&lt;=0.02,E84&lt;AC84),"25日戻り売り★",IF(AND(ABS(E84-AB84)/AB84&lt;=0.01,E84&lt;AB84),"5日戻り売り○","なし")))</f>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IF(AND(T84&gt;=7,C84&lt;&gt;""),T84,0)</f>
        <v>12</v>
      </c>
      <c r="AH84">
        <f>IF(AG84&gt;0,AG84*10000-ROW(A84),0)</f>
        <v>119916</v>
      </c>
      <c r="AI84" s="373">
        <f t="array" ref="AI84">IF(C84="","",IFERROR((INDEX(終値!$E:$E,MATCH(TEXT(C84,"0"),終値!$A:$A,0))-INDEX(終値!$E:$CZ,MATCH(TEXT(C84,"0"),終値!$A:$A,0),$AN$2))/INDEX(終値!$E:$CZ,MATCH(TEXT(C84,"0"),終値!$A:$A,0),$AN$2)*100,""))</f>
        <v>-14.687930695018705</v>
      </c>
      <c r="AJ84" s="373">
        <f t="array" ref="AJ84">IFERROR((終値!$E$5-INDEX(終値!$E$5:$IT$5,1,$AN$2))/INDEX(終値!$E$5:$IT$5,1,$AN$2)*100,"")</f>
        <v>1.0179378228534113</v>
      </c>
      <c r="AK84" s="374">
        <f>IF(OR(AI84="",AJ84=""),"",AI84-AJ84)</f>
        <v>-15.705868517872117</v>
      </c>
      <c r="AL84" s="372">
        <f>IF(AK84="","",IF(AK84&lt;-5,3,IF(AK84&lt;0,1,IF(AK84&lt;3,-1,-2))))</f>
        <v>3</v>
      </c>
      <c r="AO84" s="376" t="str">
        <f>IF(OR($C84="",$E84="",$F84="",$H84="",$I84="",$H84-$I84&lt;=0),"-",IF(AND($H84-MAX($F84,$E84)&gt;=ABS($E84-$F84)*2,MIN($F84,$E84)-$I84&lt;=ABS($E84-$F84)*0.5,ABS($E84-$F84)&gt;0),"上ヒゲ陰線▼",IF(AND($E84&lt;$F84,ABS($E84-$F84)&gt;=($H84-$I84)*0.7),"大陰線▼",IF(AND(MIN($F84,$E84)-$I84&gt;=($H84-$I84)*0.5,$H84-MAX($F84,$E84)&lt;=($H84-$I84)*0.2),"長い下ヒゲ(反発警戒)","通常"))))</f>
        <v>大陰線▼</v>
      </c>
      <c r="AP84" s="377">
        <f>IF($AO84="上ヒゲ陰線▼",2,IF($AO84="大陰線▼",2,IF($AO84="長い下ヒゲ(反発警戒)",-2,0)))</f>
        <v>2</v>
      </c>
      <c r="AQ84">
        <f>IF(C84&lt;&gt;"",始値!F199,"")</f>
        <v>45140</v>
      </c>
      <c r="AR84">
        <f>IF(C84&lt;&gt;"",高値!F199,"")</f>
        <v>46870</v>
      </c>
      <c r="AS84">
        <f>IF(C84&lt;&gt;"",安値!F199,"")</f>
        <v>44560</v>
      </c>
      <c r="AT84" t="str">
        <f>IF(OR(C84="",AQ84="",AR84="",AS84="",AR84-AS84&lt;=0),"-",IF(AND(AR84-MAX(G84,AQ84)&gt;=ABS(G84-AQ84)*2,MIN(G84,AQ84)-AS84&lt;=ABS(G84-AQ84)*0.5,ABS(G84-AQ84)&gt;0),"上ヒゲ陰線▼",IF(AND(G84&lt;AQ84,ABS(G84-AQ84)&gt;=(AR84-AS84)*0.7),"大陰線▼",IF(AND(MIN(G84,AQ84)-AS84&gt;=(AR84-AS84)*0.5,AR84-MAX(G84,AQ84)&lt;=(AR84-AS84)*0.2),"長い下ヒゲ(反発)","通常"))))</f>
        <v>通常</v>
      </c>
      <c r="AU84">
        <f>IF(AT84="上ヒゲ陰線▼",2,IF(AT84="大陰線▼",2,IF(AT84="長い下ヒゲ(反発)",-2,0)))</f>
        <v>0</v>
      </c>
      <c r="BA84">
        <f>IFERROR((SUM(OFFSET(高値!$E$6,IFERROR(MATCH($C84,銘柄管理!$B$6:$B$305,0),MATCH(TEXT($C84,"0"),銘柄管理!$B$6:$B$305,0))-1,0,1,14))-SUM(OFFSET(安値!$E$6,IFERROR(MATCH($C84,銘柄管理!$B$6:$B$305,0),MATCH(TEXT($C84,"0"),銘柄管理!$B$6:$B$305,0))-1,0,1,14)))/SUM(OFFSET(終値!$E$6,IFERROR(MATCH($C84,銘柄管理!$B$6:$B$305,0),MATCH(TEXT($C84,"0"),銘柄管理!$B$6:$B$305,0))-1,0,1,14))*100,"")</f>
      </c>
      <c r="BB84">
        <f>IFERROR((MAX(OFFSET(高値!$E$6,IFERROR(MATCH($C84,銘柄管理!$B$6:$B$305,0),MATCH(TEXT($C84,"0"),銘柄管理!$B$6:$B$305,0))-1,0,1,25))-MIN(OFFSET(安値!$E$6,IFERROR(MATCH($C84,銘柄管理!$B$6:$B$305,0),MATCH(TEXT($C84,"0"),銘柄管理!$B$6:$B$305,0))-1,0,1,25)))/$E84*100,"")</f>
      </c>
      <c r="BC84">
        <f>IFERROR(($F84-$G84)/$G84*100,"")</f>
      </c>
      <c r="BD84">
        <f>IFERROR(($E84-MAX(OFFSET(高値!$E$6,IFERROR(MATCH($C84,銘柄管理!$B$6:$B$305,0),MATCH(TEXT($C84,"0"),銘柄管理!$B$6:$B$305,0))-1,0,1,25)))/MAX(OFFSET(高値!$E$6,IFERROR(MATCH($C84,銘柄管理!$B$6:$B$305,0),MATCH(TEXT($C84,"0"),銘柄管理!$B$6:$B$305,0))-1,0,1,25))*100,"")</f>
      </c>
      <c r="BE84">
        <f>IFERROR(($H84-$I84)/$F84*100,"")</f>
      </c>
      <c r="BF84">
        <f>IFERROR(-(($BA84-AVERAGE($BA$3:$BA$206))/STDEV($BA$3:$BA$206))-(($BE84-AVERAGE($BE$3:$BE$206))/STDEV($BE$3:$BE$206))-(($BB84-AVERAGE($BB$3:$BB$206))/STDEV($BB$3:$BB$206))-(($Z84-AVERAGE($Z$3:$Z$206))/STDEV($Z$3:$Z$206))-(($BC84-AVERAGE($BC$3:$BC$206))/STDEV($BC$3:$BC$206)),"")</f>
      </c>
      <c r="BG84">
        <f>IF(OR($C84="",$C84="TOPX",$BA84="",$BF84=""),0,IF(AND($BK$10=1,$BA84&lt;=$BK$2,$BB84&lt;=$BK$3,$BC84&lt;=$BK$4,$Z84&lt;=$BK$5,$Z84&gt;=$BK$6,$BD84&gt;=$BK$7,$BE84&lt;=$BK$8),1,0))</f>
      </c>
      <c r="BH84">
        <f>IF($C84="","",IF($BG84=1,"○ゲート通過",IF($BK$10&lt;&gt;1,"― この方向は停止中",IF($BA84&gt;$BK$2,"×値動きが荒い",IF($BB84&gt;$BK$3,"×レンジが広い",IF($BC84&gt;$BK$4,"×窓を開けて上昇",IF($Z84&gt;$BK$5,"×前日に急騰",IF($Z84&lt;$BK$6,"×前日に急落",IF($BD84&lt;$BK$7,"×高値から離れすぎ",IF($BE84&gt;$BK$8,"×当日の値幅が大きい","×")))))))))</f>
      </c>
    </row>
    <row r="85" spans="1:60"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IF(AND(E85&lt;&gt;"",K85&lt;&gt;"",K85&lt;&gt;0),(E85-K85)/K85*100,"")</f>
        <v>-21.979238754325259</v>
      </c>
      <c r="M85" s="326">
        <f>IF(C85&lt;&gt;"",IFERROR(AVERAGE(出来高!E203:I203),""),"")</f>
        <v>2126040</v>
      </c>
      <c r="N85" s="326">
        <f>IF(C85&lt;&gt;"",IFERROR(AVERAGE(出来高!E203:AC203),""),"")</f>
        <v>1188620</v>
      </c>
      <c r="O85" s="328">
        <f>IF(AND(J85&lt;&gt;"",M85&lt;&gt;"",M85&lt;&gt;0),J85/M85,"")</f>
        <v>0.53921845308648941</v>
      </c>
      <c r="P85" s="325" t="str">
        <f>IF(O85="","",IF(O85&gt;=2,"急増↑↑",IF(O85&gt;=1.5,"増加↑",IF(O85&gt;=1,"普通→","減少↓"))))</f>
        <v>減少↓</v>
      </c>
      <c r="Q85" s="325" t="str">
        <f>IF(E85="","",IF(AND(E85&lt;G85,O85&gt;=1.5),"売り▼",IF(E85&gt;G85,"様子見▲","中立→")))</f>
        <v>様子見▲</v>
      </c>
      <c r="R85" s="326">
        <f>IF(E85&lt;&gt;"",ROUND(E85*0.92,0),"")</f>
        <v>5186</v>
      </c>
      <c r="S85" s="326">
        <f>IF(E85&lt;&gt;"",ROUND(E85*1.04,0),"")</f>
        <v>5862</v>
      </c>
      <c r="T85" s="325">
        <f>IF(C85="","",IFERROR(IF(W85&gt;=70,3,IF(W85&gt;=60,2,IF(W85&gt;=50,1,0)))+IF(X85&lt;0,2,0)+IF(AD85="下降トレンド▼",3,IF(AD85="もみ合い→",1,0))+IF(V85="年初来安値圏●",3,IF(V85="安値圏",2,0))+IF(Q85="売り▼",2,0)+IF(P85="急増↑↑",2,IF(P85="増加↑",1,0))+IF(Z85&lt;0,1,0)+IF(L85&lt;=-30,2,IF(L85&lt;=-15,1,0))+IF(AE85="25日戻り売り★",2,IF(AE85="5日戻り売り○",1,0))+N(AL85)+N(AP85)+N(AU85),0))</f>
        <v>2</v>
      </c>
      <c r="U85" s="325" t="str">
        <f>IF(T85="","",IF(AND(T85&gt;=3,O85&gt;=1.5),"有効",IF(T85&gt;=3,"要確認","除外")))</f>
        <v>除外</v>
      </c>
      <c r="V85" s="325" t="str">
        <f>IF(AND(I85&lt;&gt;"",K85&lt;&gt;""),IF(I85&lt;=K85*0.6,"年初来安値圏●",IF(I85&lt;=K85*0.75,"安値圏","通常")),"")</f>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IF(AF85="","",AF85&amp;" | "&amp;AD85&amp;IF(AE85&lt;&gt;"なし"," "&amp;AE85,"")&amp;IF(X85&lt;0," MACD-"," MACD+")&amp;" RSI:"&amp;TEXT(W85,"0.0")&amp;IF(W85&gt;=70," [過熱]",IF(W85&lt;=30," [売られ過ぎ]",""))&amp;" 前日比:"&amp;TEXT(Z85,"+0.0;-0.0;0.0")&amp;"%"&amp;IF(V85="年初来安値圏●"," [年初来安値圏]",IF(V85="安値圏"," [安値圏]",""))&amp;IF(OR(AO85="通常",AO85="-"),""," ["&amp;AO85&amp;"]")&amp;IF(OR(AT85="通常",AT85="-"),"","前日["&amp;AT85&amp;"]")&amp;" ["&amp;T85&amp;"点]")</f>
        <v>相場上昇・見送り | パーフェクト▲ MACD+ RSI:56.3 前日比:+2.8% [安値圏] [2点]</v>
      </c>
      <c r="Z85" s="331">
        <f>IF(AND(E85&lt;&gt;"",G85&lt;&gt;"",G85&lt;&gt;0),(E85-G85)/G85*100,"")</f>
        <v>2.8461959496442253</v>
      </c>
      <c r="AA85" s="325" t="str">
        <f>IF(OR(C85="",E85="",E85=0),"",IF(E85&gt;G85,"上昇▲",IF(E85&lt;G85,"下落▼","横ばい→")))</f>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IF(OR(C85="",AB85="",AC85="",AB85=0,AC85=0),"",IF(AND(E85&gt;AB85,AB85&gt;AC85),"パーフェクト▲",IF(E85&gt;AC85,"上昇トレンド▲",IF(AND(E85&lt;AB85,AB85&lt;AC85),"下降トレンド▼","もみ合い→"))))</f>
        <v>パーフェクト▲</v>
      </c>
      <c r="AE85" s="325" t="str">
        <f>IF(OR(C85="",AB85="",AC85=""),"",IF(AND(ABS(E85-AC85)/AC85&lt;=0.02,E85&lt;AC85),"25日戻り売り★",IF(AND(ABS(E85-AB85)/AB85&lt;=0.01,E85&lt;AB85),"5日戻り売り○","なし")))</f>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IF(AND(T85&gt;=7,C85&lt;&gt;""),T85,0)</f>
        <v>0</v>
      </c>
      <c r="AH85">
        <f>IF(AG85&gt;0,AG85*10000-ROW(A85),0)</f>
        <v>0</v>
      </c>
      <c r="AI85" s="373">
        <f t="array" ref="AI85">IF(C85="","",IFERROR((INDEX(終値!$E:$E,MATCH(TEXT(C85,"0"),終値!$A:$A,0))-INDEX(終値!$E:$CZ,MATCH(TEXT(C85,"0"),終値!$A:$A,0),$AN$2))/INDEX(終値!$E:$CZ,MATCH(TEXT(C85,"0"),終値!$A:$A,0),$AN$2)*100,""))</f>
        <v>8.278908951210143</v>
      </c>
      <c r="AJ85" s="373">
        <f t="array" ref="AJ85">IFERROR((終値!$E$5-INDEX(終値!$E$5:$IT$5,1,$AN$2))/INDEX(終値!$E$5:$IT$5,1,$AN$2)*100,"")</f>
        <v>1.0179378228534113</v>
      </c>
      <c r="AK85" s="374">
        <f>IF(OR(AI85="",AJ85=""),"",AI85-AJ85)</f>
        <v>7.260971128356732</v>
      </c>
      <c r="AL85" s="372">
        <f>IF(AK85="","",IF(AK85&lt;-5,3,IF(AK85&lt;0,1,IF(AK85&lt;3,-1,-2))))</f>
        <v>-2</v>
      </c>
      <c r="AO85" s="376" t="str">
        <f>IF(OR($C85="",$E85="",$F85="",$H85="",$I85="",$H85-$I85&lt;=0),"-",IF(AND($H85-MAX($F85,$E85)&gt;=ABS($E85-$F85)*2,MIN($F85,$E85)-$I85&lt;=ABS($E85-$F85)*0.5,ABS($E85-$F85)&gt;0),"上ヒゲ陰線▼",IF(AND($E85&lt;$F85,ABS($E85-$F85)&gt;=($H85-$I85)*0.7),"大陰線▼",IF(AND(MIN($F85,$E85)-$I85&gt;=($H85-$I85)*0.5,$H85-MAX($F85,$E85)&lt;=($H85-$I85)*0.2),"長い下ヒゲ(反発警戒)","通常"))))</f>
        <v>通常</v>
      </c>
      <c r="AP85" s="377">
        <f>IF($AO85="上ヒゲ陰線▼",2,IF($AO85="大陰線▼",2,IF($AO85="長い下ヒゲ(反発警戒)",-2,0)))</f>
        <v>0</v>
      </c>
      <c r="AQ85">
        <f>IF(C85&lt;&gt;"",始値!F203,"")</f>
        <v>5318</v>
      </c>
      <c r="AR85">
        <f>IF(C85&lt;&gt;"",高値!F203,"")</f>
        <v>5487</v>
      </c>
      <c r="AS85">
        <f>IF(C85&lt;&gt;"",安値!F203,"")</f>
        <v>5312</v>
      </c>
      <c r="AT85" t="str">
        <f>IF(OR(C85="",AQ85="",AR85="",AS85="",AR85-AS85&lt;=0),"-",IF(AND(AR85-MAX(G85,AQ85)&gt;=ABS(G85-AQ85)*2,MIN(G85,AQ85)-AS85&lt;=ABS(G85-AQ85)*0.5,ABS(G85-AQ85)&gt;0),"上ヒゲ陰線▼",IF(AND(G85&lt;AQ85,ABS(G85-AQ85)&gt;=(AR85-AS85)*0.7),"大陰線▼",IF(AND(MIN(G85,AQ85)-AS85&gt;=(AR85-AS85)*0.5,AR85-MAX(G85,AQ85)&lt;=(AR85-AS85)*0.2),"長い下ヒゲ(反発)","通常"))))</f>
        <v>通常</v>
      </c>
      <c r="AU85">
        <f>IF(AT85="上ヒゲ陰線▼",2,IF(AT85="大陰線▼",2,IF(AT85="長い下ヒゲ(反発)",-2,0)))</f>
        <v>0</v>
      </c>
      <c r="BA85">
        <f>IFERROR((SUM(OFFSET(高値!$E$6,IFERROR(MATCH($C85,銘柄管理!$B$6:$B$305,0),MATCH(TEXT($C85,"0"),銘柄管理!$B$6:$B$305,0))-1,0,1,14))-SUM(OFFSET(安値!$E$6,IFERROR(MATCH($C85,銘柄管理!$B$6:$B$305,0),MATCH(TEXT($C85,"0"),銘柄管理!$B$6:$B$305,0))-1,0,1,14)))/SUM(OFFSET(終値!$E$6,IFERROR(MATCH($C85,銘柄管理!$B$6:$B$305,0),MATCH(TEXT($C85,"0"),銘柄管理!$B$6:$B$305,0))-1,0,1,14))*100,"")</f>
      </c>
      <c r="BB85">
        <f>IFERROR((MAX(OFFSET(高値!$E$6,IFERROR(MATCH($C85,銘柄管理!$B$6:$B$305,0),MATCH(TEXT($C85,"0"),銘柄管理!$B$6:$B$305,0))-1,0,1,25))-MIN(OFFSET(安値!$E$6,IFERROR(MATCH($C85,銘柄管理!$B$6:$B$305,0),MATCH(TEXT($C85,"0"),銘柄管理!$B$6:$B$305,0))-1,0,1,25)))/$E85*100,"")</f>
      </c>
      <c r="BC85">
        <f>IFERROR(($F85-$G85)/$G85*100,"")</f>
      </c>
      <c r="BD85">
        <f>IFERROR(($E85-MAX(OFFSET(高値!$E$6,IFERROR(MATCH($C85,銘柄管理!$B$6:$B$305,0),MATCH(TEXT($C85,"0"),銘柄管理!$B$6:$B$305,0))-1,0,1,25)))/MAX(OFFSET(高値!$E$6,IFERROR(MATCH($C85,銘柄管理!$B$6:$B$305,0),MATCH(TEXT($C85,"0"),銘柄管理!$B$6:$B$305,0))-1,0,1,25))*100,"")</f>
      </c>
      <c r="BE85">
        <f>IFERROR(($H85-$I85)/$F85*100,"")</f>
      </c>
      <c r="BF85">
        <f>IFERROR(-(($BA85-AVERAGE($BA$3:$BA$206))/STDEV($BA$3:$BA$206))-(($BE85-AVERAGE($BE$3:$BE$206))/STDEV($BE$3:$BE$206))-(($BB85-AVERAGE($BB$3:$BB$206))/STDEV($BB$3:$BB$206))-(($Z85-AVERAGE($Z$3:$Z$206))/STDEV($Z$3:$Z$206))-(($BC85-AVERAGE($BC$3:$BC$206))/STDEV($BC$3:$BC$206)),"")</f>
      </c>
      <c r="BG85">
        <f>IF(OR($C85="",$C85="TOPX",$BA85="",$BF85=""),0,IF(AND($BK$10=1,$BA85&lt;=$BK$2,$BB85&lt;=$BK$3,$BC85&lt;=$BK$4,$Z85&lt;=$BK$5,$Z85&gt;=$BK$6,$BD85&gt;=$BK$7,$BE85&lt;=$BK$8),1,0))</f>
      </c>
      <c r="BH85">
        <f>IF($C85="","",IF($BG85=1,"○ゲート通過",IF($BK$10&lt;&gt;1,"― この方向は停止中",IF($BA85&gt;$BK$2,"×値動きが荒い",IF($BB85&gt;$BK$3,"×レンジが広い",IF($BC85&gt;$BK$4,"×窓を開けて上昇",IF($Z85&gt;$BK$5,"×前日に急騰",IF($Z85&lt;$BK$6,"×前日に急落",IF($BD85&lt;$BK$7,"×高値から離れすぎ",IF($BE85&gt;$BK$8,"×当日の値幅が大きい","×")))))))))</f>
      </c>
    </row>
    <row r="86" spans="1:60"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IF(AND(E86&lt;&gt;"",K86&lt;&gt;"",K86&lt;&gt;0),(E86-K86)/K86*100,"")</f>
        <v>-12.075654704170708</v>
      </c>
      <c r="M86" s="333">
        <f>IF(C86&lt;&gt;"",IFERROR(AVERAGE(出来高!E205:I205),""),"")</f>
        <v>17147100</v>
      </c>
      <c r="N86" s="333">
        <f>IF(C86&lt;&gt;"",IFERROR(AVERAGE(出来高!E205:AC205),""),"")</f>
        <v>17147100</v>
      </c>
      <c r="O86" s="335">
        <f>IF(AND(J86&lt;&gt;"",M86&lt;&gt;"",M86&lt;&gt;0),J86/M86,"")</f>
        <v>1.0222428282333456</v>
      </c>
      <c r="P86" s="212" t="str">
        <f>IF(O86="","",IF(O86&gt;=2,"急増↑↑",IF(O86&gt;=1.5,"増加↑",IF(O86&gt;=1,"普通→","減少↓"))))</f>
        <v>普通→</v>
      </c>
      <c r="Q86" s="212" t="str">
        <f>IF(E86="","",IF(AND(E86&lt;G86,O86&gt;=1.5),"売り▼",IF(E86&gt;G86,"様子見▲","中立→")))</f>
        <v>様子見▲</v>
      </c>
      <c r="R86" s="333">
        <f>IF(E86&lt;&gt;"",ROUND(E86*0.92,0),"")</f>
        <v>3336</v>
      </c>
      <c r="S86" s="333">
        <f>IF(E86&lt;&gt;"",ROUND(E86*1.04,0),"")</f>
        <v>3771</v>
      </c>
      <c r="T86" s="325">
        <f>IF(C86="","",IFERROR(IF(W86&gt;=70,3,IF(W86&gt;=60,2,IF(W86&gt;=50,1,0)))+IF(X86&lt;0,2,0)+IF(AD86="下降トレンド▼",3,IF(AD86="もみ合い→",1,0))+IF(V86="年初来安値圏●",3,IF(V86="安値圏",2,0))+IF(Q86="売り▼",2,0)+IF(P86="急増↑↑",2,IF(P86="増加↑",1,0))+IF(Z86&lt;0,1,0)+IF(L86&lt;=-30,2,IF(L86&lt;=-15,1,0))+IF(AE86="25日戻り売り★",2,IF(AE86="5日戻り売り○",1,0))+N(AL86)+N(AP86)+N(AU86),0))</f>
        <v>1</v>
      </c>
      <c r="U86" s="212" t="str">
        <f>IF(T86="","",IF(AND(T86&gt;=3,O86&gt;=1.5),"有効",IF(T86&gt;=3,"要確認","除外")))</f>
        <v>除外</v>
      </c>
      <c r="V86" s="212" t="str">
        <f>IF(AND(I86&lt;&gt;"",K86&lt;&gt;""),IF(I86&lt;=K86*0.6,"年初来安値圏●",IF(I86&lt;=K86*0.75,"安値圏","通常")),"")</f>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IF(AF86="","",AF86&amp;" | "&amp;AD86&amp;IF(AE86&lt;&gt;"なし"," "&amp;AE86,"")&amp;IF(X86&lt;0," MACD-"," MACD+")&amp;" RSI:"&amp;TEXT(W86,"0.0")&amp;IF(W86&gt;=70," [過熱]",IF(W86&lt;=30," [売られ過ぎ]",""))&amp;" 前日比:"&amp;TEXT(Z86,"+0.0;-0.0;0.0")&amp;"%"&amp;IF(V86="年初来安値圏●"," [年初来安値圏]",IF(V86="安値圏"," [安値圏]",""))&amp;IF(OR(AO86="通常",AO86="-"),""," ["&amp;AO86&amp;"]")&amp;IF(OR(AT86="通常",AT86="-"),"","前日["&amp;AT86&amp;"]")&amp;" ["&amp;T86&amp;"点]")</f>
        <v>相場上昇・見送り | パーフェクト▲ MACD+ RSI:50.0 前日比:+1.7% [1点]</v>
      </c>
      <c r="Z86" s="338">
        <f>IF(AND(E86&lt;&gt;"",G86&lt;&gt;"",G86&lt;&gt;0),(E86-G86)/G86*100,"")</f>
        <v>1.7110799438990183</v>
      </c>
      <c r="AA86" s="212" t="str">
        <f>IF(OR(C86="",E86="",E86=0),"",IF(E86&gt;G86,"上昇▲",IF(E86&lt;G86,"下落▼","横ばい→")))</f>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IF(OR(C86="",AB86="",AC86="",AB86=0,AC86=0),"",IF(AND(E86&gt;AB86,AB86&gt;AC86),"パーフェクト▲",IF(E86&gt;AC86,"上昇トレンド▲",IF(AND(E86&lt;AB86,AB86&lt;AC86),"下降トレンド▼","もみ合い→"))))</f>
        <v>パーフェクト▲</v>
      </c>
      <c r="AE86" s="212" t="str">
        <f>IF(OR(C86="",AB86="",AC86=""),"",IF(AND(ABS(E86-AC86)/AC86&lt;=0.02,E86&lt;AC86),"25日戻り売り★",IF(AND(ABS(E86-AB86)/AB86&lt;=0.01,E86&lt;AB86),"5日戻り売り○","なし")))</f>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IF(AND(T86&gt;=7,C86&lt;&gt;""),T86,0)</f>
        <v>0</v>
      </c>
      <c r="AH86">
        <f>IF(AG86&gt;0,AG86*10000-ROW(A86),0)</f>
        <v>0</v>
      </c>
      <c r="AI86" s="373" t="str">
        <f t="array" ref="AI86">IF(C86="","",IFERROR((INDEX(終値!$E:$E,MATCH(TEXT(C86,"0"),終値!$A:$A,0))-INDEX(終値!$E:$CZ,MATCH(TEXT(C86,"0"),終値!$A:$A,0),$AN$2))/INDEX(終値!$E:$CZ,MATCH(TEXT(C86,"0"),終値!$A:$A,0),$AN$2)*100,""))</f>
        <v/>
      </c>
      <c r="AJ86" s="373">
        <f t="array" ref="AJ86">IFERROR((終値!$E$5-INDEX(終値!$E$5:$IT$5,1,$AN$2))/INDEX(終値!$E$5:$IT$5,1,$AN$2)*100,"")</f>
        <v>1.0179378228534113</v>
      </c>
      <c r="AK86" s="374" t="str">
        <f>IF(OR(AI86="",AJ86=""),"",AI86-AJ86)</f>
        <v/>
      </c>
      <c r="AL86" s="372" t="str">
        <f>IF(AK86="","",IF(AK86&lt;-5,3,IF(AK86&lt;0,1,IF(AK86&lt;3,-1,-2))))</f>
        <v/>
      </c>
      <c r="AO86" s="376" t="str">
        <f>IF(OR($C86="",$E86="",$F86="",$H86="",$I86="",$H86-$I86&lt;=0),"-",IF(AND($H86-MAX($F86,$E86)&gt;=ABS($E86-$F86)*2,MIN($F86,$E86)-$I86&lt;=ABS($E86-$F86)*0.5,ABS($E86-$F86)&gt;0),"上ヒゲ陰線▼",IF(AND($E86&lt;$F86,ABS($E86-$F86)&gt;=($H86-$I86)*0.7),"大陰線▼",IF(AND(MIN($F86,$E86)-$I86&gt;=($H86-$I86)*0.5,$H86-MAX($F86,$E86)&lt;=($H86-$I86)*0.2),"長い下ヒゲ(反発警戒)","通常"))))</f>
        <v>通常</v>
      </c>
      <c r="AP86" s="377">
        <f>IF($AO86="上ヒゲ陰線▼",2,IF($AO86="大陰線▼",2,IF($AO86="長い下ヒゲ(反発警戒)",-2,0)))</f>
        <v>0</v>
      </c>
      <c r="AQ86">
        <f>IF(C86&lt;&gt;"",始値!F205,"")</f>
        <v>3522</v>
      </c>
      <c r="AR86">
        <f>IF(C86&lt;&gt;"",高値!F205,"")</f>
        <v>3642</v>
      </c>
      <c r="AS86">
        <f>IF(C86&lt;&gt;"",安値!F205,"")</f>
        <v>3515</v>
      </c>
      <c r="AT86" t="str">
        <f>IF(OR(C86="",AQ86="",AR86="",AS86="",AR86-AS86&lt;=0),"-",IF(AND(AR86-MAX(G86,AQ86)&gt;=ABS(G86-AQ86)*2,MIN(G86,AQ86)-AS86&lt;=ABS(G86-AQ86)*0.5,ABS(G86-AQ86)&gt;0),"上ヒゲ陰線▼",IF(AND(G86&lt;AQ86,ABS(G86-AQ86)&gt;=(AR86-AS86)*0.7),"大陰線▼",IF(AND(MIN(G86,AQ86)-AS86&gt;=(AR86-AS86)*0.5,AR86-MAX(G86,AQ86)&lt;=(AR86-AS86)*0.2),"長い下ヒゲ(反発)","通常"))))</f>
        <v>通常</v>
      </c>
      <c r="AU86">
        <f>IF(AT86="上ヒゲ陰線▼",2,IF(AT86="大陰線▼",2,IF(AT86="長い下ヒゲ(反発)",-2,0)))</f>
        <v>0</v>
      </c>
      <c r="BA86">
        <f>IFERROR((SUM(OFFSET(高値!$E$6,IFERROR(MATCH($C86,銘柄管理!$B$6:$B$305,0),MATCH(TEXT($C86,"0"),銘柄管理!$B$6:$B$305,0))-1,0,1,14))-SUM(OFFSET(安値!$E$6,IFERROR(MATCH($C86,銘柄管理!$B$6:$B$305,0),MATCH(TEXT($C86,"0"),銘柄管理!$B$6:$B$305,0))-1,0,1,14)))/SUM(OFFSET(終値!$E$6,IFERROR(MATCH($C86,銘柄管理!$B$6:$B$305,0),MATCH(TEXT($C86,"0"),銘柄管理!$B$6:$B$305,0))-1,0,1,14))*100,"")</f>
      </c>
      <c r="BB86">
        <f>IFERROR((MAX(OFFSET(高値!$E$6,IFERROR(MATCH($C86,銘柄管理!$B$6:$B$305,0),MATCH(TEXT($C86,"0"),銘柄管理!$B$6:$B$305,0))-1,0,1,25))-MIN(OFFSET(安値!$E$6,IFERROR(MATCH($C86,銘柄管理!$B$6:$B$305,0),MATCH(TEXT($C86,"0"),銘柄管理!$B$6:$B$305,0))-1,0,1,25)))/$E86*100,"")</f>
      </c>
      <c r="BC86">
        <f>IFERROR(($F86-$G86)/$G86*100,"")</f>
      </c>
      <c r="BD86">
        <f>IFERROR(($E86-MAX(OFFSET(高値!$E$6,IFERROR(MATCH($C86,銘柄管理!$B$6:$B$305,0),MATCH(TEXT($C86,"0"),銘柄管理!$B$6:$B$305,0))-1,0,1,25)))/MAX(OFFSET(高値!$E$6,IFERROR(MATCH($C86,銘柄管理!$B$6:$B$305,0),MATCH(TEXT($C86,"0"),銘柄管理!$B$6:$B$305,0))-1,0,1,25))*100,"")</f>
      </c>
      <c r="BE86">
        <f>IFERROR(($H86-$I86)/$F86*100,"")</f>
      </c>
      <c r="BF86">
        <f>IFERROR(-(($BA86-AVERAGE($BA$3:$BA$206))/STDEV($BA$3:$BA$206))-(($BE86-AVERAGE($BE$3:$BE$206))/STDEV($BE$3:$BE$206))-(($BB86-AVERAGE($BB$3:$BB$206))/STDEV($BB$3:$BB$206))-(($Z86-AVERAGE($Z$3:$Z$206))/STDEV($Z$3:$Z$206))-(($BC86-AVERAGE($BC$3:$BC$206))/STDEV($BC$3:$BC$206)),"")</f>
      </c>
      <c r="BG86">
        <f>IF(OR($C86="",$C86="TOPX",$BA86="",$BF86=""),0,IF(AND($BK$10=1,$BA86&lt;=$BK$2,$BB86&lt;=$BK$3,$BC86&lt;=$BK$4,$Z86&lt;=$BK$5,$Z86&gt;=$BK$6,$BD86&gt;=$BK$7,$BE86&lt;=$BK$8),1,0))</f>
      </c>
      <c r="BH86">
        <f>IF($C86="","",IF($BG86=1,"○ゲート通過",IF($BK$10&lt;&gt;1,"― この方向は停止中",IF($BA86&gt;$BK$2,"×値動きが荒い",IF($BB86&gt;$BK$3,"×レンジが広い",IF($BC86&gt;$BK$4,"×窓を開けて上昇",IF($Z86&gt;$BK$5,"×前日に急騰",IF($Z86&lt;$BK$6,"×前日に急落",IF($BD86&lt;$BK$7,"×高値から離れすぎ",IF($BE86&gt;$BK$8,"×当日の値幅が大きい","×")))))))))</f>
      </c>
    </row>
    <row r="87" spans="1:60"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IF(AND(E87&lt;&gt;"",K87&lt;&gt;"",K87&lt;&gt;0),(E87-K87)/K87*100,"")</f>
        <v>-27.244531505060397</v>
      </c>
      <c r="M87" s="326">
        <f>IF(C87&lt;&gt;"",IFERROR(AVERAGE(出来高!E9:I9),""),"")</f>
        <v>1324120</v>
      </c>
      <c r="N87" s="326">
        <f>IF(C87&lt;&gt;"",IFERROR(AVERAGE(出来高!E9:AC9),""),"")</f>
        <v>1442080</v>
      </c>
      <c r="O87" s="328">
        <f>IF(AND(J87&lt;&gt;"",M87&lt;&gt;"",M87&lt;&gt;0),J87/M87,"")</f>
        <v>1.0483188834848804</v>
      </c>
      <c r="P87" s="325" t="str">
        <f>IF(O87="","",IF(O87&gt;=2,"急増↑↑",IF(O87&gt;=1.5,"増加↑",IF(O87&gt;=1,"普通→","減少↓"))))</f>
        <v>普通→</v>
      </c>
      <c r="Q87" s="325" t="str">
        <f>IF(E87="","",IF(AND(E87&lt;G87,O87&gt;=1.5),"売り▼",IF(E87&gt;G87,"様子見▲","中立→")))</f>
        <v>様子見▲</v>
      </c>
      <c r="R87" s="326">
        <f>IF(E87&lt;&gt;"",ROUND(E87*0.92,0),"")</f>
        <v>4100</v>
      </c>
      <c r="S87" s="326">
        <f>IF(E87&lt;&gt;"",ROUND(E87*1.04,0),"")</f>
        <v>4635</v>
      </c>
      <c r="T87" s="325">
        <f>IF(C87="","",IFERROR(IF(W87&gt;=70,3,IF(W87&gt;=60,2,IF(W87&gt;=50,1,0)))+IF(X87&lt;0,2,0)+IF(AD87="下降トレンド▼",3,IF(AD87="もみ合い→",1,0))+IF(V87="年初来安値圏●",3,IF(V87="安値圏",2,0))+IF(Q87="売り▼",2,0)+IF(P87="急増↑↑",2,IF(P87="増加↑",1,0))+IF(Z87&lt;0,1,0)+IF(L87&lt;=-30,2,IF(L87&lt;=-15,1,0))+IF(AE87="25日戻り売り★",2,IF(AE87="5日戻り売り○",1,0))+N(AL87)+N(AP87)+N(AU87),0))</f>
        <v>3</v>
      </c>
      <c r="U87" s="325" t="str">
        <f>IF(T87="","",IF(AND(T87&gt;=3,O87&gt;=1.5),"有効",IF(T87&gt;=3,"要確認","除外")))</f>
        <v>要確認</v>
      </c>
      <c r="V87" s="325" t="str">
        <f>IF(AND(I87&lt;&gt;"",K87&lt;&gt;""),IF(I87&lt;=K87*0.6,"年初来安値圏●",IF(I87&lt;=K87*0.75,"安値圏","通常")),"")</f>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IF(AF87="","",AF87&amp;" | "&amp;AD87&amp;IF(AE87&lt;&gt;"なし"," "&amp;AE87,"")&amp;IF(X87&lt;0," MACD-"," MACD+")&amp;" RSI:"&amp;TEXT(W87,"0.0")&amp;IF(W87&gt;=70," [過熱]",IF(W87&lt;=30," [売られ過ぎ]",""))&amp;" 前日比:"&amp;TEXT(Z87,"+0.0;-0.0;0.0")&amp;"%"&amp;IF(V87="年初来安値圏●"," [年初来安値圏]",IF(V87="安値圏"," [安値圏]",""))&amp;IF(OR(AO87="通常",AO87="-"),""," ["&amp;AO87&amp;"]")&amp;IF(OR(AT87="通常",AT87="-"),"","前日["&amp;AT87&amp;"]")&amp;" ["&amp;T87&amp;"点]")</f>
        <v>相場上昇・見送り | パーフェクト▲ MACD+ RSI:54.4 前日比:+1.7% [安値圏] [3点]</v>
      </c>
      <c r="Z87" s="331">
        <f>IF(AND(E87&lt;&gt;"",G87&lt;&gt;"",G87&lt;&gt;0),(E87-G87)/G87*100,"")</f>
        <v>1.711547238703788</v>
      </c>
      <c r="AA87" s="325" t="str">
        <f>IF(OR(C87="",E87="",E87=0),"",IF(E87&gt;G87,"上昇▲",IF(E87&lt;G87,"下落▼","横ばい→")))</f>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IF(OR(C87="",AB87="",AC87="",AB87=0,AC87=0),"",IF(AND(E87&gt;AB87,AB87&gt;AC87),"パーフェクト▲",IF(E87&gt;AC87,"上昇トレンド▲",IF(AND(E87&lt;AB87,AB87&lt;AC87),"下降トレンド▼","もみ合い→"))))</f>
        <v>パーフェクト▲</v>
      </c>
      <c r="AE87" s="325" t="str">
        <f>IF(OR(C87="",AB87="",AC87=""),"",IF(AND(ABS(E87-AC87)/AC87&lt;=0.02,E87&lt;AC87),"25日戻り売り★",IF(AND(ABS(E87-AB87)/AB87&lt;=0.01,E87&lt;AB87),"5日戻り売り○","なし")))</f>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IF(AND(T87&gt;=7,C87&lt;&gt;""),T87,0)</f>
        <v>0</v>
      </c>
      <c r="AH87">
        <f>IF(AG87&gt;0,AG87*10000-ROW(A87),0)</f>
        <v>0</v>
      </c>
      <c r="AI87" s="373">
        <f t="array" ref="AI87">IF(C87="","",IFERROR((INDEX(終値!$E:$E,MATCH(TEXT(C87,"0"),終値!$A:$A,0))-INDEX(終値!$E:$CZ,MATCH(TEXT(C87,"0"),終値!$A:$A,0),$AN$2))/INDEX(終値!$E:$CZ,MATCH(TEXT(C87,"0"),終値!$A:$A,0),$AN$2)*100,""))</f>
        <v>1.5956234328698427</v>
      </c>
      <c r="AJ87" s="373">
        <f t="array" ref="AJ87">IFERROR((終値!$E$5-INDEX(終値!$E$5:$IT$5,1,$AN$2))/INDEX(終値!$E$5:$IT$5,1,$AN$2)*100,"")</f>
        <v>1.0179378228534113</v>
      </c>
      <c r="AK87" s="374">
        <f>IF(OR(AI87="",AJ87=""),"",AI87-AJ87)</f>
        <v>0.57768561001643137</v>
      </c>
      <c r="AL87" s="372">
        <f>IF(AK87="","",IF(AK87&lt;-5,3,IF(AK87&lt;0,1,IF(AK87&lt;3,-1,-2))))</f>
        <v>-1</v>
      </c>
      <c r="AO87" s="376" t="str">
        <f>IF(OR($C87="",$E87="",$F87="",$H87="",$I87="",$H87-$I87&lt;=0),"-",IF(AND($H87-MAX($F87,$E87)&gt;=ABS($E87-$F87)*2,MIN($F87,$E87)-$I87&lt;=ABS($E87-$F87)*0.5,ABS($E87-$F87)&gt;0),"上ヒゲ陰線▼",IF(AND($E87&lt;$F87,ABS($E87-$F87)&gt;=($H87-$I87)*0.7),"大陰線▼",IF(AND(MIN($F87,$E87)-$I87&gt;=($H87-$I87)*0.5,$H87-MAX($F87,$E87)&lt;=($H87-$I87)*0.2),"長い下ヒゲ(反発警戒)","通常"))))</f>
        <v>通常</v>
      </c>
      <c r="AP87" s="377">
        <f>IF($AO87="上ヒゲ陰線▼",2,IF($AO87="大陰線▼",2,IF($AO87="長い下ヒゲ(反発警戒)",-2,0)))</f>
        <v>0</v>
      </c>
      <c r="AQ87">
        <f>IF(C87&lt;&gt;"",始値!F9,"")</f>
        <v>4236</v>
      </c>
      <c r="AR87">
        <f>IF(C87&lt;&gt;"",高値!F9,"")</f>
        <v>4407</v>
      </c>
      <c r="AS87">
        <f>IF(C87&lt;&gt;"",安値!F9,"")</f>
        <v>4230</v>
      </c>
      <c r="AT87" t="str">
        <f>IF(OR(C87="",AQ87="",AR87="",AS87="",AR87-AS87&lt;=0),"-",IF(AND(AR87-MAX(G87,AQ87)&gt;=ABS(G87-AQ87)*2,MIN(G87,AQ87)-AS87&lt;=ABS(G87-AQ87)*0.5,ABS(G87-AQ87)&gt;0),"上ヒゲ陰線▼",IF(AND(G87&lt;AQ87,ABS(G87-AQ87)&gt;=(AR87-AS87)*0.7),"大陰線▼",IF(AND(MIN(G87,AQ87)-AS87&gt;=(AR87-AS87)*0.5,AR87-MAX(G87,AQ87)&lt;=(AR87-AS87)*0.2),"長い下ヒゲ(反発)","通常"))))</f>
        <v>通常</v>
      </c>
      <c r="AU87">
        <f>IF(AT87="上ヒゲ陰線▼",2,IF(AT87="大陰線▼",2,IF(AT87="長い下ヒゲ(反発)",-2,0)))</f>
        <v>0</v>
      </c>
      <c r="BA87">
        <f>IFERROR((SUM(OFFSET(高値!$E$6,IFERROR(MATCH($C87,銘柄管理!$B$6:$B$305,0),MATCH(TEXT($C87,"0"),銘柄管理!$B$6:$B$305,0))-1,0,1,14))-SUM(OFFSET(安値!$E$6,IFERROR(MATCH($C87,銘柄管理!$B$6:$B$305,0),MATCH(TEXT($C87,"0"),銘柄管理!$B$6:$B$305,0))-1,0,1,14)))/SUM(OFFSET(終値!$E$6,IFERROR(MATCH($C87,銘柄管理!$B$6:$B$305,0),MATCH(TEXT($C87,"0"),銘柄管理!$B$6:$B$305,0))-1,0,1,14))*100,"")</f>
      </c>
      <c r="BB87">
        <f>IFERROR((MAX(OFFSET(高値!$E$6,IFERROR(MATCH($C87,銘柄管理!$B$6:$B$305,0),MATCH(TEXT($C87,"0"),銘柄管理!$B$6:$B$305,0))-1,0,1,25))-MIN(OFFSET(安値!$E$6,IFERROR(MATCH($C87,銘柄管理!$B$6:$B$305,0),MATCH(TEXT($C87,"0"),銘柄管理!$B$6:$B$305,0))-1,0,1,25)))/$E87*100,"")</f>
      </c>
      <c r="BC87">
        <f>IFERROR(($F87-$G87)/$G87*100,"")</f>
      </c>
      <c r="BD87">
        <f>IFERROR(($E87-MAX(OFFSET(高値!$E$6,IFERROR(MATCH($C87,銘柄管理!$B$6:$B$305,0),MATCH(TEXT($C87,"0"),銘柄管理!$B$6:$B$305,0))-1,0,1,25)))/MAX(OFFSET(高値!$E$6,IFERROR(MATCH($C87,銘柄管理!$B$6:$B$305,0),MATCH(TEXT($C87,"0"),銘柄管理!$B$6:$B$305,0))-1,0,1,25))*100,"")</f>
      </c>
      <c r="BE87">
        <f>IFERROR(($H87-$I87)/$F87*100,"")</f>
      </c>
      <c r="BF87">
        <f>IFERROR(-(($BA87-AVERAGE($BA$3:$BA$206))/STDEV($BA$3:$BA$206))-(($BE87-AVERAGE($BE$3:$BE$206))/STDEV($BE$3:$BE$206))-(($BB87-AVERAGE($BB$3:$BB$206))/STDEV($BB$3:$BB$206))-(($Z87-AVERAGE($Z$3:$Z$206))/STDEV($Z$3:$Z$206))-(($BC87-AVERAGE($BC$3:$BC$206))/STDEV($BC$3:$BC$206)),"")</f>
      </c>
      <c r="BG87">
        <f>IF(OR($C87="",$C87="TOPX",$BA87="",$BF87=""),0,IF(AND($BK$10=1,$BA87&lt;=$BK$2,$BB87&lt;=$BK$3,$BC87&lt;=$BK$4,$Z87&lt;=$BK$5,$Z87&gt;=$BK$6,$BD87&gt;=$BK$7,$BE87&lt;=$BK$8),1,0))</f>
      </c>
      <c r="BH87">
        <f>IF($C87="","",IF($BG87=1,"○ゲート通過",IF($BK$10&lt;&gt;1,"― この方向は停止中",IF($BA87&gt;$BK$2,"×値動きが荒い",IF($BB87&gt;$BK$3,"×レンジが広い",IF($BC87&gt;$BK$4,"×窓を開けて上昇",IF($Z87&gt;$BK$5,"×前日に急騰",IF($Z87&lt;$BK$6,"×前日に急落",IF($BD87&lt;$BK$7,"×高値から離れすぎ",IF($BE87&gt;$BK$8,"×当日の値幅が大きい","×")))))))))</f>
      </c>
    </row>
    <row r="88" spans="1:60"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IF(AND(E88&lt;&gt;"",K88&lt;&gt;"",K88&lt;&gt;0),(E88-K88)/K88*100,"")</f>
        <v>-24.294795391338894</v>
      </c>
      <c r="M88" s="333">
        <f>IF(C88&lt;&gt;"",IFERROR(AVERAGE(出来高!E15:I15),""),"")</f>
        <v>555480</v>
      </c>
      <c r="N88" s="333">
        <f>IF(C88&lt;&gt;"",IFERROR(AVERAGE(出来高!E15:AC15),""),"")</f>
        <v>581216</v>
      </c>
      <c r="O88" s="335">
        <f>IF(AND(J88&lt;&gt;"",M88&lt;&gt;"",M88&lt;&gt;0),J88/M88,"")</f>
        <v>0.76096349103478078</v>
      </c>
      <c r="P88" s="212" t="str">
        <f>IF(O88="","",IF(O88&gt;=2,"急増↑↑",IF(O88&gt;=1.5,"増加↑",IF(O88&gt;=1,"普通→","減少↓"))))</f>
        <v>減少↓</v>
      </c>
      <c r="Q88" s="212" t="str">
        <f>IF(E88="","",IF(AND(E88&lt;G88,O88&gt;=1.5),"売り▼",IF(E88&gt;G88,"様子見▲","中立→")))</f>
        <v>様子見▲</v>
      </c>
      <c r="R88" s="333">
        <f>IF(E88&lt;&gt;"",ROUND(E88*0.92,0),"")</f>
        <v>3506</v>
      </c>
      <c r="S88" s="333">
        <f>IF(E88&lt;&gt;"",ROUND(E88*1.04,0),"")</f>
        <v>3963</v>
      </c>
      <c r="T88" s="325">
        <f>IF(C88="","",IFERROR(IF(W88&gt;=70,3,IF(W88&gt;=60,2,IF(W88&gt;=50,1,0)))+IF(X88&lt;0,2,0)+IF(AD88="下降トレンド▼",3,IF(AD88="もみ合い→",1,0))+IF(V88="年初来安値圏●",3,IF(V88="安値圏",2,0))+IF(Q88="売り▼",2,0)+IF(P88="急増↑↑",2,IF(P88="増加↑",1,0))+IF(Z88&lt;0,1,0)+IF(L88&lt;=-30,2,IF(L88&lt;=-15,1,0))+IF(AE88="25日戻り売り★",2,IF(AE88="5日戻り売り○",1,0))+N(AL88)+N(AP88)+N(AU88),0))</f>
        <v>9</v>
      </c>
      <c r="U88" s="212" t="str">
        <f>IF(T88="","",IF(AND(T88&gt;=3,O88&gt;=1.5),"有効",IF(T88&gt;=3,"要確認","除外")))</f>
        <v>要確認</v>
      </c>
      <c r="V88" s="212" t="str">
        <f>IF(AND(I88&lt;&gt;"",K88&lt;&gt;""),IF(I88&lt;=K88*0.6,"年初来安値圏●",IF(I88&lt;=K88*0.75,"安値圏","通常")),"")</f>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IF(AF88="","",AF88&amp;" | "&amp;AD88&amp;IF(AE88&lt;&gt;"なし"," "&amp;AE88,"")&amp;IF(X88&lt;0," MACD-"," MACD+")&amp;" RSI:"&amp;TEXT(W88,"0.0")&amp;IF(W88&gt;=70," [過熱]",IF(W88&lt;=30," [売られ過ぎ]",""))&amp;" 前日比:"&amp;TEXT(Z88,"+0.0;-0.0;0.0")&amp;"%"&amp;IF(V88="年初来安値圏●"," [年初来安値圏]",IF(V88="安値圏"," [安値圏]",""))&amp;IF(OR(AO88="通常",AO88="-"),""," ["&amp;AO88&amp;"]")&amp;IF(OR(AT88="通常",AT88="-"),"","前日["&amp;AT88&amp;"]")&amp;" ["&amp;T88&amp;"点]")</f>
        <v>○逆張り売り | もみ合い→ 25日戻り売り★ MACD- RSI:40.4 前日比:+1.5% [安値圏] [9点]</v>
      </c>
      <c r="Z88" s="338">
        <f>IF(AND(E88&lt;&gt;"",G88&lt;&gt;"",G88&lt;&gt;0),(E88-G88)/G88*100,"")</f>
        <v>1.5454303224087398</v>
      </c>
      <c r="AA88" s="212" t="str">
        <f>IF(OR(C88="",E88="",E88=0),"",IF(E88&gt;G88,"上昇▲",IF(E88&lt;G88,"下落▼","横ばい→")))</f>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IF(OR(C88="",AB88="",AC88="",AB88=0,AC88=0),"",IF(AND(E88&gt;AB88,AB88&gt;AC88),"パーフェクト▲",IF(E88&gt;AC88,"上昇トレンド▲",IF(AND(E88&lt;AB88,AB88&lt;AC88),"下降トレンド▼","もみ合い→"))))</f>
        <v>もみ合い→</v>
      </c>
      <c r="AE88" s="212" t="str">
        <f>IF(OR(C88="",AB88="",AC88=""),"",IF(AND(ABS(E88-AC88)/AC88&lt;=0.02,E88&lt;AC88),"25日戻り売り★",IF(AND(ABS(E88-AB88)/AB88&lt;=0.01,E88&lt;AB88),"5日戻り売り○","なし")))</f>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IF(AND(T88&gt;=7,C88&lt;&gt;""),T88,0)</f>
        <v>9</v>
      </c>
      <c r="AH88">
        <f>IF(AG88&gt;0,AG88*10000-ROW(A88),0)</f>
        <v>89912</v>
      </c>
      <c r="AI88" s="373">
        <f t="array" ref="AI88">IF(C88="","",IFERROR((INDEX(終値!$E:$E,MATCH(TEXT(C88,"0"),終値!$A:$A,0))-INDEX(終値!$E:$CZ,MATCH(TEXT(C88,"0"),終値!$A:$A,0),$AN$2))/INDEX(終値!$E:$CZ,MATCH(TEXT(C88,"0"),終値!$A:$A,0),$AN$2)*100,""))</f>
        <v>-5.2452137424600052E-2</v>
      </c>
      <c r="AJ88" s="373">
        <f t="array" ref="AJ88">IFERROR((終値!$E$5-INDEX(終値!$E$5:$IT$5,1,$AN$2))/INDEX(終値!$E$5:$IT$5,1,$AN$2)*100,"")</f>
        <v>1.0179378228534113</v>
      </c>
      <c r="AK88" s="374">
        <f>IF(OR(AI88="",AJ88=""),"",AI88-AJ88)</f>
        <v>-1.0703899602780114</v>
      </c>
      <c r="AL88" s="372">
        <f>IF(AK88="","",IF(AK88&lt;-5,3,IF(AK88&lt;0,1,IF(AK88&lt;3,-1,-2))))</f>
        <v>1</v>
      </c>
      <c r="AO88" s="376" t="str">
        <f>IF(OR($C88="",$E88="",$F88="",$H88="",$I88="",$H88-$I88&lt;=0),"-",IF(AND($H88-MAX($F88,$E88)&gt;=ABS($E88-$F88)*2,MIN($F88,$E88)-$I88&lt;=ABS($E88-$F88)*0.5,ABS($E88-$F88)&gt;0),"上ヒゲ陰線▼",IF(AND($E88&lt;$F88,ABS($E88-$F88)&gt;=($H88-$I88)*0.7),"大陰線▼",IF(AND(MIN($F88,$E88)-$I88&gt;=($H88-$I88)*0.5,$H88-MAX($F88,$E88)&lt;=($H88-$I88)*0.2),"長い下ヒゲ(反発警戒)","通常"))))</f>
        <v>通常</v>
      </c>
      <c r="AP88" s="377">
        <f>IF($AO88="上ヒゲ陰線▼",2,IF($AO88="大陰線▼",2,IF($AO88="長い下ヒゲ(反発警戒)",-2,0)))</f>
        <v>0</v>
      </c>
      <c r="AQ88">
        <f>IF(C88&lt;&gt;"",始値!F15,"")</f>
        <v>3790</v>
      </c>
      <c r="AR88">
        <f>IF(C88&lt;&gt;"",高値!F15,"")</f>
        <v>3828</v>
      </c>
      <c r="AS88">
        <f>IF(C88&lt;&gt;"",安値!F15,"")</f>
        <v>3731</v>
      </c>
      <c r="AT88" t="str">
        <f>IF(OR(C88="",AQ88="",AR88="",AS88="",AR88-AS88&lt;=0),"-",IF(AND(AR88-MAX(G88,AQ88)&gt;=ABS(G88-AQ88)*2,MIN(G88,AQ88)-AS88&lt;=ABS(G88-AQ88)*0.5,ABS(G88-AQ88)&gt;0),"上ヒゲ陰線▼",IF(AND(G88&lt;AQ88,ABS(G88-AQ88)&gt;=(AR88-AS88)*0.7),"大陰線▼",IF(AND(MIN(G88,AQ88)-AS88&gt;=(AR88-AS88)*0.5,AR88-MAX(G88,AQ88)&lt;=(AR88-AS88)*0.2),"長い下ヒゲ(反発)","通常"))))</f>
        <v>通常</v>
      </c>
      <c r="AU88">
        <f>IF(AT88="上ヒゲ陰線▼",2,IF(AT88="大陰線▼",2,IF(AT88="長い下ヒゲ(反発)",-2,0)))</f>
        <v>0</v>
      </c>
      <c r="BA88">
        <f>IFERROR((SUM(OFFSET(高値!$E$6,IFERROR(MATCH($C88,銘柄管理!$B$6:$B$305,0),MATCH(TEXT($C88,"0"),銘柄管理!$B$6:$B$305,0))-1,0,1,14))-SUM(OFFSET(安値!$E$6,IFERROR(MATCH($C88,銘柄管理!$B$6:$B$305,0),MATCH(TEXT($C88,"0"),銘柄管理!$B$6:$B$305,0))-1,0,1,14)))/SUM(OFFSET(終値!$E$6,IFERROR(MATCH($C88,銘柄管理!$B$6:$B$305,0),MATCH(TEXT($C88,"0"),銘柄管理!$B$6:$B$305,0))-1,0,1,14))*100,"")</f>
      </c>
      <c r="BB88">
        <f>IFERROR((MAX(OFFSET(高値!$E$6,IFERROR(MATCH($C88,銘柄管理!$B$6:$B$305,0),MATCH(TEXT($C88,"0"),銘柄管理!$B$6:$B$305,0))-1,0,1,25))-MIN(OFFSET(安値!$E$6,IFERROR(MATCH($C88,銘柄管理!$B$6:$B$305,0),MATCH(TEXT($C88,"0"),銘柄管理!$B$6:$B$305,0))-1,0,1,25)))/$E88*100,"")</f>
      </c>
      <c r="BC88">
        <f>IFERROR(($F88-$G88)/$G88*100,"")</f>
      </c>
      <c r="BD88">
        <f>IFERROR(($E88-MAX(OFFSET(高値!$E$6,IFERROR(MATCH($C88,銘柄管理!$B$6:$B$305,0),MATCH(TEXT($C88,"0"),銘柄管理!$B$6:$B$305,0))-1,0,1,25)))/MAX(OFFSET(高値!$E$6,IFERROR(MATCH($C88,銘柄管理!$B$6:$B$305,0),MATCH(TEXT($C88,"0"),銘柄管理!$B$6:$B$305,0))-1,0,1,25))*100,"")</f>
      </c>
      <c r="BE88">
        <f>IFERROR(($H88-$I88)/$F88*100,"")</f>
      </c>
      <c r="BF88">
        <f>IFERROR(-(($BA88-AVERAGE($BA$3:$BA$206))/STDEV($BA$3:$BA$206))-(($BE88-AVERAGE($BE$3:$BE$206))/STDEV($BE$3:$BE$206))-(($BB88-AVERAGE($BB$3:$BB$206))/STDEV($BB$3:$BB$206))-(($Z88-AVERAGE($Z$3:$Z$206))/STDEV($Z$3:$Z$206))-(($BC88-AVERAGE($BC$3:$BC$206))/STDEV($BC$3:$BC$206)),"")</f>
      </c>
      <c r="BG88">
        <f>IF(OR($C88="",$C88="TOPX",$BA88="",$BF88=""),0,IF(AND($BK$10=1,$BA88&lt;=$BK$2,$BB88&lt;=$BK$3,$BC88&lt;=$BK$4,$Z88&lt;=$BK$5,$Z88&gt;=$BK$6,$BD88&gt;=$BK$7,$BE88&lt;=$BK$8),1,0))</f>
      </c>
      <c r="BH88">
        <f>IF($C88="","",IF($BG88=1,"○ゲート通過",IF($BK$10&lt;&gt;1,"― この方向は停止中",IF($BA88&gt;$BK$2,"×値動きが荒い",IF($BB88&gt;$BK$3,"×レンジが広い",IF($BC88&gt;$BK$4,"×窓を開けて上昇",IF($Z88&gt;$BK$5,"×前日に急騰",IF($Z88&lt;$BK$6,"×前日に急落",IF($BD88&lt;$BK$7,"×高値から離れすぎ",IF($BE88&gt;$BK$8,"×当日の値幅が大きい","×")))))))))</f>
      </c>
    </row>
    <row r="89" spans="1:60"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IF(AND(E89&lt;&gt;"",K89&lt;&gt;"",K89&lt;&gt;0),(E89-K89)/K89*100,"")</f>
        <v>-21.024617431803062</v>
      </c>
      <c r="M89" s="326">
        <f>IF(C89&lt;&gt;"",IFERROR(AVERAGE(出来高!E16:I16),""),"")</f>
        <v>9899860</v>
      </c>
      <c r="N89" s="326">
        <f>IF(C89&lt;&gt;"",IFERROR(AVERAGE(出来高!E16:AC16),""),"")</f>
        <v>8365096</v>
      </c>
      <c r="O89" s="328">
        <f>IF(AND(J89&lt;&gt;"",M89&lt;&gt;"",M89&lt;&gt;0),J89/M89,"")</f>
        <v>0.60798839579549613</v>
      </c>
      <c r="P89" s="325" t="str">
        <f>IF(O89="","",IF(O89&gt;=2,"急増↑↑",IF(O89&gt;=1.5,"増加↑",IF(O89&gt;=1,"普通→","減少↓"))))</f>
        <v>減少↓</v>
      </c>
      <c r="Q89" s="325" t="str">
        <f>IF(E89="","",IF(AND(E89&lt;G89,O89&gt;=1.5),"売り▼",IF(E89&gt;G89,"様子見▲","中立→")))</f>
        <v>様子見▲</v>
      </c>
      <c r="R89" s="326">
        <f>IF(E89&lt;&gt;"",ROUND(E89*0.92,0),"")</f>
        <v>4368</v>
      </c>
      <c r="S89" s="326">
        <f>IF(E89&lt;&gt;"",ROUND(E89*1.04,0),"")</f>
        <v>4938</v>
      </c>
      <c r="T89" s="325">
        <f>IF(C89="","",IFERROR(IF(W89&gt;=70,3,IF(W89&gt;=60,2,IF(W89&gt;=50,1,0)))+IF(X89&lt;0,2,0)+IF(AD89="下降トレンド▼",3,IF(AD89="もみ合い→",1,0))+IF(V89="年初来安値圏●",3,IF(V89="安値圏",2,0))+IF(Q89="売り▼",2,0)+IF(P89="急増↑↑",2,IF(P89="増加↑",1,0))+IF(Z89&lt;0,1,0)+IF(L89&lt;=-30,2,IF(L89&lt;=-15,1,0))+IF(AE89="25日戻り売り★",2,IF(AE89="5日戻り売り○",1,0))+N(AL89)+N(AP89)+N(AU89),0))</f>
        <v>0</v>
      </c>
      <c r="U89" s="325" t="str">
        <f>IF(T89="","",IF(AND(T89&gt;=3,O89&gt;=1.5),"有効",IF(T89&gt;=3,"要確認","除外")))</f>
        <v>除外</v>
      </c>
      <c r="V89" s="325" t="str">
        <f>IF(AND(I89&lt;&gt;"",K89&lt;&gt;""),IF(I89&lt;=K89*0.6,"年初来安値圏●",IF(I89&lt;=K89*0.75,"安値圏","通常")),"")</f>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IF(AF89="","",AF89&amp;" | "&amp;AD89&amp;IF(AE89&lt;&gt;"なし"," "&amp;AE89,"")&amp;IF(X89&lt;0," MACD-"," MACD+")&amp;" RSI:"&amp;TEXT(W89,"0.0")&amp;IF(W89&gt;=70," [過熱]",IF(W89&lt;=30," [売られ過ぎ]",""))&amp;" 前日比:"&amp;TEXT(Z89,"+0.0;-0.0;0.0")&amp;"%"&amp;IF(V89="年初来安値圏●"," [年初来安値圏]",IF(V89="安値圏"," [安値圏]",""))&amp;IF(OR(AO89="通常",AO89="-"),""," ["&amp;AO89&amp;"]")&amp;IF(OR(AT89="通常",AT89="-"),"","前日["&amp;AT89&amp;"]")&amp;" ["&amp;T89&amp;"点]")</f>
        <v>相場上昇・見送り | パーフェクト▲ MACD+ RSI:52.8 前日比:+2.3% [0点]</v>
      </c>
      <c r="Z89" s="331">
        <f>IF(AND(E89&lt;&gt;"",G89&lt;&gt;"",G89&lt;&gt;0),(E89-G89)/G89*100,"")</f>
        <v>2.305537599655247</v>
      </c>
      <c r="AA89" s="325" t="str">
        <f>IF(OR(C89="",E89="",E89=0),"",IF(E89&gt;G89,"上昇▲",IF(E89&lt;G89,"下落▼","横ばい→")))</f>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IF(OR(C89="",AB89="",AC89="",AB89=0,AC89=0),"",IF(AND(E89&gt;AB89,AB89&gt;AC89),"パーフェクト▲",IF(E89&gt;AC89,"上昇トレンド▲",IF(AND(E89&lt;AB89,AB89&lt;AC89),"下降トレンド▼","もみ合い→"))))</f>
        <v>パーフェクト▲</v>
      </c>
      <c r="AE89" s="325" t="str">
        <f>IF(OR(C89="",AB89="",AC89=""),"",IF(AND(ABS(E89-AC89)/AC89&lt;=0.02,E89&lt;AC89),"25日戻り売り★",IF(AND(ABS(E89-AB89)/AB89&lt;=0.01,E89&lt;AB89),"5日戻り売り○","なし")))</f>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IF(AND(T89&gt;=7,C89&lt;&gt;""),T89,0)</f>
        <v>0</v>
      </c>
      <c r="AH89">
        <f>IF(AG89&gt;0,AG89*10000-ROW(A89),0)</f>
        <v>0</v>
      </c>
      <c r="AI89" s="373">
        <f t="array" ref="AI89">IF(C89="","",IFERROR((INDEX(終値!$E:$E,MATCH(TEXT(C89,"0"),終値!$A:$A,0))-INDEX(終値!$E:$CZ,MATCH(TEXT(C89,"0"),終値!$A:$A,0),$AN$2))/INDEX(終値!$E:$CZ,MATCH(TEXT(C89,"0"),終値!$A:$A,0),$AN$2)*100,""))</f>
        <v>9.3001841620626156</v>
      </c>
      <c r="AJ89" s="373">
        <f t="array" ref="AJ89">IFERROR((終値!$E$5-INDEX(終値!$E$5:$IT$5,1,$AN$2))/INDEX(終値!$E$5:$IT$5,1,$AN$2)*100,"")</f>
        <v>1.0179378228534113</v>
      </c>
      <c r="AK89" s="374">
        <f>IF(OR(AI89="",AJ89=""),"",AI89-AJ89)</f>
        <v>8.2822463392092036</v>
      </c>
      <c r="AL89" s="372">
        <f>IF(AK89="","",IF(AK89&lt;-5,3,IF(AK89&lt;0,1,IF(AK89&lt;3,-1,-2))))</f>
        <v>-2</v>
      </c>
      <c r="AO89" s="376" t="str">
        <f>IF(OR($C89="",$E89="",$F89="",$H89="",$I89="",$H89-$I89&lt;=0),"-",IF(AND($H89-MAX($F89,$E89)&gt;=ABS($E89-$F89)*2,MIN($F89,$E89)-$I89&lt;=ABS($E89-$F89)*0.5,ABS($E89-$F89)&gt;0),"上ヒゲ陰線▼",IF(AND($E89&lt;$F89,ABS($E89-$F89)&gt;=($H89-$I89)*0.7),"大陰線▼",IF(AND(MIN($F89,$E89)-$I89&gt;=($H89-$I89)*0.5,$H89-MAX($F89,$E89)&lt;=($H89-$I89)*0.2),"長い下ヒゲ(反発警戒)","通常"))))</f>
        <v>通常</v>
      </c>
      <c r="AP89" s="377">
        <f>IF($AO89="上ヒゲ陰線▼",2,IF($AO89="大陰線▼",2,IF($AO89="長い下ヒゲ(反発警戒)",-2,0)))</f>
        <v>0</v>
      </c>
      <c r="AQ89">
        <f>IF(C89&lt;&gt;"",始値!F16,"")</f>
        <v>4694</v>
      </c>
      <c r="AR89">
        <f>IF(C89&lt;&gt;"",高値!F16,"")</f>
        <v>4744</v>
      </c>
      <c r="AS89">
        <f>IF(C89&lt;&gt;"",安値!F16,"")</f>
        <v>4641</v>
      </c>
      <c r="AT89" t="str">
        <f>IF(OR(C89="",AQ89="",AR89="",AS89="",AR89-AS89&lt;=0),"-",IF(AND(AR89-MAX(G89,AQ89)&gt;=ABS(G89-AQ89)*2,MIN(G89,AQ89)-AS89&lt;=ABS(G89-AQ89)*0.5,ABS(G89-AQ89)&gt;0),"上ヒゲ陰線▼",IF(AND(G89&lt;AQ89,ABS(G89-AQ89)&gt;=(AR89-AS89)*0.7),"大陰線▼",IF(AND(MIN(G89,AQ89)-AS89&gt;=(AR89-AS89)*0.5,AR89-MAX(G89,AQ89)&lt;=(AR89-AS89)*0.2),"長い下ヒゲ(反発)","通常"))))</f>
        <v>通常</v>
      </c>
      <c r="AU89">
        <f>IF(AT89="上ヒゲ陰線▼",2,IF(AT89="大陰線▼",2,IF(AT89="長い下ヒゲ(反発)",-2,0)))</f>
        <v>0</v>
      </c>
      <c r="BA89">
        <f>IFERROR((SUM(OFFSET(高値!$E$6,IFERROR(MATCH($C89,銘柄管理!$B$6:$B$305,0),MATCH(TEXT($C89,"0"),銘柄管理!$B$6:$B$305,0))-1,0,1,14))-SUM(OFFSET(安値!$E$6,IFERROR(MATCH($C89,銘柄管理!$B$6:$B$305,0),MATCH(TEXT($C89,"0"),銘柄管理!$B$6:$B$305,0))-1,0,1,14)))/SUM(OFFSET(終値!$E$6,IFERROR(MATCH($C89,銘柄管理!$B$6:$B$305,0),MATCH(TEXT($C89,"0"),銘柄管理!$B$6:$B$305,0))-1,0,1,14))*100,"")</f>
      </c>
      <c r="BB89">
        <f>IFERROR((MAX(OFFSET(高値!$E$6,IFERROR(MATCH($C89,銘柄管理!$B$6:$B$305,0),MATCH(TEXT($C89,"0"),銘柄管理!$B$6:$B$305,0))-1,0,1,25))-MIN(OFFSET(安値!$E$6,IFERROR(MATCH($C89,銘柄管理!$B$6:$B$305,0),MATCH(TEXT($C89,"0"),銘柄管理!$B$6:$B$305,0))-1,0,1,25)))/$E89*100,"")</f>
      </c>
      <c r="BC89">
        <f>IFERROR(($F89-$G89)/$G89*100,"")</f>
      </c>
      <c r="BD89">
        <f>IFERROR(($E89-MAX(OFFSET(高値!$E$6,IFERROR(MATCH($C89,銘柄管理!$B$6:$B$305,0),MATCH(TEXT($C89,"0"),銘柄管理!$B$6:$B$305,0))-1,0,1,25)))/MAX(OFFSET(高値!$E$6,IFERROR(MATCH($C89,銘柄管理!$B$6:$B$305,0),MATCH(TEXT($C89,"0"),銘柄管理!$B$6:$B$305,0))-1,0,1,25))*100,"")</f>
      </c>
      <c r="BE89">
        <f>IFERROR(($H89-$I89)/$F89*100,"")</f>
      </c>
      <c r="BF89">
        <f>IFERROR(-(($BA89-AVERAGE($BA$3:$BA$206))/STDEV($BA$3:$BA$206))-(($BE89-AVERAGE($BE$3:$BE$206))/STDEV($BE$3:$BE$206))-(($BB89-AVERAGE($BB$3:$BB$206))/STDEV($BB$3:$BB$206))-(($Z89-AVERAGE($Z$3:$Z$206))/STDEV($Z$3:$Z$206))-(($BC89-AVERAGE($BC$3:$BC$206))/STDEV($BC$3:$BC$206)),"")</f>
      </c>
      <c r="BG89">
        <f>IF(OR($C89="",$C89="TOPX",$BA89="",$BF89=""),0,IF(AND($BK$10=1,$BA89&lt;=$BK$2,$BB89&lt;=$BK$3,$BC89&lt;=$BK$4,$Z89&lt;=$BK$5,$Z89&gt;=$BK$6,$BD89&gt;=$BK$7,$BE89&lt;=$BK$8),1,0))</f>
      </c>
      <c r="BH89">
        <f>IF($C89="","",IF($BG89=1,"○ゲート通過",IF($BK$10&lt;&gt;1,"― この方向は停止中",IF($BA89&gt;$BK$2,"×値動きが荒い",IF($BB89&gt;$BK$3,"×レンジが広い",IF($BC89&gt;$BK$4,"×窓を開けて上昇",IF($Z89&gt;$BK$5,"×前日に急騰",IF($Z89&lt;$BK$6,"×前日に急落",IF($BD89&lt;$BK$7,"×高値から離れすぎ",IF($BE89&gt;$BK$8,"×当日の値幅が大きい","×")))))))))</f>
      </c>
    </row>
    <row r="90" spans="1:60"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IF(AND(E90&lt;&gt;"",K90&lt;&gt;"",K90&lt;&gt;0),(E90-K90)/K90*100,"")</f>
        <v>-34.333764553686933</v>
      </c>
      <c r="M90" s="333">
        <f>IF(C90&lt;&gt;"",IFERROR(AVERAGE(出来高!E20:I20),""),"")</f>
        <v>325380</v>
      </c>
      <c r="N90" s="333">
        <f>IF(C90&lt;&gt;"",IFERROR(AVERAGE(出来高!E20:AC20),""),"")</f>
        <v>233675</v>
      </c>
      <c r="O90" s="335">
        <f>IF(AND(J90&lt;&gt;"",M90&lt;&gt;"",M90&lt;&gt;0),J90/M90,"")</f>
        <v>1.5056241932509682</v>
      </c>
      <c r="P90" s="212" t="str">
        <f>IF(O90="","",IF(O90&gt;=2,"急増↑↑",IF(O90&gt;=1.5,"増加↑",IF(O90&gt;=1,"普通→","減少↓"))))</f>
        <v>増加↑</v>
      </c>
      <c r="Q90" s="212" t="str">
        <f>IF(E90="","",IF(AND(E90&lt;G90,O90&gt;=1.5),"売り▼",IF(E90&gt;G90,"様子見▲","中立→")))</f>
        <v>売り▼</v>
      </c>
      <c r="R90" s="333">
        <f>IF(E90&lt;&gt;"",ROUND(E90*0.92,0),"")</f>
        <v>2335</v>
      </c>
      <c r="S90" s="333">
        <f>IF(E90&lt;&gt;"",ROUND(E90*1.04,0),"")</f>
        <v>2640</v>
      </c>
      <c r="T90" s="325">
        <f>IF(C90="","",IFERROR(IF(W90&gt;=70,3,IF(W90&gt;=60,2,IF(W90&gt;=50,1,0)))+IF(X90&lt;0,2,0)+IF(AD90="下降トレンド▼",3,IF(AD90="もみ合い→",1,0))+IF(V90="年初来安値圏●",3,IF(V90="安値圏",2,0))+IF(Q90="売り▼",2,0)+IF(P90="急増↑↑",2,IF(P90="増加↑",1,0))+IF(Z90&lt;0,1,0)+IF(L90&lt;=-30,2,IF(L90&lt;=-15,1,0))+IF(AE90="25日戻り売り★",2,IF(AE90="5日戻り売り○",1,0))+N(AL90)+N(AP90)+N(AU90),0))</f>
        <v>7</v>
      </c>
      <c r="U90" s="212" t="str">
        <f>IF(T90="","",IF(AND(T90&gt;=3,O90&gt;=1.5),"有効",IF(T90&gt;=3,"要確認","除外")))</f>
        <v>有効</v>
      </c>
      <c r="V90" s="212" t="str">
        <f>IF(AND(I90&lt;&gt;"",K90&lt;&gt;""),IF(I90&lt;=K90*0.6,"年初来安値圏●",IF(I90&lt;=K90*0.75,"安値圏","通常")),"")</f>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IF(AF90="","",AF90&amp;" | "&amp;AD90&amp;IF(AE90&lt;&gt;"なし"," "&amp;AE90,"")&amp;IF(X90&lt;0," MACD-"," MACD+")&amp;" RSI:"&amp;TEXT(W90,"0.0")&amp;IF(W90&gt;=70," [過熱]",IF(W90&lt;=30," [売られ過ぎ]",""))&amp;" 前日比:"&amp;TEXT(Z90,"+0.0;-0.0;0.0")&amp;"%"&amp;IF(V90="年初来安値圏●"," [年初来安値圏]",IF(V90="安値圏"," [安値圏]",""))&amp;IF(OR(AO90="通常",AO90="-"),""," ["&amp;AO90&amp;"]")&amp;IF(OR(AT90="通常",AT90="-"),"","前日["&amp;AT90&amp;"]")&amp;" ["&amp;T90&amp;"点]")</f>
        <v>相場上昇・見送り | パーフェクト▲ MACD+ RSI:52.4 前日比:-0.3% [安値圏] [7点]</v>
      </c>
      <c r="Z90" s="338">
        <f>IF(AND(E90&lt;&gt;"",G90&lt;&gt;"",G90&lt;&gt;0),(E90-G90)/G90*100,"")</f>
        <v>-0.3142183817753339</v>
      </c>
      <c r="AA90" s="212" t="str">
        <f>IF(OR(C90="",E90="",E90=0),"",IF(E90&gt;G90,"上昇▲",IF(E90&lt;G90,"下落▼","横ばい→")))</f>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IF(OR(C90="",AB90="",AC90="",AB90=0,AC90=0),"",IF(AND(E90&gt;AB90,AB90&gt;AC90),"パーフェクト▲",IF(E90&gt;AC90,"上昇トレンド▲",IF(AND(E90&lt;AB90,AB90&lt;AC90),"下降トレンド▼","もみ合い→"))))</f>
        <v>パーフェクト▲</v>
      </c>
      <c r="AE90" s="212" t="str">
        <f>IF(OR(C90="",AB90="",AC90=""),"",IF(AND(ABS(E90-AC90)/AC90&lt;=0.02,E90&lt;AC90),"25日戻り売り★",IF(AND(ABS(E90-AB90)/AB90&lt;=0.01,E90&lt;AB90),"5日戻り売り○","なし")))</f>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IF(AND(T90&gt;=7,C90&lt;&gt;""),T90,0)</f>
        <v>7</v>
      </c>
      <c r="AH90">
        <f>IF(AG90&gt;0,AG90*10000-ROW(A90),0)</f>
        <v>69910</v>
      </c>
      <c r="AI90" s="373">
        <f t="array" ref="AI90">IF(C90="","",IFERROR((INDEX(終値!$E:$E,MATCH(TEXT(C90,"0"),終値!$A:$A,0))-INDEX(終値!$E:$CZ,MATCH(TEXT(C90,"0"),終値!$A:$A,0),$AN$2))/INDEX(終値!$E:$CZ,MATCH(TEXT(C90,"0"),終値!$A:$A,0),$AN$2)*100,""))</f>
        <v>13.557046979865772</v>
      </c>
      <c r="AJ90" s="373">
        <f t="array" ref="AJ90">IFERROR((終値!$E$5-INDEX(終値!$E$5:$IT$5,1,$AN$2))/INDEX(終値!$E$5:$IT$5,1,$AN$2)*100,"")</f>
        <v>1.0179378228534113</v>
      </c>
      <c r="AK90" s="374">
        <f>IF(OR(AI90="",AJ90=""),"",AI90-AJ90)</f>
        <v>12.53910915701236</v>
      </c>
      <c r="AL90" s="372">
        <f>IF(AK90="","",IF(AK90&lt;-5,3,IF(AK90&lt;0,1,IF(AK90&lt;3,-1,-2))))</f>
        <v>-2</v>
      </c>
      <c r="AO90" s="376" t="str">
        <f>IF(OR($C90="",$E90="",$F90="",$H90="",$I90="",$H90-$I90&lt;=0),"-",IF(AND($H90-MAX($F90,$E90)&gt;=ABS($E90-$F90)*2,MIN($F90,$E90)-$I90&lt;=ABS($E90-$F90)*0.5,ABS($E90-$F90)&gt;0),"上ヒゲ陰線▼",IF(AND($E90&lt;$F90,ABS($E90-$F90)&gt;=($H90-$I90)*0.7),"大陰線▼",IF(AND(MIN($F90,$E90)-$I90&gt;=($H90-$I90)*0.5,$H90-MAX($F90,$E90)&lt;=($H90-$I90)*0.2),"長い下ヒゲ(反発警戒)","通常"))))</f>
        <v>通常</v>
      </c>
      <c r="AP90" s="377">
        <f>IF($AO90="上ヒゲ陰線▼",2,IF($AO90="大陰線▼",2,IF($AO90="長い下ヒゲ(反発警戒)",-2,0)))</f>
        <v>0</v>
      </c>
      <c r="AQ90">
        <f>IF(C90&lt;&gt;"",始値!F20,"")</f>
        <v>2495</v>
      </c>
      <c r="AR90">
        <f>IF(C90&lt;&gt;"",高値!F20,"")</f>
        <v>2579</v>
      </c>
      <c r="AS90">
        <f>IF(C90&lt;&gt;"",安値!F20,"")</f>
        <v>2485</v>
      </c>
      <c r="AT90" t="str">
        <f>IF(OR(C90="",AQ90="",AR90="",AS90="",AR90-AS90&lt;=0),"-",IF(AND(AR90-MAX(G90,AQ90)&gt;=ABS(G90-AQ90)*2,MIN(G90,AQ90)-AS90&lt;=ABS(G90-AQ90)*0.5,ABS(G90-AQ90)&gt;0),"上ヒゲ陰線▼",IF(AND(G90&lt;AQ90,ABS(G90-AQ90)&gt;=(AR90-AS90)*0.7),"大陰線▼",IF(AND(MIN(G90,AQ90)-AS90&gt;=(AR90-AS90)*0.5,AR90-MAX(G90,AQ90)&lt;=(AR90-AS90)*0.2),"長い下ヒゲ(反発)","通常"))))</f>
        <v>通常</v>
      </c>
      <c r="AU90">
        <f>IF(AT90="上ヒゲ陰線▼",2,IF(AT90="大陰線▼",2,IF(AT90="長い下ヒゲ(反発)",-2,0)))</f>
        <v>0</v>
      </c>
      <c r="BA90">
        <f>IFERROR((SUM(OFFSET(高値!$E$6,IFERROR(MATCH($C90,銘柄管理!$B$6:$B$305,0),MATCH(TEXT($C90,"0"),銘柄管理!$B$6:$B$305,0))-1,0,1,14))-SUM(OFFSET(安値!$E$6,IFERROR(MATCH($C90,銘柄管理!$B$6:$B$305,0),MATCH(TEXT($C90,"0"),銘柄管理!$B$6:$B$305,0))-1,0,1,14)))/SUM(OFFSET(終値!$E$6,IFERROR(MATCH($C90,銘柄管理!$B$6:$B$305,0),MATCH(TEXT($C90,"0"),銘柄管理!$B$6:$B$305,0))-1,0,1,14))*100,"")</f>
      </c>
      <c r="BB90">
        <f>IFERROR((MAX(OFFSET(高値!$E$6,IFERROR(MATCH($C90,銘柄管理!$B$6:$B$305,0),MATCH(TEXT($C90,"0"),銘柄管理!$B$6:$B$305,0))-1,0,1,25))-MIN(OFFSET(安値!$E$6,IFERROR(MATCH($C90,銘柄管理!$B$6:$B$305,0),MATCH(TEXT($C90,"0"),銘柄管理!$B$6:$B$305,0))-1,0,1,25)))/$E90*100,"")</f>
      </c>
      <c r="BC90">
        <f>IFERROR(($F90-$G90)/$G90*100,"")</f>
      </c>
      <c r="BD90">
        <f>IFERROR(($E90-MAX(OFFSET(高値!$E$6,IFERROR(MATCH($C90,銘柄管理!$B$6:$B$305,0),MATCH(TEXT($C90,"0"),銘柄管理!$B$6:$B$305,0))-1,0,1,25)))/MAX(OFFSET(高値!$E$6,IFERROR(MATCH($C90,銘柄管理!$B$6:$B$305,0),MATCH(TEXT($C90,"0"),銘柄管理!$B$6:$B$305,0))-1,0,1,25))*100,"")</f>
      </c>
      <c r="BE90">
        <f>IFERROR(($H90-$I90)/$F90*100,"")</f>
      </c>
      <c r="BF90">
        <f>IFERROR(-(($BA90-AVERAGE($BA$3:$BA$206))/STDEV($BA$3:$BA$206))-(($BE90-AVERAGE($BE$3:$BE$206))/STDEV($BE$3:$BE$206))-(($BB90-AVERAGE($BB$3:$BB$206))/STDEV($BB$3:$BB$206))-(($Z90-AVERAGE($Z$3:$Z$206))/STDEV($Z$3:$Z$206))-(($BC90-AVERAGE($BC$3:$BC$206))/STDEV($BC$3:$BC$206)),"")</f>
      </c>
      <c r="BG90">
        <f>IF(OR($C90="",$C90="TOPX",$BA90="",$BF90=""),0,IF(AND($BK$10=1,$BA90&lt;=$BK$2,$BB90&lt;=$BK$3,$BC90&lt;=$BK$4,$Z90&lt;=$BK$5,$Z90&gt;=$BK$6,$BD90&gt;=$BK$7,$BE90&lt;=$BK$8),1,0))</f>
      </c>
      <c r="BH90">
        <f>IF($C90="","",IF($BG90=1,"○ゲート通過",IF($BK$10&lt;&gt;1,"― この方向は停止中",IF($BA90&gt;$BK$2,"×値動きが荒い",IF($BB90&gt;$BK$3,"×レンジが広い",IF($BC90&gt;$BK$4,"×窓を開けて上昇",IF($Z90&gt;$BK$5,"×前日に急騰",IF($Z90&lt;$BK$6,"×前日に急落",IF($BD90&lt;$BK$7,"×高値から離れすぎ",IF($BE90&gt;$BK$8,"×当日の値幅が大きい","×")))))))))</f>
      </c>
    </row>
    <row r="91" spans="1:60"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IF(AND(E91&lt;&gt;"",K91&lt;&gt;"",K91&lt;&gt;0),(E91-K91)/K91*100,"")</f>
        <v>-4.1344667697063366</v>
      </c>
      <c r="M91" s="326">
        <f>IF(C91&lt;&gt;"",IFERROR(AVERAGE(出来高!E23:I23),""),"")</f>
        <v>1516460</v>
      </c>
      <c r="N91" s="326">
        <f>IF(C91&lt;&gt;"",IFERROR(AVERAGE(出来高!E23:AC23),""),"")</f>
        <v>1565250</v>
      </c>
      <c r="O91" s="328">
        <f>IF(AND(J91&lt;&gt;"",M91&lt;&gt;"",M91&lt;&gt;0),J91/M91,"")</f>
        <v>1.470595993300186</v>
      </c>
      <c r="P91" s="325" t="str">
        <f>IF(O91="","",IF(O91&gt;=2,"急増↑↑",IF(O91&gt;=1.5,"増加↑",IF(O91&gt;=1,"普通→","減少↓"))))</f>
        <v>普通→</v>
      </c>
      <c r="Q91" s="325" t="str">
        <f>IF(E91="","",IF(AND(E91&lt;G91,O91&gt;=1.5),"売り▼",IF(E91&gt;G91,"様子見▲","中立→")))</f>
        <v>中立→</v>
      </c>
      <c r="R91" s="326">
        <f>IF(E91&lt;&gt;"",ROUND(E91*0.92,0),"")</f>
        <v>4565</v>
      </c>
      <c r="S91" s="326">
        <f>IF(E91&lt;&gt;"",ROUND(E91*1.04,0),"")</f>
        <v>5160</v>
      </c>
      <c r="T91" s="325">
        <f>IF(C91="","",IFERROR(IF(W91&gt;=70,3,IF(W91&gt;=60,2,IF(W91&gt;=50,1,0)))+IF(X91&lt;0,2,0)+IF(AD91="下降トレンド▼",3,IF(AD91="もみ合い→",1,0))+IF(V91="年初来安値圏●",3,IF(V91="安値圏",2,0))+IF(Q91="売り▼",2,0)+IF(P91="急増↑↑",2,IF(P91="増加↑",1,0))+IF(Z91&lt;0,1,0)+IF(L91&lt;=-30,2,IF(L91&lt;=-15,1,0))+IF(AE91="25日戻り売り★",2,IF(AE91="5日戻り売り○",1,0))+N(AL91)+N(AP91)+N(AU91),0))</f>
        <v>1</v>
      </c>
      <c r="U91" s="325" t="str">
        <f>IF(T91="","",IF(AND(T91&gt;=3,O91&gt;=1.5),"有効",IF(T91&gt;=3,"要確認","除外")))</f>
        <v>除外</v>
      </c>
      <c r="V91" s="325" t="str">
        <f>IF(AND(I91&lt;&gt;"",K91&lt;&gt;""),IF(I91&lt;=K91*0.6,"年初来安値圏●",IF(I91&lt;=K91*0.75,"安値圏","通常")),"")</f>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IF(AF91="","",AF91&amp;" | "&amp;AD91&amp;IF(AE91&lt;&gt;"なし"," "&amp;AE91,"")&amp;IF(X91&lt;0," MACD-"," MACD+")&amp;" RSI:"&amp;TEXT(W91,"0.0")&amp;IF(W91&gt;=70," [過熱]",IF(W91&lt;=30," [売られ過ぎ]",""))&amp;" 前日比:"&amp;TEXT(Z91,"+0.0;-0.0;0.0")&amp;"%"&amp;IF(V91="年初来安値圏●"," [年初来安値圏]",IF(V91="安値圏"," [安値圏]",""))&amp;IF(OR(AO91="通常",AO91="-"),""," ["&amp;AO91&amp;"]")&amp;IF(OR(AT91="通常",AT91="-"),"","前日["&amp;AT91&amp;"]")&amp;" ["&amp;T91&amp;"点]")</f>
        <v>相場上昇・見送り | 上昇トレンド▲ 5日戻り売り○ MACD- RSI:49.9 前日比:-1.4%前日[長い下ヒゲ(反発)] [1点]</v>
      </c>
      <c r="Z91" s="331">
        <f>IF(AND(E91&lt;&gt;"",G91&lt;&gt;"",G91&lt;&gt;0),(E91-G91)/G91*100,"")</f>
        <v>-1.3910969793322734</v>
      </c>
      <c r="AA91" s="325" t="str">
        <f>IF(OR(C91="",E91="",E91=0),"",IF(E91&gt;G91,"上昇▲",IF(E91&lt;G91,"下落▼","横ばい→")))</f>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IF(OR(C91="",AB91="",AC91="",AB91=0,AC91=0),"",IF(AND(E91&gt;AB91,AB91&gt;AC91),"パーフェクト▲",IF(E91&gt;AC91,"上昇トレンド▲",IF(AND(E91&lt;AB91,AB91&lt;AC91),"下降トレンド▼","もみ合い→"))))</f>
        <v>上昇トレンド▲</v>
      </c>
      <c r="AE91" s="325" t="str">
        <f>IF(OR(C91="",AB91="",AC91=""),"",IF(AND(ABS(E91-AC91)/AC91&lt;=0.02,E91&lt;AC91),"25日戻り売り★",IF(AND(ABS(E91-AB91)/AB91&lt;=0.01,E91&lt;AB91),"5日戻り売り○","なし")))</f>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IF(AND(T91&gt;=7,C91&lt;&gt;""),T91,0)</f>
        <v>0</v>
      </c>
      <c r="AH91">
        <f>IF(AG91&gt;0,AG91*10000-ROW(A91),0)</f>
        <v>0</v>
      </c>
      <c r="AI91" s="373">
        <f t="array" ref="AI91">IF(C91="","",IFERROR((INDEX(終値!$E:$E,MATCH(TEXT(C91,"0"),終値!$A:$A,0))-INDEX(終値!$E:$CZ,MATCH(TEXT(C91,"0"),終値!$A:$A,0),$AN$2))/INDEX(終値!$E:$CZ,MATCH(TEXT(C91,"0"),終値!$A:$A,0),$AN$2)*100,""))</f>
        <v>3.0529595015576323</v>
      </c>
      <c r="AJ91" s="373">
        <f t="array" ref="AJ91">IFERROR((終値!$E$5-INDEX(終値!$E$5:$IT$5,1,$AN$2))/INDEX(終値!$E$5:$IT$5,1,$AN$2)*100,"")</f>
        <v>1.0179378228534113</v>
      </c>
      <c r="AK91" s="374">
        <f>IF(OR(AI91="",AJ91=""),"",AI91-AJ91)</f>
        <v>2.0350216787042212</v>
      </c>
      <c r="AL91" s="372">
        <f>IF(AK91="","",IF(AK91&lt;-5,3,IF(AK91&lt;0,1,IF(AK91&lt;3,-1,-2))))</f>
        <v>-1</v>
      </c>
      <c r="AO91" s="376" t="str">
        <f>IF(OR($C91="",$E91="",$F91="",$H91="",$I91="",$H91-$I91&lt;=0),"-",IF(AND($H91-MAX($F91,$E91)&gt;=ABS($E91-$F91)*2,MIN($F91,$E91)-$I91&lt;=ABS($E91-$F91)*0.5,ABS($E91-$F91)&gt;0),"上ヒゲ陰線▼",IF(AND($E91&lt;$F91,ABS($E91-$F91)&gt;=($H91-$I91)*0.7),"大陰線▼",IF(AND(MIN($F91,$E91)-$I91&gt;=($H91-$I91)*0.5,$H91-MAX($F91,$E91)&lt;=($H91-$I91)*0.2),"長い下ヒゲ(反発警戒)","通常"))))</f>
        <v>通常</v>
      </c>
      <c r="AP91" s="377">
        <f>IF($AO91="上ヒゲ陰線▼",2,IF($AO91="大陰線▼",2,IF($AO91="長い下ヒゲ(反発警戒)",-2,0)))</f>
        <v>0</v>
      </c>
      <c r="AQ91">
        <f>IF(C91&lt;&gt;"",始値!F23,"")</f>
        <v>5020</v>
      </c>
      <c r="AR91">
        <f>IF(C91&lt;&gt;"",高値!F23,"")</f>
        <v>5040</v>
      </c>
      <c r="AS91">
        <f>IF(C91&lt;&gt;"",安値!F23,"")</f>
        <v>4973</v>
      </c>
      <c r="AT91" t="str">
        <f>IF(OR(C91="",AQ91="",AR91="",AS91="",AR91-AS91&lt;=0),"-",IF(AND(AR91-MAX(G91,AQ91)&gt;=ABS(G91-AQ91)*2,MIN(G91,AQ91)-AS91&lt;=ABS(G91-AQ91)*0.5,ABS(G91-AQ91)&gt;0),"上ヒゲ陰線▼",IF(AND(G91&lt;AQ91,ABS(G91-AQ91)&gt;=(AR91-AS91)*0.7),"大陰線▼",IF(AND(MIN(G91,AQ91)-AS91&gt;=(AR91-AS91)*0.5,AR91-MAX(G91,AQ91)&lt;=(AR91-AS91)*0.2),"長い下ヒゲ(反発)","通常"))))</f>
        <v>長い下ヒゲ(反発)</v>
      </c>
      <c r="AU91">
        <f>IF(AT91="上ヒゲ陰線▼",2,IF(AT91="大陰線▼",2,IF(AT91="長い下ヒゲ(反発)",-2,0)))</f>
        <v>-2</v>
      </c>
      <c r="BA91">
        <f>IFERROR((SUM(OFFSET(高値!$E$6,IFERROR(MATCH($C91,銘柄管理!$B$6:$B$305,0),MATCH(TEXT($C91,"0"),銘柄管理!$B$6:$B$305,0))-1,0,1,14))-SUM(OFFSET(安値!$E$6,IFERROR(MATCH($C91,銘柄管理!$B$6:$B$305,0),MATCH(TEXT($C91,"0"),銘柄管理!$B$6:$B$305,0))-1,0,1,14)))/SUM(OFFSET(終値!$E$6,IFERROR(MATCH($C91,銘柄管理!$B$6:$B$305,0),MATCH(TEXT($C91,"0"),銘柄管理!$B$6:$B$305,0))-1,0,1,14))*100,"")</f>
      </c>
      <c r="BB91">
        <f>IFERROR((MAX(OFFSET(高値!$E$6,IFERROR(MATCH($C91,銘柄管理!$B$6:$B$305,0),MATCH(TEXT($C91,"0"),銘柄管理!$B$6:$B$305,0))-1,0,1,25))-MIN(OFFSET(安値!$E$6,IFERROR(MATCH($C91,銘柄管理!$B$6:$B$305,0),MATCH(TEXT($C91,"0"),銘柄管理!$B$6:$B$305,0))-1,0,1,25)))/$E91*100,"")</f>
      </c>
      <c r="BC91">
        <f>IFERROR(($F91-$G91)/$G91*100,"")</f>
      </c>
      <c r="BD91">
        <f>IFERROR(($E91-MAX(OFFSET(高値!$E$6,IFERROR(MATCH($C91,銘柄管理!$B$6:$B$305,0),MATCH(TEXT($C91,"0"),銘柄管理!$B$6:$B$305,0))-1,0,1,25)))/MAX(OFFSET(高値!$E$6,IFERROR(MATCH($C91,銘柄管理!$B$6:$B$305,0),MATCH(TEXT($C91,"0"),銘柄管理!$B$6:$B$305,0))-1,0,1,25))*100,"")</f>
      </c>
      <c r="BE91">
        <f>IFERROR(($H91-$I91)/$F91*100,"")</f>
      </c>
      <c r="BF91">
        <f>IFERROR(-(($BA91-AVERAGE($BA$3:$BA$206))/STDEV($BA$3:$BA$206))-(($BE91-AVERAGE($BE$3:$BE$206))/STDEV($BE$3:$BE$206))-(($BB91-AVERAGE($BB$3:$BB$206))/STDEV($BB$3:$BB$206))-(($Z91-AVERAGE($Z$3:$Z$206))/STDEV($Z$3:$Z$206))-(($BC91-AVERAGE($BC$3:$BC$206))/STDEV($BC$3:$BC$206)),"")</f>
      </c>
      <c r="BG91">
        <f>IF(OR($C91="",$C91="TOPX",$BA91="",$BF91=""),0,IF(AND($BK$10=1,$BA91&lt;=$BK$2,$BB91&lt;=$BK$3,$BC91&lt;=$BK$4,$Z91&lt;=$BK$5,$Z91&gt;=$BK$6,$BD91&gt;=$BK$7,$BE91&lt;=$BK$8),1,0))</f>
      </c>
      <c r="BH91">
        <f>IF($C91="","",IF($BG91=1,"○ゲート通過",IF($BK$10&lt;&gt;1,"― この方向は停止中",IF($BA91&gt;$BK$2,"×値動きが荒い",IF($BB91&gt;$BK$3,"×レンジが広い",IF($BC91&gt;$BK$4,"×窓を開けて上昇",IF($Z91&gt;$BK$5,"×前日に急騰",IF($Z91&lt;$BK$6,"×前日に急落",IF($BD91&lt;$BK$7,"×高値から離れすぎ",IF($BE91&gt;$BK$8,"×当日の値幅が大きい","×")))))))))</f>
      </c>
    </row>
    <row r="92" spans="1:60"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IF(AND(E92&lt;&gt;"",K92&lt;&gt;"",K92&lt;&gt;0),(E92-K92)/K92*100,"")</f>
        <v>-3.2431315843833923</v>
      </c>
      <c r="M92" s="333">
        <f>IF(C92&lt;&gt;"",IFERROR(AVERAGE(出来高!E35:I35),""),"")</f>
        <v>12101780</v>
      </c>
      <c r="N92" s="333">
        <f>IF(C92&lt;&gt;"",IFERROR(AVERAGE(出来高!E35:AC35),""),"")</f>
        <v>10432052</v>
      </c>
      <c r="O92" s="335">
        <f>IF(AND(J92&lt;&gt;"",M92&lt;&gt;"",M92&lt;&gt;0),J92/M92,"")</f>
        <v>0.86551730406601346</v>
      </c>
      <c r="P92" s="212" t="str">
        <f>IF(O92="","",IF(O92&gt;=2,"急増↑↑",IF(O92&gt;=1.5,"増加↑",IF(O92&gt;=1,"普通→","減少↓"))))</f>
        <v>減少↓</v>
      </c>
      <c r="Q92" s="212" t="str">
        <f>IF(E92="","",IF(AND(E92&lt;G92,O92&gt;=1.5),"売り▼",IF(E92&gt;G92,"様子見▲","中立→")))</f>
        <v>様子見▲</v>
      </c>
      <c r="R92" s="333">
        <f>IF(E92&lt;&gt;"",ROUND(E92*0.92,0),"")</f>
        <v>2155</v>
      </c>
      <c r="S92" s="333">
        <f>IF(E92&lt;&gt;"",ROUND(E92*1.04,0),"")</f>
        <v>2436</v>
      </c>
      <c r="T92" s="325">
        <f>IF(C92="","",IFERROR(IF(W92&gt;=70,3,IF(W92&gt;=60,2,IF(W92&gt;=50,1,0)))+IF(X92&lt;0,2,0)+IF(AD92="下降トレンド▼",3,IF(AD92="もみ合い→",1,0))+IF(V92="年初来安値圏●",3,IF(V92="安値圏",2,0))+IF(Q92="売り▼",2,0)+IF(P92="急増↑↑",2,IF(P92="増加↑",1,0))+IF(Z92&lt;0,1,0)+IF(L92&lt;=-30,2,IF(L92&lt;=-15,1,0))+IF(AE92="25日戻り売り★",2,IF(AE92="5日戻り売り○",1,0))+N(AL92)+N(AP92)+N(AU92),0))</f>
        <v>0</v>
      </c>
      <c r="U92" s="212" t="str">
        <f>IF(T92="","",IF(AND(T92&gt;=3,O92&gt;=1.5),"有効",IF(T92&gt;=3,"要確認","除外")))</f>
        <v>除外</v>
      </c>
      <c r="V92" s="212" t="str">
        <f>IF(AND(I92&lt;&gt;"",K92&lt;&gt;""),IF(I92&lt;=K92*0.6,"年初来安値圏●",IF(I92&lt;=K92*0.75,"安値圏","通常")),"")</f>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IF(AF92="","",AF92&amp;" | "&amp;AD92&amp;IF(AE92&lt;&gt;"なし"," "&amp;AE92,"")&amp;IF(X92&lt;0," MACD-"," MACD+")&amp;" RSI:"&amp;TEXT(W92,"0.0")&amp;IF(W92&gt;=70," [過熱]",IF(W92&lt;=30," [売られ過ぎ]",""))&amp;" 前日比:"&amp;TEXT(Z92,"+0.0;-0.0;0.0")&amp;"%"&amp;IF(V92="年初来安値圏●"," [年初来安値圏]",IF(V92="安値圏"," [安値圏]",""))&amp;IF(OR(AO92="通常",AO92="-"),""," ["&amp;AO92&amp;"]")&amp;IF(OR(AT92="通常",AT92="-"),"","前日["&amp;AT92&amp;"]")&amp;" ["&amp;T92&amp;"点]")</f>
        <v>相場上昇・見送り | 上昇トレンド▲ MACD- RSI:43.6 前日比:+2.6% [0点]</v>
      </c>
      <c r="Z92" s="338">
        <f>IF(AND(E92&lt;&gt;"",G92&lt;&gt;"",G92&lt;&gt;0),(E92-G92)/G92*100,"")</f>
        <v>2.5843188786684186</v>
      </c>
      <c r="AA92" s="212" t="str">
        <f>IF(OR(C92="",E92="",E92=0),"",IF(E92&gt;G92,"上昇▲",IF(E92&lt;G92,"下落▼","横ばい→")))</f>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IF(OR(C92="",AB92="",AC92="",AB92=0,AC92=0),"",IF(AND(E92&gt;AB92,AB92&gt;AC92),"パーフェクト▲",IF(E92&gt;AC92,"上昇トレンド▲",IF(AND(E92&lt;AB92,AB92&lt;AC92),"下降トレンド▼","もみ合い→"))))</f>
        <v>上昇トレンド▲</v>
      </c>
      <c r="AE92" s="212" t="str">
        <f>IF(OR(C92="",AB92="",AC92=""),"",IF(AND(ABS(E92-AC92)/AC92&lt;=0.02,E92&lt;AC92),"25日戻り売り★",IF(AND(ABS(E92-AB92)/AB92&lt;=0.01,E92&lt;AB92),"5日戻り売り○","なし")))</f>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IF(AND(T92&gt;=7,C92&lt;&gt;""),T92,0)</f>
        <v>0</v>
      </c>
      <c r="AH92">
        <f>IF(AG92&gt;0,AG92*10000-ROW(A92),0)</f>
        <v>0</v>
      </c>
      <c r="AI92" s="373">
        <f t="array" ref="AI92">IF(C92="","",IFERROR((INDEX(終値!$E:$E,MATCH(TEXT(C92,"0"),終値!$A:$A,0))-INDEX(終値!$E:$CZ,MATCH(TEXT(C92,"0"),終値!$A:$A,0),$AN$2))/INDEX(終値!$E:$CZ,MATCH(TEXT(C92,"0"),終値!$A:$A,0),$AN$2)*100,""))</f>
        <v>10.759044691416412</v>
      </c>
      <c r="AJ92" s="373">
        <f t="array" ref="AJ92">IFERROR((終値!$E$5-INDEX(終値!$E$5:$IT$5,1,$AN$2))/INDEX(終値!$E$5:$IT$5,1,$AN$2)*100,"")</f>
        <v>1.0179378228534113</v>
      </c>
      <c r="AK92" s="374">
        <f>IF(OR(AI92="",AJ92=""),"",AI92-AJ92)</f>
        <v>9.7411068685629996</v>
      </c>
      <c r="AL92" s="372">
        <f>IF(AK92="","",IF(AK92&lt;-5,3,IF(AK92&lt;0,1,IF(AK92&lt;3,-1,-2))))</f>
        <v>-2</v>
      </c>
      <c r="AO92" s="376" t="str">
        <f>IF(OR($C92="",$E92="",$F92="",$H92="",$I92="",$H92-$I92&lt;=0),"-",IF(AND($H92-MAX($F92,$E92)&gt;=ABS($E92-$F92)*2,MIN($F92,$E92)-$I92&lt;=ABS($E92-$F92)*0.5,ABS($E92-$F92)&gt;0),"上ヒゲ陰線▼",IF(AND($E92&lt;$F92,ABS($E92-$F92)&gt;=($H92-$I92)*0.7),"大陰線▼",IF(AND(MIN($F92,$E92)-$I92&gt;=($H92-$I92)*0.5,$H92-MAX($F92,$E92)&lt;=($H92-$I92)*0.2),"長い下ヒゲ(反発警戒)","通常"))))</f>
        <v>通常</v>
      </c>
      <c r="AP92" s="377">
        <f>IF($AO92="上ヒゲ陰線▼",2,IF($AO92="大陰線▼",2,IF($AO92="長い下ヒゲ(反発警戒)",-2,0)))</f>
        <v>0</v>
      </c>
      <c r="AQ92">
        <f>IF(C92&lt;&gt;"",始値!F35,"")</f>
        <v>2208</v>
      </c>
      <c r="AR92">
        <f>IF(C92&lt;&gt;"",高値!F35,"")</f>
        <v>2283</v>
      </c>
      <c r="AS92">
        <f>IF(C92&lt;&gt;"",安値!F35,"")</f>
        <v>2183.5</v>
      </c>
      <c r="AT92" t="str">
        <f>IF(OR(C92="",AQ92="",AR92="",AS92="",AR92-AS92&lt;=0),"-",IF(AND(AR92-MAX(G92,AQ92)&gt;=ABS(G92-AQ92)*2,MIN(G92,AQ92)-AS92&lt;=ABS(G92-AQ92)*0.5,ABS(G92-AQ92)&gt;0),"上ヒゲ陰線▼",IF(AND(G92&lt;AQ92,ABS(G92-AQ92)&gt;=(AR92-AS92)*0.7),"大陰線▼",IF(AND(MIN(G92,AQ92)-AS92&gt;=(AR92-AS92)*0.5,AR92-MAX(G92,AQ92)&lt;=(AR92-AS92)*0.2),"長い下ヒゲ(反発)","通常"))))</f>
        <v>通常</v>
      </c>
      <c r="AU92">
        <f>IF(AT92="上ヒゲ陰線▼",2,IF(AT92="大陰線▼",2,IF(AT92="長い下ヒゲ(反発)",-2,0)))</f>
        <v>0</v>
      </c>
      <c r="BA92">
        <f>IFERROR((SUM(OFFSET(高値!$E$6,IFERROR(MATCH($C92,銘柄管理!$B$6:$B$305,0),MATCH(TEXT($C92,"0"),銘柄管理!$B$6:$B$305,0))-1,0,1,14))-SUM(OFFSET(安値!$E$6,IFERROR(MATCH($C92,銘柄管理!$B$6:$B$305,0),MATCH(TEXT($C92,"0"),銘柄管理!$B$6:$B$305,0))-1,0,1,14)))/SUM(OFFSET(終値!$E$6,IFERROR(MATCH($C92,銘柄管理!$B$6:$B$305,0),MATCH(TEXT($C92,"0"),銘柄管理!$B$6:$B$305,0))-1,0,1,14))*100,"")</f>
      </c>
      <c r="BB92">
        <f>IFERROR((MAX(OFFSET(高値!$E$6,IFERROR(MATCH($C92,銘柄管理!$B$6:$B$305,0),MATCH(TEXT($C92,"0"),銘柄管理!$B$6:$B$305,0))-1,0,1,25))-MIN(OFFSET(安値!$E$6,IFERROR(MATCH($C92,銘柄管理!$B$6:$B$305,0),MATCH(TEXT($C92,"0"),銘柄管理!$B$6:$B$305,0))-1,0,1,25)))/$E92*100,"")</f>
      </c>
      <c r="BC92">
        <f>IFERROR(($F92-$G92)/$G92*100,"")</f>
      </c>
      <c r="BD92">
        <f>IFERROR(($E92-MAX(OFFSET(高値!$E$6,IFERROR(MATCH($C92,銘柄管理!$B$6:$B$305,0),MATCH(TEXT($C92,"0"),銘柄管理!$B$6:$B$305,0))-1,0,1,25)))/MAX(OFFSET(高値!$E$6,IFERROR(MATCH($C92,銘柄管理!$B$6:$B$305,0),MATCH(TEXT($C92,"0"),銘柄管理!$B$6:$B$305,0))-1,0,1,25))*100,"")</f>
      </c>
      <c r="BE92">
        <f>IFERROR(($H92-$I92)/$F92*100,"")</f>
      </c>
      <c r="BF92">
        <f>IFERROR(-(($BA92-AVERAGE($BA$3:$BA$206))/STDEV($BA$3:$BA$206))-(($BE92-AVERAGE($BE$3:$BE$206))/STDEV($BE$3:$BE$206))-(($BB92-AVERAGE($BB$3:$BB$206))/STDEV($BB$3:$BB$206))-(($Z92-AVERAGE($Z$3:$Z$206))/STDEV($Z$3:$Z$206))-(($BC92-AVERAGE($BC$3:$BC$206))/STDEV($BC$3:$BC$206)),"")</f>
      </c>
      <c r="BG92">
        <f>IF(OR($C92="",$C92="TOPX",$BA92="",$BF92=""),0,IF(AND($BK$10=1,$BA92&lt;=$BK$2,$BB92&lt;=$BK$3,$BC92&lt;=$BK$4,$Z92&lt;=$BK$5,$Z92&gt;=$BK$6,$BD92&gt;=$BK$7,$BE92&lt;=$BK$8),1,0))</f>
      </c>
      <c r="BH92">
        <f>IF($C92="","",IF($BG92=1,"○ゲート通過",IF($BK$10&lt;&gt;1,"― この方向は停止中",IF($BA92&gt;$BK$2,"×値動きが荒い",IF($BB92&gt;$BK$3,"×レンジが広い",IF($BC92&gt;$BK$4,"×窓を開けて上昇",IF($Z92&gt;$BK$5,"×前日に急騰",IF($Z92&lt;$BK$6,"×前日に急落",IF($BD92&lt;$BK$7,"×高値から離れすぎ",IF($BE92&gt;$BK$8,"×当日の値幅が大きい","×")))))))))</f>
      </c>
    </row>
    <row r="93" spans="1:60"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IF(AND(E93&lt;&gt;"",K93&lt;&gt;"",K93&lt;&gt;0),(E93-K93)/K93*100,"")</f>
        <v>-8.2604220277920746</v>
      </c>
      <c r="M93" s="326">
        <f>IF(C93&lt;&gt;"",IFERROR(AVERAGE(出来高!E36:I36),""),"")</f>
        <v>3631280</v>
      </c>
      <c r="N93" s="326">
        <f>IF(C93&lt;&gt;"",IFERROR(AVERAGE(出来高!E36:AC36),""),"")</f>
        <v>2348684</v>
      </c>
      <c r="O93" s="328">
        <f>IF(AND(J93&lt;&gt;"",M93&lt;&gt;"",M93&lt;&gt;0),J93/M93,"")</f>
        <v>0.65186380560022916</v>
      </c>
      <c r="P93" s="325" t="str">
        <f>IF(O93="","",IF(O93&gt;=2,"急増↑↑",IF(O93&gt;=1.5,"増加↑",IF(O93&gt;=1,"普通→","減少↓"))))</f>
        <v>減少↓</v>
      </c>
      <c r="Q93" s="325" t="str">
        <f>IF(E93="","",IF(AND(E93&lt;G93,O93&gt;=1.5),"売り▼",IF(E93&gt;G93,"様子見▲","中立→")))</f>
        <v>様子見▲</v>
      </c>
      <c r="R93" s="326">
        <f>IF(E93&lt;&gt;"",ROUND(E93*0.92,0),"")</f>
        <v>1640</v>
      </c>
      <c r="S93" s="326">
        <f>IF(E93&lt;&gt;"",ROUND(E93*1.04,0),"")</f>
        <v>1854</v>
      </c>
      <c r="T93" s="325">
        <f>IF(C93="","",IFERROR(IF(W93&gt;=70,3,IF(W93&gt;=60,2,IF(W93&gt;=50,1,0)))+IF(X93&lt;0,2,0)+IF(AD93="下降トレンド▼",3,IF(AD93="もみ合い→",1,0))+IF(V93="年初来安値圏●",3,IF(V93="安値圏",2,0))+IF(Q93="売り▼",2,0)+IF(P93="急増↑↑",2,IF(P93="増加↑",1,0))+IF(Z93&lt;0,1,0)+IF(L93&lt;=-30,2,IF(L93&lt;=-15,1,0))+IF(AE93="25日戻り売り★",2,IF(AE93="5日戻り売り○",1,0))+N(AL93)+N(AP93)+N(AU93),0))</f>
        <v>4</v>
      </c>
      <c r="U93" s="325" t="str">
        <f>IF(T93="","",IF(AND(T93&gt;=3,O93&gt;=1.5),"有効",IF(T93&gt;=3,"要確認","除外")))</f>
        <v>要確認</v>
      </c>
      <c r="V93" s="325" t="str">
        <f>IF(AND(I93&lt;&gt;"",K93&lt;&gt;""),IF(I93&lt;=K93*0.6,"年初来安値圏●",IF(I93&lt;=K93*0.75,"安値圏","通常")),"")</f>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IF(AF93="","",AF93&amp;" | "&amp;AD93&amp;IF(AE93&lt;&gt;"なし"," "&amp;AE93,"")&amp;IF(X93&lt;0," MACD-"," MACD+")&amp;" RSI:"&amp;TEXT(W93,"0.0")&amp;IF(W93&gt;=70," [過熱]",IF(W93&lt;=30," [売られ過ぎ]",""))&amp;" 前日比:"&amp;TEXT(Z93,"+0.0;-0.0;0.0")&amp;"%"&amp;IF(V93="年初来安値圏●"," [年初来安値圏]",IF(V93="安値圏"," [安値圏]",""))&amp;IF(OR(AO93="通常",AO93="-"),""," ["&amp;AO93&amp;"]")&amp;IF(OR(AT93="通常",AT93="-"),"","前日["&amp;AT93&amp;"]")&amp;" ["&amp;T93&amp;"点]")</f>
        <v>相場上昇・見送り | もみ合い→ MACD- RSI:36.0 前日比:+1.6% [4点]</v>
      </c>
      <c r="Z93" s="331">
        <f>IF(AND(E93&lt;&gt;"",G93&lt;&gt;"",G93&lt;&gt;0),(E93-G93)/G93*100,"")</f>
        <v>1.5958962667426617</v>
      </c>
      <c r="AA93" s="325" t="str">
        <f>IF(OR(C93="",E93="",E93=0),"",IF(E93&gt;G93,"上昇▲",IF(E93&lt;G93,"下落▼","横ばい→")))</f>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IF(OR(C93="",AB93="",AC93="",AB93=0,AC93=0),"",IF(AND(E93&gt;AB93,AB93&gt;AC93),"パーフェクト▲",IF(E93&gt;AC93,"上昇トレンド▲",IF(AND(E93&lt;AB93,AB93&lt;AC93),"下降トレンド▼","もみ合い→"))))</f>
        <v>もみ合い→</v>
      </c>
      <c r="AE93" s="325" t="str">
        <f>IF(OR(C93="",AB93="",AC93=""),"",IF(AND(ABS(E93-AC93)/AC93&lt;=0.02,E93&lt;AC93),"25日戻り売り★",IF(AND(ABS(E93-AB93)/AB93&lt;=0.01,E93&lt;AB93),"5日戻り売り○","なし")))</f>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IF(AND(T93&gt;=7,C93&lt;&gt;""),T93,0)</f>
        <v>0</v>
      </c>
      <c r="AH93">
        <f>IF(AG93&gt;0,AG93*10000-ROW(A93),0)</f>
        <v>0</v>
      </c>
      <c r="AI93" s="373">
        <f t="array" ref="AI93">IF(C93="","",IFERROR((INDEX(終値!$E:$E,MATCH(TEXT(C93,"0"),終値!$A:$A,0))-INDEX(終値!$E:$CZ,MATCH(TEXT(C93,"0"),終値!$A:$A,0),$AN$2))/INDEX(終値!$E:$CZ,MATCH(TEXT(C93,"0"),終値!$A:$A,0),$AN$2)*100,""))</f>
        <v>-0.50237231370360036</v>
      </c>
      <c r="AJ93" s="373">
        <f t="array" ref="AJ93">IFERROR((終値!$E$5-INDEX(終値!$E$5:$IT$5,1,$AN$2))/INDEX(終値!$E$5:$IT$5,1,$AN$2)*100,"")</f>
        <v>1.0179378228534113</v>
      </c>
      <c r="AK93" s="374">
        <f>IF(OR(AI93="",AJ93=""),"",AI93-AJ93)</f>
        <v>-1.5203101365570117</v>
      </c>
      <c r="AL93" s="372">
        <f>IF(AK93="","",IF(AK93&lt;-5,3,IF(AK93&lt;0,1,IF(AK93&lt;3,-1,-2))))</f>
        <v>1</v>
      </c>
      <c r="AO93" s="376" t="str">
        <f>IF(OR($C93="",$E93="",$F93="",$H93="",$I93="",$H93-$I93&lt;=0),"-",IF(AND($H93-MAX($F93,$E93)&gt;=ABS($E93-$F93)*2,MIN($F93,$E93)-$I93&lt;=ABS($E93-$F93)*0.5,ABS($E93-$F93)&gt;0),"上ヒゲ陰線▼",IF(AND($E93&lt;$F93,ABS($E93-$F93)&gt;=($H93-$I93)*0.7),"大陰線▼",IF(AND(MIN($F93,$E93)-$I93&gt;=($H93-$I93)*0.5,$H93-MAX($F93,$E93)&lt;=($H93-$I93)*0.2),"長い下ヒゲ(反発警戒)","通常"))))</f>
        <v>通常</v>
      </c>
      <c r="AP93" s="377">
        <f>IF($AO93="上ヒゲ陰線▼",2,IF($AO93="大陰線▼",2,IF($AO93="長い下ヒゲ(反発警戒)",-2,0)))</f>
        <v>0</v>
      </c>
      <c r="AQ93">
        <f>IF(C93&lt;&gt;"",始値!F36,"")</f>
        <v>1720</v>
      </c>
      <c r="AR93">
        <f>IF(C93&lt;&gt;"",高値!F36,"")</f>
        <v>1754.5</v>
      </c>
      <c r="AS93">
        <f>IF(C93&lt;&gt;"",安値!F36,"")</f>
        <v>1719</v>
      </c>
      <c r="AT93" t="str">
        <f>IF(OR(C93="",AQ93="",AR93="",AS93="",AR93-AS93&lt;=0),"-",IF(AND(AR93-MAX(G93,AQ93)&gt;=ABS(G93-AQ93)*2,MIN(G93,AQ93)-AS93&lt;=ABS(G93-AQ93)*0.5,ABS(G93-AQ93)&gt;0),"上ヒゲ陰線▼",IF(AND(G93&lt;AQ93,ABS(G93-AQ93)&gt;=(AR93-AS93)*0.7),"大陰線▼",IF(AND(MIN(G93,AQ93)-AS93&gt;=(AR93-AS93)*0.5,AR93-MAX(G93,AQ93)&lt;=(AR93-AS93)*0.2),"長い下ヒゲ(反発)","通常"))))</f>
        <v>通常</v>
      </c>
      <c r="AU93">
        <f>IF(AT93="上ヒゲ陰線▼",2,IF(AT93="大陰線▼",2,IF(AT93="長い下ヒゲ(反発)",-2,0)))</f>
        <v>0</v>
      </c>
      <c r="BA93">
        <f>IFERROR((SUM(OFFSET(高値!$E$6,IFERROR(MATCH($C93,銘柄管理!$B$6:$B$305,0),MATCH(TEXT($C93,"0"),銘柄管理!$B$6:$B$305,0))-1,0,1,14))-SUM(OFFSET(安値!$E$6,IFERROR(MATCH($C93,銘柄管理!$B$6:$B$305,0),MATCH(TEXT($C93,"0"),銘柄管理!$B$6:$B$305,0))-1,0,1,14)))/SUM(OFFSET(終値!$E$6,IFERROR(MATCH($C93,銘柄管理!$B$6:$B$305,0),MATCH(TEXT($C93,"0"),銘柄管理!$B$6:$B$305,0))-1,0,1,14))*100,"")</f>
      </c>
      <c r="BB93">
        <f>IFERROR((MAX(OFFSET(高値!$E$6,IFERROR(MATCH($C93,銘柄管理!$B$6:$B$305,0),MATCH(TEXT($C93,"0"),銘柄管理!$B$6:$B$305,0))-1,0,1,25))-MIN(OFFSET(安値!$E$6,IFERROR(MATCH($C93,銘柄管理!$B$6:$B$305,0),MATCH(TEXT($C93,"0"),銘柄管理!$B$6:$B$305,0))-1,0,1,25)))/$E93*100,"")</f>
      </c>
      <c r="BC93">
        <f>IFERROR(($F93-$G93)/$G93*100,"")</f>
      </c>
      <c r="BD93">
        <f>IFERROR(($E93-MAX(OFFSET(高値!$E$6,IFERROR(MATCH($C93,銘柄管理!$B$6:$B$305,0),MATCH(TEXT($C93,"0"),銘柄管理!$B$6:$B$305,0))-1,0,1,25)))/MAX(OFFSET(高値!$E$6,IFERROR(MATCH($C93,銘柄管理!$B$6:$B$305,0),MATCH(TEXT($C93,"0"),銘柄管理!$B$6:$B$305,0))-1,0,1,25))*100,"")</f>
      </c>
      <c r="BE93">
        <f>IFERROR(($H93-$I93)/$F93*100,"")</f>
      </c>
      <c r="BF93">
        <f>IFERROR(-(($BA93-AVERAGE($BA$3:$BA$206))/STDEV($BA$3:$BA$206))-(($BE93-AVERAGE($BE$3:$BE$206))/STDEV($BE$3:$BE$206))-(($BB93-AVERAGE($BB$3:$BB$206))/STDEV($BB$3:$BB$206))-(($Z93-AVERAGE($Z$3:$Z$206))/STDEV($Z$3:$Z$206))-(($BC93-AVERAGE($BC$3:$BC$206))/STDEV($BC$3:$BC$206)),"")</f>
      </c>
      <c r="BG93">
        <f>IF(OR($C93="",$C93="TOPX",$BA93="",$BF93=""),0,IF(AND($BK$10=1,$BA93&lt;=$BK$2,$BB93&lt;=$BK$3,$BC93&lt;=$BK$4,$Z93&lt;=$BK$5,$Z93&gt;=$BK$6,$BD93&gt;=$BK$7,$BE93&lt;=$BK$8),1,0))</f>
      </c>
      <c r="BH93">
        <f>IF($C93="","",IF($BG93=1,"○ゲート通過",IF($BK$10&lt;&gt;1,"― この方向は停止中",IF($BA93&gt;$BK$2,"×値動きが荒い",IF($BB93&gt;$BK$3,"×レンジが広い",IF($BC93&gt;$BK$4,"×窓を開けて上昇",IF($Z93&gt;$BK$5,"×前日に急騰",IF($Z93&lt;$BK$6,"×前日に急落",IF($BD93&lt;$BK$7,"×高値から離れすぎ",IF($BE93&gt;$BK$8,"×当日の値幅が大きい","×")))))))))</f>
      </c>
    </row>
    <row r="94" spans="1:60"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IF(AND(E94&lt;&gt;"",K94&lt;&gt;"",K94&lt;&gt;0),(E94-K94)/K94*100,"")</f>
        <v>-14.274193548387096</v>
      </c>
      <c r="M94" s="333">
        <f>IF(C94&lt;&gt;"",IFERROR(AVERAGE(出来高!E37:I37),""),"")</f>
        <v>598360</v>
      </c>
      <c r="N94" s="333">
        <f>IF(C94&lt;&gt;"",IFERROR(AVERAGE(出来高!E37:AC37),""),"")</f>
        <v>544956</v>
      </c>
      <c r="O94" s="335">
        <f>IF(AND(J94&lt;&gt;"",M94&lt;&gt;"",M94&lt;&gt;0),J94/M94,"")</f>
        <v>1.4902399893040978</v>
      </c>
      <c r="P94" s="212" t="str">
        <f>IF(O94="","",IF(O94&gt;=2,"急増↑↑",IF(O94&gt;=1.5,"増加↑",IF(O94&gt;=1,"普通→","減少↓"))))</f>
        <v>普通→</v>
      </c>
      <c r="Q94" s="212" t="str">
        <f>IF(E94="","",IF(AND(E94&lt;G94,O94&gt;=1.5),"売り▼",IF(E94&gt;G94,"様子見▲","中立→")))</f>
        <v>様子見▲</v>
      </c>
      <c r="R94" s="333">
        <f>IF(E94&lt;&gt;"",ROUND(E94*0.92,0),"")</f>
        <v>1467</v>
      </c>
      <c r="S94" s="333">
        <f>IF(E94&lt;&gt;"",ROUND(E94*1.04,0),"")</f>
        <v>1658</v>
      </c>
      <c r="T94" s="325">
        <f>IF(C94="","",IFERROR(IF(W94&gt;=70,3,IF(W94&gt;=60,2,IF(W94&gt;=50,1,0)))+IF(X94&lt;0,2,0)+IF(AD94="下降トレンド▼",3,IF(AD94="もみ合い→",1,0))+IF(V94="年初来安値圏●",3,IF(V94="安値圏",2,0))+IF(Q94="売り▼",2,0)+IF(P94="急増↑↑",2,IF(P94="増加↑",1,0))+IF(Z94&lt;0,1,0)+IF(L94&lt;=-30,2,IF(L94&lt;=-15,1,0))+IF(AE94="25日戻り売り★",2,IF(AE94="5日戻り売り○",1,0))+N(AL94)+N(AP94)+N(AU94),0))</f>
        <v>-3</v>
      </c>
      <c r="U94" s="212" t="str">
        <f>IF(T94="","",IF(AND(T94&gt;=3,O94&gt;=1.5),"有効",IF(T94&gt;=3,"要確認","除外")))</f>
        <v>除外</v>
      </c>
      <c r="V94" s="212" t="str">
        <f>IF(AND(I94&lt;&gt;"",K94&lt;&gt;""),IF(I94&lt;=K94*0.6,"年初来安値圏●",IF(I94&lt;=K94*0.75,"安値圏","通常")),"")</f>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IF(AF94="","",AF94&amp;" | "&amp;AD94&amp;IF(AE94&lt;&gt;"なし"," "&amp;AE94,"")&amp;IF(X94&lt;0," MACD-"," MACD+")&amp;" RSI:"&amp;TEXT(W94,"0.0")&amp;IF(W94&gt;=70," [過熱]",IF(W94&lt;=30," [売られ過ぎ]",""))&amp;" 前日比:"&amp;TEXT(Z94,"+0.0;-0.0;0.0")&amp;"%"&amp;IF(V94="年初来安値圏●"," [年初来安値圏]",IF(V94="安値圏"," [安値圏]",""))&amp;IF(OR(AO94="通常",AO94="-"),""," ["&amp;AO94&amp;"]")&amp;IF(OR(AT94="通常",AT94="-"),"","前日["&amp;AT94&amp;"]")&amp;" ["&amp;T94&amp;"点]")</f>
        <v>相場上昇・見送り | パーフェクト▲ MACD+ RSI:51.0 前日比:+3.1%前日[長い下ヒゲ(反発)] [-3点]</v>
      </c>
      <c r="Z94" s="338">
        <f>IF(AND(E94&lt;&gt;"",G94&lt;&gt;"",G94&lt;&gt;0),(E94-G94)/G94*100,"")</f>
        <v>3.1037827352085356</v>
      </c>
      <c r="AA94" s="212" t="str">
        <f>IF(OR(C94="",E94="",E94=0),"",IF(E94&gt;G94,"上昇▲",IF(E94&lt;G94,"下落▼","横ばい→")))</f>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IF(OR(C94="",AB94="",AC94="",AB94=0,AC94=0),"",IF(AND(E94&gt;AB94,AB94&gt;AC94),"パーフェクト▲",IF(E94&gt;AC94,"上昇トレンド▲",IF(AND(E94&lt;AB94,AB94&lt;AC94),"下降トレンド▼","もみ合い→"))))</f>
        <v>パーフェクト▲</v>
      </c>
      <c r="AE94" s="212" t="str">
        <f>IF(OR(C94="",AB94="",AC94=""),"",IF(AND(ABS(E94-AC94)/AC94&lt;=0.02,E94&lt;AC94),"25日戻り売り★",IF(AND(ABS(E94-AB94)/AB94&lt;=0.01,E94&lt;AB94),"5日戻り売り○","なし")))</f>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IF(AND(T94&gt;=7,C94&lt;&gt;""),T94,0)</f>
        <v>0</v>
      </c>
      <c r="AH94">
        <f>IF(AG94&gt;0,AG94*10000-ROW(A94),0)</f>
        <v>0</v>
      </c>
      <c r="AI94" s="373">
        <f t="array" ref="AI94">IF(C94="","",IFERROR((INDEX(終値!$E:$E,MATCH(TEXT(C94,"0"),終値!$A:$A,0))-INDEX(終値!$E:$CZ,MATCH(TEXT(C94,"0"),終値!$A:$A,0),$AN$2))/INDEX(終値!$E:$CZ,MATCH(TEXT(C94,"0"),終値!$A:$A,0),$AN$2)*100,""))</f>
        <v>8.4325059503570223</v>
      </c>
      <c r="AJ94" s="373">
        <f t="array" ref="AJ94">IFERROR((終値!$E$5-INDEX(終値!$E$5:$IT$5,1,$AN$2))/INDEX(終値!$E$5:$IT$5,1,$AN$2)*100,"")</f>
        <v>1.0179378228534113</v>
      </c>
      <c r="AK94" s="374">
        <f>IF(OR(AI94="",AJ94=""),"",AI94-AJ94)</f>
        <v>7.4145681275036113</v>
      </c>
      <c r="AL94" s="372">
        <f>IF(AK94="","",IF(AK94&lt;-5,3,IF(AK94&lt;0,1,IF(AK94&lt;3,-1,-2))))</f>
        <v>-2</v>
      </c>
      <c r="AO94" s="376" t="str">
        <f>IF(OR($C94="",$E94="",$F94="",$H94="",$I94="",$H94-$I94&lt;=0),"-",IF(AND($H94-MAX($F94,$E94)&gt;=ABS($E94-$F94)*2,MIN($F94,$E94)-$I94&lt;=ABS($E94-$F94)*0.5,ABS($E94-$F94)&gt;0),"上ヒゲ陰線▼",IF(AND($E94&lt;$F94,ABS($E94-$F94)&gt;=($H94-$I94)*0.7),"大陰線▼",IF(AND(MIN($F94,$E94)-$I94&gt;=($H94-$I94)*0.5,$H94-MAX($F94,$E94)&lt;=($H94-$I94)*0.2),"長い下ヒゲ(反発警戒)","通常"))))</f>
        <v>通常</v>
      </c>
      <c r="AP94" s="377">
        <f>IF($AO94="上ヒゲ陰線▼",2,IF($AO94="大陰線▼",2,IF($AO94="長い下ヒゲ(反発警戒)",-2,0)))</f>
        <v>0</v>
      </c>
      <c r="AQ94">
        <f>IF(C94&lt;&gt;"",始値!F37,"")</f>
        <v>1541.5</v>
      </c>
      <c r="AR94">
        <f>IF(C94&lt;&gt;"",高値!F37,"")</f>
        <v>1549</v>
      </c>
      <c r="AS94">
        <f>IF(C94&lt;&gt;"",安値!F37,"")</f>
        <v>1528</v>
      </c>
      <c r="AT94" t="str">
        <f>IF(OR(C94="",AQ94="",AR94="",AS94="",AR94-AS94&lt;=0),"-",IF(AND(AR94-MAX(G94,AQ94)&gt;=ABS(G94-AQ94)*2,MIN(G94,AQ94)-AS94&lt;=ABS(G94-AQ94)*0.5,ABS(G94-AQ94)&gt;0),"上ヒゲ陰線▼",IF(AND(G94&lt;AQ94,ABS(G94-AQ94)&gt;=(AR94-AS94)*0.7),"大陰線▼",IF(AND(MIN(G94,AQ94)-AS94&gt;=(AR94-AS94)*0.5,AR94-MAX(G94,AQ94)&lt;=(AR94-AS94)*0.2),"長い下ヒゲ(反発)","通常"))))</f>
        <v>長い下ヒゲ(反発)</v>
      </c>
      <c r="AU94">
        <f>IF(AT94="上ヒゲ陰線▼",2,IF(AT94="大陰線▼",2,IF(AT94="長い下ヒゲ(反発)",-2,0)))</f>
        <v>-2</v>
      </c>
      <c r="BA94">
        <f>IFERROR((SUM(OFFSET(高値!$E$6,IFERROR(MATCH($C94,銘柄管理!$B$6:$B$305,0),MATCH(TEXT($C94,"0"),銘柄管理!$B$6:$B$305,0))-1,0,1,14))-SUM(OFFSET(安値!$E$6,IFERROR(MATCH($C94,銘柄管理!$B$6:$B$305,0),MATCH(TEXT($C94,"0"),銘柄管理!$B$6:$B$305,0))-1,0,1,14)))/SUM(OFFSET(終値!$E$6,IFERROR(MATCH($C94,銘柄管理!$B$6:$B$305,0),MATCH(TEXT($C94,"0"),銘柄管理!$B$6:$B$305,0))-1,0,1,14))*100,"")</f>
      </c>
      <c r="BB94">
        <f>IFERROR((MAX(OFFSET(高値!$E$6,IFERROR(MATCH($C94,銘柄管理!$B$6:$B$305,0),MATCH(TEXT($C94,"0"),銘柄管理!$B$6:$B$305,0))-1,0,1,25))-MIN(OFFSET(安値!$E$6,IFERROR(MATCH($C94,銘柄管理!$B$6:$B$305,0),MATCH(TEXT($C94,"0"),銘柄管理!$B$6:$B$305,0))-1,0,1,25)))/$E94*100,"")</f>
      </c>
      <c r="BC94">
        <f>IFERROR(($F94-$G94)/$G94*100,"")</f>
      </c>
      <c r="BD94">
        <f>IFERROR(($E94-MAX(OFFSET(高値!$E$6,IFERROR(MATCH($C94,銘柄管理!$B$6:$B$305,0),MATCH(TEXT($C94,"0"),銘柄管理!$B$6:$B$305,0))-1,0,1,25)))/MAX(OFFSET(高値!$E$6,IFERROR(MATCH($C94,銘柄管理!$B$6:$B$305,0),MATCH(TEXT($C94,"0"),銘柄管理!$B$6:$B$305,0))-1,0,1,25))*100,"")</f>
      </c>
      <c r="BE94">
        <f>IFERROR(($H94-$I94)/$F94*100,"")</f>
      </c>
      <c r="BF94">
        <f>IFERROR(-(($BA94-AVERAGE($BA$3:$BA$206))/STDEV($BA$3:$BA$206))-(($BE94-AVERAGE($BE$3:$BE$206))/STDEV($BE$3:$BE$206))-(($BB94-AVERAGE($BB$3:$BB$206))/STDEV($BB$3:$BB$206))-(($Z94-AVERAGE($Z$3:$Z$206))/STDEV($Z$3:$Z$206))-(($BC94-AVERAGE($BC$3:$BC$206))/STDEV($BC$3:$BC$206)),"")</f>
      </c>
      <c r="BG94">
        <f>IF(OR($C94="",$C94="TOPX",$BA94="",$BF94=""),0,IF(AND($BK$10=1,$BA94&lt;=$BK$2,$BB94&lt;=$BK$3,$BC94&lt;=$BK$4,$Z94&lt;=$BK$5,$Z94&gt;=$BK$6,$BD94&gt;=$BK$7,$BE94&lt;=$BK$8),1,0))</f>
      </c>
      <c r="BH94">
        <f>IF($C94="","",IF($BG94=1,"○ゲート通過",IF($BK$10&lt;&gt;1,"― この方向は停止中",IF($BA94&gt;$BK$2,"×値動きが荒い",IF($BB94&gt;$BK$3,"×レンジが広い",IF($BC94&gt;$BK$4,"×窓を開けて上昇",IF($Z94&gt;$BK$5,"×前日に急騰",IF($Z94&lt;$BK$6,"×前日に急落",IF($BD94&lt;$BK$7,"×高値から離れすぎ",IF($BE94&gt;$BK$8,"×当日の値幅が大きい","×")))))))))</f>
      </c>
    </row>
    <row r="95" spans="1:60"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IF(AND(E95&lt;&gt;"",K95&lt;&gt;"",K95&lt;&gt;0),(E95-K95)/K95*100,"")</f>
        <v>-15.255305736499263</v>
      </c>
      <c r="M95" s="326">
        <f>IF(C95&lt;&gt;"",IFERROR(AVERAGE(出来高!E38:I38),""),"")</f>
        <v>3407660</v>
      </c>
      <c r="N95" s="326">
        <f>IF(C95&lt;&gt;"",IFERROR(AVERAGE(出来高!E38:AC38),""),"")</f>
        <v>2411612</v>
      </c>
      <c r="O95" s="328">
        <f>IF(AND(J95&lt;&gt;"",M95&lt;&gt;"",M95&lt;&gt;0),J95/M95,"")</f>
        <v>0.87881420094727758</v>
      </c>
      <c r="P95" s="325" t="str">
        <f>IF(O95="","",IF(O95&gt;=2,"急増↑↑",IF(O95&gt;=1.5,"増加↑",IF(O95&gt;=1,"普通→","減少↓"))))</f>
        <v>減少↓</v>
      </c>
      <c r="Q95" s="325" t="str">
        <f>IF(E95="","",IF(AND(E95&lt;G95,O95&gt;=1.5),"売り▼",IF(E95&gt;G95,"様子見▲","中立→")))</f>
        <v>様子見▲</v>
      </c>
      <c r="R95" s="326">
        <f>IF(E95&lt;&gt;"",ROUND(E95*0.92,0),"")</f>
        <v>1855</v>
      </c>
      <c r="S95" s="326">
        <f>IF(E95&lt;&gt;"",ROUND(E95*1.04,0),"")</f>
        <v>2097</v>
      </c>
      <c r="T95" s="325">
        <f>IF(C95="","",IFERROR(IF(W95&gt;=70,3,IF(W95&gt;=60,2,IF(W95&gt;=50,1,0)))+IF(X95&lt;0,2,0)+IF(AD95="下降トレンド▼",3,IF(AD95="もみ合い→",1,0))+IF(V95="年初来安値圏●",3,IF(V95="安値圏",2,0))+IF(Q95="売り▼",2,0)+IF(P95="急増↑↑",2,IF(P95="増加↑",1,0))+IF(Z95&lt;0,1,0)+IF(L95&lt;=-30,2,IF(L95&lt;=-15,1,0))+IF(AE95="25日戻り売り★",2,IF(AE95="5日戻り売り○",1,0))+N(AL95)+N(AP95)+N(AU95),0))</f>
        <v>1</v>
      </c>
      <c r="U95" s="325" t="str">
        <f>IF(T95="","",IF(AND(T95&gt;=3,O95&gt;=1.5),"有効",IF(T95&gt;=3,"要確認","除外")))</f>
        <v>除外</v>
      </c>
      <c r="V95" s="325" t="str">
        <f>IF(AND(I95&lt;&gt;"",K95&lt;&gt;""),IF(I95&lt;=K95*0.6,"年初来安値圏●",IF(I95&lt;=K95*0.75,"安値圏","通常")),"")</f>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IF(AF95="","",AF95&amp;" | "&amp;AD95&amp;IF(AE95&lt;&gt;"なし"," "&amp;AE95,"")&amp;IF(X95&lt;0," MACD-"," MACD+")&amp;" RSI:"&amp;TEXT(W95,"0.0")&amp;IF(W95&gt;=70," [過熱]",IF(W95&lt;=30," [売られ過ぎ]",""))&amp;" 前日比:"&amp;TEXT(Z95,"+0.0;-0.0;0.0")&amp;"%"&amp;IF(V95="年初来安値圏●"," [年初来安値圏]",IF(V95="安値圏"," [安値圏]",""))&amp;IF(OR(AO95="通常",AO95="-"),""," ["&amp;AO95&amp;"]")&amp;IF(OR(AT95="通常",AT95="-"),"","前日["&amp;AT95&amp;"]")&amp;" ["&amp;T95&amp;"点]")</f>
        <v>相場上昇・見送り | 上昇トレンド▲ 5日戻り売り○ MACD+ RSI:55.2 前日比:+2.3% [1点]</v>
      </c>
      <c r="Z95" s="331">
        <f>IF(AND(E95&lt;&gt;"",G95&lt;&gt;"",G95&lt;&gt;0),(E95-G95)/G95*100,"")</f>
        <v>2.2565922920892496</v>
      </c>
      <c r="AA95" s="325" t="str">
        <f>IF(OR(C95="",E95="",E95=0),"",IF(E95&gt;G95,"上昇▲",IF(E95&lt;G95,"下落▼","横ばい→")))</f>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IF(OR(C95="",AB95="",AC95="",AB95=0,AC95=0),"",IF(AND(E95&gt;AB95,AB95&gt;AC95),"パーフェクト▲",IF(E95&gt;AC95,"上昇トレンド▲",IF(AND(E95&lt;AB95,AB95&lt;AC95),"下降トレンド▼","もみ合い→"))))</f>
        <v>上昇トレンド▲</v>
      </c>
      <c r="AE95" s="325" t="str">
        <f>IF(OR(C95="",AB95="",AC95=""),"",IF(AND(ABS(E95-AC95)/AC95&lt;=0.02,E95&lt;AC95),"25日戻り売り★",IF(AND(ABS(E95-AB95)/AB95&lt;=0.01,E95&lt;AB95),"5日戻り売り○","なし")))</f>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IF(AND(T95&gt;=7,C95&lt;&gt;""),T95,0)</f>
        <v>0</v>
      </c>
      <c r="AH95">
        <f>IF(AG95&gt;0,AG95*10000-ROW(A95),0)</f>
        <v>0</v>
      </c>
      <c r="AI95" s="373">
        <f t="array" ref="AI95">IF(C95="","",IFERROR((INDEX(終値!$E:$E,MATCH(TEXT(C95,"0"),終値!$A:$A,0))-INDEX(終値!$E:$CZ,MATCH(TEXT(C95,"0"),終値!$A:$A,0),$AN$2))/INDEX(終値!$E:$CZ,MATCH(TEXT(C95,"0"),終値!$A:$A,0),$AN$2)*100,""))</f>
        <v>9.0589507842076795</v>
      </c>
      <c r="AJ95" s="373">
        <f t="array" ref="AJ95">IFERROR((終値!$E$5-INDEX(終値!$E$5:$IT$5,1,$AN$2))/INDEX(終値!$E$5:$IT$5,1,$AN$2)*100,"")</f>
        <v>1.0179378228534113</v>
      </c>
      <c r="AK95" s="374">
        <f>IF(OR(AI95="",AJ95=""),"",AI95-AJ95)</f>
        <v>8.0410129613542676</v>
      </c>
      <c r="AL95" s="372">
        <f>IF(AK95="","",IF(AK95&lt;-5,3,IF(AK95&lt;0,1,IF(AK95&lt;3,-1,-2))))</f>
        <v>-2</v>
      </c>
      <c r="AO95" s="376" t="str">
        <f>IF(OR($C95="",$E95="",$F95="",$H95="",$I95="",$H95-$I95&lt;=0),"-",IF(AND($H95-MAX($F95,$E95)&gt;=ABS($E95-$F95)*2,MIN($F95,$E95)-$I95&lt;=ABS($E95-$F95)*0.5,ABS($E95-$F95)&gt;0),"上ヒゲ陰線▼",IF(AND($E95&lt;$F95,ABS($E95-$F95)&gt;=($H95-$I95)*0.7),"大陰線▼",IF(AND(MIN($F95,$E95)-$I95&gt;=($H95-$I95)*0.5,$H95-MAX($F95,$E95)&lt;=($H95-$I95)*0.2),"長い下ヒゲ(反発警戒)","通常"))))</f>
        <v>通常</v>
      </c>
      <c r="AP95" s="377">
        <f>IF($AO95="上ヒゲ陰線▼",2,IF($AO95="大陰線▼",2,IF($AO95="長い下ヒゲ(反発警戒)",-2,0)))</f>
        <v>0</v>
      </c>
      <c r="AQ95">
        <f>IF(C95&lt;&gt;"",始値!F38,"")</f>
        <v>2080</v>
      </c>
      <c r="AR95">
        <f>IF(C95&lt;&gt;"",高値!F38,"")</f>
        <v>2093.5</v>
      </c>
      <c r="AS95">
        <f>IF(C95&lt;&gt;"",安値!F38,"")</f>
        <v>1919.5</v>
      </c>
      <c r="AT95" t="str">
        <f>IF(OR(C95="",AQ95="",AR95="",AS95="",AR95-AS95&lt;=0),"-",IF(AND(AR95-MAX(G95,AQ95)&gt;=ABS(G95-AQ95)*2,MIN(G95,AQ95)-AS95&lt;=ABS(G95-AQ95)*0.5,ABS(G95-AQ95)&gt;0),"上ヒゲ陰線▼",IF(AND(G95&lt;AQ95,ABS(G95-AQ95)&gt;=(AR95-AS95)*0.7),"大陰線▼",IF(AND(MIN(G95,AQ95)-AS95&gt;=(AR95-AS95)*0.5,AR95-MAX(G95,AQ95)&lt;=(AR95-AS95)*0.2),"長い下ヒゲ(反発)","通常"))))</f>
        <v>通常</v>
      </c>
      <c r="AU95">
        <f>IF(AT95="上ヒゲ陰線▼",2,IF(AT95="大陰線▼",2,IF(AT95="長い下ヒゲ(反発)",-2,0)))</f>
        <v>0</v>
      </c>
      <c r="BA95">
        <f>IFERROR((SUM(OFFSET(高値!$E$6,IFERROR(MATCH($C95,銘柄管理!$B$6:$B$305,0),MATCH(TEXT($C95,"0"),銘柄管理!$B$6:$B$305,0))-1,0,1,14))-SUM(OFFSET(安値!$E$6,IFERROR(MATCH($C95,銘柄管理!$B$6:$B$305,0),MATCH(TEXT($C95,"0"),銘柄管理!$B$6:$B$305,0))-1,0,1,14)))/SUM(OFFSET(終値!$E$6,IFERROR(MATCH($C95,銘柄管理!$B$6:$B$305,0),MATCH(TEXT($C95,"0"),銘柄管理!$B$6:$B$305,0))-1,0,1,14))*100,"")</f>
      </c>
      <c r="BB95">
        <f>IFERROR((MAX(OFFSET(高値!$E$6,IFERROR(MATCH($C95,銘柄管理!$B$6:$B$305,0),MATCH(TEXT($C95,"0"),銘柄管理!$B$6:$B$305,0))-1,0,1,25))-MIN(OFFSET(安値!$E$6,IFERROR(MATCH($C95,銘柄管理!$B$6:$B$305,0),MATCH(TEXT($C95,"0"),銘柄管理!$B$6:$B$305,0))-1,0,1,25)))/$E95*100,"")</f>
      </c>
      <c r="BC95">
        <f>IFERROR(($F95-$G95)/$G95*100,"")</f>
      </c>
      <c r="BD95">
        <f>IFERROR(($E95-MAX(OFFSET(高値!$E$6,IFERROR(MATCH($C95,銘柄管理!$B$6:$B$305,0),MATCH(TEXT($C95,"0"),銘柄管理!$B$6:$B$305,0))-1,0,1,25)))/MAX(OFFSET(高値!$E$6,IFERROR(MATCH($C95,銘柄管理!$B$6:$B$305,0),MATCH(TEXT($C95,"0"),銘柄管理!$B$6:$B$305,0))-1,0,1,25))*100,"")</f>
      </c>
      <c r="BE95">
        <f>IFERROR(($H95-$I95)/$F95*100,"")</f>
      </c>
      <c r="BF95">
        <f>IFERROR(-(($BA95-AVERAGE($BA$3:$BA$206))/STDEV($BA$3:$BA$206))-(($BE95-AVERAGE($BE$3:$BE$206))/STDEV($BE$3:$BE$206))-(($BB95-AVERAGE($BB$3:$BB$206))/STDEV($BB$3:$BB$206))-(($Z95-AVERAGE($Z$3:$Z$206))/STDEV($Z$3:$Z$206))-(($BC95-AVERAGE($BC$3:$BC$206))/STDEV($BC$3:$BC$206)),"")</f>
      </c>
      <c r="BG95">
        <f>IF(OR($C95="",$C95="TOPX",$BA95="",$BF95=""),0,IF(AND($BK$10=1,$BA95&lt;=$BK$2,$BB95&lt;=$BK$3,$BC95&lt;=$BK$4,$Z95&lt;=$BK$5,$Z95&gt;=$BK$6,$BD95&gt;=$BK$7,$BE95&lt;=$BK$8),1,0))</f>
      </c>
      <c r="BH95">
        <f>IF($C95="","",IF($BG95=1,"○ゲート通過",IF($BK$10&lt;&gt;1,"― この方向は停止中",IF($BA95&gt;$BK$2,"×値動きが荒い",IF($BB95&gt;$BK$3,"×レンジが広い",IF($BC95&gt;$BK$4,"×窓を開けて上昇",IF($Z95&gt;$BK$5,"×前日に急騰",IF($Z95&lt;$BK$6,"×前日に急落",IF($BD95&lt;$BK$7,"×高値から離れすぎ",IF($BE95&gt;$BK$8,"×当日の値幅が大きい","×")))))))))</f>
      </c>
    </row>
    <row r="96" spans="1:60"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IF(AND(E96&lt;&gt;"",K96&lt;&gt;"",K96&lt;&gt;0),(E96-K96)/K96*100,"")</f>
        <v>-19.299820466786354</v>
      </c>
      <c r="M96" s="333">
        <f>IF(C96&lt;&gt;"",IFERROR(AVERAGE(出来高!E42:I42),""),"")</f>
        <v>426820</v>
      </c>
      <c r="N96" s="333">
        <f>IF(C96&lt;&gt;"",IFERROR(AVERAGE(出来高!E42:AC42),""),"")</f>
        <v>332340</v>
      </c>
      <c r="O96" s="335">
        <f>IF(AND(J96&lt;&gt;"",M96&lt;&gt;"",M96&lt;&gt;0),J96/M96,"")</f>
        <v>1.6901738437748934</v>
      </c>
      <c r="P96" s="212" t="str">
        <f>IF(O96="","",IF(O96&gt;=2,"急増↑↑",IF(O96&gt;=1.5,"増加↑",IF(O96&gt;=1,"普通→","減少↓"))))</f>
        <v>増加↑</v>
      </c>
      <c r="Q96" s="212" t="str">
        <f>IF(E96="","",IF(AND(E96&lt;G96,O96&gt;=1.5),"売り▼",IF(E96&gt;G96,"様子見▲","中立→")))</f>
        <v>様子見▲</v>
      </c>
      <c r="R96" s="333">
        <f>IF(E96&lt;&gt;"",ROUND(E96*0.92,0),"")</f>
        <v>3308</v>
      </c>
      <c r="S96" s="333">
        <f>IF(E96&lt;&gt;"",ROUND(E96*1.04,0),"")</f>
        <v>3740</v>
      </c>
      <c r="T96" s="325">
        <f>IF(C96="","",IFERROR(IF(W96&gt;=70,3,IF(W96&gt;=60,2,IF(W96&gt;=50,1,0)))+IF(X96&lt;0,2,0)+IF(AD96="下降トレンド▼",3,IF(AD96="もみ合い→",1,0))+IF(V96="年初来安値圏●",3,IF(V96="安値圏",2,0))+IF(Q96="売り▼",2,0)+IF(P96="急増↑↑",2,IF(P96="増加↑",1,0))+IF(Z96&lt;0,1,0)+IF(L96&lt;=-30,2,IF(L96&lt;=-15,1,0))+IF(AE96="25日戻り売り★",2,IF(AE96="5日戻り売り○",1,0))+N(AL96)+N(AP96)+N(AU96),0))</f>
        <v>8</v>
      </c>
      <c r="U96" s="212" t="str">
        <f>IF(T96="","",IF(AND(T96&gt;=3,O96&gt;=1.5),"有効",IF(T96&gt;=3,"要確認","除外")))</f>
        <v>有効</v>
      </c>
      <c r="V96" s="212" t="str">
        <f>IF(AND(I96&lt;&gt;"",K96&lt;&gt;""),IF(I96&lt;=K96*0.6,"年初来安値圏●",IF(I96&lt;=K96*0.75,"安値圏","通常")),"")</f>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IF(AF96="","",AF96&amp;" | "&amp;AD96&amp;IF(AE96&lt;&gt;"なし"," "&amp;AE96,"")&amp;IF(X96&lt;0," MACD-"," MACD+")&amp;" RSI:"&amp;TEXT(W96,"0.0")&amp;IF(W96&gt;=70," [過熱]",IF(W96&lt;=30," [売られ過ぎ]",""))&amp;" 前日比:"&amp;TEXT(Z96,"+0.0;-0.0;0.0")&amp;"%"&amp;IF(V96="年初来安値圏●"," [年初来安値圏]",IF(V96="安値圏"," [安値圏]",""))&amp;IF(OR(AO96="通常",AO96="-"),""," ["&amp;AO96&amp;"]")&amp;IF(OR(AT96="通常",AT96="-"),"","前日["&amp;AT96&amp;"]")&amp;" ["&amp;T96&amp;"点]")</f>
        <v>○逆張り売り | もみ合い→ 25日戻り売り★ MACD- RSI:42.8 前日比:+2.7% [8点]</v>
      </c>
      <c r="Z96" s="338">
        <f>IF(AND(E96&lt;&gt;"",G96&lt;&gt;"",G96&lt;&gt;0),(E96-G96)/G96*100,"")</f>
        <v>2.7428571428571429</v>
      </c>
      <c r="AA96" s="212" t="str">
        <f>IF(OR(C96="",E96="",E96=0),"",IF(E96&gt;G96,"上昇▲",IF(E96&lt;G96,"下落▼","横ばい→")))</f>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IF(OR(C96="",AB96="",AC96="",AB96=0,AC96=0),"",IF(AND(E96&gt;AB96,AB96&gt;AC96),"パーフェクト▲",IF(E96&gt;AC96,"上昇トレンド▲",IF(AND(E96&lt;AB96,AB96&lt;AC96),"下降トレンド▼","もみ合い→"))))</f>
        <v>もみ合い→</v>
      </c>
      <c r="AE96" s="212" t="str">
        <f>IF(OR(C96="",AB96="",AC96=""),"",IF(AND(ABS(E96-AC96)/AC96&lt;=0.02,E96&lt;AC96),"25日戻り売り★",IF(AND(ABS(E96-AB96)/AB96&lt;=0.01,E96&lt;AB96),"5日戻り売り○","なし")))</f>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IF(AND(T96&gt;=7,C96&lt;&gt;""),T96,0)</f>
        <v>8</v>
      </c>
      <c r="AH96">
        <f>IF(AG96&gt;0,AG96*10000-ROW(A96),0)</f>
        <v>79904</v>
      </c>
      <c r="AI96" s="373">
        <f t="array" ref="AI96">IF(C96="","",IFERROR((INDEX(終値!$E:$E,MATCH(TEXT(C96,"0"),終値!$A:$A,0))-INDEX(終値!$E:$CZ,MATCH(TEXT(C96,"0"),終値!$A:$A,0),$AN$2))/INDEX(終値!$E:$CZ,MATCH(TEXT(C96,"0"),終値!$A:$A,0),$AN$2)*100,""))</f>
        <v>0.86956521739130432</v>
      </c>
      <c r="AJ96" s="373">
        <f t="array" ref="AJ96">IFERROR((終値!$E$5-INDEX(終値!$E$5:$IT$5,1,$AN$2))/INDEX(終値!$E$5:$IT$5,1,$AN$2)*100,"")</f>
        <v>1.0179378228534113</v>
      </c>
      <c r="AK96" s="374">
        <f>IF(OR(AI96="",AJ96=""),"",AI96-AJ96)</f>
        <v>-0.14837260546210695</v>
      </c>
      <c r="AL96" s="372">
        <f>IF(AK96="","",IF(AK96&lt;-5,3,IF(AK96&lt;0,1,IF(AK96&lt;3,-1,-2))))</f>
        <v>1</v>
      </c>
      <c r="AO96" s="376" t="str">
        <f>IF(OR($C96="",$E96="",$F96="",$H96="",$I96="",$H96-$I96&lt;=0),"-",IF(AND($H96-MAX($F96,$E96)&gt;=ABS($E96-$F96)*2,MIN($F96,$E96)-$I96&lt;=ABS($E96-$F96)*0.5,ABS($E96-$F96)&gt;0),"上ヒゲ陰線▼",IF(AND($E96&lt;$F96,ABS($E96-$F96)&gt;=($H96-$I96)*0.7),"大陰線▼",IF(AND(MIN($F96,$E96)-$I96&gt;=($H96-$I96)*0.5,$H96-MAX($F96,$E96)&lt;=($H96-$I96)*0.2),"長い下ヒゲ(反発警戒)","通常"))))</f>
        <v>通常</v>
      </c>
      <c r="AP96" s="377">
        <f>IF($AO96="上ヒゲ陰線▼",2,IF($AO96="大陰線▼",2,IF($AO96="長い下ヒゲ(反発警戒)",-2,0)))</f>
        <v>0</v>
      </c>
      <c r="AQ96">
        <f>IF(C96&lt;&gt;"",始値!F42,"")</f>
        <v>3481</v>
      </c>
      <c r="AR96">
        <f>IF(C96&lt;&gt;"",高値!F42,"")</f>
        <v>3500</v>
      </c>
      <c r="AS96">
        <f>IF(C96&lt;&gt;"",安値!F42,"")</f>
        <v>3463</v>
      </c>
      <c r="AT96" t="str">
        <f>IF(OR(C96="",AQ96="",AR96="",AS96="",AR96-AS96&lt;=0),"-",IF(AND(AR96-MAX(G96,AQ96)&gt;=ABS(G96-AQ96)*2,MIN(G96,AQ96)-AS96&lt;=ABS(G96-AQ96)*0.5,ABS(G96-AQ96)&gt;0),"上ヒゲ陰線▼",IF(AND(G96&lt;AQ96,ABS(G96-AQ96)&gt;=(AR96-AS96)*0.7),"大陰線▼",IF(AND(MIN(G96,AQ96)-AS96&gt;=(AR96-AS96)*0.5,AR96-MAX(G96,AQ96)&lt;=(AR96-AS96)*0.2),"長い下ヒゲ(反発)","通常"))))</f>
        <v>通常</v>
      </c>
      <c r="AU96">
        <f>IF(AT96="上ヒゲ陰線▼",2,IF(AT96="大陰線▼",2,IF(AT96="長い下ヒゲ(反発)",-2,0)))</f>
        <v>0</v>
      </c>
      <c r="BA96">
        <f>IFERROR((SUM(OFFSET(高値!$E$6,IFERROR(MATCH($C96,銘柄管理!$B$6:$B$305,0),MATCH(TEXT($C96,"0"),銘柄管理!$B$6:$B$305,0))-1,0,1,14))-SUM(OFFSET(安値!$E$6,IFERROR(MATCH($C96,銘柄管理!$B$6:$B$305,0),MATCH(TEXT($C96,"0"),銘柄管理!$B$6:$B$305,0))-1,0,1,14)))/SUM(OFFSET(終値!$E$6,IFERROR(MATCH($C96,銘柄管理!$B$6:$B$305,0),MATCH(TEXT($C96,"0"),銘柄管理!$B$6:$B$305,0))-1,0,1,14))*100,"")</f>
      </c>
      <c r="BB96">
        <f>IFERROR((MAX(OFFSET(高値!$E$6,IFERROR(MATCH($C96,銘柄管理!$B$6:$B$305,0),MATCH(TEXT($C96,"0"),銘柄管理!$B$6:$B$305,0))-1,0,1,25))-MIN(OFFSET(安値!$E$6,IFERROR(MATCH($C96,銘柄管理!$B$6:$B$305,0),MATCH(TEXT($C96,"0"),銘柄管理!$B$6:$B$305,0))-1,0,1,25)))/$E96*100,"")</f>
      </c>
      <c r="BC96">
        <f>IFERROR(($F96-$G96)/$G96*100,"")</f>
      </c>
      <c r="BD96">
        <f>IFERROR(($E96-MAX(OFFSET(高値!$E$6,IFERROR(MATCH($C96,銘柄管理!$B$6:$B$305,0),MATCH(TEXT($C96,"0"),銘柄管理!$B$6:$B$305,0))-1,0,1,25)))/MAX(OFFSET(高値!$E$6,IFERROR(MATCH($C96,銘柄管理!$B$6:$B$305,0),MATCH(TEXT($C96,"0"),銘柄管理!$B$6:$B$305,0))-1,0,1,25))*100,"")</f>
      </c>
      <c r="BE96">
        <f>IFERROR(($H96-$I96)/$F96*100,"")</f>
      </c>
      <c r="BF96">
        <f>IFERROR(-(($BA96-AVERAGE($BA$3:$BA$206))/STDEV($BA$3:$BA$206))-(($BE96-AVERAGE($BE$3:$BE$206))/STDEV($BE$3:$BE$206))-(($BB96-AVERAGE($BB$3:$BB$206))/STDEV($BB$3:$BB$206))-(($Z96-AVERAGE($Z$3:$Z$206))/STDEV($Z$3:$Z$206))-(($BC96-AVERAGE($BC$3:$BC$206))/STDEV($BC$3:$BC$206)),"")</f>
      </c>
      <c r="BG96">
        <f>IF(OR($C96="",$C96="TOPX",$BA96="",$BF96=""),0,IF(AND($BK$10=1,$BA96&lt;=$BK$2,$BB96&lt;=$BK$3,$BC96&lt;=$BK$4,$Z96&lt;=$BK$5,$Z96&gt;=$BK$6,$BD96&gt;=$BK$7,$BE96&lt;=$BK$8),1,0))</f>
      </c>
      <c r="BH96">
        <f>IF($C96="","",IF($BG96=1,"○ゲート通過",IF($BK$10&lt;&gt;1,"― この方向は停止中",IF($BA96&gt;$BK$2,"×値動きが荒い",IF($BB96&gt;$BK$3,"×レンジが広い",IF($BC96&gt;$BK$4,"×窓を開けて上昇",IF($Z96&gt;$BK$5,"×前日に急騰",IF($Z96&lt;$BK$6,"×前日に急落",IF($BD96&lt;$BK$7,"×高値から離れすぎ",IF($BE96&gt;$BK$8,"×当日の値幅が大きい","×")))))))))</f>
      </c>
    </row>
    <row r="97" spans="1:60"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IF(AND(E97&lt;&gt;"",K97&lt;&gt;"",K97&lt;&gt;0),(E97-K97)/K97*100,"")</f>
        <v>-29.428208386276999</v>
      </c>
      <c r="M97" s="326">
        <f>IF(C97&lt;&gt;"",IFERROR(AVERAGE(出来高!E51:I51),""),"")</f>
        <v>80420</v>
      </c>
      <c r="N97" s="326">
        <f>IF(C97&lt;&gt;"",IFERROR(AVERAGE(出来高!E51:AC51),""),"")</f>
        <v>42388</v>
      </c>
      <c r="O97" s="328">
        <f>IF(AND(J97&lt;&gt;"",M97&lt;&gt;"",M97&lt;&gt;0),J97/M97,"")</f>
        <v>0.79830887838846054</v>
      </c>
      <c r="P97" s="325" t="str">
        <f>IF(O97="","",IF(O97&gt;=2,"急増↑↑",IF(O97&gt;=1.5,"増加↑",IF(O97&gt;=1,"普通→","減少↓"))))</f>
        <v>減少↓</v>
      </c>
      <c r="Q97" s="325" t="str">
        <f>IF(E97="","",IF(AND(E97&lt;G97,O97&gt;=1.5),"売り▼",IF(E97&gt;G97,"様子見▲","中立→")))</f>
        <v>様子見▲</v>
      </c>
      <c r="R97" s="326">
        <f>IF(E97&lt;&gt;"",ROUND(E97*0.92,0),"")</f>
        <v>2555</v>
      </c>
      <c r="S97" s="326">
        <f>IF(E97&lt;&gt;"",ROUND(E97*1.04,0),"")</f>
        <v>2888</v>
      </c>
      <c r="T97" s="325">
        <f>IF(C97="","",IFERROR(IF(W97&gt;=70,3,IF(W97&gt;=60,2,IF(W97&gt;=50,1,0)))+IF(X97&lt;0,2,0)+IF(AD97="下降トレンド▼",3,IF(AD97="もみ合い→",1,0))+IF(V97="年初来安値圏●",3,IF(V97="安値圏",2,0))+IF(Q97="売り▼",2,0)+IF(P97="急増↑↑",2,IF(P97="増加↑",1,0))+IF(Z97&lt;0,1,0)+IF(L97&lt;=-30,2,IF(L97&lt;=-15,1,0))+IF(AE97="25日戻り売り★",2,IF(AE97="5日戻り売り○",1,0))+N(AL97)+N(AP97)+N(AU97),0))</f>
        <v>2</v>
      </c>
      <c r="U97" s="325" t="str">
        <f>IF(T97="","",IF(AND(T97&gt;=3,O97&gt;=1.5),"有効",IF(T97&gt;=3,"要確認","除外")))</f>
        <v>除外</v>
      </c>
      <c r="V97" s="325" t="str">
        <f>IF(AND(I97&lt;&gt;"",K97&lt;&gt;""),IF(I97&lt;=K97*0.6,"年初来安値圏●",IF(I97&lt;=K97*0.75,"安値圏","通常")),"")</f>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IF(AF97="","",AF97&amp;" | "&amp;AD97&amp;IF(AE97&lt;&gt;"なし"," "&amp;AE97,"")&amp;IF(X97&lt;0," MACD-"," MACD+")&amp;" RSI:"&amp;TEXT(W97,"0.0")&amp;IF(W97&gt;=70," [過熱]",IF(W97&lt;=30," [売られ過ぎ]",""))&amp;" 前日比:"&amp;TEXT(Z97,"+0.0;-0.0;0.0")&amp;"%"&amp;IF(V97="年初来安値圏●"," [年初来安値圏]",IF(V97="安値圏"," [安値圏]",""))&amp;IF(OR(AO97="通常",AO97="-"),""," ["&amp;AO97&amp;"]")&amp;IF(OR(AT97="通常",AT97="-"),"","前日["&amp;AT97&amp;"]")&amp;" ["&amp;T97&amp;"点]")</f>
        <v>相場上昇・見送り | パーフェクト▲ MACD+ RSI:57.9 前日比:+1.6% [安値圏] [2点]</v>
      </c>
      <c r="Z97" s="331">
        <f>IF(AND(E97&lt;&gt;"",G97&lt;&gt;"",G97&lt;&gt;0),(E97-G97)/G97*100,"")</f>
        <v>1.6471449487554906</v>
      </c>
      <c r="AA97" s="325" t="str">
        <f>IF(OR(C97="",E97="",E97=0),"",IF(E97&gt;G97,"上昇▲",IF(E97&lt;G97,"下落▼","横ばい→")))</f>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IF(OR(C97="",AB97="",AC97="",AB97=0,AC97=0),"",IF(AND(E97&gt;AB97,AB97&gt;AC97),"パーフェクト▲",IF(E97&gt;AC97,"上昇トレンド▲",IF(AND(E97&lt;AB97,AB97&lt;AC97),"下降トレンド▼","もみ合い→"))))</f>
        <v>パーフェクト▲</v>
      </c>
      <c r="AE97" s="325" t="str">
        <f>IF(OR(C97="",AB97="",AC97=""),"",IF(AND(ABS(E97-AC97)/AC97&lt;=0.02,E97&lt;AC97),"25日戻り売り★",IF(AND(ABS(E97-AB97)/AB97&lt;=0.01,E97&lt;AB97),"5日戻り売り○","なし")))</f>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IF(AND(T97&gt;=7,C97&lt;&gt;""),T97,0)</f>
        <v>0</v>
      </c>
      <c r="AH97">
        <f>IF(AG97&gt;0,AG97*10000-ROW(A97),0)</f>
        <v>0</v>
      </c>
      <c r="AI97" s="373">
        <f t="array" ref="AI97">IF(C97="","",IFERROR((INDEX(終値!$E:$E,MATCH(TEXT(C97,"0"),終値!$A:$A,0))-INDEX(終値!$E:$CZ,MATCH(TEXT(C97,"0"),終値!$A:$A,0),$AN$2))/INDEX(終値!$E:$CZ,MATCH(TEXT(C97,"0"),終値!$A:$A,0),$AN$2)*100,""))</f>
        <v>22.604856512141282</v>
      </c>
      <c r="AJ97" s="373">
        <f t="array" ref="AJ97">IFERROR((終値!$E$5-INDEX(終値!$E$5:$IT$5,1,$AN$2))/INDEX(終値!$E$5:$IT$5,1,$AN$2)*100,"")</f>
        <v>1.0179378228534113</v>
      </c>
      <c r="AK97" s="374">
        <f>IF(OR(AI97="",AJ97=""),"",AI97-AJ97)</f>
        <v>21.58691868928787</v>
      </c>
      <c r="AL97" s="372">
        <f>IF(AK97="","",IF(AK97&lt;-5,3,IF(AK97&lt;0,1,IF(AK97&lt;3,-1,-2))))</f>
        <v>-2</v>
      </c>
      <c r="AO97" s="376" t="str">
        <f>IF(OR($C97="",$E97="",$F97="",$H97="",$I97="",$H97-$I97&lt;=0),"-",IF(AND($H97-MAX($F97,$E97)&gt;=ABS($E97-$F97)*2,MIN($F97,$E97)-$I97&lt;=ABS($E97-$F97)*0.5,ABS($E97-$F97)&gt;0),"上ヒゲ陰線▼",IF(AND($E97&lt;$F97,ABS($E97-$F97)&gt;=($H97-$I97)*0.7),"大陰線▼",IF(AND(MIN($F97,$E97)-$I97&gt;=($H97-$I97)*0.5,$H97-MAX($F97,$E97)&lt;=($H97-$I97)*0.2),"長い下ヒゲ(反発警戒)","通常"))))</f>
        <v>通常</v>
      </c>
      <c r="AP97" s="377">
        <f>IF($AO97="上ヒゲ陰線▼",2,IF($AO97="大陰線▼",2,IF($AO97="長い下ヒゲ(反発警戒)",-2,0)))</f>
        <v>0</v>
      </c>
      <c r="AQ97">
        <f>IF(C97&lt;&gt;"",始値!F51,"")</f>
        <v>2498</v>
      </c>
      <c r="AR97">
        <f>IF(C97&lt;&gt;"",高値!F51,"")</f>
        <v>2770</v>
      </c>
      <c r="AS97">
        <f>IF(C97&lt;&gt;"",安値!F51,"")</f>
        <v>2491</v>
      </c>
      <c r="AT97" t="str">
        <f>IF(OR(C97="",AQ97="",AR97="",AS97="",AR97-AS97&lt;=0),"-",IF(AND(AR97-MAX(G97,AQ97)&gt;=ABS(G97-AQ97)*2,MIN(G97,AQ97)-AS97&lt;=ABS(G97-AQ97)*0.5,ABS(G97-AQ97)&gt;0),"上ヒゲ陰線▼",IF(AND(G97&lt;AQ97,ABS(G97-AQ97)&gt;=(AR97-AS97)*0.7),"大陰線▼",IF(AND(MIN(G97,AQ97)-AS97&gt;=(AR97-AS97)*0.5,AR97-MAX(G97,AQ97)&lt;=(AR97-AS97)*0.2),"長い下ヒゲ(反発)","通常"))))</f>
        <v>通常</v>
      </c>
      <c r="AU97">
        <f>IF(AT97="上ヒゲ陰線▼",2,IF(AT97="大陰線▼",2,IF(AT97="長い下ヒゲ(反発)",-2,0)))</f>
        <v>0</v>
      </c>
      <c r="BA97">
        <f>IFERROR((SUM(OFFSET(高値!$E$6,IFERROR(MATCH($C97,銘柄管理!$B$6:$B$305,0),MATCH(TEXT($C97,"0"),銘柄管理!$B$6:$B$305,0))-1,0,1,14))-SUM(OFFSET(安値!$E$6,IFERROR(MATCH($C97,銘柄管理!$B$6:$B$305,0),MATCH(TEXT($C97,"0"),銘柄管理!$B$6:$B$305,0))-1,0,1,14)))/SUM(OFFSET(終値!$E$6,IFERROR(MATCH($C97,銘柄管理!$B$6:$B$305,0),MATCH(TEXT($C97,"0"),銘柄管理!$B$6:$B$305,0))-1,0,1,14))*100,"")</f>
      </c>
      <c r="BB97">
        <f>IFERROR((MAX(OFFSET(高値!$E$6,IFERROR(MATCH($C97,銘柄管理!$B$6:$B$305,0),MATCH(TEXT($C97,"0"),銘柄管理!$B$6:$B$305,0))-1,0,1,25))-MIN(OFFSET(安値!$E$6,IFERROR(MATCH($C97,銘柄管理!$B$6:$B$305,0),MATCH(TEXT($C97,"0"),銘柄管理!$B$6:$B$305,0))-1,0,1,25)))/$E97*100,"")</f>
      </c>
      <c r="BC97">
        <f>IFERROR(($F97-$G97)/$G97*100,"")</f>
      </c>
      <c r="BD97">
        <f>IFERROR(($E97-MAX(OFFSET(高値!$E$6,IFERROR(MATCH($C97,銘柄管理!$B$6:$B$305,0),MATCH(TEXT($C97,"0"),銘柄管理!$B$6:$B$305,0))-1,0,1,25)))/MAX(OFFSET(高値!$E$6,IFERROR(MATCH($C97,銘柄管理!$B$6:$B$305,0),MATCH(TEXT($C97,"0"),銘柄管理!$B$6:$B$305,0))-1,0,1,25))*100,"")</f>
      </c>
      <c r="BE97">
        <f>IFERROR(($H97-$I97)/$F97*100,"")</f>
      </c>
      <c r="BF97">
        <f>IFERROR(-(($BA97-AVERAGE($BA$3:$BA$206))/STDEV($BA$3:$BA$206))-(($BE97-AVERAGE($BE$3:$BE$206))/STDEV($BE$3:$BE$206))-(($BB97-AVERAGE($BB$3:$BB$206))/STDEV($BB$3:$BB$206))-(($Z97-AVERAGE($Z$3:$Z$206))/STDEV($Z$3:$Z$206))-(($BC97-AVERAGE($BC$3:$BC$206))/STDEV($BC$3:$BC$206)),"")</f>
      </c>
      <c r="BG97">
        <f>IF(OR($C97="",$C97="TOPX",$BA97="",$BF97=""),0,IF(AND($BK$10=1,$BA97&lt;=$BK$2,$BB97&lt;=$BK$3,$BC97&lt;=$BK$4,$Z97&lt;=$BK$5,$Z97&gt;=$BK$6,$BD97&gt;=$BK$7,$BE97&lt;=$BK$8),1,0))</f>
      </c>
      <c r="BH97">
        <f>IF($C97="","",IF($BG97=1,"○ゲート通過",IF($BK$10&lt;&gt;1,"― この方向は停止中",IF($BA97&gt;$BK$2,"×値動きが荒い",IF($BB97&gt;$BK$3,"×レンジが広い",IF($BC97&gt;$BK$4,"×窓を開けて上昇",IF($Z97&gt;$BK$5,"×前日に急騰",IF($Z97&lt;$BK$6,"×前日に急落",IF($BD97&lt;$BK$7,"×高値から離れすぎ",IF($BE97&gt;$BK$8,"×当日の値幅が大きい","×")))))))))</f>
      </c>
    </row>
    <row r="98" spans="1:60"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IF(AND(E98&lt;&gt;"",K98&lt;&gt;"",K98&lt;&gt;0),(E98-K98)/K98*100,"")</f>
        <v>-32.435530085959883</v>
      </c>
      <c r="M98" s="333">
        <f>IF(C98&lt;&gt;"",IFERROR(AVERAGE(出来高!E72:I72),""),"")</f>
        <v>49900</v>
      </c>
      <c r="N98" s="333">
        <f>IF(C98&lt;&gt;"",IFERROR(AVERAGE(出来高!E72:AC72),""),"")</f>
        <v>71812</v>
      </c>
      <c r="O98" s="335">
        <f>IF(AND(J98&lt;&gt;"",M98&lt;&gt;"",M98&lt;&gt;0),J98/M98,"")</f>
        <v>1.2124248496993988</v>
      </c>
      <c r="P98" s="212" t="str">
        <f>IF(O98="","",IF(O98&gt;=2,"急増↑↑",IF(O98&gt;=1.5,"増加↑",IF(O98&gt;=1,"普通→","減少↓"))))</f>
        <v>普通→</v>
      </c>
      <c r="Q98" s="212" t="str">
        <f>IF(E98="","",IF(AND(E98&lt;G98,O98&gt;=1.5),"売り▼",IF(E98&gt;G98,"様子見▲","中立→")))</f>
        <v>中立→</v>
      </c>
      <c r="R98" s="333">
        <f>IF(E98&lt;&gt;"",ROUND(E98*0.92,0),"")</f>
        <v>2169</v>
      </c>
      <c r="S98" s="333">
        <f>IF(E98&lt;&gt;"",ROUND(E98*1.04,0),"")</f>
        <v>2452</v>
      </c>
      <c r="T98" s="325">
        <f>IF(C98="","",IFERROR(IF(W98&gt;=70,3,IF(W98&gt;=60,2,IF(W98&gt;=50,1,0)))+IF(X98&lt;0,2,0)+IF(AD98="下降トレンド▼",3,IF(AD98="もみ合い→",1,0))+IF(V98="年初来安値圏●",3,IF(V98="安値圏",2,0))+IF(Q98="売り▼",2,0)+IF(P98="急増↑↑",2,IF(P98="増加↑",1,0))+IF(Z98&lt;0,1,0)+IF(L98&lt;=-30,2,IF(L98&lt;=-15,1,0))+IF(AE98="25日戻り売り★",2,IF(AE98="5日戻り売り○",1,0))+N(AL98)+N(AP98)+N(AU98),0))</f>
        <v>10</v>
      </c>
      <c r="U98" s="212" t="str">
        <f>IF(T98="","",IF(AND(T98&gt;=3,O98&gt;=1.5),"有効",IF(T98&gt;=3,"要確認","除外")))</f>
        <v>要確認</v>
      </c>
      <c r="V98" s="212" t="str">
        <f>IF(AND(I98&lt;&gt;"",K98&lt;&gt;""),IF(I98&lt;=K98*0.6,"年初来安値圏●",IF(I98&lt;=K98*0.75,"安値圏","通常")),"")</f>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IF(AF98="","",AF98&amp;" | "&amp;AD98&amp;IF(AE98&lt;&gt;"なし"," "&amp;AE98,"")&amp;IF(X98&lt;0," MACD-"," MACD+")&amp;" RSI:"&amp;TEXT(W98,"0.0")&amp;IF(W98&gt;=70," [過熱]",IF(W98&lt;=30," [売られ過ぎ]",""))&amp;" 前日比:"&amp;TEXT(Z98,"+0.0;-0.0;0.0")&amp;"%"&amp;IF(V98="年初来安値圏●"," [年初来安値圏]",IF(V98="安値圏"," [安値圏]",""))&amp;IF(OR(AO98="通常",AO98="-"),""," ["&amp;AO98&amp;"]")&amp;IF(OR(AT98="通常",AT98="-"),"","前日["&amp;AT98&amp;"]")&amp;" ["&amp;T98&amp;"点]")</f>
        <v>相場上昇・見送り | パーフェクト▲ MACD- RSI:49.9 前日比:-1.3% [安値圏] [上ヒゲ陰線▼] [10点]</v>
      </c>
      <c r="Z98" s="338">
        <f>IF(AND(E98&lt;&gt;"",G98&lt;&gt;"",G98&lt;&gt;0),(E98-G98)/G98*100,"")</f>
        <v>-1.3389121338912133</v>
      </c>
      <c r="AA98" s="212" t="str">
        <f>IF(OR(C98="",E98="",E98=0),"",IF(E98&gt;G98,"上昇▲",IF(E98&lt;G98,"下落▼","横ばい→")))</f>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IF(OR(C98="",AB98="",AC98="",AB98=0,AC98=0),"",IF(AND(E98&gt;AB98,AB98&gt;AC98),"パーフェクト▲",IF(E98&gt;AC98,"上昇トレンド▲",IF(AND(E98&lt;AB98,AB98&lt;AC98),"下降トレンド▼","もみ合い→"))))</f>
        <v>パーフェクト▲</v>
      </c>
      <c r="AE98" s="212" t="str">
        <f>IF(OR(C98="",AB98="",AC98=""),"",IF(AND(ABS(E98-AC98)/AC98&lt;=0.02,E98&lt;AC98),"25日戻り売り★",IF(AND(ABS(E98-AB98)/AB98&lt;=0.01,E98&lt;AB98),"5日戻り売り○","なし")))</f>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IF(AND(T98&gt;=7,C98&lt;&gt;""),T98,0)</f>
        <v>10</v>
      </c>
      <c r="AH98">
        <f>IF(AG98&gt;0,AG98*10000-ROW(A98),0)</f>
        <v>99902</v>
      </c>
      <c r="AI98" s="373">
        <f t="array" ref="AI98">IF(C98="","",IFERROR((INDEX(終値!$E:$E,MATCH(TEXT(C98,"0"),終値!$A:$A,0))-INDEX(終値!$E:$CZ,MATCH(TEXT(C98,"0"),終値!$A:$A,0),$AN$2))/INDEX(終値!$E:$CZ,MATCH(TEXT(C98,"0"),終値!$A:$A,0),$AN$2)*100,""))</f>
        <v>-1.8726591760299627</v>
      </c>
      <c r="AJ98" s="373">
        <f t="array" ref="AJ98">IFERROR((終値!$E$5-INDEX(終値!$E$5:$IT$5,1,$AN$2))/INDEX(終値!$E$5:$IT$5,1,$AN$2)*100,"")</f>
        <v>1.0179378228534113</v>
      </c>
      <c r="AK98" s="374">
        <f>IF(OR(AI98="",AJ98=""),"",AI98-AJ98)</f>
        <v>-2.8905969988833737</v>
      </c>
      <c r="AL98" s="372">
        <f>IF(AK98="","",IF(AK98&lt;-5,3,IF(AK98&lt;0,1,IF(AK98&lt;3,-1,-2))))</f>
        <v>1</v>
      </c>
      <c r="AO98" s="376" t="str">
        <f>IF(OR($C98="",$E98="",$F98="",$H98="",$I98="",$H98-$I98&lt;=0),"-",IF(AND($H98-MAX($F98,$E98)&gt;=ABS($E98-$F98)*2,MIN($F98,$E98)-$I98&lt;=ABS($E98-$F98)*0.5,ABS($E98-$F98)&gt;0),"上ヒゲ陰線▼",IF(AND($E98&lt;$F98,ABS($E98-$F98)&gt;=($H98-$I98)*0.7),"大陰線▼",IF(AND(MIN($F98,$E98)-$I98&gt;=($H98-$I98)*0.5,$H98-MAX($F98,$E98)&lt;=($H98-$I98)*0.2),"長い下ヒゲ(反発警戒)","通常"))))</f>
        <v>上ヒゲ陰線▼</v>
      </c>
      <c r="AP98" s="377">
        <f>IF($AO98="上ヒゲ陰線▼",2,IF($AO98="大陰線▼",2,IF($AO98="長い下ヒゲ(反発警戒)",-2,0)))</f>
        <v>2</v>
      </c>
      <c r="AQ98">
        <f>IF(C98&lt;&gt;"",始値!F72,"")</f>
        <v>2318</v>
      </c>
      <c r="AR98">
        <f>IF(C98&lt;&gt;"",高値!F72,"")</f>
        <v>2391</v>
      </c>
      <c r="AS98">
        <f>IF(C98&lt;&gt;"",安値!F72,"")</f>
        <v>2305</v>
      </c>
      <c r="AT98" t="str">
        <f>IF(OR(C98="",AQ98="",AR98="",AS98="",AR98-AS98&lt;=0),"-",IF(AND(AR98-MAX(G98,AQ98)&gt;=ABS(G98-AQ98)*2,MIN(G98,AQ98)-AS98&lt;=ABS(G98-AQ98)*0.5,ABS(G98-AQ98)&gt;0),"上ヒゲ陰線▼",IF(AND(G98&lt;AQ98,ABS(G98-AQ98)&gt;=(AR98-AS98)*0.7),"大陰線▼",IF(AND(MIN(G98,AQ98)-AS98&gt;=(AR98-AS98)*0.5,AR98-MAX(G98,AQ98)&lt;=(AR98-AS98)*0.2),"長い下ヒゲ(反発)","通常"))))</f>
        <v>通常</v>
      </c>
      <c r="AU98">
        <f>IF(AT98="上ヒゲ陰線▼",2,IF(AT98="大陰線▼",2,IF(AT98="長い下ヒゲ(反発)",-2,0)))</f>
        <v>0</v>
      </c>
      <c r="BA98">
        <f>IFERROR((SUM(OFFSET(高値!$E$6,IFERROR(MATCH($C98,銘柄管理!$B$6:$B$305,0),MATCH(TEXT($C98,"0"),銘柄管理!$B$6:$B$305,0))-1,0,1,14))-SUM(OFFSET(安値!$E$6,IFERROR(MATCH($C98,銘柄管理!$B$6:$B$305,0),MATCH(TEXT($C98,"0"),銘柄管理!$B$6:$B$305,0))-1,0,1,14)))/SUM(OFFSET(終値!$E$6,IFERROR(MATCH($C98,銘柄管理!$B$6:$B$305,0),MATCH(TEXT($C98,"0"),銘柄管理!$B$6:$B$305,0))-1,0,1,14))*100,"")</f>
      </c>
      <c r="BB98">
        <f>IFERROR((MAX(OFFSET(高値!$E$6,IFERROR(MATCH($C98,銘柄管理!$B$6:$B$305,0),MATCH(TEXT($C98,"0"),銘柄管理!$B$6:$B$305,0))-1,0,1,25))-MIN(OFFSET(安値!$E$6,IFERROR(MATCH($C98,銘柄管理!$B$6:$B$305,0),MATCH(TEXT($C98,"0"),銘柄管理!$B$6:$B$305,0))-1,0,1,25)))/$E98*100,"")</f>
      </c>
      <c r="BC98">
        <f>IFERROR(($F98-$G98)/$G98*100,"")</f>
      </c>
      <c r="BD98">
        <f>IFERROR(($E98-MAX(OFFSET(高値!$E$6,IFERROR(MATCH($C98,銘柄管理!$B$6:$B$305,0),MATCH(TEXT($C98,"0"),銘柄管理!$B$6:$B$305,0))-1,0,1,25)))/MAX(OFFSET(高値!$E$6,IFERROR(MATCH($C98,銘柄管理!$B$6:$B$305,0),MATCH(TEXT($C98,"0"),銘柄管理!$B$6:$B$305,0))-1,0,1,25))*100,"")</f>
      </c>
      <c r="BE98">
        <f>IFERROR(($H98-$I98)/$F98*100,"")</f>
      </c>
      <c r="BF98">
        <f>IFERROR(-(($BA98-AVERAGE($BA$3:$BA$206))/STDEV($BA$3:$BA$206))-(($BE98-AVERAGE($BE$3:$BE$206))/STDEV($BE$3:$BE$206))-(($BB98-AVERAGE($BB$3:$BB$206))/STDEV($BB$3:$BB$206))-(($Z98-AVERAGE($Z$3:$Z$206))/STDEV($Z$3:$Z$206))-(($BC98-AVERAGE($BC$3:$BC$206))/STDEV($BC$3:$BC$206)),"")</f>
      </c>
      <c r="BG98">
        <f>IF(OR($C98="",$C98="TOPX",$BA98="",$BF98=""),0,IF(AND($BK$10=1,$BA98&lt;=$BK$2,$BB98&lt;=$BK$3,$BC98&lt;=$BK$4,$Z98&lt;=$BK$5,$Z98&gt;=$BK$6,$BD98&gt;=$BK$7,$BE98&lt;=$BK$8),1,0))</f>
      </c>
      <c r="BH98">
        <f>IF($C98="","",IF($BG98=1,"○ゲート通過",IF($BK$10&lt;&gt;1,"― この方向は停止中",IF($BA98&gt;$BK$2,"×値動きが荒い",IF($BB98&gt;$BK$3,"×レンジが広い",IF($BC98&gt;$BK$4,"×窓を開けて上昇",IF($Z98&gt;$BK$5,"×前日に急騰",IF($Z98&lt;$BK$6,"×前日に急落",IF($BD98&lt;$BK$7,"×高値から離れすぎ",IF($BE98&gt;$BK$8,"×当日の値幅が大きい","×")))))))))</f>
      </c>
    </row>
    <row r="99" spans="1:60"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IF(AND(E99&lt;&gt;"",K99&lt;&gt;"",K99&lt;&gt;0),(E99-K99)/K99*100,"")</f>
        <v>-7.4583211465340753</v>
      </c>
      <c r="M99" s="326">
        <f>IF(C99&lt;&gt;"",IFERROR(AVERAGE(出来高!E74:I74),""),"")</f>
        <v>2516960</v>
      </c>
      <c r="N99" s="326">
        <f>IF(C99&lt;&gt;"",IFERROR(AVERAGE(出来高!E74:AC74),""),"")</f>
        <v>2701416</v>
      </c>
      <c r="O99" s="328">
        <f>IF(AND(J99&lt;&gt;"",M99&lt;&gt;"",M99&lt;&gt;0),J99/M99,"")</f>
        <v>0.63437639056639761</v>
      </c>
      <c r="P99" s="325" t="str">
        <f>IF(O99="","",IF(O99&gt;=2,"急増↑↑",IF(O99&gt;=1.5,"増加↑",IF(O99&gt;=1,"普通→","減少↓"))))</f>
        <v>減少↓</v>
      </c>
      <c r="Q99" s="325" t="str">
        <f>IF(E99="","",IF(AND(E99&lt;G99,O99&gt;=1.5),"売り▼",IF(E99&gt;G99,"様子見▲","中立→")))</f>
        <v>様子見▲</v>
      </c>
      <c r="R99" s="326">
        <f>IF(E99&lt;&gt;"",ROUND(E99*0.92,0),"")</f>
        <v>2911</v>
      </c>
      <c r="S99" s="326">
        <f>IF(E99&lt;&gt;"",ROUND(E99*1.04,0),"")</f>
        <v>3291</v>
      </c>
      <c r="T99" s="325">
        <f>IF(C99="","",IFERROR(IF(W99&gt;=70,3,IF(W99&gt;=60,2,IF(W99&gt;=50,1,0)))+IF(X99&lt;0,2,0)+IF(AD99="下降トレンド▼",3,IF(AD99="もみ合い→",1,0))+IF(V99="年初来安値圏●",3,IF(V99="安値圏",2,0))+IF(Q99="売り▼",2,0)+IF(P99="急増↑↑",2,IF(P99="増加↑",1,0))+IF(Z99&lt;0,1,0)+IF(L99&lt;=-30,2,IF(L99&lt;=-15,1,0))+IF(AE99="25日戻り売り★",2,IF(AE99="5日戻り売り○",1,0))+N(AL99)+N(AP99)+N(AU99),0))</f>
        <v>0</v>
      </c>
      <c r="U99" s="325" t="str">
        <f>IF(T99="","",IF(AND(T99&gt;=3,O99&gt;=1.5),"有効",IF(T99&gt;=3,"要確認","除外")))</f>
        <v>除外</v>
      </c>
      <c r="V99" s="325" t="str">
        <f>IF(AND(I99&lt;&gt;"",K99&lt;&gt;""),IF(I99&lt;=K99*0.6,"年初来安値圏●",IF(I99&lt;=K99*0.75,"安値圏","通常")),"")</f>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IF(AF99="","",AF99&amp;" | "&amp;AD99&amp;IF(AE99&lt;&gt;"なし"," "&amp;AE99,"")&amp;IF(X99&lt;0," MACD-"," MACD+")&amp;" RSI:"&amp;TEXT(W99,"0.0")&amp;IF(W99&gt;=70," [過熱]",IF(W99&lt;=30," [売られ過ぎ]",""))&amp;" 前日比:"&amp;TEXT(Z99,"+0.0;-0.0;0.0")&amp;"%"&amp;IF(V99="年初来安値圏●"," [年初来安値圏]",IF(V99="安値圏"," [安値圏]",""))&amp;IF(OR(AO99="通常",AO99="-"),""," ["&amp;AO99&amp;"]")&amp;IF(OR(AT99="通常",AT99="-"),"","前日["&amp;AT99&amp;"]")&amp;" ["&amp;T99&amp;"点]")</f>
        <v>相場上昇・見送り | パーフェクト▲ MACD+ RSI:61.9 前日比:+0.4% [0点]</v>
      </c>
      <c r="Z99" s="331">
        <f>IF(AND(E99&lt;&gt;"",G99&lt;&gt;"",G99&lt;&gt;0),(E99-G99)/G99*100,"")</f>
        <v>0.41256743890828312</v>
      </c>
      <c r="AA99" s="325" t="str">
        <f>IF(OR(C99="",E99="",E99=0),"",IF(E99&gt;G99,"上昇▲",IF(E99&lt;G99,"下落▼","横ばい→")))</f>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IF(OR(C99="",AB99="",AC99="",AB99=0,AC99=0),"",IF(AND(E99&gt;AB99,AB99&gt;AC99),"パーフェクト▲",IF(E99&gt;AC99,"上昇トレンド▲",IF(AND(E99&lt;AB99,AB99&lt;AC99),"下降トレンド▼","もみ合い→"))))</f>
        <v>パーフェクト▲</v>
      </c>
      <c r="AE99" s="325" t="str">
        <f>IF(OR(C99="",AB99="",AC99=""),"",IF(AND(ABS(E99-AC99)/AC99&lt;=0.02,E99&lt;AC99),"25日戻り売り★",IF(AND(ABS(E99-AB99)/AB99&lt;=0.01,E99&lt;AB99),"5日戻り売り○","なし")))</f>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IF(AND(T99&gt;=7,C99&lt;&gt;""),T99,0)</f>
        <v>0</v>
      </c>
      <c r="AH99">
        <f>IF(AG99&gt;0,AG99*10000-ROW(A99),0)</f>
        <v>0</v>
      </c>
      <c r="AI99" s="373">
        <f t="array" ref="AI99">IF(C99="","",IFERROR((INDEX(終値!$E:$E,MATCH(TEXT(C99,"0"),終値!$A:$A,0))-INDEX(終値!$E:$CZ,MATCH(TEXT(C99,"0"),終値!$A:$A,0),$AN$2))/INDEX(終値!$E:$CZ,MATCH(TEXT(C99,"0"),終値!$A:$A,0),$AN$2)*100,""))</f>
        <v>7.0184339590732279</v>
      </c>
      <c r="AJ99" s="373">
        <f t="array" ref="AJ99">IFERROR((終値!$E$5-INDEX(終値!$E$5:$IT$5,1,$AN$2))/INDEX(終値!$E$5:$IT$5,1,$AN$2)*100,"")</f>
        <v>1.0179378228534113</v>
      </c>
      <c r="AK99" s="374">
        <f>IF(OR(AI99="",AJ99=""),"",AI99-AJ99)</f>
        <v>6.0004961362198168</v>
      </c>
      <c r="AL99" s="372">
        <f>IF(AK99="","",IF(AK99&lt;-5,3,IF(AK99&lt;0,1,IF(AK99&lt;3,-1,-2))))</f>
        <v>-2</v>
      </c>
      <c r="AO99" s="376" t="str">
        <f>IF(OR($C99="",$E99="",$F99="",$H99="",$I99="",$H99-$I99&lt;=0),"-",IF(AND($H99-MAX($F99,$E99)&gt;=ABS($E99-$F99)*2,MIN($F99,$E99)-$I99&lt;=ABS($E99-$F99)*0.5,ABS($E99-$F99)&gt;0),"上ヒゲ陰線▼",IF(AND($E99&lt;$F99,ABS($E99-$F99)&gt;=($H99-$I99)*0.7),"大陰線▼",IF(AND(MIN($F99,$E99)-$I99&gt;=($H99-$I99)*0.5,$H99-MAX($F99,$E99)&lt;=($H99-$I99)*0.2),"長い下ヒゲ(反発警戒)","通常"))))</f>
        <v>通常</v>
      </c>
      <c r="AP99" s="377">
        <f>IF($AO99="上ヒゲ陰線▼",2,IF($AO99="大陰線▼",2,IF($AO99="長い下ヒゲ(反発警戒)",-2,0)))</f>
        <v>0</v>
      </c>
      <c r="AQ99">
        <f>IF(C99&lt;&gt;"",始値!F74,"")</f>
        <v>3115</v>
      </c>
      <c r="AR99">
        <f>IF(C99&lt;&gt;"",高値!F74,"")</f>
        <v>3157</v>
      </c>
      <c r="AS99">
        <f>IF(C99&lt;&gt;"",安値!F74,"")</f>
        <v>3103</v>
      </c>
      <c r="AT99" t="str">
        <f>IF(OR(C99="",AQ99="",AR99="",AS99="",AR99-AS99&lt;=0),"-",IF(AND(AR99-MAX(G99,AQ99)&gt;=ABS(G99-AQ99)*2,MIN(G99,AQ99)-AS99&lt;=ABS(G99-AQ99)*0.5,ABS(G99-AQ99)&gt;0),"上ヒゲ陰線▼",IF(AND(G99&lt;AQ99,ABS(G99-AQ99)&gt;=(AR99-AS99)*0.7),"大陰線▼",IF(AND(MIN(G99,AQ99)-AS99&gt;=(AR99-AS99)*0.5,AR99-MAX(G99,AQ99)&lt;=(AR99-AS99)*0.2),"長い下ヒゲ(反発)","通常"))))</f>
        <v>通常</v>
      </c>
      <c r="AU99">
        <f>IF(AT99="上ヒゲ陰線▼",2,IF(AT99="大陰線▼",2,IF(AT99="長い下ヒゲ(反発)",-2,0)))</f>
        <v>0</v>
      </c>
      <c r="BA99">
        <f>IFERROR((SUM(OFFSET(高値!$E$6,IFERROR(MATCH($C99,銘柄管理!$B$6:$B$305,0),MATCH(TEXT($C99,"0"),銘柄管理!$B$6:$B$305,0))-1,0,1,14))-SUM(OFFSET(安値!$E$6,IFERROR(MATCH($C99,銘柄管理!$B$6:$B$305,0),MATCH(TEXT($C99,"0"),銘柄管理!$B$6:$B$305,0))-1,0,1,14)))/SUM(OFFSET(終値!$E$6,IFERROR(MATCH($C99,銘柄管理!$B$6:$B$305,0),MATCH(TEXT($C99,"0"),銘柄管理!$B$6:$B$305,0))-1,0,1,14))*100,"")</f>
      </c>
      <c r="BB99">
        <f>IFERROR((MAX(OFFSET(高値!$E$6,IFERROR(MATCH($C99,銘柄管理!$B$6:$B$305,0),MATCH(TEXT($C99,"0"),銘柄管理!$B$6:$B$305,0))-1,0,1,25))-MIN(OFFSET(安値!$E$6,IFERROR(MATCH($C99,銘柄管理!$B$6:$B$305,0),MATCH(TEXT($C99,"0"),銘柄管理!$B$6:$B$305,0))-1,0,1,25)))/$E99*100,"")</f>
      </c>
      <c r="BC99">
        <f>IFERROR(($F99-$G99)/$G99*100,"")</f>
      </c>
      <c r="BD99">
        <f>IFERROR(($E99-MAX(OFFSET(高値!$E$6,IFERROR(MATCH($C99,銘柄管理!$B$6:$B$305,0),MATCH(TEXT($C99,"0"),銘柄管理!$B$6:$B$305,0))-1,0,1,25)))/MAX(OFFSET(高値!$E$6,IFERROR(MATCH($C99,銘柄管理!$B$6:$B$305,0),MATCH(TEXT($C99,"0"),銘柄管理!$B$6:$B$305,0))-1,0,1,25))*100,"")</f>
      </c>
      <c r="BE99">
        <f>IFERROR(($H99-$I99)/$F99*100,"")</f>
      </c>
      <c r="BF99">
        <f>IFERROR(-(($BA99-AVERAGE($BA$3:$BA$206))/STDEV($BA$3:$BA$206))-(($BE99-AVERAGE($BE$3:$BE$206))/STDEV($BE$3:$BE$206))-(($BB99-AVERAGE($BB$3:$BB$206))/STDEV($BB$3:$BB$206))-(($Z99-AVERAGE($Z$3:$Z$206))/STDEV($Z$3:$Z$206))-(($BC99-AVERAGE($BC$3:$BC$206))/STDEV($BC$3:$BC$206)),"")</f>
      </c>
      <c r="BG99">
        <f>IF(OR($C99="",$C99="TOPX",$BA99="",$BF99=""),0,IF(AND($BK$10=1,$BA99&lt;=$BK$2,$BB99&lt;=$BK$3,$BC99&lt;=$BK$4,$Z99&lt;=$BK$5,$Z99&gt;=$BK$6,$BD99&gt;=$BK$7,$BE99&lt;=$BK$8),1,0))</f>
      </c>
      <c r="BH99">
        <f>IF($C99="","",IF($BG99=1,"○ゲート通過",IF($BK$10&lt;&gt;1,"― この方向は停止中",IF($BA99&gt;$BK$2,"×値動きが荒い",IF($BB99&gt;$BK$3,"×レンジが広い",IF($BC99&gt;$BK$4,"×窓を開けて上昇",IF($Z99&gt;$BK$5,"×前日に急騰",IF($Z99&lt;$BK$6,"×前日に急落",IF($BD99&lt;$BK$7,"×高値から離れすぎ",IF($BE99&gt;$BK$8,"×当日の値幅が大きい","×")))))))))</f>
      </c>
    </row>
    <row r="100" spans="1:60"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IF(AND(E100&lt;&gt;"",K100&lt;&gt;"",K100&lt;&gt;0),(E100-K100)/K100*100,"")</f>
        <v>-15.545353807186956</v>
      </c>
      <c r="M100" s="333">
        <f>IF(C100&lt;&gt;"",IFERROR(AVERAGE(出来高!E81:I81),""),"")</f>
        <v>1921380</v>
      </c>
      <c r="N100" s="333">
        <f>IF(C100&lt;&gt;"",IFERROR(AVERAGE(出来高!E81:AC81),""),"")</f>
        <v>1227704</v>
      </c>
      <c r="O100" s="335">
        <f>IF(AND(J100&lt;&gt;"",M100&lt;&gt;"",M100&lt;&gt;0),J100/M100,"")</f>
        <v>1.4677991860017279</v>
      </c>
      <c r="P100" s="212" t="str">
        <f>IF(O100="","",IF(O100&gt;=2,"急増↑↑",IF(O100&gt;=1.5,"増加↑",IF(O100&gt;=1,"普通→","減少↓"))))</f>
        <v>普通→</v>
      </c>
      <c r="Q100" s="212" t="str">
        <f>IF(E100="","",IF(AND(E100&lt;G100,O100&gt;=1.5),"売り▼",IF(E100&gt;G100,"様子見▲","中立→")))</f>
        <v>様子見▲</v>
      </c>
      <c r="R100" s="333">
        <f>IF(E100&lt;&gt;"",ROUND(E100*0.92,0),"")</f>
        <v>4908</v>
      </c>
      <c r="S100" s="333">
        <f>IF(E100&lt;&gt;"",ROUND(E100*1.04,0),"")</f>
        <v>5548</v>
      </c>
      <c r="T100" s="325">
        <f>IF(C100="","",IFERROR(IF(W100&gt;=70,3,IF(W100&gt;=60,2,IF(W100&gt;=50,1,0)))+IF(X100&lt;0,2,0)+IF(AD100="下降トレンド▼",3,IF(AD100="もみ合い→",1,0))+IF(V100="年初来安値圏●",3,IF(V100="安値圏",2,0))+IF(Q100="売り▼",2,0)+IF(P100="急増↑↑",2,IF(P100="増加↑",1,0))+IF(Z100&lt;0,1,0)+IF(L100&lt;=-30,2,IF(L100&lt;=-15,1,0))+IF(AE100="25日戻り売り★",2,IF(AE100="5日戻り売り○",1,0))+N(AL100)+N(AP100)+N(AU100),0))</f>
        <v>7</v>
      </c>
      <c r="U100" s="212" t="str">
        <f>IF(T100="","",IF(AND(T100&gt;=3,O100&gt;=1.5),"有効",IF(T100&gt;=3,"要確認","除外")))</f>
        <v>要確認</v>
      </c>
      <c r="V100" s="212" t="str">
        <f>IF(AND(I100&lt;&gt;"",K100&lt;&gt;""),IF(I100&lt;=K100*0.6,"年初来安値圏●",IF(I100&lt;=K100*0.75,"安値圏","通常")),"")</f>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IF(AF100="","",AF100&amp;" | "&amp;AD100&amp;IF(AE100&lt;&gt;"なし"," "&amp;AE100,"")&amp;IF(X100&lt;0," MACD-"," MACD+")&amp;" RSI:"&amp;TEXT(W100,"0.0")&amp;IF(W100&gt;=70," [過熱]",IF(W100&lt;=30," [売られ過ぎ]",""))&amp;" 前日比:"&amp;TEXT(Z100,"+0.0;-0.0;0.0")&amp;"%"&amp;IF(V100="年初来安値圏●"," [年初来安値圏]",IF(V100="安値圏"," [安値圏]",""))&amp;IF(OR(AO100="通常",AO100="-"),""," ["&amp;AO100&amp;"]")&amp;IF(OR(AT100="通常",AT100="-"),"","前日["&amp;AT100&amp;"]")&amp;" ["&amp;T100&amp;"点]")</f>
        <v>相場上昇・見送り | 下降トレンド▼ MACD+ RSI:43.3 前日比:+0.6% [7点]</v>
      </c>
      <c r="Z100" s="338">
        <f>IF(AND(E100&lt;&gt;"",G100&lt;&gt;"",G100&lt;&gt;0),(E100-G100)/G100*100,"")</f>
        <v>0.62240663900414939</v>
      </c>
      <c r="AA100" s="212" t="str">
        <f>IF(OR(C100="",E100="",E100=0),"",IF(E100&gt;G100,"上昇▲",IF(E100&lt;G100,"下落▼","横ばい→")))</f>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IF(OR(C100="",AB100="",AC100="",AB100=0,AC100=0),"",IF(AND(E100&gt;AB100,AB100&gt;AC100),"パーフェクト▲",IF(E100&gt;AC100,"上昇トレンド▲",IF(AND(E100&lt;AB100,AB100&lt;AC100),"下降トレンド▼","もみ合い→"))))</f>
        <v>下降トレンド▼</v>
      </c>
      <c r="AE100" s="212" t="str">
        <f>IF(OR(C100="",AB100="",AC100=""),"",IF(AND(ABS(E100-AC100)/AC100&lt;=0.02,E100&lt;AC100),"25日戻り売り★",IF(AND(ABS(E100-AB100)/AB100&lt;=0.01,E100&lt;AB100),"5日戻り売り○","なし")))</f>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IF(AND(T100&gt;=7,C100&lt;&gt;""),T100,0)</f>
        <v>7</v>
      </c>
      <c r="AH100">
        <f>IF(AG100&gt;0,AG100*10000-ROW(A100),0)</f>
        <v>69900</v>
      </c>
      <c r="AI100" s="373">
        <f t="array" ref="AI100">IF(C100="","",IFERROR((INDEX(終値!$E:$E,MATCH(TEXT(C100,"0"),終値!$A:$A,0))-INDEX(終値!$E:$CZ,MATCH(TEXT(C100,"0"),終値!$A:$A,0),$AN$2))/INDEX(終値!$E:$CZ,MATCH(TEXT(C100,"0"),終値!$A:$A,0),$AN$2)*100,""))</f>
        <v>-6.6328316415820794</v>
      </c>
      <c r="AJ100" s="373">
        <f t="array" ref="AJ100">IFERROR((終値!$E$5-INDEX(終値!$E$5:$IT$5,1,$AN$2))/INDEX(終値!$E$5:$IT$5,1,$AN$2)*100,"")</f>
        <v>1.0179378228534113</v>
      </c>
      <c r="AK100" s="374">
        <f>IF(OR(AI100="",AJ100=""),"",AI100-AJ100)</f>
        <v>-7.6507694644354904</v>
      </c>
      <c r="AL100" s="372">
        <f>IF(AK100="","",IF(AK100&lt;-5,3,IF(AK100&lt;0,1,IF(AK100&lt;3,-1,-2))))</f>
        <v>3</v>
      </c>
      <c r="AO100" s="376" t="str">
        <f>IF(OR($C100="",$E100="",$F100="",$H100="",$I100="",$H100-$I100&lt;=0),"-",IF(AND($H100-MAX($F100,$E100)&gt;=ABS($E100-$F100)*2,MIN($F100,$E100)-$I100&lt;=ABS($E100-$F100)*0.5,ABS($E100-$F100)&gt;0),"上ヒゲ陰線▼",IF(AND($E100&lt;$F100,ABS($E100-$F100)&gt;=($H100-$I100)*0.7),"大陰線▼",IF(AND(MIN($F100,$E100)-$I100&gt;=($H100-$I100)*0.5,$H100-MAX($F100,$E100)&lt;=($H100-$I100)*0.2),"長い下ヒゲ(反発警戒)","通常"))))</f>
        <v>通常</v>
      </c>
      <c r="AP100" s="377">
        <f>IF($AO100="上ヒゲ陰線▼",2,IF($AO100="大陰線▼",2,IF($AO100="長い下ヒゲ(反発警戒)",-2,0)))</f>
        <v>0</v>
      </c>
      <c r="AQ100">
        <f>IF(C100&lt;&gt;"",始値!F81,"")</f>
        <v>5460</v>
      </c>
      <c r="AR100">
        <f>IF(C100&lt;&gt;"",高値!F81,"")</f>
        <v>5581</v>
      </c>
      <c r="AS100">
        <f>IF(C100&lt;&gt;"",安値!F81,"")</f>
        <v>5253</v>
      </c>
      <c r="AT100" t="str">
        <f>IF(OR(C100="",AQ100="",AR100="",AS100="",AR100-AS100&lt;=0),"-",IF(AND(AR100-MAX(G100,AQ100)&gt;=ABS(G100-AQ100)*2,MIN(G100,AQ100)-AS100&lt;=ABS(G100-AQ100)*0.5,ABS(G100-AQ100)&gt;0),"上ヒゲ陰線▼",IF(AND(G100&lt;AQ100,ABS(G100-AQ100)&gt;=(AR100-AS100)*0.7),"大陰線▼",IF(AND(MIN(G100,AQ100)-AS100&gt;=(AR100-AS100)*0.5,AR100-MAX(G100,AQ100)&lt;=(AR100-AS100)*0.2),"長い下ヒゲ(反発)","通常"))))</f>
        <v>通常</v>
      </c>
      <c r="AU100">
        <f>IF(AT100="上ヒゲ陰線▼",2,IF(AT100="大陰線▼",2,IF(AT100="長い下ヒゲ(反発)",-2,0)))</f>
        <v>0</v>
      </c>
      <c r="BA100">
        <f>IFERROR((SUM(OFFSET(高値!$E$6,IFERROR(MATCH($C100,銘柄管理!$B$6:$B$305,0),MATCH(TEXT($C100,"0"),銘柄管理!$B$6:$B$305,0))-1,0,1,14))-SUM(OFFSET(安値!$E$6,IFERROR(MATCH($C100,銘柄管理!$B$6:$B$305,0),MATCH(TEXT($C100,"0"),銘柄管理!$B$6:$B$305,0))-1,0,1,14)))/SUM(OFFSET(終値!$E$6,IFERROR(MATCH($C100,銘柄管理!$B$6:$B$305,0),MATCH(TEXT($C100,"0"),銘柄管理!$B$6:$B$305,0))-1,0,1,14))*100,"")</f>
      </c>
      <c r="BB100">
        <f>IFERROR((MAX(OFFSET(高値!$E$6,IFERROR(MATCH($C100,銘柄管理!$B$6:$B$305,0),MATCH(TEXT($C100,"0"),銘柄管理!$B$6:$B$305,0))-1,0,1,25))-MIN(OFFSET(安値!$E$6,IFERROR(MATCH($C100,銘柄管理!$B$6:$B$305,0),MATCH(TEXT($C100,"0"),銘柄管理!$B$6:$B$305,0))-1,0,1,25)))/$E100*100,"")</f>
      </c>
      <c r="BC100">
        <f>IFERROR(($F100-$G100)/$G100*100,"")</f>
      </c>
      <c r="BD100">
        <f>IFERROR(($E100-MAX(OFFSET(高値!$E$6,IFERROR(MATCH($C100,銘柄管理!$B$6:$B$305,0),MATCH(TEXT($C100,"0"),銘柄管理!$B$6:$B$305,0))-1,0,1,25)))/MAX(OFFSET(高値!$E$6,IFERROR(MATCH($C100,銘柄管理!$B$6:$B$305,0),MATCH(TEXT($C100,"0"),銘柄管理!$B$6:$B$305,0))-1,0,1,25))*100,"")</f>
      </c>
      <c r="BE100">
        <f>IFERROR(($H100-$I100)/$F100*100,"")</f>
      </c>
      <c r="BF100">
        <f>IFERROR(-(($BA100-AVERAGE($BA$3:$BA$206))/STDEV($BA$3:$BA$206))-(($BE100-AVERAGE($BE$3:$BE$206))/STDEV($BE$3:$BE$206))-(($BB100-AVERAGE($BB$3:$BB$206))/STDEV($BB$3:$BB$206))-(($Z100-AVERAGE($Z$3:$Z$206))/STDEV($Z$3:$Z$206))-(($BC100-AVERAGE($BC$3:$BC$206))/STDEV($BC$3:$BC$206)),"")</f>
      </c>
      <c r="BG100">
        <f>IF(OR($C100="",$C100="TOPX",$BA100="",$BF100=""),0,IF(AND($BK$10=1,$BA100&lt;=$BK$2,$BB100&lt;=$BK$3,$BC100&lt;=$BK$4,$Z100&lt;=$BK$5,$Z100&gt;=$BK$6,$BD100&gt;=$BK$7,$BE100&lt;=$BK$8),1,0))</f>
      </c>
      <c r="BH100">
        <f>IF($C100="","",IF($BG100=1,"○ゲート通過",IF($BK$10&lt;&gt;1,"― この方向は停止中",IF($BA100&gt;$BK$2,"×値動きが荒い",IF($BB100&gt;$BK$3,"×レンジが広い",IF($BC100&gt;$BK$4,"×窓を開けて上昇",IF($Z100&gt;$BK$5,"×前日に急騰",IF($Z100&lt;$BK$6,"×前日に急落",IF($BD100&lt;$BK$7,"×高値から離れすぎ",IF($BE100&gt;$BK$8,"×当日の値幅が大きい","×")))))))))</f>
      </c>
    </row>
    <row r="101" spans="1:60"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IF(AND(E101&lt;&gt;"",K101&lt;&gt;"",K101&lt;&gt;0),(E101-K101)/K101*100,"")</f>
        <v>2.6805424156417534</v>
      </c>
      <c r="M101" s="326">
        <f>IF(C101&lt;&gt;"",IFERROR(AVERAGE(出来高!E82:I82),""),"")</f>
        <v>3550420</v>
      </c>
      <c r="N101" s="326">
        <f>IF(C101&lt;&gt;"",IFERROR(AVERAGE(出来高!E82:AC82),""),"")</f>
        <v>3110808</v>
      </c>
      <c r="O101" s="328">
        <f>IF(AND(J101&lt;&gt;"",M101&lt;&gt;"",M101&lt;&gt;0),J101/M101,"")</f>
        <v>1.3438973417229512</v>
      </c>
      <c r="P101" s="325" t="str">
        <f>IF(O101="","",IF(O101&gt;=2,"急増↑↑",IF(O101&gt;=1.5,"増加↑",IF(O101&gt;=1,"普通→","減少↓"))))</f>
        <v>普通→</v>
      </c>
      <c r="Q101" s="325" t="str">
        <f>IF(E101="","",IF(AND(E101&lt;G101,O101&gt;=1.5),"売り▼",IF(E101&gt;G101,"様子見▲","中立→")))</f>
        <v>様子見▲</v>
      </c>
      <c r="R101" s="326">
        <f>IF(E101&lt;&gt;"",ROUND(E101*0.92,0),"")</f>
        <v>1498</v>
      </c>
      <c r="S101" s="326">
        <f>IF(E101&lt;&gt;"",ROUND(E101*1.04,0),"")</f>
        <v>1693</v>
      </c>
      <c r="T101" s="325">
        <f>IF(C101="","",IFERROR(IF(W101&gt;=70,3,IF(W101&gt;=60,2,IF(W101&gt;=50,1,0)))+IF(X101&lt;0,2,0)+IF(AD101="下降トレンド▼",3,IF(AD101="もみ合い→",1,0))+IF(V101="年初来安値圏●",3,IF(V101="安値圏",2,0))+IF(Q101="売り▼",2,0)+IF(P101="急増↑↑",2,IF(P101="増加↑",1,0))+IF(Z101&lt;0,1,0)+IF(L101&lt;=-30,2,IF(L101&lt;=-15,1,0))+IF(AE101="25日戻り売り★",2,IF(AE101="5日戻り売り○",1,0))+N(AL101)+N(AP101)+N(AU101),0))</f>
        <v>-2</v>
      </c>
      <c r="U101" s="325" t="str">
        <f>IF(T101="","",IF(AND(T101&gt;=3,O101&gt;=1.5),"有効",IF(T101&gt;=3,"要確認","除外")))</f>
        <v>除外</v>
      </c>
      <c r="V101" s="325" t="str">
        <f>IF(AND(I101&lt;&gt;"",K101&lt;&gt;""),IF(I101&lt;=K101*0.6,"年初来安値圏●",IF(I101&lt;=K101*0.75,"安値圏","通常")),"")</f>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IF(AF101="","",AF101&amp;" | "&amp;AD101&amp;IF(AE101&lt;&gt;"なし"," "&amp;AE101,"")&amp;IF(X101&lt;0," MACD-"," MACD+")&amp;" RSI:"&amp;TEXT(W101,"0.0")&amp;IF(W101&gt;=70," [過熱]",IF(W101&lt;=30," [売られ過ぎ]",""))&amp;" 前日比:"&amp;TEXT(Z101,"+0.0;-0.0;0.0")&amp;"%"&amp;IF(V101="年初来安値圏●"," [年初来安値圏]",IF(V101="安値圏"," [安値圏]",""))&amp;IF(OR(AO101="通常",AO101="-"),""," ["&amp;AO101&amp;"]")&amp;IF(OR(AT101="通常",AT101="-"),"","前日["&amp;AT101&amp;"]")&amp;" ["&amp;T101&amp;"点]")</f>
        <v>相場上昇・見送り | パーフェクト▲ MACD+ RSI:48.8 前日比:+7.0% [-2点]</v>
      </c>
      <c r="Z101" s="331">
        <f>IF(AND(E101&lt;&gt;"",G101&lt;&gt;"",G101&lt;&gt;0),(E101-G101)/G101*100,"")</f>
        <v>6.9645203679369247</v>
      </c>
      <c r="AA101" s="325" t="str">
        <f>IF(OR(C101="",E101="",E101=0),"",IF(E101&gt;G101,"上昇▲",IF(E101&lt;G101,"下落▼","横ばい→")))</f>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IF(OR(C101="",AB101="",AC101="",AB101=0,AC101=0),"",IF(AND(E101&gt;AB101,AB101&gt;AC101),"パーフェクト▲",IF(E101&gt;AC101,"上昇トレンド▲",IF(AND(E101&lt;AB101,AB101&lt;AC101),"下降トレンド▼","もみ合い→"))))</f>
        <v>パーフェクト▲</v>
      </c>
      <c r="AE101" s="325" t="str">
        <f>IF(OR(C101="",AB101="",AC101=""),"",IF(AND(ABS(E101-AC101)/AC101&lt;=0.02,E101&lt;AC101),"25日戻り売り★",IF(AND(ABS(E101-AB101)/AB101&lt;=0.01,E101&lt;AB101),"5日戻り売り○","なし")))</f>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IF(AND(T101&gt;=7,C101&lt;&gt;""),T101,0)</f>
        <v>0</v>
      </c>
      <c r="AH101">
        <f>IF(AG101&gt;0,AG101*10000-ROW(A101),0)</f>
        <v>0</v>
      </c>
      <c r="AI101" s="373">
        <f t="array" ref="AI101">IF(C101="","",IFERROR((INDEX(終値!$E:$E,MATCH(TEXT(C101,"0"),終値!$A:$A,0))-INDEX(終値!$E:$CZ,MATCH(TEXT(C101,"0"),終値!$A:$A,0),$AN$2))/INDEX(終値!$E:$CZ,MATCH(TEXT(C101,"0"),終値!$A:$A,0),$AN$2)*100,""))</f>
        <v>13.726859937128886</v>
      </c>
      <c r="AJ101" s="373">
        <f t="array" ref="AJ101">IFERROR((終値!$E$5-INDEX(終値!$E$5:$IT$5,1,$AN$2))/INDEX(終値!$E$5:$IT$5,1,$AN$2)*100,"")</f>
        <v>1.0179378228534113</v>
      </c>
      <c r="AK101" s="374">
        <f>IF(OR(AI101="",AJ101=""),"",AI101-AJ101)</f>
        <v>12.708922114275474</v>
      </c>
      <c r="AL101" s="372">
        <f>IF(AK101="","",IF(AK101&lt;-5,3,IF(AK101&lt;0,1,IF(AK101&lt;3,-1,-2))))</f>
        <v>-2</v>
      </c>
      <c r="AO101" s="376" t="str">
        <f>IF(OR($C101="",$E101="",$F101="",$H101="",$I101="",$H101-$I101&lt;=0),"-",IF(AND($H101-MAX($F101,$E101)&gt;=ABS($E101-$F101)*2,MIN($F101,$E101)-$I101&lt;=ABS($E101-$F101)*0.5,ABS($E101-$F101)&gt;0),"上ヒゲ陰線▼",IF(AND($E101&lt;$F101,ABS($E101-$F101)&gt;=($H101-$I101)*0.7),"大陰線▼",IF(AND(MIN($F101,$E101)-$I101&gt;=($H101-$I101)*0.5,$H101-MAX($F101,$E101)&lt;=($H101-$I101)*0.2),"長い下ヒゲ(反発警戒)","通常"))))</f>
        <v>通常</v>
      </c>
      <c r="AP101" s="377">
        <f>IF($AO101="上ヒゲ陰線▼",2,IF($AO101="大陰線▼",2,IF($AO101="長い下ヒゲ(反発警戒)",-2,0)))</f>
        <v>0</v>
      </c>
      <c r="AQ101">
        <f>IF(C101&lt;&gt;"",始値!F82,"")</f>
        <v>1490</v>
      </c>
      <c r="AR101">
        <f>IF(C101&lt;&gt;"",高値!F82,"")</f>
        <v>1522</v>
      </c>
      <c r="AS101">
        <f>IF(C101&lt;&gt;"",安値!F82,"")</f>
        <v>1479</v>
      </c>
      <c r="AT101" t="str">
        <f>IF(OR(C101="",AQ101="",AR101="",AS101="",AR101-AS101&lt;=0),"-",IF(AND(AR101-MAX(G101,AQ101)&gt;=ABS(G101-AQ101)*2,MIN(G101,AQ101)-AS101&lt;=ABS(G101-AQ101)*0.5,ABS(G101-AQ101)&gt;0),"上ヒゲ陰線▼",IF(AND(G101&lt;AQ101,ABS(G101-AQ101)&gt;=(AR101-AS101)*0.7),"大陰線▼",IF(AND(MIN(G101,AQ101)-AS101&gt;=(AR101-AS101)*0.5,AR101-MAX(G101,AQ101)&lt;=(AR101-AS101)*0.2),"長い下ヒゲ(反発)","通常"))))</f>
        <v>通常</v>
      </c>
      <c r="AU101">
        <f>IF(AT101="上ヒゲ陰線▼",2,IF(AT101="大陰線▼",2,IF(AT101="長い下ヒゲ(反発)",-2,0)))</f>
        <v>0</v>
      </c>
      <c r="BA101">
        <f>IFERROR((SUM(OFFSET(高値!$E$6,IFERROR(MATCH($C101,銘柄管理!$B$6:$B$305,0),MATCH(TEXT($C101,"0"),銘柄管理!$B$6:$B$305,0))-1,0,1,14))-SUM(OFFSET(安値!$E$6,IFERROR(MATCH($C101,銘柄管理!$B$6:$B$305,0),MATCH(TEXT($C101,"0"),銘柄管理!$B$6:$B$305,0))-1,0,1,14)))/SUM(OFFSET(終値!$E$6,IFERROR(MATCH($C101,銘柄管理!$B$6:$B$305,0),MATCH(TEXT($C101,"0"),銘柄管理!$B$6:$B$305,0))-1,0,1,14))*100,"")</f>
      </c>
      <c r="BB101">
        <f>IFERROR((MAX(OFFSET(高値!$E$6,IFERROR(MATCH($C101,銘柄管理!$B$6:$B$305,0),MATCH(TEXT($C101,"0"),銘柄管理!$B$6:$B$305,0))-1,0,1,25))-MIN(OFFSET(安値!$E$6,IFERROR(MATCH($C101,銘柄管理!$B$6:$B$305,0),MATCH(TEXT($C101,"0"),銘柄管理!$B$6:$B$305,0))-1,0,1,25)))/$E101*100,"")</f>
      </c>
      <c r="BC101">
        <f>IFERROR(($F101-$G101)/$G101*100,"")</f>
      </c>
      <c r="BD101">
        <f>IFERROR(($E101-MAX(OFFSET(高値!$E$6,IFERROR(MATCH($C101,銘柄管理!$B$6:$B$305,0),MATCH(TEXT($C101,"0"),銘柄管理!$B$6:$B$305,0))-1,0,1,25)))/MAX(OFFSET(高値!$E$6,IFERROR(MATCH($C101,銘柄管理!$B$6:$B$305,0),MATCH(TEXT($C101,"0"),銘柄管理!$B$6:$B$305,0))-1,0,1,25))*100,"")</f>
      </c>
      <c r="BE101">
        <f>IFERROR(($H101-$I101)/$F101*100,"")</f>
      </c>
      <c r="BF101">
        <f>IFERROR(-(($BA101-AVERAGE($BA$3:$BA$206))/STDEV($BA$3:$BA$206))-(($BE101-AVERAGE($BE$3:$BE$206))/STDEV($BE$3:$BE$206))-(($BB101-AVERAGE($BB$3:$BB$206))/STDEV($BB$3:$BB$206))-(($Z101-AVERAGE($Z$3:$Z$206))/STDEV($Z$3:$Z$206))-(($BC101-AVERAGE($BC$3:$BC$206))/STDEV($BC$3:$BC$206)),"")</f>
      </c>
      <c r="BG101">
        <f>IF(OR($C101="",$C101="TOPX",$BA101="",$BF101=""),0,IF(AND($BK$10=1,$BA101&lt;=$BK$2,$BB101&lt;=$BK$3,$BC101&lt;=$BK$4,$Z101&lt;=$BK$5,$Z101&gt;=$BK$6,$BD101&gt;=$BK$7,$BE101&lt;=$BK$8),1,0))</f>
      </c>
      <c r="BH101">
        <f>IF($C101="","",IF($BG101=1,"○ゲート通過",IF($BK$10&lt;&gt;1,"― この方向は停止中",IF($BA101&gt;$BK$2,"×値動きが荒い",IF($BB101&gt;$BK$3,"×レンジが広い",IF($BC101&gt;$BK$4,"×窓を開けて上昇",IF($Z101&gt;$BK$5,"×前日に急騰",IF($Z101&lt;$BK$6,"×前日に急落",IF($BD101&lt;$BK$7,"×高値から離れすぎ",IF($BE101&gt;$BK$8,"×当日の値幅が大きい","×")))))))))</f>
      </c>
    </row>
    <row r="102" spans="1:60"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IF(AND(E102&lt;&gt;"",K102&lt;&gt;"",K102&lt;&gt;0),(E102-K102)/K102*100,"")</f>
        <v>-6.7243867243867248</v>
      </c>
      <c r="M102" s="333">
        <f>IF(C102&lt;&gt;"",IFERROR(AVERAGE(出来高!E85:I85),""),"")</f>
        <v>7322700</v>
      </c>
      <c r="N102" s="333">
        <f>IF(C102&lt;&gt;"",IFERROR(AVERAGE(出来高!E85:AC85),""),"")</f>
        <v>6567544</v>
      </c>
      <c r="O102" s="335">
        <f>IF(AND(J102&lt;&gt;"",M102&lt;&gt;"",M102&lt;&gt;0),J102/M102,"")</f>
        <v>0.71427205812063854</v>
      </c>
      <c r="P102" s="212" t="str">
        <f>IF(O102="","",IF(O102&gt;=2,"急増↑↑",IF(O102&gt;=1.5,"増加↑",IF(O102&gt;=1,"普通→","減少↓"))))</f>
        <v>減少↓</v>
      </c>
      <c r="Q102" s="212" t="str">
        <f>IF(E102="","",IF(AND(E102&lt;G102,O102&gt;=1.5),"売り▼",IF(E102&gt;G102,"様子見▲","中立→")))</f>
        <v>様子見▲</v>
      </c>
      <c r="R102" s="333">
        <f>IF(E102&lt;&gt;"",ROUND(E102*0.92,0),"")</f>
        <v>2973</v>
      </c>
      <c r="S102" s="333">
        <f>IF(E102&lt;&gt;"",ROUND(E102*1.04,0),"")</f>
        <v>3361</v>
      </c>
      <c r="T102" s="325">
        <f>IF(C102="","",IFERROR(IF(W102&gt;=70,3,IF(W102&gt;=60,2,IF(W102&gt;=50,1,0)))+IF(X102&lt;0,2,0)+IF(AD102="下降トレンド▼",3,IF(AD102="もみ合い→",1,0))+IF(V102="年初来安値圏●",3,IF(V102="安値圏",2,0))+IF(Q102="売り▼",2,0)+IF(P102="急増↑↑",2,IF(P102="増加↑",1,0))+IF(Z102&lt;0,1,0)+IF(L102&lt;=-30,2,IF(L102&lt;=-15,1,0))+IF(AE102="25日戻り売り★",2,IF(AE102="5日戻り売り○",1,0))+N(AL102)+N(AP102)+N(AU102),0))</f>
        <v>3</v>
      </c>
      <c r="U102" s="212" t="str">
        <f>IF(T102="","",IF(AND(T102&gt;=3,O102&gt;=1.5),"有効",IF(T102&gt;=3,"要確認","除外")))</f>
        <v>要確認</v>
      </c>
      <c r="V102" s="212" t="str">
        <f>IF(AND(I102&lt;&gt;"",K102&lt;&gt;""),IF(I102&lt;=K102*0.6,"年初来安値圏●",IF(I102&lt;=K102*0.75,"安値圏","通常")),"")</f>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IF(AF102="","",AF102&amp;" | "&amp;AD102&amp;IF(AE102&lt;&gt;"なし"," "&amp;AE102,"")&amp;IF(X102&lt;0," MACD-"," MACD+")&amp;" RSI:"&amp;TEXT(W102,"0.0")&amp;IF(W102&gt;=70," [過熱]",IF(W102&lt;=30," [売られ過ぎ]",""))&amp;" 前日比:"&amp;TEXT(Z102,"+0.0;-0.0;0.0")&amp;"%"&amp;IF(V102="年初来安値圏●"," [年初来安値圏]",IF(V102="安値圏"," [安値圏]",""))&amp;IF(OR(AO102="通常",AO102="-"),""," ["&amp;AO102&amp;"]")&amp;IF(OR(AT102="通常",AT102="-"),"","前日["&amp;AT102&amp;"]")&amp;" ["&amp;T102&amp;"点]")</f>
        <v>○逆張り売り | もみ合い→ 25日戻り売り★ MACD- RSI:42.3 前日比:+1.0% [3点]</v>
      </c>
      <c r="Z102" s="338">
        <f>IF(AND(E102&lt;&gt;"",G102&lt;&gt;"",G102&lt;&gt;0),(E102-G102)/G102*100,"")</f>
        <v>1</v>
      </c>
      <c r="AA102" s="212" t="str">
        <f>IF(OR(C102="",E102="",E102=0),"",IF(E102&gt;G102,"上昇▲",IF(E102&lt;G102,"下落▼","横ばい→")))</f>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IF(OR(C102="",AB102="",AC102="",AB102=0,AC102=0),"",IF(AND(E102&gt;AB102,AB102&gt;AC102),"パーフェクト▲",IF(E102&gt;AC102,"上昇トレンド▲",IF(AND(E102&lt;AB102,AB102&lt;AC102),"下降トレンド▼","もみ合い→"))))</f>
        <v>もみ合い→</v>
      </c>
      <c r="AE102" s="212" t="str">
        <f>IF(OR(C102="",AB102="",AC102=""),"",IF(AND(ABS(E102-AC102)/AC102&lt;=0.02,E102&lt;AC102),"25日戻り売り★",IF(AND(ABS(E102-AB102)/AB102&lt;=0.01,E102&lt;AB102),"5日戻り売り○","なし")))</f>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IF(AND(T102&gt;=7,C102&lt;&gt;""),T102,0)</f>
        <v>0</v>
      </c>
      <c r="AH102">
        <f>IF(AG102&gt;0,AG102*10000-ROW(A102),0)</f>
        <v>0</v>
      </c>
      <c r="AI102" s="373">
        <f t="array" ref="AI102">IF(C102="","",IFERROR((INDEX(終値!$E:$E,MATCH(TEXT(C102,"0"),終値!$A:$A,0))-INDEX(終値!$E:$CZ,MATCH(TEXT(C102,"0"),終値!$A:$A,0),$AN$2))/INDEX(終値!$E:$CZ,MATCH(TEXT(C102,"0"),終値!$A:$A,0),$AN$2)*100,""))</f>
        <v>4.697116942014901</v>
      </c>
      <c r="AJ102" s="373">
        <f t="array" ref="AJ102">IFERROR((終値!$E$5-INDEX(終値!$E$5:$IT$5,1,$AN$2))/INDEX(終値!$E$5:$IT$5,1,$AN$2)*100,"")</f>
        <v>1.0179378228534113</v>
      </c>
      <c r="AK102" s="374">
        <f>IF(OR(AI102="",AJ102=""),"",AI102-AJ102)</f>
        <v>3.67917911916149</v>
      </c>
      <c r="AL102" s="372">
        <f>IF(AK102="","",IF(AK102&lt;-5,3,IF(AK102&lt;0,1,IF(AK102&lt;3,-1,-2))))</f>
        <v>-2</v>
      </c>
      <c r="AO102" s="376" t="str">
        <f>IF(OR($C102="",$E102="",$F102="",$H102="",$I102="",$H102-$I102&lt;=0),"-",IF(AND($H102-MAX($F102,$E102)&gt;=ABS($E102-$F102)*2,MIN($F102,$E102)-$I102&lt;=ABS($E102-$F102)*0.5,ABS($E102-$F102)&gt;0),"上ヒゲ陰線▼",IF(AND($E102&lt;$F102,ABS($E102-$F102)&gt;=($H102-$I102)*0.7),"大陰線▼",IF(AND(MIN($F102,$E102)-$I102&gt;=($H102-$I102)*0.5,$H102-MAX($F102,$E102)&lt;=($H102-$I102)*0.2),"長い下ヒゲ(反発警戒)","通常"))))</f>
        <v>通常</v>
      </c>
      <c r="AP102" s="377">
        <f>IF($AO102="上ヒゲ陰線▼",2,IF($AO102="大陰線▼",2,IF($AO102="長い下ヒゲ(反発警戒)",-2,0)))</f>
        <v>0</v>
      </c>
      <c r="AQ102">
        <f>IF(C102&lt;&gt;"",始値!F85,"")</f>
        <v>3127</v>
      </c>
      <c r="AR102">
        <f>IF(C102&lt;&gt;"",高値!F85,"")</f>
        <v>3200</v>
      </c>
      <c r="AS102">
        <f>IF(C102&lt;&gt;"",安値!F85,"")</f>
        <v>3081</v>
      </c>
      <c r="AT102" t="str">
        <f>IF(OR(C102="",AQ102="",AR102="",AS102="",AR102-AS102&lt;=0),"-",IF(AND(AR102-MAX(G102,AQ102)&gt;=ABS(G102-AQ102)*2,MIN(G102,AQ102)-AS102&lt;=ABS(G102-AQ102)*0.5,ABS(G102-AQ102)&gt;0),"上ヒゲ陰線▼",IF(AND(G102&lt;AQ102,ABS(G102-AQ102)&gt;=(AR102-AS102)*0.7),"大陰線▼",IF(AND(MIN(G102,AQ102)-AS102&gt;=(AR102-AS102)*0.5,AR102-MAX(G102,AQ102)&lt;=(AR102-AS102)*0.2),"長い下ヒゲ(反発)","通常"))))</f>
        <v>通常</v>
      </c>
      <c r="AU102">
        <f>IF(AT102="上ヒゲ陰線▼",2,IF(AT102="大陰線▼",2,IF(AT102="長い下ヒゲ(反発)",-2,0)))</f>
        <v>0</v>
      </c>
      <c r="BA102">
        <f>IFERROR((SUM(OFFSET(高値!$E$6,IFERROR(MATCH($C102,銘柄管理!$B$6:$B$305,0),MATCH(TEXT($C102,"0"),銘柄管理!$B$6:$B$305,0))-1,0,1,14))-SUM(OFFSET(安値!$E$6,IFERROR(MATCH($C102,銘柄管理!$B$6:$B$305,0),MATCH(TEXT($C102,"0"),銘柄管理!$B$6:$B$305,0))-1,0,1,14)))/SUM(OFFSET(終値!$E$6,IFERROR(MATCH($C102,銘柄管理!$B$6:$B$305,0),MATCH(TEXT($C102,"0"),銘柄管理!$B$6:$B$305,0))-1,0,1,14))*100,"")</f>
      </c>
      <c r="BB102">
        <f>IFERROR((MAX(OFFSET(高値!$E$6,IFERROR(MATCH($C102,銘柄管理!$B$6:$B$305,0),MATCH(TEXT($C102,"0"),銘柄管理!$B$6:$B$305,0))-1,0,1,25))-MIN(OFFSET(安値!$E$6,IFERROR(MATCH($C102,銘柄管理!$B$6:$B$305,0),MATCH(TEXT($C102,"0"),銘柄管理!$B$6:$B$305,0))-1,0,1,25)))/$E102*100,"")</f>
      </c>
      <c r="BC102">
        <f>IFERROR(($F102-$G102)/$G102*100,"")</f>
      </c>
      <c r="BD102">
        <f>IFERROR(($E102-MAX(OFFSET(高値!$E$6,IFERROR(MATCH($C102,銘柄管理!$B$6:$B$305,0),MATCH(TEXT($C102,"0"),銘柄管理!$B$6:$B$305,0))-1,0,1,25)))/MAX(OFFSET(高値!$E$6,IFERROR(MATCH($C102,銘柄管理!$B$6:$B$305,0),MATCH(TEXT($C102,"0"),銘柄管理!$B$6:$B$305,0))-1,0,1,25))*100,"")</f>
      </c>
      <c r="BE102">
        <f>IFERROR(($H102-$I102)/$F102*100,"")</f>
      </c>
      <c r="BF102">
        <f>IFERROR(-(($BA102-AVERAGE($BA$3:$BA$206))/STDEV($BA$3:$BA$206))-(($BE102-AVERAGE($BE$3:$BE$206))/STDEV($BE$3:$BE$206))-(($BB102-AVERAGE($BB$3:$BB$206))/STDEV($BB$3:$BB$206))-(($Z102-AVERAGE($Z$3:$Z$206))/STDEV($Z$3:$Z$206))-(($BC102-AVERAGE($BC$3:$BC$206))/STDEV($BC$3:$BC$206)),"")</f>
      </c>
      <c r="BG102">
        <f>IF(OR($C102="",$C102="TOPX",$BA102="",$BF102=""),0,IF(AND($BK$10=1,$BA102&lt;=$BK$2,$BB102&lt;=$BK$3,$BC102&lt;=$BK$4,$Z102&lt;=$BK$5,$Z102&gt;=$BK$6,$BD102&gt;=$BK$7,$BE102&lt;=$BK$8),1,0))</f>
      </c>
      <c r="BH102">
        <f>IF($C102="","",IF($BG102=1,"○ゲート通過",IF($BK$10&lt;&gt;1,"― この方向は停止中",IF($BA102&gt;$BK$2,"×値動きが荒い",IF($BB102&gt;$BK$3,"×レンジが広い",IF($BC102&gt;$BK$4,"×窓を開けて上昇",IF($Z102&gt;$BK$5,"×前日に急騰",IF($Z102&lt;$BK$6,"×前日に急落",IF($BD102&lt;$BK$7,"×高値から離れすぎ",IF($BE102&gt;$BK$8,"×当日の値幅が大きい","×")))))))))</f>
      </c>
    </row>
    <row r="103" spans="1:60"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IF(AND(E103&lt;&gt;"",K103&lt;&gt;"",K103&lt;&gt;0),(E103-K103)/K103*100,"")</f>
        <v>-6.7256078307546572</v>
      </c>
      <c r="M103" s="326">
        <f>IF(C103&lt;&gt;"",IFERROR(AVERAGE(出来高!E101:I101),""),"")</f>
        <v>10430280</v>
      </c>
      <c r="N103" s="326">
        <f>IF(C103&lt;&gt;"",IFERROR(AVERAGE(出来高!E101:AC101),""),"")</f>
        <v>7507054.166666667</v>
      </c>
      <c r="O103" s="328">
        <f>IF(AND(J103&lt;&gt;"",M103&lt;&gt;"",M103&lt;&gt;0),J103/M103,"")</f>
        <v>0.59995513063887063</v>
      </c>
      <c r="P103" s="325" t="str">
        <f>IF(O103="","",IF(O103&gt;=2,"急増↑↑",IF(O103&gt;=1.5,"増加↑",IF(O103&gt;=1,"普通→","減少↓"))))</f>
        <v>減少↓</v>
      </c>
      <c r="Q103" s="325" t="str">
        <f>IF(E103="","",IF(AND(E103&lt;G103,O103&gt;=1.5),"売り▼",IF(E103&gt;G103,"様子見▲","中立→")))</f>
        <v>様子見▲</v>
      </c>
      <c r="R103" s="326">
        <f>IF(E103&lt;&gt;"",ROUND(E103*0.92,0),"")</f>
        <v>2718</v>
      </c>
      <c r="S103" s="326">
        <f>IF(E103&lt;&gt;"",ROUND(E103*1.04,0),"")</f>
        <v>3072</v>
      </c>
      <c r="T103" s="325">
        <f>IF(C103="","",IFERROR(IF(W103&gt;=70,3,IF(W103&gt;=60,2,IF(W103&gt;=50,1,0)))+IF(X103&lt;0,2,0)+IF(AD103="下降トレンド▼",3,IF(AD103="もみ合い→",1,0))+IF(V103="年初来安値圏●",3,IF(V103="安値圏",2,0))+IF(Q103="売り▼",2,0)+IF(P103="急増↑↑",2,IF(P103="増加↑",1,0))+IF(Z103&lt;0,1,0)+IF(L103&lt;=-30,2,IF(L103&lt;=-15,1,0))+IF(AE103="25日戻り売り★",2,IF(AE103="5日戻り売り○",1,0))+N(AL103)+N(AP103)+N(AU103),0))</f>
        <v>0</v>
      </c>
      <c r="U103" s="325" t="str">
        <f>IF(T103="","",IF(AND(T103&gt;=3,O103&gt;=1.5),"有効",IF(T103&gt;=3,"要確認","除外")))</f>
        <v>除外</v>
      </c>
      <c r="V103" s="325" t="str">
        <f>IF(AND(I103&lt;&gt;"",K103&lt;&gt;""),IF(I103&lt;=K103*0.6,"年初来安値圏●",IF(I103&lt;=K103*0.75,"安値圏","通常")),"")</f>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IF(AF103="","",AF103&amp;" | "&amp;AD103&amp;IF(AE103&lt;&gt;"なし"," "&amp;AE103,"")&amp;IF(X103&lt;0," MACD-"," MACD+")&amp;" RSI:"&amp;TEXT(W103,"0.0")&amp;IF(W103&gt;=70," [過熱]",IF(W103&lt;=30," [売られ過ぎ]",""))&amp;" 前日比:"&amp;TEXT(Z103,"+0.0;-0.0;0.0")&amp;"%"&amp;IF(V103="年初来安値圏●"," [年初来安値圏]",IF(V103="安値圏"," [安値圏]",""))&amp;IF(OR(AO103="通常",AO103="-"),""," ["&amp;AO103&amp;"]")&amp;IF(OR(AT103="通常",AT103="-"),"","前日["&amp;AT103&amp;"]")&amp;" ["&amp;T103&amp;"点]")</f>
        <v>相場上昇・見送り | 上昇トレンド▲ 5日戻り売り○ MACD+ RSI:51.8 前日比:+3.3% [0点]</v>
      </c>
      <c r="Z103" s="331">
        <f>IF(AND(E103&lt;&gt;"",G103&lt;&gt;"",G103&lt;&gt;0),(E103-G103)/G103*100,"")</f>
        <v>3.2686593252927811</v>
      </c>
      <c r="AA103" s="325" t="str">
        <f>IF(OR(C103="",E103="",E103=0),"",IF(E103&gt;G103,"上昇▲",IF(E103&lt;G103,"下落▼","横ばい→")))</f>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IF(OR(C103="",AB103="",AC103="",AB103=0,AC103=0),"",IF(AND(E103&gt;AB103,AB103&gt;AC103),"パーフェクト▲",IF(E103&gt;AC103,"上昇トレンド▲",IF(AND(E103&lt;AB103,AB103&lt;AC103),"下降トレンド▼","もみ合い→"))))</f>
        <v>上昇トレンド▲</v>
      </c>
      <c r="AE103" s="325" t="str">
        <f>IF(OR(C103="",AB103="",AC103=""),"",IF(AND(ABS(E103-AC103)/AC103&lt;=0.02,E103&lt;AC103),"25日戻り売り★",IF(AND(ABS(E103-AB103)/AB103&lt;=0.01,E103&lt;AB103),"5日戻り売り○","なし")))</f>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IF(AND(T103&gt;=7,C103&lt;&gt;""),T103,0)</f>
        <v>0</v>
      </c>
      <c r="AH103">
        <f>IF(AG103&gt;0,AG103*10000-ROW(A103),0)</f>
        <v>0</v>
      </c>
      <c r="AI103" s="373">
        <f t="array" ref="AI103">IF(C103="","",IFERROR((INDEX(終値!$E:$E,MATCH(TEXT(C103,"0"),終値!$A:$A,0))-INDEX(終値!$E:$CZ,MATCH(TEXT(C103,"0"),終値!$A:$A,0),$AN$2))/INDEX(終値!$E:$CZ,MATCH(TEXT(C103,"0"),終値!$A:$A,0),$AN$2)*100,""))</f>
        <v>22.470978441127695</v>
      </c>
      <c r="AJ103" s="373">
        <f t="array" ref="AJ103">IFERROR((終値!$E$5-INDEX(終値!$E$5:$IT$5,1,$AN$2))/INDEX(終値!$E$5:$IT$5,1,$AN$2)*100,"")</f>
        <v>1.0179378228534113</v>
      </c>
      <c r="AK103" s="374">
        <f>IF(OR(AI103="",AJ103=""),"",AI103-AJ103)</f>
        <v>21.453040618274283</v>
      </c>
      <c r="AL103" s="372">
        <f>IF(AK103="","",IF(AK103&lt;-5,3,IF(AK103&lt;0,1,IF(AK103&lt;3,-1,-2))))</f>
        <v>-2</v>
      </c>
      <c r="AO103" s="376" t="str">
        <f>IF(OR($C103="",$E103="",$F103="",$H103="",$I103="",$H103-$I103&lt;=0),"-",IF(AND($H103-MAX($F103,$E103)&gt;=ABS($E103-$F103)*2,MIN($F103,$E103)-$I103&lt;=ABS($E103-$F103)*0.5,ABS($E103-$F103)&gt;0),"上ヒゲ陰線▼",IF(AND($E103&lt;$F103,ABS($E103-$F103)&gt;=($H103-$I103)*0.7),"大陰線▼",IF(AND(MIN($F103,$E103)-$I103&gt;=($H103-$I103)*0.5,$H103-MAX($F103,$E103)&lt;=($H103-$I103)*0.2),"長い下ヒゲ(反発警戒)","通常"))))</f>
        <v>通常</v>
      </c>
      <c r="AP103" s="377">
        <f>IF($AO103="上ヒゲ陰線▼",2,IF($AO103="大陰線▼",2,IF($AO103="長い下ヒゲ(反発警戒)",-2,0)))</f>
        <v>0</v>
      </c>
      <c r="AQ103">
        <f>IF(C103&lt;&gt;"",始値!F101,"")</f>
        <v>2915</v>
      </c>
      <c r="AR103">
        <f>IF(C103&lt;&gt;"",高値!F101,"")</f>
        <v>2943</v>
      </c>
      <c r="AS103">
        <f>IF(C103&lt;&gt;"",安値!F101,"")</f>
        <v>2847</v>
      </c>
      <c r="AT103" t="str">
        <f>IF(OR(C103="",AQ103="",AR103="",AS103="",AR103-AS103&lt;=0),"-",IF(AND(AR103-MAX(G103,AQ103)&gt;=ABS(G103-AQ103)*2,MIN(G103,AQ103)-AS103&lt;=ABS(G103-AQ103)*0.5,ABS(G103-AQ103)&gt;0),"上ヒゲ陰線▼",IF(AND(G103&lt;AQ103,ABS(G103-AQ103)&gt;=(AR103-AS103)*0.7),"大陰線▼",IF(AND(MIN(G103,AQ103)-AS103&gt;=(AR103-AS103)*0.5,AR103-MAX(G103,AQ103)&lt;=(AR103-AS103)*0.2),"長い下ヒゲ(反発)","通常"))))</f>
        <v>通常</v>
      </c>
      <c r="AU103">
        <f>IF(AT103="上ヒゲ陰線▼",2,IF(AT103="大陰線▼",2,IF(AT103="長い下ヒゲ(反発)",-2,0)))</f>
        <v>0</v>
      </c>
      <c r="BA103">
        <f>IFERROR((SUM(OFFSET(高値!$E$6,IFERROR(MATCH($C103,銘柄管理!$B$6:$B$305,0),MATCH(TEXT($C103,"0"),銘柄管理!$B$6:$B$305,0))-1,0,1,14))-SUM(OFFSET(安値!$E$6,IFERROR(MATCH($C103,銘柄管理!$B$6:$B$305,0),MATCH(TEXT($C103,"0"),銘柄管理!$B$6:$B$305,0))-1,0,1,14)))/SUM(OFFSET(終値!$E$6,IFERROR(MATCH($C103,銘柄管理!$B$6:$B$305,0),MATCH(TEXT($C103,"0"),銘柄管理!$B$6:$B$305,0))-1,0,1,14))*100,"")</f>
      </c>
      <c r="BB103">
        <f>IFERROR((MAX(OFFSET(高値!$E$6,IFERROR(MATCH($C103,銘柄管理!$B$6:$B$305,0),MATCH(TEXT($C103,"0"),銘柄管理!$B$6:$B$305,0))-1,0,1,25))-MIN(OFFSET(安値!$E$6,IFERROR(MATCH($C103,銘柄管理!$B$6:$B$305,0),MATCH(TEXT($C103,"0"),銘柄管理!$B$6:$B$305,0))-1,0,1,25)))/$E103*100,"")</f>
      </c>
      <c r="BC103">
        <f>IFERROR(($F103-$G103)/$G103*100,"")</f>
      </c>
      <c r="BD103">
        <f>IFERROR(($E103-MAX(OFFSET(高値!$E$6,IFERROR(MATCH($C103,銘柄管理!$B$6:$B$305,0),MATCH(TEXT($C103,"0"),銘柄管理!$B$6:$B$305,0))-1,0,1,25)))/MAX(OFFSET(高値!$E$6,IFERROR(MATCH($C103,銘柄管理!$B$6:$B$305,0),MATCH(TEXT($C103,"0"),銘柄管理!$B$6:$B$305,0))-1,0,1,25))*100,"")</f>
      </c>
      <c r="BE103">
        <f>IFERROR(($H103-$I103)/$F103*100,"")</f>
      </c>
      <c r="BF103">
        <f>IFERROR(-(($BA103-AVERAGE($BA$3:$BA$206))/STDEV($BA$3:$BA$206))-(($BE103-AVERAGE($BE$3:$BE$206))/STDEV($BE$3:$BE$206))-(($BB103-AVERAGE($BB$3:$BB$206))/STDEV($BB$3:$BB$206))-(($Z103-AVERAGE($Z$3:$Z$206))/STDEV($Z$3:$Z$206))-(($BC103-AVERAGE($BC$3:$BC$206))/STDEV($BC$3:$BC$206)),"")</f>
      </c>
      <c r="BG103">
        <f>IF(OR($C103="",$C103="TOPX",$BA103="",$BF103=""),0,IF(AND($BK$10=1,$BA103&lt;=$BK$2,$BB103&lt;=$BK$3,$BC103&lt;=$BK$4,$Z103&lt;=$BK$5,$Z103&gt;=$BK$6,$BD103&gt;=$BK$7,$BE103&lt;=$BK$8),1,0))</f>
      </c>
      <c r="BH103">
        <f>IF($C103="","",IF($BG103=1,"○ゲート通過",IF($BK$10&lt;&gt;1,"― この方向は停止中",IF($BA103&gt;$BK$2,"×値動きが荒い",IF($BB103&gt;$BK$3,"×レンジが広い",IF($BC103&gt;$BK$4,"×窓を開けて上昇",IF($Z103&gt;$BK$5,"×前日に急騰",IF($Z103&lt;$BK$6,"×前日に急落",IF($BD103&lt;$BK$7,"×高値から離れすぎ",IF($BE103&gt;$BK$8,"×当日の値幅が大きい","×")))))))))</f>
      </c>
    </row>
    <row r="104" spans="1:60"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IF(AND(E104&lt;&gt;"",K104&lt;&gt;"",K104&lt;&gt;0),(E104-K104)/K104*100,"")</f>
        <v>-18.594158157207314</v>
      </c>
      <c r="M104" s="333">
        <f>IF(C104&lt;&gt;"",IFERROR(AVERAGE(出来高!E109:I109),""),"")</f>
        <v>4503300</v>
      </c>
      <c r="N104" s="333">
        <f>IF(C104&lt;&gt;"",IFERROR(AVERAGE(出来高!E109:AC109),""),"")</f>
        <v>3279896</v>
      </c>
      <c r="O104" s="335">
        <f>IF(AND(J104&lt;&gt;"",M104&lt;&gt;"",M104&lt;&gt;0),J104/M104,"")</f>
        <v>0.84866653343103948</v>
      </c>
      <c r="P104" s="212" t="str">
        <f>IF(O104="","",IF(O104&gt;=2,"急増↑↑",IF(O104&gt;=1.5,"増加↑",IF(O104&gt;=1,"普通→","減少↓"))))</f>
        <v>減少↓</v>
      </c>
      <c r="Q104" s="212" t="str">
        <f>IF(E104="","",IF(AND(E104&lt;G104,O104&gt;=1.5),"売り▼",IF(E104&gt;G104,"様子見▲","中立→")))</f>
        <v>様子見▲</v>
      </c>
      <c r="R104" s="333">
        <f>IF(E104&lt;&gt;"",ROUND(E104*0.92,0),"")</f>
        <v>3154</v>
      </c>
      <c r="S104" s="333">
        <f>IF(E104&lt;&gt;"",ROUND(E104*1.04,0),"")</f>
        <v>3565</v>
      </c>
      <c r="T104" s="325">
        <f>IF(C104="","",IFERROR(IF(W104&gt;=70,3,IF(W104&gt;=60,2,IF(W104&gt;=50,1,0)))+IF(X104&lt;0,2,0)+IF(AD104="下降トレンド▼",3,IF(AD104="もみ合い→",1,0))+IF(V104="年初来安値圏●",3,IF(V104="安値圏",2,0))+IF(Q104="売り▼",2,0)+IF(P104="急増↑↑",2,IF(P104="増加↑",1,0))+IF(Z104&lt;0,1,0)+IF(L104&lt;=-30,2,IF(L104&lt;=-15,1,0))+IF(AE104="25日戻り売り★",2,IF(AE104="5日戻り売り○",1,0))+N(AL104)+N(AP104)+N(AU104),0))</f>
        <v>2</v>
      </c>
      <c r="U104" s="212" t="str">
        <f>IF(T104="","",IF(AND(T104&gt;=3,O104&gt;=1.5),"有効",IF(T104&gt;=3,"要確認","除外")))</f>
        <v>除外</v>
      </c>
      <c r="V104" s="212" t="str">
        <f>IF(AND(I104&lt;&gt;"",K104&lt;&gt;""),IF(I104&lt;=K104*0.6,"年初来安値圏●",IF(I104&lt;=K104*0.75,"安値圏","通常")),"")</f>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IF(AF104="","",AF104&amp;" | "&amp;AD104&amp;IF(AE104&lt;&gt;"なし"," "&amp;AE104,"")&amp;IF(X104&lt;0," MACD-"," MACD+")&amp;" RSI:"&amp;TEXT(W104,"0.0")&amp;IF(W104&gt;=70," [過熱]",IF(W104&lt;=30," [売られ過ぎ]",""))&amp;" 前日比:"&amp;TEXT(Z104,"+0.0;-0.0;0.0")&amp;"%"&amp;IF(V104="年初来安値圏●"," [年初来安値圏]",IF(V104="安値圏"," [安値圏]",""))&amp;IF(OR(AO104="通常",AO104="-"),""," ["&amp;AO104&amp;"]")&amp;IF(OR(AT104="通常",AT104="-"),"","前日["&amp;AT104&amp;"]")&amp;" ["&amp;T104&amp;"点]")</f>
        <v>相場上昇・見送り | もみ合い→ MACD- RSI:40.3 前日比:+1.8% [2点]</v>
      </c>
      <c r="Z104" s="338">
        <f>IF(AND(E104&lt;&gt;"",G104&lt;&gt;"",G104&lt;&gt;0),(E104-G104)/G104*100,"")</f>
        <v>1.7512615019293558</v>
      </c>
      <c r="AA104" s="212" t="str">
        <f>IF(OR(C104="",E104="",E104=0),"",IF(E104&gt;G104,"上昇▲",IF(E104&lt;G104,"下落▼","横ばい→")))</f>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IF(OR(C104="",AB104="",AC104="",AB104=0,AC104=0),"",IF(AND(E104&gt;AB104,AB104&gt;AC104),"パーフェクト▲",IF(E104&gt;AC104,"上昇トレンド▲",IF(AND(E104&lt;AB104,AB104&lt;AC104),"下降トレンド▼","もみ合い→"))))</f>
        <v>もみ合い→</v>
      </c>
      <c r="AE104" s="212" t="str">
        <f>IF(OR(C104="",AB104="",AC104=""),"",IF(AND(ABS(E104-AC104)/AC104&lt;=0.02,E104&lt;AC104),"25日戻り売り★",IF(AND(ABS(E104-AB104)/AB104&lt;=0.01,E104&lt;AB104),"5日戻り売り○","なし")))</f>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IF(AND(T104&gt;=7,C104&lt;&gt;""),T104,0)</f>
        <v>0</v>
      </c>
      <c r="AH104">
        <f>IF(AG104&gt;0,AG104*10000-ROW(A104),0)</f>
        <v>0</v>
      </c>
      <c r="AI104" s="373">
        <f t="array" ref="AI104">IF(C104="","",IFERROR((INDEX(終値!$E:$E,MATCH(TEXT(C104,"0"),終値!$A:$A,0))-INDEX(終値!$E:$CZ,MATCH(TEXT(C104,"0"),終値!$A:$A,0),$AN$2))/INDEX(終値!$E:$CZ,MATCH(TEXT(C104,"0"),終値!$A:$A,0),$AN$2)*100,""))</f>
        <v>4.0364188163884673</v>
      </c>
      <c r="AJ104" s="373">
        <f t="array" ref="AJ104">IFERROR((終値!$E$5-INDEX(終値!$E$5:$IT$5,1,$AN$2))/INDEX(終値!$E$5:$IT$5,1,$AN$2)*100,"")</f>
        <v>1.0179378228534113</v>
      </c>
      <c r="AK104" s="374">
        <f>IF(OR(AI104="",AJ104=""),"",AI104-AJ104)</f>
        <v>3.0184809935350563</v>
      </c>
      <c r="AL104" s="372">
        <f>IF(AK104="","",IF(AK104&lt;-5,3,IF(AK104&lt;0,1,IF(AK104&lt;3,-1,-2))))</f>
        <v>-2</v>
      </c>
      <c r="AO104" s="376" t="str">
        <f>IF(OR($C104="",$E104="",$F104="",$H104="",$I104="",$H104-$I104&lt;=0),"-",IF(AND($H104-MAX($F104,$E104)&gt;=ABS($E104-$F104)*2,MIN($F104,$E104)-$I104&lt;=ABS($E104-$F104)*0.5,ABS($E104-$F104)&gt;0),"上ヒゲ陰線▼",IF(AND($E104&lt;$F104,ABS($E104-$F104)&gt;=($H104-$I104)*0.7),"大陰線▼",IF(AND(MIN($F104,$E104)-$I104&gt;=($H104-$I104)*0.5,$H104-MAX($F104,$E104)&lt;=($H104-$I104)*0.2),"長い下ヒゲ(反発警戒)","通常"))))</f>
        <v>通常</v>
      </c>
      <c r="AP104" s="377">
        <f>IF($AO104="上ヒゲ陰線▼",2,IF($AO104="大陰線▼",2,IF($AO104="長い下ヒゲ(反発警戒)",-2,0)))</f>
        <v>0</v>
      </c>
      <c r="AQ104">
        <f>IF(C104&lt;&gt;"",始値!F109,"")</f>
        <v>3412</v>
      </c>
      <c r="AR104">
        <f>IF(C104&lt;&gt;"",高値!F109,"")</f>
        <v>3447</v>
      </c>
      <c r="AS104">
        <f>IF(C104&lt;&gt;"",安値!F109,"")</f>
        <v>3351</v>
      </c>
      <c r="AT104" t="str">
        <f>IF(OR(C104="",AQ104="",AR104="",AS104="",AR104-AS104&lt;=0),"-",IF(AND(AR104-MAX(G104,AQ104)&gt;=ABS(G104-AQ104)*2,MIN(G104,AQ104)-AS104&lt;=ABS(G104-AQ104)*0.5,ABS(G104-AQ104)&gt;0),"上ヒゲ陰線▼",IF(AND(G104&lt;AQ104,ABS(G104-AQ104)&gt;=(AR104-AS104)*0.7),"大陰線▼",IF(AND(MIN(G104,AQ104)-AS104&gt;=(AR104-AS104)*0.5,AR104-MAX(G104,AQ104)&lt;=(AR104-AS104)*0.2),"長い下ヒゲ(反発)","通常"))))</f>
        <v>通常</v>
      </c>
      <c r="AU104">
        <f>IF(AT104="上ヒゲ陰線▼",2,IF(AT104="大陰線▼",2,IF(AT104="長い下ヒゲ(反発)",-2,0)))</f>
        <v>0</v>
      </c>
      <c r="BA104">
        <f>IFERROR((SUM(OFFSET(高値!$E$6,IFERROR(MATCH($C104,銘柄管理!$B$6:$B$305,0),MATCH(TEXT($C104,"0"),銘柄管理!$B$6:$B$305,0))-1,0,1,14))-SUM(OFFSET(安値!$E$6,IFERROR(MATCH($C104,銘柄管理!$B$6:$B$305,0),MATCH(TEXT($C104,"0"),銘柄管理!$B$6:$B$305,0))-1,0,1,14)))/SUM(OFFSET(終値!$E$6,IFERROR(MATCH($C104,銘柄管理!$B$6:$B$305,0),MATCH(TEXT($C104,"0"),銘柄管理!$B$6:$B$305,0))-1,0,1,14))*100,"")</f>
      </c>
      <c r="BB104">
        <f>IFERROR((MAX(OFFSET(高値!$E$6,IFERROR(MATCH($C104,銘柄管理!$B$6:$B$305,0),MATCH(TEXT($C104,"0"),銘柄管理!$B$6:$B$305,0))-1,0,1,25))-MIN(OFFSET(安値!$E$6,IFERROR(MATCH($C104,銘柄管理!$B$6:$B$305,0),MATCH(TEXT($C104,"0"),銘柄管理!$B$6:$B$305,0))-1,0,1,25)))/$E104*100,"")</f>
      </c>
      <c r="BC104">
        <f>IFERROR(($F104-$G104)/$G104*100,"")</f>
      </c>
      <c r="BD104">
        <f>IFERROR(($E104-MAX(OFFSET(高値!$E$6,IFERROR(MATCH($C104,銘柄管理!$B$6:$B$305,0),MATCH(TEXT($C104,"0"),銘柄管理!$B$6:$B$305,0))-1,0,1,25)))/MAX(OFFSET(高値!$E$6,IFERROR(MATCH($C104,銘柄管理!$B$6:$B$305,0),MATCH(TEXT($C104,"0"),銘柄管理!$B$6:$B$305,0))-1,0,1,25))*100,"")</f>
      </c>
      <c r="BE104">
        <f>IFERROR(($H104-$I104)/$F104*100,"")</f>
      </c>
      <c r="BF104">
        <f>IFERROR(-(($BA104-AVERAGE($BA$3:$BA$206))/STDEV($BA$3:$BA$206))-(($BE104-AVERAGE($BE$3:$BE$206))/STDEV($BE$3:$BE$206))-(($BB104-AVERAGE($BB$3:$BB$206))/STDEV($BB$3:$BB$206))-(($Z104-AVERAGE($Z$3:$Z$206))/STDEV($Z$3:$Z$206))-(($BC104-AVERAGE($BC$3:$BC$206))/STDEV($BC$3:$BC$206)),"")</f>
      </c>
      <c r="BG104">
        <f>IF(OR($C104="",$C104="TOPX",$BA104="",$BF104=""),0,IF(AND($BK$10=1,$BA104&lt;=$BK$2,$BB104&lt;=$BK$3,$BC104&lt;=$BK$4,$Z104&lt;=$BK$5,$Z104&gt;=$BK$6,$BD104&gt;=$BK$7,$BE104&lt;=$BK$8),1,0))</f>
      </c>
      <c r="BH104">
        <f>IF($C104="","",IF($BG104=1,"○ゲート通過",IF($BK$10&lt;&gt;1,"― この方向は停止中",IF($BA104&gt;$BK$2,"×値動きが荒い",IF($BB104&gt;$BK$3,"×レンジが広い",IF($BC104&gt;$BK$4,"×窓を開けて上昇",IF($Z104&gt;$BK$5,"×前日に急騰",IF($Z104&lt;$BK$6,"×前日に急落",IF($BD104&lt;$BK$7,"×高値から離れすぎ",IF($BE104&gt;$BK$8,"×当日の値幅が大きい","×")))))))))</f>
      </c>
    </row>
    <row r="105" spans="1:60"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IF(AND(E105&lt;&gt;"",K105&lt;&gt;"",K105&lt;&gt;0),(E105-K105)/K105*100,"")</f>
        <v>-29.342105263157897</v>
      </c>
      <c r="M105" s="326">
        <f>IF(C105&lt;&gt;"",IFERROR(AVERAGE(出来高!E114:I114),""),"")</f>
        <v>37089640</v>
      </c>
      <c r="N105" s="326">
        <f>IF(C105&lt;&gt;"",IFERROR(AVERAGE(出来高!E114:AC114),""),"")</f>
        <v>35292060</v>
      </c>
      <c r="O105" s="328">
        <f>IF(AND(J105&lt;&gt;"",M105&lt;&gt;"",M105&lt;&gt;0),J105/M105,"")</f>
        <v>0.87138079528407397</v>
      </c>
      <c r="P105" s="325" t="str">
        <f>IF(O105="","",IF(O105&gt;=2,"急増↑↑",IF(O105&gt;=1.5,"増加↑",IF(O105&gt;=1,"普通→","減少↓"))))</f>
        <v>減少↓</v>
      </c>
      <c r="Q105" s="325" t="str">
        <f>IF(E105="","",IF(AND(E105&lt;G105,O105&gt;=1.5),"売り▼",IF(E105&gt;G105,"様子見▲","中立→")))</f>
        <v>様子見▲</v>
      </c>
      <c r="R105" s="326">
        <f>IF(E105&lt;&gt;"",ROUND(E105*0.92,0),"")</f>
        <v>494</v>
      </c>
      <c r="S105" s="326">
        <f>IF(E105&lt;&gt;"",ROUND(E105*1.04,0),"")</f>
        <v>558</v>
      </c>
      <c r="T105" s="325">
        <f>IF(C105="","",IFERROR(IF(W105&gt;=70,3,IF(W105&gt;=60,2,IF(W105&gt;=50,1,0)))+IF(X105&lt;0,2,0)+IF(AD105="下降トレンド▼",3,IF(AD105="もみ合い→",1,0))+IF(V105="年初来安値圏●",3,IF(V105="安値圏",2,0))+IF(Q105="売り▼",2,0)+IF(P105="急増↑↑",2,IF(P105="増加↑",1,0))+IF(Z105&lt;0,1,0)+IF(L105&lt;=-30,2,IF(L105&lt;=-15,1,0))+IF(AE105="25日戻り売り★",2,IF(AE105="5日戻り売り○",1,0))+N(AL105)+N(AP105)+N(AU105),0))</f>
        <v>2</v>
      </c>
      <c r="U105" s="325" t="str">
        <f>IF(T105="","",IF(AND(T105&gt;=3,O105&gt;=1.5),"有効",IF(T105&gt;=3,"要確認","除外")))</f>
        <v>除外</v>
      </c>
      <c r="V105" s="325" t="str">
        <f>IF(AND(I105&lt;&gt;"",K105&lt;&gt;""),IF(I105&lt;=K105*0.6,"年初来安値圏●",IF(I105&lt;=K105*0.75,"安値圏","通常")),"")</f>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IF(AF105="","",AF105&amp;" | "&amp;AD105&amp;IF(AE105&lt;&gt;"なし"," "&amp;AE105,"")&amp;IF(X105&lt;0," MACD-"," MACD+")&amp;" RSI:"&amp;TEXT(W105,"0.0")&amp;IF(W105&gt;=70," [過熱]",IF(W105&lt;=30," [売られ過ぎ]",""))&amp;" 前日比:"&amp;TEXT(Z105,"+0.0;-0.0;0.0")&amp;"%"&amp;IF(V105="年初来安値圏●"," [年初来安値圏]",IF(V105="安値圏"," [安値圏]",""))&amp;IF(OR(AO105="通常",AO105="-"),""," ["&amp;AO105&amp;"]")&amp;IF(OR(AT105="通常",AT105="-"),"","前日["&amp;AT105&amp;"]")&amp;" ["&amp;T105&amp;"点]")</f>
        <v>相場上昇・見送り | パーフェクト▲ MACD+ RSI:59.8 前日比:+2.1% [安値圏] [2点]</v>
      </c>
      <c r="Z105" s="331">
        <f>IF(AND(E105&lt;&gt;"",G105&lt;&gt;"",G105&lt;&gt;0),(E105-G105)/G105*100,"")</f>
        <v>2.0912547528517109</v>
      </c>
      <c r="AA105" s="325" t="str">
        <f>IF(OR(C105="",E105="",E105=0),"",IF(E105&gt;G105,"上昇▲",IF(E105&lt;G105,"下落▼","横ばい→")))</f>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IF(OR(C105="",AB105="",AC105="",AB105=0,AC105=0),"",IF(AND(E105&gt;AB105,AB105&gt;AC105),"パーフェクト▲",IF(E105&gt;AC105,"上昇トレンド▲",IF(AND(E105&lt;AB105,AB105&lt;AC105),"下降トレンド▼","もみ合い→"))))</f>
        <v>パーフェクト▲</v>
      </c>
      <c r="AE105" s="325" t="str">
        <f>IF(OR(C105="",AB105="",AC105=""),"",IF(AND(ABS(E105-AC105)/AC105&lt;=0.02,E105&lt;AC105),"25日戻り売り★",IF(AND(ABS(E105-AB105)/AB105&lt;=0.01,E105&lt;AB105),"5日戻り売り○","なし")))</f>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IF(AND(T105&gt;=7,C105&lt;&gt;""),T105,0)</f>
        <v>0</v>
      </c>
      <c r="AH105">
        <f>IF(AG105&gt;0,AG105*10000-ROW(A105),0)</f>
        <v>0</v>
      </c>
      <c r="AI105" s="373">
        <f t="array" ref="AI105">IF(C105="","",IFERROR((INDEX(終値!$E:$E,MATCH(TEXT(C105,"0"),終値!$A:$A,0))-INDEX(終値!$E:$CZ,MATCH(TEXT(C105,"0"),終値!$A:$A,0),$AN$2))/INDEX(終値!$E:$CZ,MATCH(TEXT(C105,"0"),終値!$A:$A,0),$AN$2)*100,""))</f>
        <v>17.996044825313113</v>
      </c>
      <c r="AJ105" s="373">
        <f t="array" ref="AJ105">IFERROR((終値!$E$5-INDEX(終値!$E$5:$IT$5,1,$AN$2))/INDEX(終値!$E$5:$IT$5,1,$AN$2)*100,"")</f>
        <v>1.0179378228534113</v>
      </c>
      <c r="AK105" s="374">
        <f>IF(OR(AI105="",AJ105=""),"",AI105-AJ105)</f>
        <v>16.978107002459701</v>
      </c>
      <c r="AL105" s="372">
        <f>IF(AK105="","",IF(AK105&lt;-5,3,IF(AK105&lt;0,1,IF(AK105&lt;3,-1,-2))))</f>
        <v>-2</v>
      </c>
      <c r="AO105" s="376" t="str">
        <f>IF(OR($C105="",$E105="",$F105="",$H105="",$I105="",$H105-$I105&lt;=0),"-",IF(AND($H105-MAX($F105,$E105)&gt;=ABS($E105-$F105)*2,MIN($F105,$E105)-$I105&lt;=ABS($E105-$F105)*0.5,ABS($E105-$F105)&gt;0),"上ヒゲ陰線▼",IF(AND($E105&lt;$F105,ABS($E105-$F105)&gt;=($H105-$I105)*0.7),"大陰線▼",IF(AND(MIN($F105,$E105)-$I105&gt;=($H105-$I105)*0.5,$H105-MAX($F105,$E105)&lt;=($H105-$I105)*0.2),"長い下ヒゲ(反発警戒)","通常"))))</f>
        <v>通常</v>
      </c>
      <c r="AP105" s="377">
        <f>IF($AO105="上ヒゲ陰線▼",2,IF($AO105="大陰線▼",2,IF($AO105="長い下ヒゲ(反発警戒)",-2,0)))</f>
        <v>0</v>
      </c>
      <c r="AQ105">
        <f>IF(C105&lt;&gt;"",始値!F114,"")</f>
        <v>527.79999999999995</v>
      </c>
      <c r="AR105">
        <f>IF(C105&lt;&gt;"",高値!F114,"")</f>
        <v>534.29999999999995</v>
      </c>
      <c r="AS105">
        <f>IF(C105&lt;&gt;"",安値!F114,"")</f>
        <v>518.79999999999995</v>
      </c>
      <c r="AT105" t="str">
        <f>IF(OR(C105="",AQ105="",AR105="",AS105="",AR105-AS105&lt;=0),"-",IF(AND(AR105-MAX(G105,AQ105)&gt;=ABS(G105-AQ105)*2,MIN(G105,AQ105)-AS105&lt;=ABS(G105-AQ105)*0.5,ABS(G105-AQ105)&gt;0),"上ヒゲ陰線▼",IF(AND(G105&lt;AQ105,ABS(G105-AQ105)&gt;=(AR105-AS105)*0.7),"大陰線▼",IF(AND(MIN(G105,AQ105)-AS105&gt;=(AR105-AS105)*0.5,AR105-MAX(G105,AQ105)&lt;=(AR105-AS105)*0.2),"長い下ヒゲ(反発)","通常"))))</f>
        <v>通常</v>
      </c>
      <c r="AU105">
        <f>IF(AT105="上ヒゲ陰線▼",2,IF(AT105="大陰線▼",2,IF(AT105="長い下ヒゲ(反発)",-2,0)))</f>
        <v>0</v>
      </c>
      <c r="BA105">
        <f>IFERROR((SUM(OFFSET(高値!$E$6,IFERROR(MATCH($C105,銘柄管理!$B$6:$B$305,0),MATCH(TEXT($C105,"0"),銘柄管理!$B$6:$B$305,0))-1,0,1,14))-SUM(OFFSET(安値!$E$6,IFERROR(MATCH($C105,銘柄管理!$B$6:$B$305,0),MATCH(TEXT($C105,"0"),銘柄管理!$B$6:$B$305,0))-1,0,1,14)))/SUM(OFFSET(終値!$E$6,IFERROR(MATCH($C105,銘柄管理!$B$6:$B$305,0),MATCH(TEXT($C105,"0"),銘柄管理!$B$6:$B$305,0))-1,0,1,14))*100,"")</f>
      </c>
      <c r="BB105">
        <f>IFERROR((MAX(OFFSET(高値!$E$6,IFERROR(MATCH($C105,銘柄管理!$B$6:$B$305,0),MATCH(TEXT($C105,"0"),銘柄管理!$B$6:$B$305,0))-1,0,1,25))-MIN(OFFSET(安値!$E$6,IFERROR(MATCH($C105,銘柄管理!$B$6:$B$305,0),MATCH(TEXT($C105,"0"),銘柄管理!$B$6:$B$305,0))-1,0,1,25)))/$E105*100,"")</f>
      </c>
      <c r="BC105">
        <f>IFERROR(($F105-$G105)/$G105*100,"")</f>
      </c>
      <c r="BD105">
        <f>IFERROR(($E105-MAX(OFFSET(高値!$E$6,IFERROR(MATCH($C105,銘柄管理!$B$6:$B$305,0),MATCH(TEXT($C105,"0"),銘柄管理!$B$6:$B$305,0))-1,0,1,25)))/MAX(OFFSET(高値!$E$6,IFERROR(MATCH($C105,銘柄管理!$B$6:$B$305,0),MATCH(TEXT($C105,"0"),銘柄管理!$B$6:$B$305,0))-1,0,1,25))*100,"")</f>
      </c>
      <c r="BE105">
        <f>IFERROR(($H105-$I105)/$F105*100,"")</f>
      </c>
      <c r="BF105">
        <f>IFERROR(-(($BA105-AVERAGE($BA$3:$BA$206))/STDEV($BA$3:$BA$206))-(($BE105-AVERAGE($BE$3:$BE$206))/STDEV($BE$3:$BE$206))-(($BB105-AVERAGE($BB$3:$BB$206))/STDEV($BB$3:$BB$206))-(($Z105-AVERAGE($Z$3:$Z$206))/STDEV($Z$3:$Z$206))-(($BC105-AVERAGE($BC$3:$BC$206))/STDEV($BC$3:$BC$206)),"")</f>
      </c>
      <c r="BG105">
        <f>IF(OR($C105="",$C105="TOPX",$BA105="",$BF105=""),0,IF(AND($BK$10=1,$BA105&lt;=$BK$2,$BB105&lt;=$BK$3,$BC105&lt;=$BK$4,$Z105&lt;=$BK$5,$Z105&gt;=$BK$6,$BD105&gt;=$BK$7,$BE105&lt;=$BK$8),1,0))</f>
      </c>
      <c r="BH105">
        <f>IF($C105="","",IF($BG105=1,"○ゲート通過",IF($BK$10&lt;&gt;1,"― この方向は停止中",IF($BA105&gt;$BK$2,"×値動きが荒い",IF($BB105&gt;$BK$3,"×レンジが広い",IF($BC105&gt;$BK$4,"×窓を開けて上昇",IF($Z105&gt;$BK$5,"×前日に急騰",IF($Z105&lt;$BK$6,"×前日に急落",IF($BD105&lt;$BK$7,"×高値から離れすぎ",IF($BE105&gt;$BK$8,"×当日の値幅が大きい","×")))))))))</f>
      </c>
    </row>
    <row r="106" spans="1:60"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IF(AND(E106&lt;&gt;"",K106&lt;&gt;"",K106&lt;&gt;0),(E106-K106)/K106*100,"")</f>
        <v>-8.3665338645418323</v>
      </c>
      <c r="M106" s="333">
        <f>IF(C106&lt;&gt;"",IFERROR(AVERAGE(出来高!E120:I120),""),"")</f>
        <v>100160</v>
      </c>
      <c r="N106" s="333">
        <f>IF(C106&lt;&gt;"",IFERROR(AVERAGE(出来高!E120:AC120),""),"")</f>
        <v>81566.666666666672</v>
      </c>
      <c r="O106" s="335">
        <f>IF(AND(J106&lt;&gt;"",M106&lt;&gt;"",M106&lt;&gt;0),J106/M106,"")</f>
        <v>1.1591453674121406</v>
      </c>
      <c r="P106" s="212" t="str">
        <f>IF(O106="","",IF(O106&gt;=2,"急増↑↑",IF(O106&gt;=1.5,"増加↑",IF(O106&gt;=1,"普通→","減少↓"))))</f>
        <v>普通→</v>
      </c>
      <c r="Q106" s="212" t="str">
        <f>IF(E106="","",IF(AND(E106&lt;G106,O106&gt;=1.5),"売り▼",IF(E106&gt;G106,"様子見▲","中立→")))</f>
        <v>中立→</v>
      </c>
      <c r="R106" s="333">
        <f>IF(E106&lt;&gt;"",ROUND(E106*0.92,0),"")</f>
        <v>4232</v>
      </c>
      <c r="S106" s="333">
        <f>IF(E106&lt;&gt;"",ROUND(E106*1.04,0),"")</f>
        <v>4784</v>
      </c>
      <c r="T106" s="325">
        <f>IF(C106="","",IFERROR(IF(W106&gt;=70,3,IF(W106&gt;=60,2,IF(W106&gt;=50,1,0)))+IF(X106&lt;0,2,0)+IF(AD106="下降トレンド▼",3,IF(AD106="もみ合い→",1,0))+IF(V106="年初来安値圏●",3,IF(V106="安値圏",2,0))+IF(Q106="売り▼",2,0)+IF(P106="急増↑↑",2,IF(P106="増加↑",1,0))+IF(Z106&lt;0,1,0)+IF(L106&lt;=-30,2,IF(L106&lt;=-15,1,0))+IF(AE106="25日戻り売り★",2,IF(AE106="5日戻り売り○",1,0))+N(AL106)+N(AP106)+N(AU106),0))</f>
        <v>0</v>
      </c>
      <c r="U106" s="212" t="str">
        <f>IF(T106="","",IF(AND(T106&gt;=3,O106&gt;=1.5),"有効",IF(T106&gt;=3,"要確認","除外")))</f>
        <v>除外</v>
      </c>
      <c r="V106" s="212" t="str">
        <f>IF(AND(I106&lt;&gt;"",K106&lt;&gt;""),IF(I106&lt;=K106*0.6,"年初来安値圏●",IF(I106&lt;=K106*0.75,"安値圏","通常")),"")</f>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IF(AF106="","",AF106&amp;" | "&amp;AD106&amp;IF(AE106&lt;&gt;"なし"," "&amp;AE106,"")&amp;IF(X106&lt;0," MACD-"," MACD+")&amp;" RSI:"&amp;TEXT(W106,"0.0")&amp;IF(W106&gt;=70," [過熱]",IF(W106&lt;=30," [売られ過ぎ]",""))&amp;" 前日比:"&amp;TEXT(Z106,"+0.0;-0.0;0.0")&amp;"%"&amp;IF(V106="年初来安値圏●"," [年初来安値圏]",IF(V106="安値圏"," [安値圏]",""))&amp;IF(OR(AO106="通常",AO106="-"),""," ["&amp;AO106&amp;"]")&amp;IF(OR(AT106="通常",AT106="-"),"","前日["&amp;AT106&amp;"]")&amp;" ["&amp;T106&amp;"点]")</f>
        <v>相場上昇・見送り | パーフェクト▲ MACD+ RSI:51.5 前日比:-0.4% [0点]</v>
      </c>
      <c r="Z106" s="338">
        <f>IF(AND(E106&lt;&gt;"",G106&lt;&gt;"",G106&lt;&gt;0),(E106-G106)/G106*100,"")</f>
        <v>-0.4329004329004329</v>
      </c>
      <c r="AA106" s="212" t="str">
        <f>IF(OR(C106="",E106="",E106=0),"",IF(E106&gt;G106,"上昇▲",IF(E106&lt;G106,"下落▼","横ばい→")))</f>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IF(OR(C106="",AB106="",AC106="",AB106=0,AC106=0),"",IF(AND(E106&gt;AB106,AB106&gt;AC106),"パーフェクト▲",IF(E106&gt;AC106,"上昇トレンド▲",IF(AND(E106&lt;AB106,AB106&lt;AC106),"下降トレンド▼","もみ合い→"))))</f>
        <v>パーフェクト▲</v>
      </c>
      <c r="AE106" s="212" t="str">
        <f>IF(OR(C106="",AB106="",AC106=""),"",IF(AND(ABS(E106-AC106)/AC106&lt;=0.02,E106&lt;AC106),"25日戻り売り★",IF(AND(ABS(E106-AB106)/AB106&lt;=0.01,E106&lt;AB106),"5日戻り売り○","なし")))</f>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IF(AND(T106&gt;=7,C106&lt;&gt;""),T106,0)</f>
        <v>0</v>
      </c>
      <c r="AH106">
        <f>IF(AG106&gt;0,AG106*10000-ROW(A106),0)</f>
        <v>0</v>
      </c>
      <c r="AI106" s="373">
        <f t="array" ref="AI106">IF(C106="","",IFERROR((INDEX(終値!$E:$E,MATCH(TEXT(C106,"0"),終値!$A:$A,0))-INDEX(終値!$E:$CZ,MATCH(TEXT(C106,"0"),終値!$A:$A,0),$AN$2))/INDEX(終値!$E:$CZ,MATCH(TEXT(C106,"0"),終値!$A:$A,0),$AN$2)*100,""))</f>
        <v>11.650485436893204</v>
      </c>
      <c r="AJ106" s="373">
        <f t="array" ref="AJ106">IFERROR((終値!$E$5-INDEX(終値!$E$5:$IT$5,1,$AN$2))/INDEX(終値!$E$5:$IT$5,1,$AN$2)*100,"")</f>
        <v>1.0179378228534113</v>
      </c>
      <c r="AK106" s="374">
        <f>IF(OR(AI106="",AJ106=""),"",AI106-AJ106)</f>
        <v>10.632547614039792</v>
      </c>
      <c r="AL106" s="372">
        <f>IF(AK106="","",IF(AK106&lt;-5,3,IF(AK106&lt;0,1,IF(AK106&lt;3,-1,-2))))</f>
        <v>-2</v>
      </c>
      <c r="AO106" s="376" t="str">
        <f>IF(OR($C106="",$E106="",$F106="",$H106="",$I106="",$H106-$I106&lt;=0),"-",IF(AND($H106-MAX($F106,$E106)&gt;=ABS($E106-$F106)*2,MIN($F106,$E106)-$I106&lt;=ABS($E106-$F106)*0.5,ABS($E106-$F106)&gt;0),"上ヒゲ陰線▼",IF(AND($E106&lt;$F106,ABS($E106-$F106)&gt;=($H106-$I106)*0.7),"大陰線▼",IF(AND(MIN($F106,$E106)-$I106&gt;=($H106-$I106)*0.5,$H106-MAX($F106,$E106)&lt;=($H106-$I106)*0.2),"長い下ヒゲ(反発警戒)","通常"))))</f>
        <v>通常</v>
      </c>
      <c r="AP106" s="377">
        <f>IF($AO106="上ヒゲ陰線▼",2,IF($AO106="大陰線▼",2,IF($AO106="長い下ヒゲ(反発警戒)",-2,0)))</f>
        <v>0</v>
      </c>
      <c r="AQ106">
        <f>IF(C106&lt;&gt;"",始値!F120,"")</f>
        <v>4550</v>
      </c>
      <c r="AR106">
        <f>IF(C106&lt;&gt;"",高値!F120,"")</f>
        <v>4620</v>
      </c>
      <c r="AS106">
        <f>IF(C106&lt;&gt;"",安値!F120,"")</f>
        <v>4545</v>
      </c>
      <c r="AT106" t="str">
        <f>IF(OR(C106="",AQ106="",AR106="",AS106="",AR106-AS106&lt;=0),"-",IF(AND(AR106-MAX(G106,AQ106)&gt;=ABS(G106-AQ106)*2,MIN(G106,AQ106)-AS106&lt;=ABS(G106-AQ106)*0.5,ABS(G106-AQ106)&gt;0),"上ヒゲ陰線▼",IF(AND(G106&lt;AQ106,ABS(G106-AQ106)&gt;=(AR106-AS106)*0.7),"大陰線▼",IF(AND(MIN(G106,AQ106)-AS106&gt;=(AR106-AS106)*0.5,AR106-MAX(G106,AQ106)&lt;=(AR106-AS106)*0.2),"長い下ヒゲ(反発)","通常"))))</f>
        <v>通常</v>
      </c>
      <c r="AU106">
        <f>IF(AT106="上ヒゲ陰線▼",2,IF(AT106="大陰線▼",2,IF(AT106="長い下ヒゲ(反発)",-2,0)))</f>
        <v>0</v>
      </c>
      <c r="BA106">
        <f>IFERROR((SUM(OFFSET(高値!$E$6,IFERROR(MATCH($C106,銘柄管理!$B$6:$B$305,0),MATCH(TEXT($C106,"0"),銘柄管理!$B$6:$B$305,0))-1,0,1,14))-SUM(OFFSET(安値!$E$6,IFERROR(MATCH($C106,銘柄管理!$B$6:$B$305,0),MATCH(TEXT($C106,"0"),銘柄管理!$B$6:$B$305,0))-1,0,1,14)))/SUM(OFFSET(終値!$E$6,IFERROR(MATCH($C106,銘柄管理!$B$6:$B$305,0),MATCH(TEXT($C106,"0"),銘柄管理!$B$6:$B$305,0))-1,0,1,14))*100,"")</f>
      </c>
      <c r="BB106">
        <f>IFERROR((MAX(OFFSET(高値!$E$6,IFERROR(MATCH($C106,銘柄管理!$B$6:$B$305,0),MATCH(TEXT($C106,"0"),銘柄管理!$B$6:$B$305,0))-1,0,1,25))-MIN(OFFSET(安値!$E$6,IFERROR(MATCH($C106,銘柄管理!$B$6:$B$305,0),MATCH(TEXT($C106,"0"),銘柄管理!$B$6:$B$305,0))-1,0,1,25)))/$E106*100,"")</f>
      </c>
      <c r="BC106">
        <f>IFERROR(($F106-$G106)/$G106*100,"")</f>
      </c>
      <c r="BD106">
        <f>IFERROR(($E106-MAX(OFFSET(高値!$E$6,IFERROR(MATCH($C106,銘柄管理!$B$6:$B$305,0),MATCH(TEXT($C106,"0"),銘柄管理!$B$6:$B$305,0))-1,0,1,25)))/MAX(OFFSET(高値!$E$6,IFERROR(MATCH($C106,銘柄管理!$B$6:$B$305,0),MATCH(TEXT($C106,"0"),銘柄管理!$B$6:$B$305,0))-1,0,1,25))*100,"")</f>
      </c>
      <c r="BE106">
        <f>IFERROR(($H106-$I106)/$F106*100,"")</f>
      </c>
      <c r="BF106">
        <f>IFERROR(-(($BA106-AVERAGE($BA$3:$BA$206))/STDEV($BA$3:$BA$206))-(($BE106-AVERAGE($BE$3:$BE$206))/STDEV($BE$3:$BE$206))-(($BB106-AVERAGE($BB$3:$BB$206))/STDEV($BB$3:$BB$206))-(($Z106-AVERAGE($Z$3:$Z$206))/STDEV($Z$3:$Z$206))-(($BC106-AVERAGE($BC$3:$BC$206))/STDEV($BC$3:$BC$206)),"")</f>
      </c>
      <c r="BG106">
        <f>IF(OR($C106="",$C106="TOPX",$BA106="",$BF106=""),0,IF(AND($BK$10=1,$BA106&lt;=$BK$2,$BB106&lt;=$BK$3,$BC106&lt;=$BK$4,$Z106&lt;=$BK$5,$Z106&gt;=$BK$6,$BD106&gt;=$BK$7,$BE106&lt;=$BK$8),1,0))</f>
      </c>
      <c r="BH106">
        <f>IF($C106="","",IF($BG106=1,"○ゲート通過",IF($BK$10&lt;&gt;1,"― この方向は停止中",IF($BA106&gt;$BK$2,"×値動きが荒い",IF($BB106&gt;$BK$3,"×レンジが広い",IF($BC106&gt;$BK$4,"×窓を開けて上昇",IF($Z106&gt;$BK$5,"×前日に急騰",IF($Z106&lt;$BK$6,"×前日に急落",IF($BD106&lt;$BK$7,"×高値から離れすぎ",IF($BE106&gt;$BK$8,"×当日の値幅が大きい","×")))))))))</f>
      </c>
    </row>
    <row r="107" spans="1:60"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IF(AND(E107&lt;&gt;"",K107&lt;&gt;"",K107&lt;&gt;0),(E107-K107)/K107*100,"")</f>
        <v>-23.901712583767683</v>
      </c>
      <c r="M107" s="326">
        <f>IF(C107&lt;&gt;"",IFERROR(AVERAGE(出来高!E126:I126),""),"")</f>
        <v>217800</v>
      </c>
      <c r="N107" s="326">
        <f>IF(C107&lt;&gt;"",IFERROR(AVERAGE(出来高!E126:AC126),""),"")</f>
        <v>331356</v>
      </c>
      <c r="O107" s="328">
        <f>IF(AND(J107&lt;&gt;"",M107&lt;&gt;"",M107&lt;&gt;0),J107/M107,"")</f>
        <v>0.76308539944903586</v>
      </c>
      <c r="P107" s="325" t="str">
        <f>IF(O107="","",IF(O107&gt;=2,"急増↑↑",IF(O107&gt;=1.5,"増加↑",IF(O107&gt;=1,"普通→","減少↓"))))</f>
        <v>減少↓</v>
      </c>
      <c r="Q107" s="325" t="str">
        <f>IF(E107="","",IF(AND(E107&lt;G107,O107&gt;=1.5),"売り▼",IF(E107&gt;G107,"様子見▲","中立→")))</f>
        <v>様子見▲</v>
      </c>
      <c r="R107" s="326">
        <f>IF(E107&lt;&gt;"",ROUND(E107*0.92,0),"")</f>
        <v>940</v>
      </c>
      <c r="S107" s="326">
        <f>IF(E107&lt;&gt;"",ROUND(E107*1.04,0),"")</f>
        <v>1063</v>
      </c>
      <c r="T107" s="325">
        <f>IF(C107="","",IFERROR(IF(W107&gt;=70,3,IF(W107&gt;=60,2,IF(W107&gt;=50,1,0)))+IF(X107&lt;0,2,0)+IF(AD107="下降トレンド▼",3,IF(AD107="もみ合い→",1,0))+IF(V107="年初来安値圏●",3,IF(V107="安値圏",2,0))+IF(Q107="売り▼",2,0)+IF(P107="急増↑↑",2,IF(P107="増加↑",1,0))+IF(Z107&lt;0,1,0)+IF(L107&lt;=-30,2,IF(L107&lt;=-15,1,0))+IF(AE107="25日戻り売り★",2,IF(AE107="5日戻り売り○",1,0))+N(AL107)+N(AP107)+N(AU107),0))</f>
        <v>0</v>
      </c>
      <c r="U107" s="325" t="str">
        <f>IF(T107="","",IF(AND(T107&gt;=3,O107&gt;=1.5),"有効",IF(T107&gt;=3,"要確認","除外")))</f>
        <v>除外</v>
      </c>
      <c r="V107" s="325" t="str">
        <f>IF(AND(I107&lt;&gt;"",K107&lt;&gt;""),IF(I107&lt;=K107*0.6,"年初来安値圏●",IF(I107&lt;=K107*0.75,"安値圏","通常")),"")</f>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IF(AF107="","",AF107&amp;" | "&amp;AD107&amp;IF(AE107&lt;&gt;"なし"," "&amp;AE107,"")&amp;IF(X107&lt;0," MACD-"," MACD+")&amp;" RSI:"&amp;TEXT(W107,"0.0")&amp;IF(W107&gt;=70," [過熱]",IF(W107&lt;=30," [売られ過ぎ]",""))&amp;" 前日比:"&amp;TEXT(Z107,"+0.0;-0.0;0.0")&amp;"%"&amp;IF(V107="年初来安値圏●"," [年初来安値圏]",IF(V107="安値圏"," [安値圏]",""))&amp;IF(OR(AO107="通常",AO107="-"),""," ["&amp;AO107&amp;"]")&amp;IF(OR(AT107="通常",AT107="-"),"","前日["&amp;AT107&amp;"]")&amp;" ["&amp;T107&amp;"点]")</f>
        <v>相場上昇・見送り | パーフェクト▲ MACD+ RSI:51.9 前日比:+0.2% [0点]</v>
      </c>
      <c r="Z107" s="331">
        <f>IF(AND(E107&lt;&gt;"",G107&lt;&gt;"",G107&lt;&gt;0),(E107-G107)/G107*100,"")</f>
        <v>0.19607843137254902</v>
      </c>
      <c r="AA107" s="325" t="str">
        <f>IF(OR(C107="",E107="",E107=0),"",IF(E107&gt;G107,"上昇▲",IF(E107&lt;G107,"下落▼","横ばい→")))</f>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IF(OR(C107="",AB107="",AC107="",AB107=0,AC107=0),"",IF(AND(E107&gt;AB107,AB107&gt;AC107),"パーフェクト▲",IF(E107&gt;AC107,"上昇トレンド▲",IF(AND(E107&lt;AB107,AB107&lt;AC107),"下降トレンド▼","もみ合い→"))))</f>
        <v>パーフェクト▲</v>
      </c>
      <c r="AE107" s="325" t="str">
        <f>IF(OR(C107="",AB107="",AC107=""),"",IF(AND(ABS(E107-AC107)/AC107&lt;=0.02,E107&lt;AC107),"25日戻り売り★",IF(AND(ABS(E107-AB107)/AB107&lt;=0.01,E107&lt;AB107),"5日戻り売り○","なし")))</f>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IF(AND(T107&gt;=7,C107&lt;&gt;""),T107,0)</f>
        <v>0</v>
      </c>
      <c r="AH107">
        <f>IF(AG107&gt;0,AG107*10000-ROW(A107),0)</f>
        <v>0</v>
      </c>
      <c r="AI107" s="373">
        <f t="array" ref="AI107">IF(C107="","",IFERROR((INDEX(終値!$E:$E,MATCH(TEXT(C107,"0"),終値!$A:$A,0))-INDEX(終値!$E:$CZ,MATCH(TEXT(C107,"0"),終値!$A:$A,0),$AN$2))/INDEX(終値!$E:$CZ,MATCH(TEXT(C107,"0"),終値!$A:$A,0),$AN$2)*100,""))</f>
        <v>6.0165975103734439</v>
      </c>
      <c r="AJ107" s="373">
        <f t="array" ref="AJ107">IFERROR((終値!$E$5-INDEX(終値!$E$5:$IT$5,1,$AN$2))/INDEX(終値!$E$5:$IT$5,1,$AN$2)*100,"")</f>
        <v>1.0179378228534113</v>
      </c>
      <c r="AK107" s="374">
        <f>IF(OR(AI107="",AJ107=""),"",AI107-AJ107)</f>
        <v>4.9986596875200329</v>
      </c>
      <c r="AL107" s="372">
        <f>IF(AK107="","",IF(AK107&lt;-5,3,IF(AK107&lt;0,1,IF(AK107&lt;3,-1,-2))))</f>
        <v>-2</v>
      </c>
      <c r="AO107" s="376" t="str">
        <f>IF(OR($C107="",$E107="",$F107="",$H107="",$I107="",$H107-$I107&lt;=0),"-",IF(AND($H107-MAX($F107,$E107)&gt;=ABS($E107-$F107)*2,MIN($F107,$E107)-$I107&lt;=ABS($E107-$F107)*0.5,ABS($E107-$F107)&gt;0),"上ヒゲ陰線▼",IF(AND($E107&lt;$F107,ABS($E107-$F107)&gt;=($H107-$I107)*0.7),"大陰線▼",IF(AND(MIN($F107,$E107)-$I107&gt;=($H107-$I107)*0.5,$H107-MAX($F107,$E107)&lt;=($H107-$I107)*0.2),"長い下ヒゲ(反発警戒)","通常"))))</f>
        <v>通常</v>
      </c>
      <c r="AP107" s="377">
        <f>IF($AO107="上ヒゲ陰線▼",2,IF($AO107="大陰線▼",2,IF($AO107="長い下ヒゲ(反発警戒)",-2,0)))</f>
        <v>0</v>
      </c>
      <c r="AQ107">
        <f>IF(C107&lt;&gt;"",始値!F126,"")</f>
        <v>1010</v>
      </c>
      <c r="AR107">
        <f>IF(C107&lt;&gt;"",高値!F126,"")</f>
        <v>1025</v>
      </c>
      <c r="AS107">
        <f>IF(C107&lt;&gt;"",安値!F126,"")</f>
        <v>1009</v>
      </c>
      <c r="AT107" t="str">
        <f>IF(OR(C107="",AQ107="",AR107="",AS107="",AR107-AS107&lt;=0),"-",IF(AND(AR107-MAX(G107,AQ107)&gt;=ABS(G107-AQ107)*2,MIN(G107,AQ107)-AS107&lt;=ABS(G107-AQ107)*0.5,ABS(G107-AQ107)&gt;0),"上ヒゲ陰線▼",IF(AND(G107&lt;AQ107,ABS(G107-AQ107)&gt;=(AR107-AS107)*0.7),"大陰線▼",IF(AND(MIN(G107,AQ107)-AS107&gt;=(AR107-AS107)*0.5,AR107-MAX(G107,AQ107)&lt;=(AR107-AS107)*0.2),"長い下ヒゲ(反発)","通常"))))</f>
        <v>通常</v>
      </c>
      <c r="AU107">
        <f>IF(AT107="上ヒゲ陰線▼",2,IF(AT107="大陰線▼",2,IF(AT107="長い下ヒゲ(反発)",-2,0)))</f>
        <v>0</v>
      </c>
      <c r="BA107">
        <f>IFERROR((SUM(OFFSET(高値!$E$6,IFERROR(MATCH($C107,銘柄管理!$B$6:$B$305,0),MATCH(TEXT($C107,"0"),銘柄管理!$B$6:$B$305,0))-1,0,1,14))-SUM(OFFSET(安値!$E$6,IFERROR(MATCH($C107,銘柄管理!$B$6:$B$305,0),MATCH(TEXT($C107,"0"),銘柄管理!$B$6:$B$305,0))-1,0,1,14)))/SUM(OFFSET(終値!$E$6,IFERROR(MATCH($C107,銘柄管理!$B$6:$B$305,0),MATCH(TEXT($C107,"0"),銘柄管理!$B$6:$B$305,0))-1,0,1,14))*100,"")</f>
      </c>
      <c r="BB107">
        <f>IFERROR((MAX(OFFSET(高値!$E$6,IFERROR(MATCH($C107,銘柄管理!$B$6:$B$305,0),MATCH(TEXT($C107,"0"),銘柄管理!$B$6:$B$305,0))-1,0,1,25))-MIN(OFFSET(安値!$E$6,IFERROR(MATCH($C107,銘柄管理!$B$6:$B$305,0),MATCH(TEXT($C107,"0"),銘柄管理!$B$6:$B$305,0))-1,0,1,25)))/$E107*100,"")</f>
      </c>
      <c r="BC107">
        <f>IFERROR(($F107-$G107)/$G107*100,"")</f>
      </c>
      <c r="BD107">
        <f>IFERROR(($E107-MAX(OFFSET(高値!$E$6,IFERROR(MATCH($C107,銘柄管理!$B$6:$B$305,0),MATCH(TEXT($C107,"0"),銘柄管理!$B$6:$B$305,0))-1,0,1,25)))/MAX(OFFSET(高値!$E$6,IFERROR(MATCH($C107,銘柄管理!$B$6:$B$305,0),MATCH(TEXT($C107,"0"),銘柄管理!$B$6:$B$305,0))-1,0,1,25))*100,"")</f>
      </c>
      <c r="BE107">
        <f>IFERROR(($H107-$I107)/$F107*100,"")</f>
      </c>
      <c r="BF107">
        <f>IFERROR(-(($BA107-AVERAGE($BA$3:$BA$206))/STDEV($BA$3:$BA$206))-(($BE107-AVERAGE($BE$3:$BE$206))/STDEV($BE$3:$BE$206))-(($BB107-AVERAGE($BB$3:$BB$206))/STDEV($BB$3:$BB$206))-(($Z107-AVERAGE($Z$3:$Z$206))/STDEV($Z$3:$Z$206))-(($BC107-AVERAGE($BC$3:$BC$206))/STDEV($BC$3:$BC$206)),"")</f>
      </c>
      <c r="BG107">
        <f>IF(OR($C107="",$C107="TOPX",$BA107="",$BF107=""),0,IF(AND($BK$10=1,$BA107&lt;=$BK$2,$BB107&lt;=$BK$3,$BC107&lt;=$BK$4,$Z107&lt;=$BK$5,$Z107&gt;=$BK$6,$BD107&gt;=$BK$7,$BE107&lt;=$BK$8),1,0))</f>
      </c>
      <c r="BH107">
        <f>IF($C107="","",IF($BG107=1,"○ゲート通過",IF($BK$10&lt;&gt;1,"― この方向は停止中",IF($BA107&gt;$BK$2,"×値動きが荒い",IF($BB107&gt;$BK$3,"×レンジが広い",IF($BC107&gt;$BK$4,"×窓を開けて上昇",IF($Z107&gt;$BK$5,"×前日に急騰",IF($Z107&lt;$BK$6,"×前日に急落",IF($BD107&lt;$BK$7,"×高値から離れすぎ",IF($BE107&gt;$BK$8,"×当日の値幅が大きい","×")))))))))</f>
      </c>
    </row>
    <row r="108" spans="1:60"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IF(AND(E108&lt;&gt;"",K108&lt;&gt;"",K108&lt;&gt;0),(E108-K108)/K108*100,"")</f>
        <v>-19.477693144722526</v>
      </c>
      <c r="M108" s="333">
        <f>IF(C108&lt;&gt;"",IFERROR(AVERAGE(出来高!E132:I132),""),"")</f>
        <v>1086600</v>
      </c>
      <c r="N108" s="333">
        <f>IF(C108&lt;&gt;"",IFERROR(AVERAGE(出来高!E132:AC132),""),"")</f>
        <v>1480050</v>
      </c>
      <c r="O108" s="335">
        <f>IF(AND(J108&lt;&gt;"",M108&lt;&gt;"",M108&lt;&gt;0),J108/M108,"")</f>
        <v>0.82413031474323584</v>
      </c>
      <c r="P108" s="212" t="str">
        <f>IF(O108="","",IF(O108&gt;=2,"急増↑↑",IF(O108&gt;=1.5,"増加↑",IF(O108&gt;=1,"普通→","減少↓"))))</f>
        <v>減少↓</v>
      </c>
      <c r="Q108" s="212" t="str">
        <f>IF(E108="","",IF(AND(E108&lt;G108,O108&gt;=1.5),"売り▼",IF(E108&gt;G108,"様子見▲","中立→")))</f>
        <v>様子見▲</v>
      </c>
      <c r="R108" s="333">
        <f>IF(E108&lt;&gt;"",ROUND(E108*0.92,0),"")</f>
        <v>6808</v>
      </c>
      <c r="S108" s="333">
        <f>IF(E108&lt;&gt;"",ROUND(E108*1.04,0),"")</f>
        <v>7696</v>
      </c>
      <c r="T108" s="325">
        <f>IF(C108="","",IFERROR(IF(W108&gt;=70,3,IF(W108&gt;=60,2,IF(W108&gt;=50,1,0)))+IF(X108&lt;0,2,0)+IF(AD108="下降トレンド▼",3,IF(AD108="もみ合い→",1,0))+IF(V108="年初来安値圏●",3,IF(V108="安値圏",2,0))+IF(Q108="売り▼",2,0)+IF(P108="急増↑↑",2,IF(P108="増加↑",1,0))+IF(Z108&lt;0,1,0)+IF(L108&lt;=-30,2,IF(L108&lt;=-15,1,0))+IF(AE108="25日戻り売り★",2,IF(AE108="5日戻り売り○",1,0))+N(AL108)+N(AP108)+N(AU108),0))</f>
        <v>4</v>
      </c>
      <c r="U108" s="212" t="str">
        <f>IF(T108="","",IF(AND(T108&gt;=3,O108&gt;=1.5),"有効",IF(T108&gt;=3,"要確認","除外")))</f>
        <v>要確認</v>
      </c>
      <c r="V108" s="212" t="str">
        <f>IF(AND(I108&lt;&gt;"",K108&lt;&gt;""),IF(I108&lt;=K108*0.6,"年初来安値圏●",IF(I108&lt;=K108*0.75,"安値圏","通常")),"")</f>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IF(AF108="","",AF108&amp;" | "&amp;AD108&amp;IF(AE108&lt;&gt;"なし"," "&amp;AE108,"")&amp;IF(X108&lt;0," MACD-"," MACD+")&amp;" RSI:"&amp;TEXT(W108,"0.0")&amp;IF(W108&gt;=70," [過熱]",IF(W108&lt;=30," [売られ過ぎ]",""))&amp;" 前日比:"&amp;TEXT(Z108,"+0.0;-0.0;0.0")&amp;"%"&amp;IF(V108="年初来安値圏●"," [年初来安値圏]",IF(V108="安値圏"," [安値圏]",""))&amp;IF(OR(AO108="通常",AO108="-"),""," ["&amp;AO108&amp;"]")&amp;IF(OR(AT108="通常",AT108="-"),"","前日["&amp;AT108&amp;"]")&amp;" ["&amp;T108&amp;"点]")</f>
        <v>相場上昇・見送り | パーフェクト▲ MACD- RSI:49.9 前日比:+0.3% [4点]</v>
      </c>
      <c r="Z108" s="338">
        <f>IF(AND(E108&lt;&gt;"",G108&lt;&gt;"",G108&lt;&gt;0),(E108-G108)/G108*100,"")</f>
        <v>0.27100271002710025</v>
      </c>
      <c r="AA108" s="212" t="str">
        <f>IF(OR(C108="",E108="",E108=0),"",IF(E108&gt;G108,"上昇▲",IF(E108&lt;G108,"下落▼","横ばい→")))</f>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IF(OR(C108="",AB108="",AC108="",AB108=0,AC108=0),"",IF(AND(E108&gt;AB108,AB108&gt;AC108),"パーフェクト▲",IF(E108&gt;AC108,"上昇トレンド▲",IF(AND(E108&lt;AB108,AB108&lt;AC108),"下降トレンド▼","もみ合い→"))))</f>
        <v>パーフェクト▲</v>
      </c>
      <c r="AE108" s="212" t="str">
        <f>IF(OR(C108="",AB108="",AC108=""),"",IF(AND(ABS(E108-AC108)/AC108&lt;=0.02,E108&lt;AC108),"25日戻り売り★",IF(AND(ABS(E108-AB108)/AB108&lt;=0.01,E108&lt;AB108),"5日戻り売り○","なし")))</f>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IF(AND(T108&gt;=7,C108&lt;&gt;""),T108,0)</f>
        <v>0</v>
      </c>
      <c r="AH108">
        <f>IF(AG108&gt;0,AG108*10000-ROW(A108),0)</f>
        <v>0</v>
      </c>
      <c r="AI108" s="373">
        <f t="array" ref="AI108">IF(C108="","",IFERROR((INDEX(終値!$E:$E,MATCH(TEXT(C108,"0"),終値!$A:$A,0))-INDEX(終値!$E:$CZ,MATCH(TEXT(C108,"0"),終値!$A:$A,0),$AN$2))/INDEX(終値!$E:$CZ,MATCH(TEXT(C108,"0"),終値!$A:$A,0),$AN$2)*100,""))</f>
        <v>-0.67114093959731547</v>
      </c>
      <c r="AJ108" s="373">
        <f t="array" ref="AJ108">IFERROR((終値!$E$5-INDEX(終値!$E$5:$IT$5,1,$AN$2))/INDEX(終値!$E$5:$IT$5,1,$AN$2)*100,"")</f>
        <v>1.0179378228534113</v>
      </c>
      <c r="AK108" s="374">
        <f>IF(OR(AI108="",AJ108=""),"",AI108-AJ108)</f>
        <v>-1.6890787624507269</v>
      </c>
      <c r="AL108" s="372">
        <f>IF(AK108="","",IF(AK108&lt;-5,3,IF(AK108&lt;0,1,IF(AK108&lt;3,-1,-2))))</f>
        <v>1</v>
      </c>
      <c r="AO108" s="376" t="str">
        <f>IF(OR($C108="",$E108="",$F108="",$H108="",$I108="",$H108-$I108&lt;=0),"-",IF(AND($H108-MAX($F108,$E108)&gt;=ABS($E108-$F108)*2,MIN($F108,$E108)-$I108&lt;=ABS($E108-$F108)*0.5,ABS($E108-$F108)&gt;0),"上ヒゲ陰線▼",IF(AND($E108&lt;$F108,ABS($E108-$F108)&gt;=($H108-$I108)*0.7),"大陰線▼",IF(AND(MIN($F108,$E108)-$I108&gt;=($H108-$I108)*0.5,$H108-MAX($F108,$E108)&lt;=($H108-$I108)*0.2),"長い下ヒゲ(反発警戒)","通常"))))</f>
        <v>通常</v>
      </c>
      <c r="AP108" s="377">
        <f>IF($AO108="上ヒゲ陰線▼",2,IF($AO108="大陰線▼",2,IF($AO108="長い下ヒゲ(反発警戒)",-2,0)))</f>
        <v>0</v>
      </c>
      <c r="AQ108">
        <f>IF(C108&lt;&gt;"",始値!F132,"")</f>
        <v>7180</v>
      </c>
      <c r="AR108">
        <f>IF(C108&lt;&gt;"",高値!F132,"")</f>
        <v>7600</v>
      </c>
      <c r="AS108">
        <f>IF(C108&lt;&gt;"",安値!F132,"")</f>
        <v>7080</v>
      </c>
      <c r="AT108" t="str">
        <f>IF(OR(C108="",AQ108="",AR108="",AS108="",AR108-AS108&lt;=0),"-",IF(AND(AR108-MAX(G108,AQ108)&gt;=ABS(G108-AQ108)*2,MIN(G108,AQ108)-AS108&lt;=ABS(G108-AQ108)*0.5,ABS(G108-AQ108)&gt;0),"上ヒゲ陰線▼",IF(AND(G108&lt;AQ108,ABS(G108-AQ108)&gt;=(AR108-AS108)*0.7),"大陰線▼",IF(AND(MIN(G108,AQ108)-AS108&gt;=(AR108-AS108)*0.5,AR108-MAX(G108,AQ108)&lt;=(AR108-AS108)*0.2),"長い下ヒゲ(反発)","通常"))))</f>
        <v>通常</v>
      </c>
      <c r="AU108">
        <f>IF(AT108="上ヒゲ陰線▼",2,IF(AT108="大陰線▼",2,IF(AT108="長い下ヒゲ(反発)",-2,0)))</f>
        <v>0</v>
      </c>
      <c r="BA108">
        <f>IFERROR((SUM(OFFSET(高値!$E$6,IFERROR(MATCH($C108,銘柄管理!$B$6:$B$305,0),MATCH(TEXT($C108,"0"),銘柄管理!$B$6:$B$305,0))-1,0,1,14))-SUM(OFFSET(安値!$E$6,IFERROR(MATCH($C108,銘柄管理!$B$6:$B$305,0),MATCH(TEXT($C108,"0"),銘柄管理!$B$6:$B$305,0))-1,0,1,14)))/SUM(OFFSET(終値!$E$6,IFERROR(MATCH($C108,銘柄管理!$B$6:$B$305,0),MATCH(TEXT($C108,"0"),銘柄管理!$B$6:$B$305,0))-1,0,1,14))*100,"")</f>
      </c>
      <c r="BB108">
        <f>IFERROR((MAX(OFFSET(高値!$E$6,IFERROR(MATCH($C108,銘柄管理!$B$6:$B$305,0),MATCH(TEXT($C108,"0"),銘柄管理!$B$6:$B$305,0))-1,0,1,25))-MIN(OFFSET(安値!$E$6,IFERROR(MATCH($C108,銘柄管理!$B$6:$B$305,0),MATCH(TEXT($C108,"0"),銘柄管理!$B$6:$B$305,0))-1,0,1,25)))/$E108*100,"")</f>
      </c>
      <c r="BC108">
        <f>IFERROR(($F108-$G108)/$G108*100,"")</f>
      </c>
      <c r="BD108">
        <f>IFERROR(($E108-MAX(OFFSET(高値!$E$6,IFERROR(MATCH($C108,銘柄管理!$B$6:$B$305,0),MATCH(TEXT($C108,"0"),銘柄管理!$B$6:$B$305,0))-1,0,1,25)))/MAX(OFFSET(高値!$E$6,IFERROR(MATCH($C108,銘柄管理!$B$6:$B$305,0),MATCH(TEXT($C108,"0"),銘柄管理!$B$6:$B$305,0))-1,0,1,25))*100,"")</f>
      </c>
      <c r="BE108">
        <f>IFERROR(($H108-$I108)/$F108*100,"")</f>
      </c>
      <c r="BF108">
        <f>IFERROR(-(($BA108-AVERAGE($BA$3:$BA$206))/STDEV($BA$3:$BA$206))-(($BE108-AVERAGE($BE$3:$BE$206))/STDEV($BE$3:$BE$206))-(($BB108-AVERAGE($BB$3:$BB$206))/STDEV($BB$3:$BB$206))-(($Z108-AVERAGE($Z$3:$Z$206))/STDEV($Z$3:$Z$206))-(($BC108-AVERAGE($BC$3:$BC$206))/STDEV($BC$3:$BC$206)),"")</f>
      </c>
      <c r="BG108">
        <f>IF(OR($C108="",$C108="TOPX",$BA108="",$BF108=""),0,IF(AND($BK$10=1,$BA108&lt;=$BK$2,$BB108&lt;=$BK$3,$BC108&lt;=$BK$4,$Z108&lt;=$BK$5,$Z108&gt;=$BK$6,$BD108&gt;=$BK$7,$BE108&lt;=$BK$8),1,0))</f>
      </c>
      <c r="BH108">
        <f>IF($C108="","",IF($BG108=1,"○ゲート通過",IF($BK$10&lt;&gt;1,"― この方向は停止中",IF($BA108&gt;$BK$2,"×値動きが荒い",IF($BB108&gt;$BK$3,"×レンジが広い",IF($BC108&gt;$BK$4,"×窓を開けて上昇",IF($Z108&gt;$BK$5,"×前日に急騰",IF($Z108&lt;$BK$6,"×前日に急落",IF($BD108&lt;$BK$7,"×高値から離れすぎ",IF($BE108&gt;$BK$8,"×当日の値幅が大きい","×")))))))))</f>
      </c>
    </row>
    <row r="109" spans="1:60"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IF(AND(E109&lt;&gt;"",K109&lt;&gt;"",K109&lt;&gt;0),(E109-K109)/K109*100,"")</f>
        <v>-36.288209606986896</v>
      </c>
      <c r="M109" s="326">
        <f>IF(C109&lt;&gt;"",IFERROR(AVERAGE(出来高!E134:I134),""),"")</f>
        <v>16221650</v>
      </c>
      <c r="N109" s="326">
        <f>IF(C109&lt;&gt;"",IFERROR(AVERAGE(出来高!E134:AC134),""),"")</f>
        <v>16221650</v>
      </c>
      <c r="O109" s="328">
        <f>IF(AND(J109&lt;&gt;"",M109&lt;&gt;"",M109&lt;&gt;0),J109/M109,"")</f>
        <v>1.3110626847453866</v>
      </c>
      <c r="P109" s="325" t="str">
        <f>IF(O109="","",IF(O109&gt;=2,"急増↑↑",IF(O109&gt;=1.5,"増加↑",IF(O109&gt;=1,"普通→","減少↓"))))</f>
        <v>普通→</v>
      </c>
      <c r="Q109" s="325" t="str">
        <f>IF(E109="","",IF(AND(E109&lt;G109,O109&gt;=1.5),"売り▼",IF(E109&gt;G109,"様子見▲","中立→")))</f>
        <v>中立→</v>
      </c>
      <c r="R109" s="326">
        <f>IF(E109&lt;&gt;"",ROUND(E109*0.92,0),"")</f>
        <v>2685</v>
      </c>
      <c r="S109" s="326">
        <f>IF(E109&lt;&gt;"",ROUND(E109*1.04,0),"")</f>
        <v>3035</v>
      </c>
      <c r="T109" s="325">
        <f>IF(C109="","",IFERROR(IF(W109&gt;=70,3,IF(W109&gt;=60,2,IF(W109&gt;=50,1,0)))+IF(X109&lt;0,2,0)+IF(AD109="下降トレンド▼",3,IF(AD109="もみ合い→",1,0))+IF(V109="年初来安値圏●",3,IF(V109="安値圏",2,0))+IF(Q109="売り▼",2,0)+IF(P109="急増↑↑",2,IF(P109="増加↑",1,0))+IF(Z109&lt;0,1,0)+IF(L109&lt;=-30,2,IF(L109&lt;=-15,1,0))+IF(AE109="25日戻り売り★",2,IF(AE109="5日戻り売り○",1,0))+N(AL109)+N(AP109)+N(AU109),0))</f>
        <v>8</v>
      </c>
      <c r="U109" s="325" t="str">
        <f>IF(T109="","",IF(AND(T109&gt;=3,O109&gt;=1.5),"有効",IF(T109&gt;=3,"要確認","除外")))</f>
        <v>要確認</v>
      </c>
      <c r="V109" s="325" t="str">
        <f>IF(AND(I109&lt;&gt;"",K109&lt;&gt;""),IF(I109&lt;=K109*0.6,"年初来安値圏●",IF(I109&lt;=K109*0.75,"安値圏","通常")),"")</f>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IF(AF109="","",AF109&amp;" | "&amp;AD109&amp;IF(AE109&lt;&gt;"なし"," "&amp;AE109,"")&amp;IF(X109&lt;0," MACD-"," MACD+")&amp;" RSI:"&amp;TEXT(W109,"0.0")&amp;IF(W109&gt;=70," [過熱]",IF(W109&lt;=30," [売られ過ぎ]",""))&amp;" 前日比:"&amp;TEXT(Z109,"+0.0;-0.0;0.0")&amp;"%"&amp;IF(V109="年初来安値圏●"," [年初来安値圏]",IF(V109="安値圏"," [安値圏]",""))&amp;IF(OR(AO109="通常",AO109="-"),""," ["&amp;AO109&amp;"]")&amp;IF(OR(AT109="通常",AT109="-"),"","前日["&amp;AT109&amp;"]")&amp;" ["&amp;T109&amp;"点]")</f>
        <v>相場上昇・見送り | パーフェクト▲ MACD+ RSI:50.0 前日比:-17.9% [安値圏] [大陰線▼] [8点]</v>
      </c>
      <c r="Z109" s="331">
        <f>IF(AND(E109&lt;&gt;"",G109&lt;&gt;"",G109&lt;&gt;0),(E109-G109)/G109*100,"")</f>
        <v>-17.918424753867793</v>
      </c>
      <c r="AA109" s="325" t="str">
        <f>IF(OR(C109="",E109="",E109=0),"",IF(E109&gt;G109,"上昇▲",IF(E109&lt;G109,"下落▼","横ばい→")))</f>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IF(OR(C109="",AB109="",AC109="",AB109=0,AC109=0),"",IF(AND(E109&gt;AB109,AB109&gt;AC109),"パーフェクト▲",IF(E109&gt;AC109,"上昇トレンド▲",IF(AND(E109&lt;AB109,AB109&lt;AC109),"下降トレンド▼","もみ合い→"))))</f>
        <v>パーフェクト▲</v>
      </c>
      <c r="AE109" s="325" t="str">
        <f>IF(OR(C109="",AB109="",AC109=""),"",IF(AND(ABS(E109-AC109)/AC109&lt;=0.02,E109&lt;AC109),"25日戻り売り★",IF(AND(ABS(E109-AB109)/AB109&lt;=0.01,E109&lt;AB109),"5日戻り売り○","なし")))</f>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IF(AND(T109&gt;=7,C109&lt;&gt;""),T109,0)</f>
        <v>8</v>
      </c>
      <c r="AH109">
        <f>IF(AG109&gt;0,AG109*10000-ROW(A109),0)</f>
        <v>79891</v>
      </c>
      <c r="AI109" s="373" t="str">
        <f t="array" ref="AI109">IF(C109="","",IFERROR((INDEX(終値!$E:$E,MATCH(TEXT(C109,"0"),終値!$A:$A,0))-INDEX(終値!$E:$CZ,MATCH(TEXT(C109,"0"),終値!$A:$A,0),$AN$2))/INDEX(終値!$E:$CZ,MATCH(TEXT(C109,"0"),終値!$A:$A,0),$AN$2)*100,""))</f>
        <v/>
      </c>
      <c r="AJ109" s="373">
        <f t="array" ref="AJ109">IFERROR((終値!$E$5-INDEX(終値!$E$5:$IT$5,1,$AN$2))/INDEX(終値!$E$5:$IT$5,1,$AN$2)*100,"")</f>
        <v>1.0179378228534113</v>
      </c>
      <c r="AK109" s="374" t="str">
        <f>IF(OR(AI109="",AJ109=""),"",AI109-AJ109)</f>
        <v/>
      </c>
      <c r="AL109" s="372" t="str">
        <f>IF(AK109="","",IF(AK109&lt;-5,3,IF(AK109&lt;0,1,IF(AK109&lt;3,-1,-2))))</f>
        <v/>
      </c>
      <c r="AO109" s="376" t="str">
        <f>IF(OR($C109="",$E109="",$F109="",$H109="",$I109="",$H109-$I109&lt;=0),"-",IF(AND($H109-MAX($F109,$E109)&gt;=ABS($E109-$F109)*2,MIN($F109,$E109)-$I109&lt;=ABS($E109-$F109)*0.5,ABS($E109-$F109)&gt;0),"上ヒゲ陰線▼",IF(AND($E109&lt;$F109,ABS($E109-$F109)&gt;=($H109-$I109)*0.7),"大陰線▼",IF(AND(MIN($F109,$E109)-$I109&gt;=($H109-$I109)*0.5,$H109-MAX($F109,$E109)&lt;=($H109-$I109)*0.2),"長い下ヒゲ(反発警戒)","通常"))))</f>
        <v>大陰線▼</v>
      </c>
      <c r="AP109" s="377">
        <f>IF($AO109="上ヒゲ陰線▼",2,IF($AO109="大陰線▼",2,IF($AO109="長い下ヒゲ(反発警戒)",-2,0)))</f>
        <v>2</v>
      </c>
      <c r="AQ109">
        <f>IF(C109&lt;&gt;"",始値!F134,"")</f>
        <v>3350</v>
      </c>
      <c r="AR109">
        <f>IF(C109&lt;&gt;"",高値!F134,"")</f>
        <v>3610</v>
      </c>
      <c r="AS109">
        <f>IF(C109&lt;&gt;"",安値!F134,"")</f>
        <v>3350</v>
      </c>
      <c r="AT109" t="str">
        <f>IF(OR(C109="",AQ109="",AR109="",AS109="",AR109-AS109&lt;=0),"-",IF(AND(AR109-MAX(G109,AQ109)&gt;=ABS(G109-AQ109)*2,MIN(G109,AQ109)-AS109&lt;=ABS(G109-AQ109)*0.5,ABS(G109-AQ109)&gt;0),"上ヒゲ陰線▼",IF(AND(G109&lt;AQ109,ABS(G109-AQ109)&gt;=(AR109-AS109)*0.7),"大陰線▼",IF(AND(MIN(G109,AQ109)-AS109&gt;=(AR109-AS109)*0.5,AR109-MAX(G109,AQ109)&lt;=(AR109-AS109)*0.2),"長い下ヒゲ(反発)","通常"))))</f>
        <v>通常</v>
      </c>
      <c r="AU109">
        <f>IF(AT109="上ヒゲ陰線▼",2,IF(AT109="大陰線▼",2,IF(AT109="長い下ヒゲ(反発)",-2,0)))</f>
        <v>0</v>
      </c>
      <c r="BA109">
        <f>IFERROR((SUM(OFFSET(高値!$E$6,IFERROR(MATCH($C109,銘柄管理!$B$6:$B$305,0),MATCH(TEXT($C109,"0"),銘柄管理!$B$6:$B$305,0))-1,0,1,14))-SUM(OFFSET(安値!$E$6,IFERROR(MATCH($C109,銘柄管理!$B$6:$B$305,0),MATCH(TEXT($C109,"0"),銘柄管理!$B$6:$B$305,0))-1,0,1,14)))/SUM(OFFSET(終値!$E$6,IFERROR(MATCH($C109,銘柄管理!$B$6:$B$305,0),MATCH(TEXT($C109,"0"),銘柄管理!$B$6:$B$305,0))-1,0,1,14))*100,"")</f>
      </c>
      <c r="BB109">
        <f>IFERROR((MAX(OFFSET(高値!$E$6,IFERROR(MATCH($C109,銘柄管理!$B$6:$B$305,0),MATCH(TEXT($C109,"0"),銘柄管理!$B$6:$B$305,0))-1,0,1,25))-MIN(OFFSET(安値!$E$6,IFERROR(MATCH($C109,銘柄管理!$B$6:$B$305,0),MATCH(TEXT($C109,"0"),銘柄管理!$B$6:$B$305,0))-1,0,1,25)))/$E109*100,"")</f>
      </c>
      <c r="BC109">
        <f>IFERROR(($F109-$G109)/$G109*100,"")</f>
      </c>
      <c r="BD109">
        <f>IFERROR(($E109-MAX(OFFSET(高値!$E$6,IFERROR(MATCH($C109,銘柄管理!$B$6:$B$305,0),MATCH(TEXT($C109,"0"),銘柄管理!$B$6:$B$305,0))-1,0,1,25)))/MAX(OFFSET(高値!$E$6,IFERROR(MATCH($C109,銘柄管理!$B$6:$B$305,0),MATCH(TEXT($C109,"0"),銘柄管理!$B$6:$B$305,0))-1,0,1,25))*100,"")</f>
      </c>
      <c r="BE109">
        <f>IFERROR(($H109-$I109)/$F109*100,"")</f>
      </c>
      <c r="BF109">
        <f>IFERROR(-(($BA109-AVERAGE($BA$3:$BA$206))/STDEV($BA$3:$BA$206))-(($BE109-AVERAGE($BE$3:$BE$206))/STDEV($BE$3:$BE$206))-(($BB109-AVERAGE($BB$3:$BB$206))/STDEV($BB$3:$BB$206))-(($Z109-AVERAGE($Z$3:$Z$206))/STDEV($Z$3:$Z$206))-(($BC109-AVERAGE($BC$3:$BC$206))/STDEV($BC$3:$BC$206)),"")</f>
      </c>
      <c r="BG109">
        <f>IF(OR($C109="",$C109="TOPX",$BA109="",$BF109=""),0,IF(AND($BK$10=1,$BA109&lt;=$BK$2,$BB109&lt;=$BK$3,$BC109&lt;=$BK$4,$Z109&lt;=$BK$5,$Z109&gt;=$BK$6,$BD109&gt;=$BK$7,$BE109&lt;=$BK$8),1,0))</f>
      </c>
      <c r="BH109">
        <f>IF($C109="","",IF($BG109=1,"○ゲート通過",IF($BK$10&lt;&gt;1,"― この方向は停止中",IF($BA109&gt;$BK$2,"×値動きが荒い",IF($BB109&gt;$BK$3,"×レンジが広い",IF($BC109&gt;$BK$4,"×窓を開けて上昇",IF($Z109&gt;$BK$5,"×前日に急騰",IF($Z109&lt;$BK$6,"×前日に急落",IF($BD109&lt;$BK$7,"×高値から離れすぎ",IF($BE109&gt;$BK$8,"×当日の値幅が大きい","×")))))))))</f>
      </c>
    </row>
    <row r="110" spans="1:60"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IF(AND(E110&lt;&gt;"",K110&lt;&gt;"",K110&lt;&gt;0),(E110-K110)/K110*100,"")</f>
        <v>-26.620689655172413</v>
      </c>
      <c r="M110" s="333">
        <f>IF(C110&lt;&gt;"",IFERROR(AVERAGE(出来高!E142:I142),""),"")</f>
        <v>10034380</v>
      </c>
      <c r="N110" s="333">
        <f>IF(C110&lt;&gt;"",IFERROR(AVERAGE(出来高!E142:AC142),""),"")</f>
        <v>7121316</v>
      </c>
      <c r="O110" s="335">
        <f>IF(AND(J110&lt;&gt;"",M110&lt;&gt;"",M110&lt;&gt;0),J110/M110,"")</f>
        <v>0.68583210920854099</v>
      </c>
      <c r="P110" s="212" t="str">
        <f>IF(O110="","",IF(O110&gt;=2,"急増↑↑",IF(O110&gt;=1.5,"増加↑",IF(O110&gt;=1,"普通→","減少↓"))))</f>
        <v>減少↓</v>
      </c>
      <c r="Q110" s="212" t="str">
        <f>IF(E110="","",IF(AND(E110&lt;G110,O110&gt;=1.5),"売り▼",IF(E110&gt;G110,"様子見▲","中立→")))</f>
        <v>様子見▲</v>
      </c>
      <c r="R110" s="333">
        <f>IF(E110&lt;&gt;"",ROUND(E110*0.92,0),"")</f>
        <v>2447</v>
      </c>
      <c r="S110" s="333">
        <f>IF(E110&lt;&gt;"",ROUND(E110*1.04,0),"")</f>
        <v>2766</v>
      </c>
      <c r="T110" s="325">
        <f>IF(C110="","",IFERROR(IF(W110&gt;=70,3,IF(W110&gt;=60,2,IF(W110&gt;=50,1,0)))+IF(X110&lt;0,2,0)+IF(AD110="下降トレンド▼",3,IF(AD110="もみ合い→",1,0))+IF(V110="年初来安値圏●",3,IF(V110="安値圏",2,0))+IF(Q110="売り▼",2,0)+IF(P110="急増↑↑",2,IF(P110="増加↑",1,0))+IF(Z110&lt;0,1,0)+IF(L110&lt;=-30,2,IF(L110&lt;=-15,1,0))+IF(AE110="25日戻り売り★",2,IF(AE110="5日戻り売り○",1,0))+N(AL110)+N(AP110)+N(AU110),0))</f>
        <v>7</v>
      </c>
      <c r="U110" s="212" t="str">
        <f>IF(T110="","",IF(AND(T110&gt;=3,O110&gt;=1.5),"有効",IF(T110&gt;=3,"要確認","除外")))</f>
        <v>要確認</v>
      </c>
      <c r="V110" s="212" t="str">
        <f>IF(AND(I110&lt;&gt;"",K110&lt;&gt;""),IF(I110&lt;=K110*0.6,"年初来安値圏●",IF(I110&lt;=K110*0.75,"安値圏","通常")),"")</f>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IF(AF110="","",AF110&amp;" | "&amp;AD110&amp;IF(AE110&lt;&gt;"なし"," "&amp;AE110,"")&amp;IF(X110&lt;0," MACD-"," MACD+")&amp;" RSI:"&amp;TEXT(W110,"0.0")&amp;IF(W110&gt;=70," [過熱]",IF(W110&lt;=30," [売られ過ぎ]",""))&amp;" 前日比:"&amp;TEXT(Z110,"+0.0;-0.0;0.0")&amp;"%"&amp;IF(V110="年初来安値圏●"," [年初来安値圏]",IF(V110="安値圏"," [安値圏]",""))&amp;IF(OR(AO110="通常",AO110="-"),""," ["&amp;AO110&amp;"]")&amp;IF(OR(AT110="通常",AT110="-"),"","前日["&amp;AT110&amp;"]")&amp;" ["&amp;T110&amp;"点]")</f>
        <v>○逆張り売り | もみ合い→ 25日戻り売り★ MACD- RSI:44.4 前日比:+2.9% [安値圏] [7点]</v>
      </c>
      <c r="Z110" s="338">
        <f>IF(AND(E110&lt;&gt;"",G110&lt;&gt;"",G110&lt;&gt;0),(E110-G110)/G110*100,"")</f>
        <v>2.9013539651837523</v>
      </c>
      <c r="AA110" s="212" t="str">
        <f>IF(OR(C110="",E110="",E110=0),"",IF(E110&gt;G110,"上昇▲",IF(E110&lt;G110,"下落▼","横ばい→")))</f>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IF(OR(C110="",AB110="",AC110="",AB110=0,AC110=0),"",IF(AND(E110&gt;AB110,AB110&gt;AC110),"パーフェクト▲",IF(E110&gt;AC110,"上昇トレンド▲",IF(AND(E110&lt;AB110,AB110&lt;AC110),"下降トレンド▼","もみ合い→"))))</f>
        <v>もみ合い→</v>
      </c>
      <c r="AE110" s="212" t="str">
        <f>IF(OR(C110="",AB110="",AC110=""),"",IF(AND(ABS(E110-AC110)/AC110&lt;=0.02,E110&lt;AC110),"25日戻り売り★",IF(AND(ABS(E110-AB110)/AB110&lt;=0.01,E110&lt;AB110),"5日戻り売り○","なし")))</f>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IF(AND(T110&gt;=7,C110&lt;&gt;""),T110,0)</f>
        <v>7</v>
      </c>
      <c r="AH110">
        <f>IF(AG110&gt;0,AG110*10000-ROW(A110),0)</f>
        <v>69890</v>
      </c>
      <c r="AI110" s="373">
        <f t="array" ref="AI110">IF(C110="","",IFERROR((INDEX(終値!$E:$E,MATCH(TEXT(C110,"0"),終値!$A:$A,0))-INDEX(終値!$E:$CZ,MATCH(TEXT(C110,"0"),終値!$A:$A,0),$AN$2))/INDEX(終値!$E:$CZ,MATCH(TEXT(C110,"0"),終値!$A:$A,0),$AN$2)*100,""))</f>
        <v>3.160752375412061</v>
      </c>
      <c r="AJ110" s="373">
        <f t="array" ref="AJ110">IFERROR((終値!$E$5-INDEX(終値!$E$5:$IT$5,1,$AN$2))/INDEX(終値!$E$5:$IT$5,1,$AN$2)*100,"")</f>
        <v>1.0179378228534113</v>
      </c>
      <c r="AK110" s="374">
        <f>IF(OR(AI110="",AJ110=""),"",AI110-AJ110)</f>
        <v>2.1428145525586499</v>
      </c>
      <c r="AL110" s="372">
        <f>IF(AK110="","",IF(AK110&lt;-5,3,IF(AK110&lt;0,1,IF(AK110&lt;3,-1,-2))))</f>
        <v>-1</v>
      </c>
      <c r="AO110" s="376" t="str">
        <f>IF(OR($C110="",$E110="",$F110="",$H110="",$I110="",$H110-$I110&lt;=0),"-",IF(AND($H110-MAX($F110,$E110)&gt;=ABS($E110-$F110)*2,MIN($F110,$E110)-$I110&lt;=ABS($E110-$F110)*0.5,ABS($E110-$F110)&gt;0),"上ヒゲ陰線▼",IF(AND($E110&lt;$F110,ABS($E110-$F110)&gt;=($H110-$I110)*0.7),"大陰線▼",IF(AND(MIN($F110,$E110)-$I110&gt;=($H110-$I110)*0.5,$H110-MAX($F110,$E110)&lt;=($H110-$I110)*0.2),"長い下ヒゲ(反発警戒)","通常"))))</f>
        <v>通常</v>
      </c>
      <c r="AP110" s="377">
        <f>IF($AO110="上ヒゲ陰線▼",2,IF($AO110="大陰線▼",2,IF($AO110="長い下ヒゲ(反発警戒)",-2,0)))</f>
        <v>0</v>
      </c>
      <c r="AQ110">
        <f>IF(C110&lt;&gt;"",始値!F142,"")</f>
        <v>2509</v>
      </c>
      <c r="AR110">
        <f>IF(C110&lt;&gt;"",高値!F142,"")</f>
        <v>2586.5</v>
      </c>
      <c r="AS110">
        <f>IF(C110&lt;&gt;"",安値!F142,"")</f>
        <v>2508</v>
      </c>
      <c r="AT110" t="str">
        <f>IF(OR(C110="",AQ110="",AR110="",AS110="",AR110-AS110&lt;=0),"-",IF(AND(AR110-MAX(G110,AQ110)&gt;=ABS(G110-AQ110)*2,MIN(G110,AQ110)-AS110&lt;=ABS(G110-AQ110)*0.5,ABS(G110-AQ110)&gt;0),"上ヒゲ陰線▼",IF(AND(G110&lt;AQ110,ABS(G110-AQ110)&gt;=(AR110-AS110)*0.7),"大陰線▼",IF(AND(MIN(G110,AQ110)-AS110&gt;=(AR110-AS110)*0.5,AR110-MAX(G110,AQ110)&lt;=(AR110-AS110)*0.2),"長い下ヒゲ(反発)","通常"))))</f>
        <v>通常</v>
      </c>
      <c r="AU110">
        <f>IF(AT110="上ヒゲ陰線▼",2,IF(AT110="大陰線▼",2,IF(AT110="長い下ヒゲ(反発)",-2,0)))</f>
        <v>0</v>
      </c>
      <c r="BA110">
        <f>IFERROR((SUM(OFFSET(高値!$E$6,IFERROR(MATCH($C110,銘柄管理!$B$6:$B$305,0),MATCH(TEXT($C110,"0"),銘柄管理!$B$6:$B$305,0))-1,0,1,14))-SUM(OFFSET(安値!$E$6,IFERROR(MATCH($C110,銘柄管理!$B$6:$B$305,0),MATCH(TEXT($C110,"0"),銘柄管理!$B$6:$B$305,0))-1,0,1,14)))/SUM(OFFSET(終値!$E$6,IFERROR(MATCH($C110,銘柄管理!$B$6:$B$305,0),MATCH(TEXT($C110,"0"),銘柄管理!$B$6:$B$305,0))-1,0,1,14))*100,"")</f>
      </c>
      <c r="BB110">
        <f>IFERROR((MAX(OFFSET(高値!$E$6,IFERROR(MATCH($C110,銘柄管理!$B$6:$B$305,0),MATCH(TEXT($C110,"0"),銘柄管理!$B$6:$B$305,0))-1,0,1,25))-MIN(OFFSET(安値!$E$6,IFERROR(MATCH($C110,銘柄管理!$B$6:$B$305,0),MATCH(TEXT($C110,"0"),銘柄管理!$B$6:$B$305,0))-1,0,1,25)))/$E110*100,"")</f>
      </c>
      <c r="BC110">
        <f>IFERROR(($F110-$G110)/$G110*100,"")</f>
      </c>
      <c r="BD110">
        <f>IFERROR(($E110-MAX(OFFSET(高値!$E$6,IFERROR(MATCH($C110,銘柄管理!$B$6:$B$305,0),MATCH(TEXT($C110,"0"),銘柄管理!$B$6:$B$305,0))-1,0,1,25)))/MAX(OFFSET(高値!$E$6,IFERROR(MATCH($C110,銘柄管理!$B$6:$B$305,0),MATCH(TEXT($C110,"0"),銘柄管理!$B$6:$B$305,0))-1,0,1,25))*100,"")</f>
      </c>
      <c r="BE110">
        <f>IFERROR(($H110-$I110)/$F110*100,"")</f>
      </c>
      <c r="BF110">
        <f>IFERROR(-(($BA110-AVERAGE($BA$3:$BA$206))/STDEV($BA$3:$BA$206))-(($BE110-AVERAGE($BE$3:$BE$206))/STDEV($BE$3:$BE$206))-(($BB110-AVERAGE($BB$3:$BB$206))/STDEV($BB$3:$BB$206))-(($Z110-AVERAGE($Z$3:$Z$206))/STDEV($Z$3:$Z$206))-(($BC110-AVERAGE($BC$3:$BC$206))/STDEV($BC$3:$BC$206)),"")</f>
      </c>
      <c r="BG110">
        <f>IF(OR($C110="",$C110="TOPX",$BA110="",$BF110=""),0,IF(AND($BK$10=1,$BA110&lt;=$BK$2,$BB110&lt;=$BK$3,$BC110&lt;=$BK$4,$Z110&lt;=$BK$5,$Z110&gt;=$BK$6,$BD110&gt;=$BK$7,$BE110&lt;=$BK$8),1,0))</f>
      </c>
      <c r="BH110">
        <f>IF($C110="","",IF($BG110=1,"○ゲート通過",IF($BK$10&lt;&gt;1,"― この方向は停止中",IF($BA110&gt;$BK$2,"×値動きが荒い",IF($BB110&gt;$BK$3,"×レンジが広い",IF($BC110&gt;$BK$4,"×窓を開けて上昇",IF($Z110&gt;$BK$5,"×前日に急騰",IF($Z110&lt;$BK$6,"×前日に急落",IF($BD110&lt;$BK$7,"×高値から離れすぎ",IF($BE110&gt;$BK$8,"×当日の値幅が大きい","×")))))))))</f>
      </c>
    </row>
    <row r="111" spans="1:60"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IF(AND(E111&lt;&gt;"",K111&lt;&gt;"",K111&lt;&gt;0),(E111-K111)/K111*100,"")</f>
        <v>-37.441860465116278</v>
      </c>
      <c r="M111" s="326">
        <f>IF(C111&lt;&gt;"",IFERROR(AVERAGE(出来高!E143:I143),""),"")</f>
        <v>1364720</v>
      </c>
      <c r="N111" s="326">
        <f>IF(C111&lt;&gt;"",IFERROR(AVERAGE(出来高!E143:AC143),""),"")</f>
        <v>2675604</v>
      </c>
      <c r="O111" s="328">
        <f>IF(AND(J111&lt;&gt;"",M111&lt;&gt;"",M111&lt;&gt;0),J111/M111,"")</f>
        <v>0.56575707837505129</v>
      </c>
      <c r="P111" s="325" t="str">
        <f>IF(O111="","",IF(O111&gt;=2,"急増↑↑",IF(O111&gt;=1.5,"増加↑",IF(O111&gt;=1,"普通→","減少↓"))))</f>
        <v>減少↓</v>
      </c>
      <c r="Q111" s="325" t="str">
        <f>IF(E111="","",IF(AND(E111&lt;G111,O111&gt;=1.5),"売り▼",IF(E111&gt;G111,"様子見▲","中立→")))</f>
        <v>中立→</v>
      </c>
      <c r="R111" s="326">
        <f>IF(E111&lt;&gt;"",ROUND(E111*0.92,0),"")</f>
        <v>1485</v>
      </c>
      <c r="S111" s="326">
        <f>IF(E111&lt;&gt;"",ROUND(E111*1.04,0),"")</f>
        <v>1679</v>
      </c>
      <c r="T111" s="325">
        <f>IF(C111="","",IFERROR(IF(W111&gt;=70,3,IF(W111&gt;=60,2,IF(W111&gt;=50,1,0)))+IF(X111&lt;0,2,0)+IF(AD111="下降トレンド▼",3,IF(AD111="もみ合い→",1,0))+IF(V111="年初来安値圏●",3,IF(V111="安値圏",2,0))+IF(Q111="売り▼",2,0)+IF(P111="急増↑↑",2,IF(P111="増加↑",1,0))+IF(Z111&lt;0,1,0)+IF(L111&lt;=-30,2,IF(L111&lt;=-15,1,0))+IF(AE111="25日戻り売り★",2,IF(AE111="5日戻り売り○",1,0))+N(AL111)+N(AP111)+N(AU111),0))</f>
        <v>9</v>
      </c>
      <c r="U111" s="325" t="str">
        <f>IF(T111="","",IF(AND(T111&gt;=3,O111&gt;=1.5),"有効",IF(T111&gt;=3,"要確認","除外")))</f>
        <v>要確認</v>
      </c>
      <c r="V111" s="325" t="str">
        <f>IF(AND(I111&lt;&gt;"",K111&lt;&gt;""),IF(I111&lt;=K111*0.6,"年初来安値圏●",IF(I111&lt;=K111*0.75,"安値圏","通常")),"")</f>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IF(AF111="","",AF111&amp;" | "&amp;AD111&amp;IF(AE111&lt;&gt;"なし"," "&amp;AE111,"")&amp;IF(X111&lt;0," MACD-"," MACD+")&amp;" RSI:"&amp;TEXT(W111,"0.0")&amp;IF(W111&gt;=70," [過熱]",IF(W111&lt;=30," [売られ過ぎ]",""))&amp;" 前日比:"&amp;TEXT(Z111,"+0.0;-0.0;0.0")&amp;"%"&amp;IF(V111="年初来安値圏●"," [年初来安値圏]",IF(V111="安値圏"," [安値圏]",""))&amp;IF(OR(AO111="通常",AO111="-"),""," ["&amp;AO111&amp;"]")&amp;IF(OR(AT111="通常",AT111="-"),"","前日["&amp;AT111&amp;"]")&amp;" ["&amp;T111&amp;"点]")</f>
        <v>相場上昇・見送り | 下降トレンド▼ MACD- RSI:44.4 前日比:-2.9% [安値圏] [9点]</v>
      </c>
      <c r="Z111" s="331">
        <f>IF(AND(E111&lt;&gt;"",G111&lt;&gt;"",G111&lt;&gt;0),(E111-G111)/G111*100,"")</f>
        <v>-2.8880866425992782</v>
      </c>
      <c r="AA111" s="325" t="str">
        <f>IF(OR(C111="",E111="",E111=0),"",IF(E111&gt;G111,"上昇▲",IF(E111&lt;G111,"下落▼","横ばい→")))</f>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IF(OR(C111="",AB111="",AC111="",AB111=0,AC111=0),"",IF(AND(E111&gt;AB111,AB111&gt;AC111),"パーフェクト▲",IF(E111&gt;AC111,"上昇トレンド▲",IF(AND(E111&lt;AB111,AB111&lt;AC111),"下降トレンド▼","もみ合い→"))))</f>
        <v>下降トレンド▼</v>
      </c>
      <c r="AE111" s="325" t="str">
        <f>IF(OR(C111="",AB111="",AC111=""),"",IF(AND(ABS(E111-AC111)/AC111&lt;=0.02,E111&lt;AC111),"25日戻り売り★",IF(AND(ABS(E111-AB111)/AB111&lt;=0.01,E111&lt;AB111),"5日戻り売り○","なし")))</f>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IF(AND(T111&gt;=7,C111&lt;&gt;""),T111,0)</f>
        <v>9</v>
      </c>
      <c r="AH111">
        <f>IF(AG111&gt;0,AG111*10000-ROW(A111),0)</f>
        <v>89889</v>
      </c>
      <c r="AI111" s="373">
        <f t="array" ref="AI111">IF(C111="","",IFERROR((INDEX(終値!$E:$E,MATCH(TEXT(C111,"0"),終値!$A:$A,0))-INDEX(終値!$E:$CZ,MATCH(TEXT(C111,"0"),終値!$A:$A,0),$AN$2))/INDEX(終値!$E:$CZ,MATCH(TEXT(C111,"0"),終値!$A:$A,0),$AN$2)*100,""))</f>
        <v>3.4615384615384617</v>
      </c>
      <c r="AJ111" s="373">
        <f t="array" ref="AJ111">IFERROR((終値!$E$5-INDEX(終値!$E$5:$IT$5,1,$AN$2))/INDEX(終値!$E$5:$IT$5,1,$AN$2)*100,"")</f>
        <v>1.0179378228534113</v>
      </c>
      <c r="AK111" s="374">
        <f>IF(OR(AI111="",AJ111=""),"",AI111-AJ111)</f>
        <v>2.4436006386850506</v>
      </c>
      <c r="AL111" s="372">
        <f>IF(AK111="","",IF(AK111&lt;-5,3,IF(AK111&lt;0,1,IF(AK111&lt;3,-1,-2))))</f>
        <v>-1</v>
      </c>
      <c r="AO111" s="376" t="str">
        <f>IF(OR($C111="",$E111="",$F111="",$H111="",$I111="",$H111-$I111&lt;=0),"-",IF(AND($H111-MAX($F111,$E111)&gt;=ABS($E111-$F111)*2,MIN($F111,$E111)-$I111&lt;=ABS($E111-$F111)*0.5,ABS($E111-$F111)&gt;0),"上ヒゲ陰線▼",IF(AND($E111&lt;$F111,ABS($E111-$F111)&gt;=($H111-$I111)*0.7),"大陰線▼",IF(AND(MIN($F111,$E111)-$I111&gt;=($H111-$I111)*0.5,$H111-MAX($F111,$E111)&lt;=($H111-$I111)*0.2),"長い下ヒゲ(反発警戒)","通常"))))</f>
        <v>通常</v>
      </c>
      <c r="AP111" s="377">
        <f>IF($AO111="上ヒゲ陰線▼",2,IF($AO111="大陰線▼",2,IF($AO111="長い下ヒゲ(反発警戒)",-2,0)))</f>
        <v>0</v>
      </c>
      <c r="AQ111">
        <f>IF(C111&lt;&gt;"",始値!F143,"")</f>
        <v>1746</v>
      </c>
      <c r="AR111">
        <f>IF(C111&lt;&gt;"",高値!F143,"")</f>
        <v>1788</v>
      </c>
      <c r="AS111">
        <f>IF(C111&lt;&gt;"",安値!F143,"")</f>
        <v>1653</v>
      </c>
      <c r="AT111" t="str">
        <f>IF(OR(C111="",AQ111="",AR111="",AS111="",AR111-AS111&lt;=0),"-",IF(AND(AR111-MAX(G111,AQ111)&gt;=ABS(G111-AQ111)*2,MIN(G111,AQ111)-AS111&lt;=ABS(G111-AQ111)*0.5,ABS(G111-AQ111)&gt;0),"上ヒゲ陰線▼",IF(AND(G111&lt;AQ111,ABS(G111-AQ111)&gt;=(AR111-AS111)*0.7),"大陰線▼",IF(AND(MIN(G111,AQ111)-AS111&gt;=(AR111-AS111)*0.5,AR111-MAX(G111,AQ111)&lt;=(AR111-AS111)*0.2),"長い下ヒゲ(反発)","通常"))))</f>
        <v>通常</v>
      </c>
      <c r="AU111">
        <f>IF(AT111="上ヒゲ陰線▼",2,IF(AT111="大陰線▼",2,IF(AT111="長い下ヒゲ(反発)",-2,0)))</f>
        <v>0</v>
      </c>
      <c r="BA111">
        <f>IFERROR((SUM(OFFSET(高値!$E$6,IFERROR(MATCH($C111,銘柄管理!$B$6:$B$305,0),MATCH(TEXT($C111,"0"),銘柄管理!$B$6:$B$305,0))-1,0,1,14))-SUM(OFFSET(安値!$E$6,IFERROR(MATCH($C111,銘柄管理!$B$6:$B$305,0),MATCH(TEXT($C111,"0"),銘柄管理!$B$6:$B$305,0))-1,0,1,14)))/SUM(OFFSET(終値!$E$6,IFERROR(MATCH($C111,銘柄管理!$B$6:$B$305,0),MATCH(TEXT($C111,"0"),銘柄管理!$B$6:$B$305,0))-1,0,1,14))*100,"")</f>
      </c>
      <c r="BB111">
        <f>IFERROR((MAX(OFFSET(高値!$E$6,IFERROR(MATCH($C111,銘柄管理!$B$6:$B$305,0),MATCH(TEXT($C111,"0"),銘柄管理!$B$6:$B$305,0))-1,0,1,25))-MIN(OFFSET(安値!$E$6,IFERROR(MATCH($C111,銘柄管理!$B$6:$B$305,0),MATCH(TEXT($C111,"0"),銘柄管理!$B$6:$B$305,0))-1,0,1,25)))/$E111*100,"")</f>
      </c>
      <c r="BC111">
        <f>IFERROR(($F111-$G111)/$G111*100,"")</f>
      </c>
      <c r="BD111">
        <f>IFERROR(($E111-MAX(OFFSET(高値!$E$6,IFERROR(MATCH($C111,銘柄管理!$B$6:$B$305,0),MATCH(TEXT($C111,"0"),銘柄管理!$B$6:$B$305,0))-1,0,1,25)))/MAX(OFFSET(高値!$E$6,IFERROR(MATCH($C111,銘柄管理!$B$6:$B$305,0),MATCH(TEXT($C111,"0"),銘柄管理!$B$6:$B$305,0))-1,0,1,25))*100,"")</f>
      </c>
      <c r="BE111">
        <f>IFERROR(($H111-$I111)/$F111*100,"")</f>
      </c>
      <c r="BF111">
        <f>IFERROR(-(($BA111-AVERAGE($BA$3:$BA$206))/STDEV($BA$3:$BA$206))-(($BE111-AVERAGE($BE$3:$BE$206))/STDEV($BE$3:$BE$206))-(($BB111-AVERAGE($BB$3:$BB$206))/STDEV($BB$3:$BB$206))-(($Z111-AVERAGE($Z$3:$Z$206))/STDEV($Z$3:$Z$206))-(($BC111-AVERAGE($BC$3:$BC$206))/STDEV($BC$3:$BC$206)),"")</f>
      </c>
      <c r="BG111">
        <f>IF(OR($C111="",$C111="TOPX",$BA111="",$BF111=""),0,IF(AND($BK$10=1,$BA111&lt;=$BK$2,$BB111&lt;=$BK$3,$BC111&lt;=$BK$4,$Z111&lt;=$BK$5,$Z111&gt;=$BK$6,$BD111&gt;=$BK$7,$BE111&lt;=$BK$8),1,0))</f>
      </c>
      <c r="BH111">
        <f>IF($C111="","",IF($BG111=1,"○ゲート通過",IF($BK$10&lt;&gt;1,"― この方向は停止中",IF($BA111&gt;$BK$2,"×値動きが荒い",IF($BB111&gt;$BK$3,"×レンジが広い",IF($BC111&gt;$BK$4,"×窓を開けて上昇",IF($Z111&gt;$BK$5,"×前日に急騰",IF($Z111&lt;$BK$6,"×前日に急落",IF($BD111&lt;$BK$7,"×高値から離れすぎ",IF($BE111&gt;$BK$8,"×当日の値幅が大きい","×")))))))))</f>
      </c>
    </row>
    <row r="112" spans="1:60"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IF(AND(E112&lt;&gt;"",K112&lt;&gt;"",K112&lt;&gt;0),(E112-K112)/K112*100,"")</f>
        <v>-2.1276595744680851</v>
      </c>
      <c r="M112" s="333">
        <f>IF(C112&lt;&gt;"",IFERROR(AVERAGE(出来高!E153:I153),""),"")</f>
        <v>70000</v>
      </c>
      <c r="N112" s="333">
        <f>IF(C112&lt;&gt;"",IFERROR(AVERAGE(出来高!E153:AC153),""),"")</f>
        <v>70080</v>
      </c>
      <c r="O112" s="335">
        <f>IF(AND(J112&lt;&gt;"",M112&lt;&gt;"",M112&lt;&gt;0),J112/M112,"")</f>
        <v>0.81857142857142862</v>
      </c>
      <c r="P112" s="212" t="str">
        <f>IF(O112="","",IF(O112&gt;=2,"急増↑↑",IF(O112&gt;=1.5,"増加↑",IF(O112&gt;=1,"普通→","減少↓"))))</f>
        <v>減少↓</v>
      </c>
      <c r="Q112" s="212" t="str">
        <f>IF(E112="","",IF(AND(E112&lt;G112,O112&gt;=1.5),"売り▼",IF(E112&gt;G112,"様子見▲","中立→")))</f>
        <v>様子見▲</v>
      </c>
      <c r="R112" s="333">
        <f>IF(E112&lt;&gt;"",ROUND(E112*0.92,0),"")</f>
        <v>4232</v>
      </c>
      <c r="S112" s="333">
        <f>IF(E112&lt;&gt;"",ROUND(E112*1.04,0),"")</f>
        <v>4784</v>
      </c>
      <c r="T112" s="325">
        <f>IF(C112="","",IFERROR(IF(W112&gt;=70,3,IF(W112&gt;=60,2,IF(W112&gt;=50,1,0)))+IF(X112&lt;0,2,0)+IF(AD112="下降トレンド▼",3,IF(AD112="もみ合い→",1,0))+IF(V112="年初来安値圏●",3,IF(V112="安値圏",2,0))+IF(Q112="売り▼",2,0)+IF(P112="急増↑↑",2,IF(P112="増加↑",1,0))+IF(Z112&lt;0,1,0)+IF(L112&lt;=-30,2,IF(L112&lt;=-15,1,0))+IF(AE112="25日戻り売り★",2,IF(AE112="5日戻り売り○",1,0))+N(AL112)+N(AP112)+N(AU112),0))</f>
        <v>-1</v>
      </c>
      <c r="U112" s="212" t="str">
        <f>IF(T112="","",IF(AND(T112&gt;=3,O112&gt;=1.5),"有効",IF(T112&gt;=3,"要確認","除外")))</f>
        <v>除外</v>
      </c>
      <c r="V112" s="212" t="str">
        <f>IF(AND(I112&lt;&gt;"",K112&lt;&gt;""),IF(I112&lt;=K112*0.6,"年初来安値圏●",IF(I112&lt;=K112*0.75,"安値圏","通常")),"")</f>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IF(AF112="","",AF112&amp;" | "&amp;AD112&amp;IF(AE112&lt;&gt;"なし"," "&amp;AE112,"")&amp;IF(X112&lt;0," MACD-"," MACD+")&amp;" RSI:"&amp;TEXT(W112,"0.0")&amp;IF(W112&gt;=70," [過熱]",IF(W112&lt;=30," [売られ過ぎ]",""))&amp;" 前日比:"&amp;TEXT(Z112,"+0.0;-0.0;0.0")&amp;"%"&amp;IF(V112="年初来安値圏●"," [年初来安値圏]",IF(V112="安値圏"," [安値圏]",""))&amp;IF(OR(AO112="通常",AO112="-"),""," ["&amp;AO112&amp;"]")&amp;IF(OR(AT112="通常",AT112="-"),"","前日["&amp;AT112&amp;"]")&amp;" ["&amp;T112&amp;"点]")</f>
        <v>相場上昇・見送り | パーフェクト▲ MACD+ RSI:50.0 前日比:+5.4% [-1点]</v>
      </c>
      <c r="Z112" s="338">
        <f>IF(AND(E112&lt;&gt;"",G112&lt;&gt;"",G112&lt;&gt;0),(E112-G112)/G112*100,"")</f>
        <v>5.3837342497136316</v>
      </c>
      <c r="AA112" s="212" t="str">
        <f>IF(OR(C112="",E112="",E112=0),"",IF(E112&gt;G112,"上昇▲",IF(E112&lt;G112,"下落▼","横ばい→")))</f>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IF(OR(C112="",AB112="",AC112="",AB112=0,AC112=0),"",IF(AND(E112&gt;AB112,AB112&gt;AC112),"パーフェクト▲",IF(E112&gt;AC112,"上昇トレンド▲",IF(AND(E112&lt;AB112,AB112&lt;AC112),"下降トレンド▼","もみ合い→"))))</f>
        <v>パーフェクト▲</v>
      </c>
      <c r="AE112" s="212" t="str">
        <f>IF(OR(C112="",AB112="",AC112=""),"",IF(AND(ABS(E112-AC112)/AC112&lt;=0.02,E112&lt;AC112),"25日戻り売り★",IF(AND(ABS(E112-AB112)/AB112&lt;=0.01,E112&lt;AB112),"5日戻り売り○","なし")))</f>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IF(AND(T112&gt;=7,C112&lt;&gt;""),T112,0)</f>
        <v>0</v>
      </c>
      <c r="AH112">
        <f>IF(AG112&gt;0,AG112*10000-ROW(A112),0)</f>
        <v>0</v>
      </c>
      <c r="AI112" s="373">
        <f t="array" ref="AI112">IF(C112="","",IFERROR((INDEX(終値!$E:$E,MATCH(TEXT(C112,"0"),終値!$A:$A,0))-INDEX(終値!$E:$CZ,MATCH(TEXT(C112,"0"),終値!$A:$A,0),$AN$2))/INDEX(終値!$E:$CZ,MATCH(TEXT(C112,"0"),終値!$A:$A,0),$AN$2)*100,""))</f>
        <v>20.73490813648294</v>
      </c>
      <c r="AJ112" s="373">
        <f t="array" ref="AJ112">IFERROR((終値!$E$5-INDEX(終値!$E$5:$IT$5,1,$AN$2))/INDEX(終値!$E$5:$IT$5,1,$AN$2)*100,"")</f>
        <v>1.0179378228534113</v>
      </c>
      <c r="AK112" s="374">
        <f>IF(OR(AI112="",AJ112=""),"",AI112-AJ112)</f>
        <v>19.716970313629528</v>
      </c>
      <c r="AL112" s="372">
        <f>IF(AK112="","",IF(AK112&lt;-5,3,IF(AK112&lt;0,1,IF(AK112&lt;3,-1,-2))))</f>
        <v>-2</v>
      </c>
      <c r="AO112" s="376" t="str">
        <f>IF(OR($C112="",$E112="",$F112="",$H112="",$I112="",$H112-$I112&lt;=0),"-",IF(AND($H112-MAX($F112,$E112)&gt;=ABS($E112-$F112)*2,MIN($F112,$E112)-$I112&lt;=ABS($E112-$F112)*0.5,ABS($E112-$F112)&gt;0),"上ヒゲ陰線▼",IF(AND($E112&lt;$F112,ABS($E112-$F112)&gt;=($H112-$I112)*0.7),"大陰線▼",IF(AND(MIN($F112,$E112)-$I112&gt;=($H112-$I112)*0.5,$H112-MAX($F112,$E112)&lt;=($H112-$I112)*0.2),"長い下ヒゲ(反発警戒)","通常"))))</f>
        <v>通常</v>
      </c>
      <c r="AP112" s="377">
        <f>IF($AO112="上ヒゲ陰線▼",2,IF($AO112="大陰線▼",2,IF($AO112="長い下ヒゲ(反発警戒)",-2,0)))</f>
        <v>0</v>
      </c>
      <c r="AQ112">
        <f>IF(C112&lt;&gt;"",始値!F153,"")</f>
        <v>4155</v>
      </c>
      <c r="AR112">
        <f>IF(C112&lt;&gt;"",高値!F153,"")</f>
        <v>4465</v>
      </c>
      <c r="AS112">
        <f>IF(C112&lt;&gt;"",安値!F153,"")</f>
        <v>4150</v>
      </c>
      <c r="AT112" t="str">
        <f>IF(OR(C112="",AQ112="",AR112="",AS112="",AR112-AS112&lt;=0),"-",IF(AND(AR112-MAX(G112,AQ112)&gt;=ABS(G112-AQ112)*2,MIN(G112,AQ112)-AS112&lt;=ABS(G112-AQ112)*0.5,ABS(G112-AQ112)&gt;0),"上ヒゲ陰線▼",IF(AND(G112&lt;AQ112,ABS(G112-AQ112)&gt;=(AR112-AS112)*0.7),"大陰線▼",IF(AND(MIN(G112,AQ112)-AS112&gt;=(AR112-AS112)*0.5,AR112-MAX(G112,AQ112)&lt;=(AR112-AS112)*0.2),"長い下ヒゲ(反発)","通常"))))</f>
        <v>通常</v>
      </c>
      <c r="AU112">
        <f>IF(AT112="上ヒゲ陰線▼",2,IF(AT112="大陰線▼",2,IF(AT112="長い下ヒゲ(反発)",-2,0)))</f>
        <v>0</v>
      </c>
      <c r="BA112">
        <f>IFERROR((SUM(OFFSET(高値!$E$6,IFERROR(MATCH($C112,銘柄管理!$B$6:$B$305,0),MATCH(TEXT($C112,"0"),銘柄管理!$B$6:$B$305,0))-1,0,1,14))-SUM(OFFSET(安値!$E$6,IFERROR(MATCH($C112,銘柄管理!$B$6:$B$305,0),MATCH(TEXT($C112,"0"),銘柄管理!$B$6:$B$305,0))-1,0,1,14)))/SUM(OFFSET(終値!$E$6,IFERROR(MATCH($C112,銘柄管理!$B$6:$B$305,0),MATCH(TEXT($C112,"0"),銘柄管理!$B$6:$B$305,0))-1,0,1,14))*100,"")</f>
      </c>
      <c r="BB112">
        <f>IFERROR((MAX(OFFSET(高値!$E$6,IFERROR(MATCH($C112,銘柄管理!$B$6:$B$305,0),MATCH(TEXT($C112,"0"),銘柄管理!$B$6:$B$305,0))-1,0,1,25))-MIN(OFFSET(安値!$E$6,IFERROR(MATCH($C112,銘柄管理!$B$6:$B$305,0),MATCH(TEXT($C112,"0"),銘柄管理!$B$6:$B$305,0))-1,0,1,25)))/$E112*100,"")</f>
      </c>
      <c r="BC112">
        <f>IFERROR(($F112-$G112)/$G112*100,"")</f>
      </c>
      <c r="BD112">
        <f>IFERROR(($E112-MAX(OFFSET(高値!$E$6,IFERROR(MATCH($C112,銘柄管理!$B$6:$B$305,0),MATCH(TEXT($C112,"0"),銘柄管理!$B$6:$B$305,0))-1,0,1,25)))/MAX(OFFSET(高値!$E$6,IFERROR(MATCH($C112,銘柄管理!$B$6:$B$305,0),MATCH(TEXT($C112,"0"),銘柄管理!$B$6:$B$305,0))-1,0,1,25))*100,"")</f>
      </c>
      <c r="BE112">
        <f>IFERROR(($H112-$I112)/$F112*100,"")</f>
      </c>
      <c r="BF112">
        <f>IFERROR(-(($BA112-AVERAGE($BA$3:$BA$206))/STDEV($BA$3:$BA$206))-(($BE112-AVERAGE($BE$3:$BE$206))/STDEV($BE$3:$BE$206))-(($BB112-AVERAGE($BB$3:$BB$206))/STDEV($BB$3:$BB$206))-(($Z112-AVERAGE($Z$3:$Z$206))/STDEV($Z$3:$Z$206))-(($BC112-AVERAGE($BC$3:$BC$206))/STDEV($BC$3:$BC$206)),"")</f>
      </c>
      <c r="BG112">
        <f>IF(OR($C112="",$C112="TOPX",$BA112="",$BF112=""),0,IF(AND($BK$10=1,$BA112&lt;=$BK$2,$BB112&lt;=$BK$3,$BC112&lt;=$BK$4,$Z112&lt;=$BK$5,$Z112&gt;=$BK$6,$BD112&gt;=$BK$7,$BE112&lt;=$BK$8),1,0))</f>
      </c>
      <c r="BH112">
        <f>IF($C112="","",IF($BG112=1,"○ゲート通過",IF($BK$10&lt;&gt;1,"― この方向は停止中",IF($BA112&gt;$BK$2,"×値動きが荒い",IF($BB112&gt;$BK$3,"×レンジが広い",IF($BC112&gt;$BK$4,"×窓を開けて上昇",IF($Z112&gt;$BK$5,"×前日に急騰",IF($Z112&lt;$BK$6,"×前日に急落",IF($BD112&lt;$BK$7,"×高値から離れすぎ",IF($BE112&gt;$BK$8,"×当日の値幅が大きい","×")))))))))</f>
      </c>
    </row>
    <row r="113" spans="1:60"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IF(AND(E113&lt;&gt;"",K113&lt;&gt;"",K113&lt;&gt;0),(E113-K113)/K113*100,"")</f>
        <v>-8.3750695603784084</v>
      </c>
      <c r="M113" s="326">
        <f>IF(C113&lt;&gt;"",IFERROR(AVERAGE(出来高!E158:I158),""),"")</f>
        <v>11042100</v>
      </c>
      <c r="N113" s="326">
        <f>IF(C113&lt;&gt;"",IFERROR(AVERAGE(出来高!E158:AC158),""),"")</f>
        <v>9656364</v>
      </c>
      <c r="O113" s="328">
        <f>IF(AND(J113&lt;&gt;"",M113&lt;&gt;"",M113&lt;&gt;0),J113/M113,"")</f>
        <v>0.70802655292018724</v>
      </c>
      <c r="P113" s="325" t="str">
        <f>IF(O113="","",IF(O113&gt;=2,"急増↑↑",IF(O113&gt;=1.5,"増加↑",IF(O113&gt;=1,"普通→","減少↓"))))</f>
        <v>減少↓</v>
      </c>
      <c r="Q113" s="325" t="str">
        <f>IF(E113="","",IF(AND(E113&lt;G113,O113&gt;=1.5),"売り▼",IF(E113&gt;G113,"様子見▲","中立→")))</f>
        <v>中立→</v>
      </c>
      <c r="R113" s="326">
        <f>IF(E113&lt;&gt;"",ROUND(E113*0.92,0),"")</f>
        <v>30296</v>
      </c>
      <c r="S113" s="326">
        <f>IF(E113&lt;&gt;"",ROUND(E113*1.04,0),"")</f>
        <v>34247</v>
      </c>
      <c r="T113" s="325">
        <f>IF(C113="","",IFERROR(IF(W113&gt;=70,3,IF(W113&gt;=60,2,IF(W113&gt;=50,1,0)))+IF(X113&lt;0,2,0)+IF(AD113="下降トレンド▼",3,IF(AD113="もみ合い→",1,0))+IF(V113="年初来安値圏●",3,IF(V113="安値圏",2,0))+IF(Q113="売り▼",2,0)+IF(P113="急増↑↑",2,IF(P113="増加↑",1,0))+IF(Z113&lt;0,1,0)+IF(L113&lt;=-30,2,IF(L113&lt;=-15,1,0))+IF(AE113="25日戻り売り★",2,IF(AE113="5日戻り売り○",1,0))+N(AL113)+N(AP113)+N(AU113),0))</f>
        <v>1</v>
      </c>
      <c r="U113" s="325" t="str">
        <f>IF(T113="","",IF(AND(T113&gt;=3,O113&gt;=1.5),"有効",IF(T113&gt;=3,"要確認","除外")))</f>
        <v>除外</v>
      </c>
      <c r="V113" s="325" t="str">
        <f>IF(AND(I113&lt;&gt;"",K113&lt;&gt;""),IF(I113&lt;=K113*0.6,"年初来安値圏●",IF(I113&lt;=K113*0.75,"安値圏","通常")),"")</f>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IF(AF113="","",AF113&amp;" | "&amp;AD113&amp;IF(AE113&lt;&gt;"なし"," "&amp;AE113,"")&amp;IF(X113&lt;0," MACD-"," MACD+")&amp;" RSI:"&amp;TEXT(W113,"0.0")&amp;IF(W113&gt;=70," [過熱]",IF(W113&lt;=30," [売られ過ぎ]",""))&amp;" 前日比:"&amp;TEXT(Z113,"+0.0;-0.0;0.0")&amp;"%"&amp;IF(V113="年初来安値圏●"," [年初来安値圏]",IF(V113="安値圏"," [安値圏]",""))&amp;IF(OR(AO113="通常",AO113="-"),""," ["&amp;AO113&amp;"]")&amp;IF(OR(AT113="通常",AT113="-"),"","前日["&amp;AT113&amp;"]")&amp;" ["&amp;T113&amp;"点]")</f>
        <v>相場上昇・見送り | パーフェクト▲ MACD+ RSI:54.5 前日比:-2.3% [1点]</v>
      </c>
      <c r="Z113" s="331">
        <f>IF(AND(E113&lt;&gt;"",G113&lt;&gt;"",G113&lt;&gt;0),(E113-G113)/G113*100,"")</f>
        <v>-2.34282325029656</v>
      </c>
      <c r="AA113" s="325" t="str">
        <f>IF(OR(C113="",E113="",E113=0),"",IF(E113&gt;G113,"上昇▲",IF(E113&lt;G113,"下落▼","横ばい→")))</f>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IF(OR(C113="",AB113="",AC113="",AB113=0,AC113=0),"",IF(AND(E113&gt;AB113,AB113&gt;AC113),"パーフェクト▲",IF(E113&gt;AC113,"上昇トレンド▲",IF(AND(E113&lt;AB113,AB113&lt;AC113),"下降トレンド▼","もみ合い→"))))</f>
        <v>パーフェクト▲</v>
      </c>
      <c r="AE113" s="325" t="str">
        <f>IF(OR(C113="",AB113="",AC113=""),"",IF(AND(ABS(E113-AC113)/AC113&lt;=0.02,E113&lt;AC113),"25日戻り売り★",IF(AND(ABS(E113-AB113)/AB113&lt;=0.01,E113&lt;AB113),"5日戻り売り○","なし")))</f>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IF(AND(T113&gt;=7,C113&lt;&gt;""),T113,0)</f>
        <v>0</v>
      </c>
      <c r="AH113">
        <f>IF(AG113&gt;0,AG113*10000-ROW(A113),0)</f>
        <v>0</v>
      </c>
      <c r="AI113" s="373">
        <f t="array" ref="AI113">IF(C113="","",IFERROR((INDEX(終値!$E:$E,MATCH(TEXT(C113,"0"),終値!$A:$A,0))-INDEX(終値!$E:$CZ,MATCH(TEXT(C113,"0"),終値!$A:$A,0),$AN$2))/INDEX(終値!$E:$CZ,MATCH(TEXT(C113,"0"),終値!$A:$A,0),$AN$2)*100,""))</f>
        <v>2.90625</v>
      </c>
      <c r="AJ113" s="373">
        <f t="array" ref="AJ113">IFERROR((終値!$E$5-INDEX(終値!$E$5:$IT$5,1,$AN$2))/INDEX(終値!$E$5:$IT$5,1,$AN$2)*100,"")</f>
        <v>1.0179378228534113</v>
      </c>
      <c r="AK113" s="374">
        <f>IF(OR(AI113="",AJ113=""),"",AI113-AJ113)</f>
        <v>1.8883121771465887</v>
      </c>
      <c r="AL113" s="372">
        <f>IF(AK113="","",IF(AK113&lt;-5,3,IF(AK113&lt;0,1,IF(AK113&lt;3,-1,-2))))</f>
        <v>-1</v>
      </c>
      <c r="AO113" s="376" t="str">
        <f>IF(OR($C113="",$E113="",$F113="",$H113="",$I113="",$H113-$I113&lt;=0),"-",IF(AND($H113-MAX($F113,$E113)&gt;=ABS($E113-$F113)*2,MIN($F113,$E113)-$I113&lt;=ABS($E113-$F113)*0.5,ABS($E113-$F113)&gt;0),"上ヒゲ陰線▼",IF(AND($E113&lt;$F113,ABS($E113-$F113)&gt;=($H113-$I113)*0.7),"大陰線▼",IF(AND(MIN($F113,$E113)-$I113&gt;=($H113-$I113)*0.5,$H113-MAX($F113,$E113)&lt;=($H113-$I113)*0.2),"長い下ヒゲ(反発警戒)","通常"))))</f>
        <v>通常</v>
      </c>
      <c r="AP113" s="377">
        <f>IF($AO113="上ヒゲ陰線▼",2,IF($AO113="大陰線▼",2,IF($AO113="長い下ヒゲ(反発警戒)",-2,0)))</f>
        <v>0</v>
      </c>
      <c r="AQ113">
        <f>IF(C113&lt;&gt;"",始値!F158,"")</f>
        <v>32500</v>
      </c>
      <c r="AR113">
        <f>IF(C113&lt;&gt;"",高値!F158,"")</f>
        <v>33840</v>
      </c>
      <c r="AS113">
        <f>IF(C113&lt;&gt;"",安値!F158,"")</f>
        <v>32390</v>
      </c>
      <c r="AT113" t="str">
        <f>IF(OR(C113="",AQ113="",AR113="",AS113="",AR113-AS113&lt;=0),"-",IF(AND(AR113-MAX(G113,AQ113)&gt;=ABS(G113-AQ113)*2,MIN(G113,AQ113)-AS113&lt;=ABS(G113-AQ113)*0.5,ABS(G113-AQ113)&gt;0),"上ヒゲ陰線▼",IF(AND(G113&lt;AQ113,ABS(G113-AQ113)&gt;=(AR113-AS113)*0.7),"大陰線▼",IF(AND(MIN(G113,AQ113)-AS113&gt;=(AR113-AS113)*0.5,AR113-MAX(G113,AQ113)&lt;=(AR113-AS113)*0.2),"長い下ヒゲ(反発)","通常"))))</f>
        <v>通常</v>
      </c>
      <c r="AU113">
        <f>IF(AT113="上ヒゲ陰線▼",2,IF(AT113="大陰線▼",2,IF(AT113="長い下ヒゲ(反発)",-2,0)))</f>
        <v>0</v>
      </c>
      <c r="BA113">
        <f>IFERROR((SUM(OFFSET(高値!$E$6,IFERROR(MATCH($C113,銘柄管理!$B$6:$B$305,0),MATCH(TEXT($C113,"0"),銘柄管理!$B$6:$B$305,0))-1,0,1,14))-SUM(OFFSET(安値!$E$6,IFERROR(MATCH($C113,銘柄管理!$B$6:$B$305,0),MATCH(TEXT($C113,"0"),銘柄管理!$B$6:$B$305,0))-1,0,1,14)))/SUM(OFFSET(終値!$E$6,IFERROR(MATCH($C113,銘柄管理!$B$6:$B$305,0),MATCH(TEXT($C113,"0"),銘柄管理!$B$6:$B$305,0))-1,0,1,14))*100,"")</f>
      </c>
      <c r="BB113">
        <f>IFERROR((MAX(OFFSET(高値!$E$6,IFERROR(MATCH($C113,銘柄管理!$B$6:$B$305,0),MATCH(TEXT($C113,"0"),銘柄管理!$B$6:$B$305,0))-1,0,1,25))-MIN(OFFSET(安値!$E$6,IFERROR(MATCH($C113,銘柄管理!$B$6:$B$305,0),MATCH(TEXT($C113,"0"),銘柄管理!$B$6:$B$305,0))-1,0,1,25)))/$E113*100,"")</f>
      </c>
      <c r="BC113">
        <f>IFERROR(($F113-$G113)/$G113*100,"")</f>
      </c>
      <c r="BD113">
        <f>IFERROR(($E113-MAX(OFFSET(高値!$E$6,IFERROR(MATCH($C113,銘柄管理!$B$6:$B$305,0),MATCH(TEXT($C113,"0"),銘柄管理!$B$6:$B$305,0))-1,0,1,25)))/MAX(OFFSET(高値!$E$6,IFERROR(MATCH($C113,銘柄管理!$B$6:$B$305,0),MATCH(TEXT($C113,"0"),銘柄管理!$B$6:$B$305,0))-1,0,1,25))*100,"")</f>
      </c>
      <c r="BE113">
        <f>IFERROR(($H113-$I113)/$F113*100,"")</f>
      </c>
      <c r="BF113">
        <f>IFERROR(-(($BA113-AVERAGE($BA$3:$BA$206))/STDEV($BA$3:$BA$206))-(($BE113-AVERAGE($BE$3:$BE$206))/STDEV($BE$3:$BE$206))-(($BB113-AVERAGE($BB$3:$BB$206))/STDEV($BB$3:$BB$206))-(($Z113-AVERAGE($Z$3:$Z$206))/STDEV($Z$3:$Z$206))-(($BC113-AVERAGE($BC$3:$BC$206))/STDEV($BC$3:$BC$206)),"")</f>
      </c>
      <c r="BG113">
        <f>IF(OR($C113="",$C113="TOPX",$BA113="",$BF113=""),0,IF(AND($BK$10=1,$BA113&lt;=$BK$2,$BB113&lt;=$BK$3,$BC113&lt;=$BK$4,$Z113&lt;=$BK$5,$Z113&gt;=$BK$6,$BD113&gt;=$BK$7,$BE113&lt;=$BK$8),1,0))</f>
      </c>
      <c r="BH113">
        <f>IF($C113="","",IF($BG113=1,"○ゲート通過",IF($BK$10&lt;&gt;1,"― この方向は停止中",IF($BA113&gt;$BK$2,"×値動きが荒い",IF($BB113&gt;$BK$3,"×レンジが広い",IF($BC113&gt;$BK$4,"×窓を開けて上昇",IF($Z113&gt;$BK$5,"×前日に急騰",IF($Z113&lt;$BK$6,"×前日に急落",IF($BD113&lt;$BK$7,"×高値から離れすぎ",IF($BE113&gt;$BK$8,"×当日の値幅が大きい","×")))))))))</f>
      </c>
    </row>
    <row r="114" spans="1:60"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IF(AND(E114&lt;&gt;"",K114&lt;&gt;"",K114&lt;&gt;0),(E114-K114)/K114*100,"")</f>
        <v>-15.153906866614051</v>
      </c>
      <c r="M114" s="333">
        <f>IF(C114&lt;&gt;"",IFERROR(AVERAGE(出来高!E161:I161),""),"")</f>
        <v>230220</v>
      </c>
      <c r="N114" s="333">
        <f>IF(C114&lt;&gt;"",IFERROR(AVERAGE(出来高!E161:AC161),""),"")</f>
        <v>185733.33333333334</v>
      </c>
      <c r="O114" s="335">
        <f>IF(AND(J114&lt;&gt;"",M114&lt;&gt;"",M114&lt;&gt;0),J114/M114,"")</f>
        <v>0.45174181217965426</v>
      </c>
      <c r="P114" s="212" t="str">
        <f>IF(O114="","",IF(O114&gt;=2,"急増↑↑",IF(O114&gt;=1.5,"増加↑",IF(O114&gt;=1,"普通→","減少↓"))))</f>
        <v>減少↓</v>
      </c>
      <c r="Q114" s="212" t="str">
        <f>IF(E114="","",IF(AND(E114&lt;G114,O114&gt;=1.5),"売り▼",IF(E114&gt;G114,"様子見▲","中立→")))</f>
        <v>様子見▲</v>
      </c>
      <c r="R114" s="333">
        <f>IF(E114&lt;&gt;"",ROUND(E114*0.92,0),"")</f>
        <v>989</v>
      </c>
      <c r="S114" s="333">
        <f>IF(E114&lt;&gt;"",ROUND(E114*1.04,0),"")</f>
        <v>1118</v>
      </c>
      <c r="T114" s="325">
        <f>IF(C114="","",IFERROR(IF(W114&gt;=70,3,IF(W114&gt;=60,2,IF(W114&gt;=50,1,0)))+IF(X114&lt;0,2,0)+IF(AD114="下降トレンド▼",3,IF(AD114="もみ合い→",1,0))+IF(V114="年初来安値圏●",3,IF(V114="安値圏",2,0))+IF(Q114="売り▼",2,0)+IF(P114="急増↑↑",2,IF(P114="増加↑",1,0))+IF(Z114&lt;0,1,0)+IF(L114&lt;=-30,2,IF(L114&lt;=-15,1,0))+IF(AE114="25日戻り売り★",2,IF(AE114="5日戻り売り○",1,0))+N(AL114)+N(AP114)+N(AU114),0))</f>
        <v>4</v>
      </c>
      <c r="U114" s="212" t="str">
        <f>IF(T114="","",IF(AND(T114&gt;=3,O114&gt;=1.5),"有効",IF(T114&gt;=3,"要確認","除外")))</f>
        <v>要確認</v>
      </c>
      <c r="V114" s="212" t="str">
        <f>IF(AND(I114&lt;&gt;"",K114&lt;&gt;""),IF(I114&lt;=K114*0.6,"年初来安値圏●",IF(I114&lt;=K114*0.75,"安値圏","通常")),"")</f>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IF(AF114="","",AF114&amp;" | "&amp;AD114&amp;IF(AE114&lt;&gt;"なし"," "&amp;AE114,"")&amp;IF(X114&lt;0," MACD-"," MACD+")&amp;" RSI:"&amp;TEXT(W114,"0.0")&amp;IF(W114&gt;=70," [過熱]",IF(W114&lt;=30," [売られ過ぎ]",""))&amp;" 前日比:"&amp;TEXT(Z114,"+0.0;-0.0;0.0")&amp;"%"&amp;IF(V114="年初来安値圏●"," [年初来安値圏]",IF(V114="安値圏"," [安値圏]",""))&amp;IF(OR(AO114="通常",AO114="-"),""," ["&amp;AO114&amp;"]")&amp;IF(OR(AT114="通常",AT114="-"),"","前日["&amp;AT114&amp;"]")&amp;" ["&amp;T114&amp;"点]")</f>
        <v>相場上昇・見送り | パーフェクト▲ MACD- RSI:49.1 前日比:+0.3% [4点]</v>
      </c>
      <c r="Z114" s="338">
        <f>IF(AND(E114&lt;&gt;"",G114&lt;&gt;"",G114&lt;&gt;0),(E114-G114)/G114*100,"")</f>
        <v>0.27985074626865669</v>
      </c>
      <c r="AA114" s="212" t="str">
        <f>IF(OR(C114="",E114="",E114=0),"",IF(E114&gt;G114,"上昇▲",IF(E114&lt;G114,"下落▼","横ばい→")))</f>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IF(OR(C114="",AB114="",AC114="",AB114=0,AC114=0),"",IF(AND(E114&gt;AB114,AB114&gt;AC114),"パーフェクト▲",IF(E114&gt;AC114,"上昇トレンド▲",IF(AND(E114&lt;AB114,AB114&lt;AC114),"下降トレンド▼","もみ合い→"))))</f>
        <v>パーフェクト▲</v>
      </c>
      <c r="AE114" s="212" t="str">
        <f>IF(OR(C114="",AB114="",AC114=""),"",IF(AND(ABS(E114-AC114)/AC114&lt;=0.02,E114&lt;AC114),"25日戻り売り★",IF(AND(ABS(E114-AB114)/AB114&lt;=0.01,E114&lt;AB114),"5日戻り売り○","なし")))</f>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IF(AND(T114&gt;=7,C114&lt;&gt;""),T114,0)</f>
        <v>0</v>
      </c>
      <c r="AH114">
        <f>IF(AG114&gt;0,AG114*10000-ROW(A114),0)</f>
        <v>0</v>
      </c>
      <c r="AI114" s="373">
        <f t="array" ref="AI114">IF(C114="","",IFERROR((INDEX(終値!$E:$E,MATCH(TEXT(C114,"0"),終値!$A:$A,0))-INDEX(終値!$E:$CZ,MATCH(TEXT(C114,"0"),終値!$A:$A,0),$AN$2))/INDEX(終値!$E:$CZ,MATCH(TEXT(C114,"0"),終値!$A:$A,0),$AN$2)*100,""))</f>
        <v>9.3109869646182494E-2</v>
      </c>
      <c r="AJ114" s="373">
        <f t="array" ref="AJ114">IFERROR((終値!$E$5-INDEX(終値!$E$5:$IT$5,1,$AN$2))/INDEX(終値!$E$5:$IT$5,1,$AN$2)*100,"")</f>
        <v>1.0179378228534113</v>
      </c>
      <c r="AK114" s="374">
        <f>IF(OR(AI114="",AJ114=""),"",AI114-AJ114)</f>
        <v>-0.92482795320722877</v>
      </c>
      <c r="AL114" s="372">
        <f>IF(AK114="","",IF(AK114&lt;-5,3,IF(AK114&lt;0,1,IF(AK114&lt;3,-1,-2))))</f>
        <v>1</v>
      </c>
      <c r="AO114" s="376" t="str">
        <f>IF(OR($C114="",$E114="",$F114="",$H114="",$I114="",$H114-$I114&lt;=0),"-",IF(AND($H114-MAX($F114,$E114)&gt;=ABS($E114-$F114)*2,MIN($F114,$E114)-$I114&lt;=ABS($E114-$F114)*0.5,ABS($E114-$F114)&gt;0),"上ヒゲ陰線▼",IF(AND($E114&lt;$F114,ABS($E114-$F114)&gt;=($H114-$I114)*0.7),"大陰線▼",IF(AND(MIN($F114,$E114)-$I114&gt;=($H114-$I114)*0.5,$H114-MAX($F114,$E114)&lt;=($H114-$I114)*0.2),"長い下ヒゲ(反発警戒)","通常"))))</f>
        <v>通常</v>
      </c>
      <c r="AP114" s="377">
        <f>IF($AO114="上ヒゲ陰線▼",2,IF($AO114="大陰線▼",2,IF($AO114="長い下ヒゲ(反発警戒)",-2,0)))</f>
        <v>0</v>
      </c>
      <c r="AQ114">
        <f>IF(C114&lt;&gt;"",始値!F161,"")</f>
        <v>1073</v>
      </c>
      <c r="AR114">
        <f>IF(C114&lt;&gt;"",高値!F161,"")</f>
        <v>1084</v>
      </c>
      <c r="AS114">
        <f>IF(C114&lt;&gt;"",安値!F161,"")</f>
        <v>1066</v>
      </c>
      <c r="AT114" t="str">
        <f>IF(OR(C114="",AQ114="",AR114="",AS114="",AR114-AS114&lt;=0),"-",IF(AND(AR114-MAX(G114,AQ114)&gt;=ABS(G114-AQ114)*2,MIN(G114,AQ114)-AS114&lt;=ABS(G114-AQ114)*0.5,ABS(G114-AQ114)&gt;0),"上ヒゲ陰線▼",IF(AND(G114&lt;AQ114,ABS(G114-AQ114)&gt;=(AR114-AS114)*0.7),"大陰線▼",IF(AND(MIN(G114,AQ114)-AS114&gt;=(AR114-AS114)*0.5,AR114-MAX(G114,AQ114)&lt;=(AR114-AS114)*0.2),"長い下ヒゲ(反発)","通常"))))</f>
        <v>通常</v>
      </c>
      <c r="AU114">
        <f>IF(AT114="上ヒゲ陰線▼",2,IF(AT114="大陰線▼",2,IF(AT114="長い下ヒゲ(反発)",-2,0)))</f>
        <v>0</v>
      </c>
      <c r="BA114">
        <f>IFERROR((SUM(OFFSET(高値!$E$6,IFERROR(MATCH($C114,銘柄管理!$B$6:$B$305,0),MATCH(TEXT($C114,"0"),銘柄管理!$B$6:$B$305,0))-1,0,1,14))-SUM(OFFSET(安値!$E$6,IFERROR(MATCH($C114,銘柄管理!$B$6:$B$305,0),MATCH(TEXT($C114,"0"),銘柄管理!$B$6:$B$305,0))-1,0,1,14)))/SUM(OFFSET(終値!$E$6,IFERROR(MATCH($C114,銘柄管理!$B$6:$B$305,0),MATCH(TEXT($C114,"0"),銘柄管理!$B$6:$B$305,0))-1,0,1,14))*100,"")</f>
      </c>
      <c r="BB114">
        <f>IFERROR((MAX(OFFSET(高値!$E$6,IFERROR(MATCH($C114,銘柄管理!$B$6:$B$305,0),MATCH(TEXT($C114,"0"),銘柄管理!$B$6:$B$305,0))-1,0,1,25))-MIN(OFFSET(安値!$E$6,IFERROR(MATCH($C114,銘柄管理!$B$6:$B$305,0),MATCH(TEXT($C114,"0"),銘柄管理!$B$6:$B$305,0))-1,0,1,25)))/$E114*100,"")</f>
      </c>
      <c r="BC114">
        <f>IFERROR(($F114-$G114)/$G114*100,"")</f>
      </c>
      <c r="BD114">
        <f>IFERROR(($E114-MAX(OFFSET(高値!$E$6,IFERROR(MATCH($C114,銘柄管理!$B$6:$B$305,0),MATCH(TEXT($C114,"0"),銘柄管理!$B$6:$B$305,0))-1,0,1,25)))/MAX(OFFSET(高値!$E$6,IFERROR(MATCH($C114,銘柄管理!$B$6:$B$305,0),MATCH(TEXT($C114,"0"),銘柄管理!$B$6:$B$305,0))-1,0,1,25))*100,"")</f>
      </c>
      <c r="BE114">
        <f>IFERROR(($H114-$I114)/$F114*100,"")</f>
      </c>
      <c r="BF114">
        <f>IFERROR(-(($BA114-AVERAGE($BA$3:$BA$206))/STDEV($BA$3:$BA$206))-(($BE114-AVERAGE($BE$3:$BE$206))/STDEV($BE$3:$BE$206))-(($BB114-AVERAGE($BB$3:$BB$206))/STDEV($BB$3:$BB$206))-(($Z114-AVERAGE($Z$3:$Z$206))/STDEV($Z$3:$Z$206))-(($BC114-AVERAGE($BC$3:$BC$206))/STDEV($BC$3:$BC$206)),"")</f>
      </c>
      <c r="BG114">
        <f>IF(OR($C114="",$C114="TOPX",$BA114="",$BF114=""),0,IF(AND($BK$10=1,$BA114&lt;=$BK$2,$BB114&lt;=$BK$3,$BC114&lt;=$BK$4,$Z114&lt;=$BK$5,$Z114&gt;=$BK$6,$BD114&gt;=$BK$7,$BE114&lt;=$BK$8),1,0))</f>
      </c>
      <c r="BH114">
        <f>IF($C114="","",IF($BG114=1,"○ゲート通過",IF($BK$10&lt;&gt;1,"― この方向は停止中",IF($BA114&gt;$BK$2,"×値動きが荒い",IF($BB114&gt;$BK$3,"×レンジが広い",IF($BC114&gt;$BK$4,"×窓を開けて上昇",IF($Z114&gt;$BK$5,"×前日に急騰",IF($Z114&lt;$BK$6,"×前日に急落",IF($BD114&lt;$BK$7,"×高値から離れすぎ",IF($BE114&gt;$BK$8,"×当日の値幅が大きい","×")))))))))</f>
      </c>
    </row>
    <row r="115" spans="1:60"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IF(AND(E115&lt;&gt;"",K115&lt;&gt;"",K115&lt;&gt;0),(E115-K115)/K115*100,"")</f>
        <v>-12.316968130921619</v>
      </c>
      <c r="M115" s="326">
        <f>IF(C115&lt;&gt;"",IFERROR(AVERAGE(出来高!E170:I170),""),"")</f>
        <v>121420</v>
      </c>
      <c r="N115" s="326">
        <f>IF(C115&lt;&gt;"",IFERROR(AVERAGE(出来高!E170:AC170),""),"")</f>
        <v>69660</v>
      </c>
      <c r="O115" s="328">
        <f>IF(AND(J115&lt;&gt;"",M115&lt;&gt;"",M115&lt;&gt;0),J115/M115,"")</f>
        <v>0.38461538461538464</v>
      </c>
      <c r="P115" s="325" t="str">
        <f>IF(O115="","",IF(O115&gt;=2,"急増↑↑",IF(O115&gt;=1.5,"増加↑",IF(O115&gt;=1,"普通→","減少↓"))))</f>
        <v>減少↓</v>
      </c>
      <c r="Q115" s="325" t="str">
        <f>IF(E115="","",IF(AND(E115&lt;G115,O115&gt;=1.5),"売り▼",IF(E115&gt;G115,"様子見▲","中立→")))</f>
        <v>様子見▲</v>
      </c>
      <c r="R115" s="326">
        <f>IF(E115&lt;&gt;"",ROUND(E115*0.92,0),"")</f>
        <v>937</v>
      </c>
      <c r="S115" s="326">
        <f>IF(E115&lt;&gt;"",ROUND(E115*1.04,0),"")</f>
        <v>1059</v>
      </c>
      <c r="T115" s="325">
        <f>IF(C115="","",IFERROR(IF(W115&gt;=70,3,IF(W115&gt;=60,2,IF(W115&gt;=50,1,0)))+IF(X115&lt;0,2,0)+IF(AD115="下降トレンド▼",3,IF(AD115="もみ合い→",1,0))+IF(V115="年初来安値圏●",3,IF(V115="安値圏",2,0))+IF(Q115="売り▼",2,0)+IF(P115="急増↑↑",2,IF(P115="増加↑",1,0))+IF(Z115&lt;0,1,0)+IF(L115&lt;=-30,2,IF(L115&lt;=-15,1,0))+IF(AE115="25日戻り売り★",2,IF(AE115="5日戻り売り○",1,0))+N(AL115)+N(AP115)+N(AU115),0))</f>
        <v>4</v>
      </c>
      <c r="U115" s="325" t="str">
        <f>IF(T115="","",IF(AND(T115&gt;=3,O115&gt;=1.5),"有効",IF(T115&gt;=3,"要確認","除外")))</f>
        <v>要確認</v>
      </c>
      <c r="V115" s="325" t="str">
        <f>IF(AND(I115&lt;&gt;"",K115&lt;&gt;""),IF(I115&lt;=K115*0.6,"年初来安値圏●",IF(I115&lt;=K115*0.75,"安値圏","通常")),"")</f>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IF(AF115="","",AF115&amp;" | "&amp;AD115&amp;IF(AE115&lt;&gt;"なし"," "&amp;AE115,"")&amp;IF(X115&lt;0," MACD-"," MACD+")&amp;" RSI:"&amp;TEXT(W115,"0.0")&amp;IF(W115&gt;=70," [過熱]",IF(W115&lt;=30," [売られ過ぎ]",""))&amp;" 前日比:"&amp;TEXT(Z115,"+0.0;-0.0;0.0")&amp;"%"&amp;IF(V115="年初来安値圏●"," [年初来安値圏]",IF(V115="安値圏"," [安値圏]",""))&amp;IF(OR(AO115="通常",AO115="-"),""," ["&amp;AO115&amp;"]")&amp;IF(OR(AT115="通常",AT115="-"),"","前日["&amp;AT115&amp;"]")&amp;" ["&amp;T115&amp;"点]")</f>
        <v>相場上昇・見送り | もみ合い→ MACD- RSI:27.0 [売られ過ぎ] 前日比:+0.7% [4点]</v>
      </c>
      <c r="Z115" s="331">
        <f>IF(AND(E115&lt;&gt;"",G115&lt;&gt;"",G115&lt;&gt;0),(E115-G115)/G115*100,"")</f>
        <v>0.6923837784371909</v>
      </c>
      <c r="AA115" s="325" t="str">
        <f>IF(OR(C115="",E115="",E115=0),"",IF(E115&gt;G115,"上昇▲",IF(E115&lt;G115,"下落▼","横ばい→")))</f>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IF(OR(C115="",AB115="",AC115="",AB115=0,AC115=0),"",IF(AND(E115&gt;AB115,AB115&gt;AC115),"パーフェクト▲",IF(E115&gt;AC115,"上昇トレンド▲",IF(AND(E115&lt;AB115,AB115&lt;AC115),"下降トレンド▼","もみ合い→"))))</f>
        <v>もみ合い→</v>
      </c>
      <c r="AE115" s="325" t="str">
        <f>IF(OR(C115="",AB115="",AC115=""),"",IF(AND(ABS(E115-AC115)/AC115&lt;=0.02,E115&lt;AC115),"25日戻り売り★",IF(AND(ABS(E115-AB115)/AB115&lt;=0.01,E115&lt;AB115),"5日戻り売り○","なし")))</f>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IF(AND(T115&gt;=7,C115&lt;&gt;""),T115,0)</f>
        <v>0</v>
      </c>
      <c r="AH115">
        <f>IF(AG115&gt;0,AG115*10000-ROW(A115),0)</f>
        <v>0</v>
      </c>
      <c r="AI115" s="373">
        <f t="array" ref="AI115">IF(C115="","",IFERROR((INDEX(終値!$E:$E,MATCH(TEXT(C115,"0"),終値!$A:$A,0))-INDEX(終値!$E:$CZ,MATCH(TEXT(C115,"0"),終値!$A:$A,0),$AN$2))/INDEX(終値!$E:$CZ,MATCH(TEXT(C115,"0"),終値!$A:$A,0),$AN$2)*100,""))</f>
        <v>-3.5071090047393367</v>
      </c>
      <c r="AJ115" s="373">
        <f t="array" ref="AJ115">IFERROR((終値!$E$5-INDEX(終値!$E$5:$IT$5,1,$AN$2))/INDEX(終値!$E$5:$IT$5,1,$AN$2)*100,"")</f>
        <v>1.0179378228534113</v>
      </c>
      <c r="AK115" s="374">
        <f>IF(OR(AI115="",AJ115=""),"",AI115-AJ115)</f>
        <v>-4.5250468275927478</v>
      </c>
      <c r="AL115" s="372">
        <f>IF(AK115="","",IF(AK115&lt;-5,3,IF(AK115&lt;0,1,IF(AK115&lt;3,-1,-2))))</f>
        <v>1</v>
      </c>
      <c r="AO115" s="376" t="str">
        <f>IF(OR($C115="",$E115="",$F115="",$H115="",$I115="",$H115-$I115&lt;=0),"-",IF(AND($H115-MAX($F115,$E115)&gt;=ABS($E115-$F115)*2,MIN($F115,$E115)-$I115&lt;=ABS($E115-$F115)*0.5,ABS($E115-$F115)&gt;0),"上ヒゲ陰線▼",IF(AND($E115&lt;$F115,ABS($E115-$F115)&gt;=($H115-$I115)*0.7),"大陰線▼",IF(AND(MIN($F115,$E115)-$I115&gt;=($H115-$I115)*0.5,$H115-MAX($F115,$E115)&lt;=($H115-$I115)*0.2),"長い下ヒゲ(反発警戒)","通常"))))</f>
        <v>通常</v>
      </c>
      <c r="AP115" s="377">
        <f>IF($AO115="上ヒゲ陰線▼",2,IF($AO115="大陰線▼",2,IF($AO115="長い下ヒゲ(反発警戒)",-2,0)))</f>
        <v>0</v>
      </c>
      <c r="AQ115">
        <f>IF(C115&lt;&gt;"",始値!F170,"")</f>
        <v>1010</v>
      </c>
      <c r="AR115">
        <f>IF(C115&lt;&gt;"",高値!F170,"")</f>
        <v>1019</v>
      </c>
      <c r="AS115">
        <f>IF(C115&lt;&gt;"",安値!F170,"")</f>
        <v>1007</v>
      </c>
      <c r="AT115" t="str">
        <f>IF(OR(C115="",AQ115="",AR115="",AS115="",AR115-AS115&lt;=0),"-",IF(AND(AR115-MAX(G115,AQ115)&gt;=ABS(G115-AQ115)*2,MIN(G115,AQ115)-AS115&lt;=ABS(G115-AQ115)*0.5,ABS(G115-AQ115)&gt;0),"上ヒゲ陰線▼",IF(AND(G115&lt;AQ115,ABS(G115-AQ115)&gt;=(AR115-AS115)*0.7),"大陰線▼",IF(AND(MIN(G115,AQ115)-AS115&gt;=(AR115-AS115)*0.5,AR115-MAX(G115,AQ115)&lt;=(AR115-AS115)*0.2),"長い下ヒゲ(反発)","通常"))))</f>
        <v>通常</v>
      </c>
      <c r="AU115">
        <f>IF(AT115="上ヒゲ陰線▼",2,IF(AT115="大陰線▼",2,IF(AT115="長い下ヒゲ(反発)",-2,0)))</f>
        <v>0</v>
      </c>
      <c r="BA115">
        <f>IFERROR((SUM(OFFSET(高値!$E$6,IFERROR(MATCH($C115,銘柄管理!$B$6:$B$305,0),MATCH(TEXT($C115,"0"),銘柄管理!$B$6:$B$305,0))-1,0,1,14))-SUM(OFFSET(安値!$E$6,IFERROR(MATCH($C115,銘柄管理!$B$6:$B$305,0),MATCH(TEXT($C115,"0"),銘柄管理!$B$6:$B$305,0))-1,0,1,14)))/SUM(OFFSET(終値!$E$6,IFERROR(MATCH($C115,銘柄管理!$B$6:$B$305,0),MATCH(TEXT($C115,"0"),銘柄管理!$B$6:$B$305,0))-1,0,1,14))*100,"")</f>
      </c>
      <c r="BB115">
        <f>IFERROR((MAX(OFFSET(高値!$E$6,IFERROR(MATCH($C115,銘柄管理!$B$6:$B$305,0),MATCH(TEXT($C115,"0"),銘柄管理!$B$6:$B$305,0))-1,0,1,25))-MIN(OFFSET(安値!$E$6,IFERROR(MATCH($C115,銘柄管理!$B$6:$B$305,0),MATCH(TEXT($C115,"0"),銘柄管理!$B$6:$B$305,0))-1,0,1,25)))/$E115*100,"")</f>
      </c>
      <c r="BC115">
        <f>IFERROR(($F115-$G115)/$G115*100,"")</f>
      </c>
      <c r="BD115">
        <f>IFERROR(($E115-MAX(OFFSET(高値!$E$6,IFERROR(MATCH($C115,銘柄管理!$B$6:$B$305,0),MATCH(TEXT($C115,"0"),銘柄管理!$B$6:$B$305,0))-1,0,1,25)))/MAX(OFFSET(高値!$E$6,IFERROR(MATCH($C115,銘柄管理!$B$6:$B$305,0),MATCH(TEXT($C115,"0"),銘柄管理!$B$6:$B$305,0))-1,0,1,25))*100,"")</f>
      </c>
      <c r="BE115">
        <f>IFERROR(($H115-$I115)/$F115*100,"")</f>
      </c>
      <c r="BF115">
        <f>IFERROR(-(($BA115-AVERAGE($BA$3:$BA$206))/STDEV($BA$3:$BA$206))-(($BE115-AVERAGE($BE$3:$BE$206))/STDEV($BE$3:$BE$206))-(($BB115-AVERAGE($BB$3:$BB$206))/STDEV($BB$3:$BB$206))-(($Z115-AVERAGE($Z$3:$Z$206))/STDEV($Z$3:$Z$206))-(($BC115-AVERAGE($BC$3:$BC$206))/STDEV($BC$3:$BC$206)),"")</f>
      </c>
      <c r="BG115">
        <f>IF(OR($C115="",$C115="TOPX",$BA115="",$BF115=""),0,IF(AND($BK$10=1,$BA115&lt;=$BK$2,$BB115&lt;=$BK$3,$BC115&lt;=$BK$4,$Z115&lt;=$BK$5,$Z115&gt;=$BK$6,$BD115&gt;=$BK$7,$BE115&lt;=$BK$8),1,0))</f>
      </c>
      <c r="BH115">
        <f>IF($C115="","",IF($BG115=1,"○ゲート通過",IF($BK$10&lt;&gt;1,"― この方向は停止中",IF($BA115&gt;$BK$2,"×値動きが荒い",IF($BB115&gt;$BK$3,"×レンジが広い",IF($BC115&gt;$BK$4,"×窓を開けて上昇",IF($Z115&gt;$BK$5,"×前日に急騰",IF($Z115&lt;$BK$6,"×前日に急落",IF($BD115&lt;$BK$7,"×高値から離れすぎ",IF($BE115&gt;$BK$8,"×当日の値幅が大きい","×")))))))))</f>
      </c>
    </row>
    <row r="116" spans="1:60"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IF(AND(E116&lt;&gt;"",K116&lt;&gt;"",K116&lt;&gt;0),(E116-K116)/K116*100,"")</f>
        <v>-8.2582582582582589</v>
      </c>
      <c r="M116" s="333">
        <f>IF(C116&lt;&gt;"",IFERROR(AVERAGE(出来高!E171:I171),""),"")</f>
        <v>241140</v>
      </c>
      <c r="N116" s="333">
        <f>IF(C116&lt;&gt;"",IFERROR(AVERAGE(出来高!E171:AC171),""),"")</f>
        <v>144192</v>
      </c>
      <c r="O116" s="335">
        <f>IF(AND(J116&lt;&gt;"",M116&lt;&gt;"",M116&lt;&gt;0),J116/M116,"")</f>
        <v>0.4209173094467944</v>
      </c>
      <c r="P116" s="212" t="str">
        <f>IF(O116="","",IF(O116&gt;=2,"急増↑↑",IF(O116&gt;=1.5,"増加↑",IF(O116&gt;=1,"普通→","減少↓"))))</f>
        <v>減少↓</v>
      </c>
      <c r="Q116" s="212" t="str">
        <f>IF(E116="","",IF(AND(E116&lt;G116,O116&gt;=1.5),"売り▼",IF(E116&gt;G116,"様子見▲","中立→")))</f>
        <v>様子見▲</v>
      </c>
      <c r="R116" s="333">
        <f>IF(E116&lt;&gt;"",ROUND(E116*0.92,0),"")</f>
        <v>2811</v>
      </c>
      <c r="S116" s="333">
        <f>IF(E116&lt;&gt;"",ROUND(E116*1.04,0),"")</f>
        <v>3177</v>
      </c>
      <c r="T116" s="325">
        <f>IF(C116="","",IFERROR(IF(W116&gt;=70,3,IF(W116&gt;=60,2,IF(W116&gt;=50,1,0)))+IF(X116&lt;0,2,0)+IF(AD116="下降トレンド▼",3,IF(AD116="もみ合い→",1,0))+IF(V116="年初来安値圏●",3,IF(V116="安値圏",2,0))+IF(Q116="売り▼",2,0)+IF(P116="急増↑↑",2,IF(P116="増加↑",1,0))+IF(Z116&lt;0,1,0)+IF(L116&lt;=-30,2,IF(L116&lt;=-15,1,0))+IF(AE116="25日戻り売り★",2,IF(AE116="5日戻り売り○",1,0))+N(AL116)+N(AP116)+N(AU116),0))</f>
        <v>6</v>
      </c>
      <c r="U116" s="212" t="str">
        <f>IF(T116="","",IF(AND(T116&gt;=3,O116&gt;=1.5),"有効",IF(T116&gt;=3,"要確認","除外")))</f>
        <v>要確認</v>
      </c>
      <c r="V116" s="212" t="str">
        <f>IF(AND(I116&lt;&gt;"",K116&lt;&gt;""),IF(I116&lt;=K116*0.6,"年初来安値圏●",IF(I116&lt;=K116*0.75,"安値圏","通常")),"")</f>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IF(AF116="","",AF116&amp;" | "&amp;AD116&amp;IF(AE116&lt;&gt;"なし"," "&amp;AE116,"")&amp;IF(X116&lt;0," MACD-"," MACD+")&amp;" RSI:"&amp;TEXT(W116,"0.0")&amp;IF(W116&gt;=70," [過熱]",IF(W116&lt;=30," [売られ過ぎ]",""))&amp;" 前日比:"&amp;TEXT(Z116,"+0.0;-0.0;0.0")&amp;"%"&amp;IF(V116="年初来安値圏●"," [年初来安値圏]",IF(V116="安値圏"," [安値圏]",""))&amp;IF(OR(AO116="通常",AO116="-"),""," ["&amp;AO116&amp;"]")&amp;IF(OR(AT116="通常",AT116="-"),"","前日["&amp;AT116&amp;"]")&amp;" ["&amp;T116&amp;"点]")</f>
        <v>○逆張り売り | もみ合い→ 25日戻り売り★ MACD- RSI:40.5 前日比:+1.7% [6点]</v>
      </c>
      <c r="Z116" s="338">
        <f>IF(AND(E116&lt;&gt;"",G116&lt;&gt;"",G116&lt;&gt;0),(E116-G116)/G116*100,"")</f>
        <v>1.6638935108153077</v>
      </c>
      <c r="AA116" s="212" t="str">
        <f>IF(OR(C116="",E116="",E116=0),"",IF(E116&gt;G116,"上昇▲",IF(E116&lt;G116,"下落▼","横ばい→")))</f>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IF(OR(C116="",AB116="",AC116="",AB116=0,AC116=0),"",IF(AND(E116&gt;AB116,AB116&gt;AC116),"パーフェクト▲",IF(E116&gt;AC116,"上昇トレンド▲",IF(AND(E116&lt;AB116,AB116&lt;AC116),"下降トレンド▼","もみ合い→"))))</f>
        <v>もみ合い→</v>
      </c>
      <c r="AE116" s="212" t="str">
        <f>IF(OR(C116="",AB116="",AC116=""),"",IF(AND(ABS(E116-AC116)/AC116&lt;=0.02,E116&lt;AC116),"25日戻り売り★",IF(AND(ABS(E116-AB116)/AB116&lt;=0.01,E116&lt;AB116),"5日戻り売り○","なし")))</f>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IF(AND(T116&gt;=7,C116&lt;&gt;""),T116,0)</f>
        <v>0</v>
      </c>
      <c r="AH116">
        <f>IF(AG116&gt;0,AG116*10000-ROW(A116),0)</f>
        <v>0</v>
      </c>
      <c r="AI116" s="373">
        <f t="array" ref="AI116">IF(C116="","",IFERROR((INDEX(終値!$E:$E,MATCH(TEXT(C116,"0"),終値!$A:$A,0))-INDEX(終値!$E:$CZ,MATCH(TEXT(C116,"0"),終値!$A:$A,0),$AN$2))/INDEX(終値!$E:$CZ,MATCH(TEXT(C116,"0"),終値!$A:$A,0),$AN$2)*100,""))</f>
        <v>0.16393442622950818</v>
      </c>
      <c r="AJ116" s="373">
        <f t="array" ref="AJ116">IFERROR((終値!$E$5-INDEX(終値!$E$5:$IT$5,1,$AN$2))/INDEX(終値!$E$5:$IT$5,1,$AN$2)*100,"")</f>
        <v>1.0179378228534113</v>
      </c>
      <c r="AK116" s="374">
        <f>IF(OR(AI116="",AJ116=""),"",AI116-AJ116)</f>
        <v>-0.85400339662390312</v>
      </c>
      <c r="AL116" s="372">
        <f>IF(AK116="","",IF(AK116&lt;-5,3,IF(AK116&lt;0,1,IF(AK116&lt;3,-1,-2))))</f>
        <v>1</v>
      </c>
      <c r="AO116" s="376" t="str">
        <f>IF(OR($C116="",$E116="",$F116="",$H116="",$I116="",$H116-$I116&lt;=0),"-",IF(AND($H116-MAX($F116,$E116)&gt;=ABS($E116-$F116)*2,MIN($F116,$E116)-$I116&lt;=ABS($E116-$F116)*0.5,ABS($E116-$F116)&gt;0),"上ヒゲ陰線▼",IF(AND($E116&lt;$F116,ABS($E116-$F116)&gt;=($H116-$I116)*0.7),"大陰線▼",IF(AND(MIN($F116,$E116)-$I116&gt;=($H116-$I116)*0.5,$H116-MAX($F116,$E116)&lt;=($H116-$I116)*0.2),"長い下ヒゲ(反発警戒)","通常"))))</f>
        <v>通常</v>
      </c>
      <c r="AP116" s="377">
        <f>IF($AO116="上ヒゲ陰線▼",2,IF($AO116="大陰線▼",2,IF($AO116="長い下ヒゲ(反発警戒)",-2,0)))</f>
        <v>0</v>
      </c>
      <c r="AQ116">
        <f>IF(C116&lt;&gt;"",始値!F171,"")</f>
        <v>2990</v>
      </c>
      <c r="AR116">
        <f>IF(C116&lt;&gt;"",高値!F171,"")</f>
        <v>3010</v>
      </c>
      <c r="AS116">
        <f>IF(C116&lt;&gt;"",安値!F171,"")</f>
        <v>2980</v>
      </c>
      <c r="AT116" t="str">
        <f>IF(OR(C116="",AQ116="",AR116="",AS116="",AR116-AS116&lt;=0),"-",IF(AND(AR116-MAX(G116,AQ116)&gt;=ABS(G116-AQ116)*2,MIN(G116,AQ116)-AS116&lt;=ABS(G116-AQ116)*0.5,ABS(G116-AQ116)&gt;0),"上ヒゲ陰線▼",IF(AND(G116&lt;AQ116,ABS(G116-AQ116)&gt;=(AR116-AS116)*0.7),"大陰線▼",IF(AND(MIN(G116,AQ116)-AS116&gt;=(AR116-AS116)*0.5,AR116-MAX(G116,AQ116)&lt;=(AR116-AS116)*0.2),"長い下ヒゲ(反発)","通常"))))</f>
        <v>通常</v>
      </c>
      <c r="AU116">
        <f>IF(AT116="上ヒゲ陰線▼",2,IF(AT116="大陰線▼",2,IF(AT116="長い下ヒゲ(反発)",-2,0)))</f>
        <v>0</v>
      </c>
      <c r="BA116">
        <f>IFERROR((SUM(OFFSET(高値!$E$6,IFERROR(MATCH($C116,銘柄管理!$B$6:$B$305,0),MATCH(TEXT($C116,"0"),銘柄管理!$B$6:$B$305,0))-1,0,1,14))-SUM(OFFSET(安値!$E$6,IFERROR(MATCH($C116,銘柄管理!$B$6:$B$305,0),MATCH(TEXT($C116,"0"),銘柄管理!$B$6:$B$305,0))-1,0,1,14)))/SUM(OFFSET(終値!$E$6,IFERROR(MATCH($C116,銘柄管理!$B$6:$B$305,0),MATCH(TEXT($C116,"0"),銘柄管理!$B$6:$B$305,0))-1,0,1,14))*100,"")</f>
      </c>
      <c r="BB116">
        <f>IFERROR((MAX(OFFSET(高値!$E$6,IFERROR(MATCH($C116,銘柄管理!$B$6:$B$305,0),MATCH(TEXT($C116,"0"),銘柄管理!$B$6:$B$305,0))-1,0,1,25))-MIN(OFFSET(安値!$E$6,IFERROR(MATCH($C116,銘柄管理!$B$6:$B$305,0),MATCH(TEXT($C116,"0"),銘柄管理!$B$6:$B$305,0))-1,0,1,25)))/$E116*100,"")</f>
      </c>
      <c r="BC116">
        <f>IFERROR(($F116-$G116)/$G116*100,"")</f>
      </c>
      <c r="BD116">
        <f>IFERROR(($E116-MAX(OFFSET(高値!$E$6,IFERROR(MATCH($C116,銘柄管理!$B$6:$B$305,0),MATCH(TEXT($C116,"0"),銘柄管理!$B$6:$B$305,0))-1,0,1,25)))/MAX(OFFSET(高値!$E$6,IFERROR(MATCH($C116,銘柄管理!$B$6:$B$305,0),MATCH(TEXT($C116,"0"),銘柄管理!$B$6:$B$305,0))-1,0,1,25))*100,"")</f>
      </c>
      <c r="BE116">
        <f>IFERROR(($H116-$I116)/$F116*100,"")</f>
      </c>
      <c r="BF116">
        <f>IFERROR(-(($BA116-AVERAGE($BA$3:$BA$206))/STDEV($BA$3:$BA$206))-(($BE116-AVERAGE($BE$3:$BE$206))/STDEV($BE$3:$BE$206))-(($BB116-AVERAGE($BB$3:$BB$206))/STDEV($BB$3:$BB$206))-(($Z116-AVERAGE($Z$3:$Z$206))/STDEV($Z$3:$Z$206))-(($BC116-AVERAGE($BC$3:$BC$206))/STDEV($BC$3:$BC$206)),"")</f>
      </c>
      <c r="BG116">
        <f>IF(OR($C116="",$C116="TOPX",$BA116="",$BF116=""),0,IF(AND($BK$10=1,$BA116&lt;=$BK$2,$BB116&lt;=$BK$3,$BC116&lt;=$BK$4,$Z116&lt;=$BK$5,$Z116&gt;=$BK$6,$BD116&gt;=$BK$7,$BE116&lt;=$BK$8),1,0))</f>
      </c>
      <c r="BH116">
        <f>IF($C116="","",IF($BG116=1,"○ゲート通過",IF($BK$10&lt;&gt;1,"― この方向は停止中",IF($BA116&gt;$BK$2,"×値動きが荒い",IF($BB116&gt;$BK$3,"×レンジが広い",IF($BC116&gt;$BK$4,"×窓を開けて上昇",IF($Z116&gt;$BK$5,"×前日に急騰",IF($Z116&lt;$BK$6,"×前日に急落",IF($BD116&lt;$BK$7,"×高値から離れすぎ",IF($BE116&gt;$BK$8,"×当日の値幅が大きい","×")))))))))</f>
      </c>
    </row>
    <row r="117" spans="1:60"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IF(AND(E117&lt;&gt;"",K117&lt;&gt;"",K117&lt;&gt;0),(E117-K117)/K117*100,"")</f>
        <v>-22.711864406779661</v>
      </c>
      <c r="M117" s="326">
        <f>IF(C117&lt;&gt;"",IFERROR(AVERAGE(出来高!E176:I176),""),"")</f>
        <v>143400</v>
      </c>
      <c r="N117" s="326">
        <f>IF(C117&lt;&gt;"",IFERROR(AVERAGE(出来高!E176:AC176),""),"")</f>
        <v>93760</v>
      </c>
      <c r="O117" s="328">
        <f>IF(AND(J117&lt;&gt;"",M117&lt;&gt;"",M117&lt;&gt;0),J117/M117,"")</f>
        <v>1.6792189679218967</v>
      </c>
      <c r="P117" s="325" t="str">
        <f>IF(O117="","",IF(O117&gt;=2,"急増↑↑",IF(O117&gt;=1.5,"増加↑",IF(O117&gt;=1,"普通→","減少↓"))))</f>
        <v>増加↑</v>
      </c>
      <c r="Q117" s="325" t="str">
        <f>IF(E117="","",IF(AND(E117&lt;G117,O117&gt;=1.5),"売り▼",IF(E117&gt;G117,"様子見▲","中立→")))</f>
        <v>様子見▲</v>
      </c>
      <c r="R117" s="326">
        <f>IF(E117&lt;&gt;"",ROUND(E117*0.92,0),"")</f>
        <v>2307</v>
      </c>
      <c r="S117" s="326">
        <f>IF(E117&lt;&gt;"",ROUND(E117*1.04,0),"")</f>
        <v>2608</v>
      </c>
      <c r="T117" s="325">
        <f>IF(C117="","",IFERROR(IF(W117&gt;=70,3,IF(W117&gt;=60,2,IF(W117&gt;=50,1,0)))+IF(X117&lt;0,2,0)+IF(AD117="下降トレンド▼",3,IF(AD117="もみ合い→",1,0))+IF(V117="年初来安値圏●",3,IF(V117="安値圏",2,0))+IF(Q117="売り▼",2,0)+IF(P117="急増↑↑",2,IF(P117="増加↑",1,0))+IF(Z117&lt;0,1,0)+IF(L117&lt;=-30,2,IF(L117&lt;=-15,1,0))+IF(AE117="25日戻り売り★",2,IF(AE117="5日戻り売り○",1,0))+N(AL117)+N(AP117)+N(AU117),0))</f>
        <v>7</v>
      </c>
      <c r="U117" s="325" t="str">
        <f>IF(T117="","",IF(AND(T117&gt;=3,O117&gt;=1.5),"有効",IF(T117&gt;=3,"要確認","除外")))</f>
        <v>有効</v>
      </c>
      <c r="V117" s="325" t="str">
        <f>IF(AND(I117&lt;&gt;"",K117&lt;&gt;""),IF(I117&lt;=K117*0.6,"年初来安値圏●",IF(I117&lt;=K117*0.75,"安値圏","通常")),"")</f>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IF(AF117="","",AF117&amp;" | "&amp;AD117&amp;IF(AE117&lt;&gt;"なし"," "&amp;AE117,"")&amp;IF(X117&lt;0," MACD-"," MACD+")&amp;" RSI:"&amp;TEXT(W117,"0.0")&amp;IF(W117&gt;=70," [過熱]",IF(W117&lt;=30," [売られ過ぎ]",""))&amp;" 前日比:"&amp;TEXT(Z117,"+0.0;-0.0;0.0")&amp;"%"&amp;IF(V117="年初来安値圏●"," [年初来安値圏]",IF(V117="安値圏"," [安値圏]",""))&amp;IF(OR(AO117="通常",AO117="-"),""," ["&amp;AO117&amp;"]")&amp;IF(OR(AT117="通常",AT117="-"),"","前日["&amp;AT117&amp;"]")&amp;" ["&amp;T117&amp;"点]")</f>
        <v>相場上昇・見送り | 上昇トレンド▲ MACD- RSI:41.9 前日比:+0.2% [7点]</v>
      </c>
      <c r="Z117" s="331">
        <f>IF(AND(E117&lt;&gt;"",G117&lt;&gt;"",G117&lt;&gt;0),(E117-G117)/G117*100,"")</f>
        <v>0.15974440894568689</v>
      </c>
      <c r="AA117" s="325" t="str">
        <f>IF(OR(C117="",E117="",E117=0),"",IF(E117&gt;G117,"上昇▲",IF(E117&lt;G117,"下落▼","横ばい→")))</f>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IF(OR(C117="",AB117="",AC117="",AB117=0,AC117=0),"",IF(AND(E117&gt;AB117,AB117&gt;AC117),"パーフェクト▲",IF(E117&gt;AC117,"上昇トレンド▲",IF(AND(E117&lt;AB117,AB117&lt;AC117),"下降トレンド▼","もみ合い→"))))</f>
        <v>上昇トレンド▲</v>
      </c>
      <c r="AE117" s="325" t="str">
        <f>IF(OR(C117="",AB117="",AC117=""),"",IF(AND(ABS(E117-AC117)/AC117&lt;=0.02,E117&lt;AC117),"25日戻り売り★",IF(AND(ABS(E117-AB117)/AB117&lt;=0.01,E117&lt;AB117),"5日戻り売り○","なし")))</f>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IF(AND(T117&gt;=7,C117&lt;&gt;""),T117,0)</f>
        <v>7</v>
      </c>
      <c r="AH117">
        <f>IF(AG117&gt;0,AG117*10000-ROW(A117),0)</f>
        <v>69883</v>
      </c>
      <c r="AI117" s="373">
        <f t="array" ref="AI117">IF(C117="","",IFERROR((INDEX(終値!$E:$E,MATCH(TEXT(C117,"0"),終値!$A:$A,0))-INDEX(終値!$E:$CZ,MATCH(TEXT(C117,"0"),終値!$A:$A,0),$AN$2))/INDEX(終値!$E:$CZ,MATCH(TEXT(C117,"0"),終値!$A:$A,0),$AN$2)*100,""))</f>
        <v>-5.9970014992503744</v>
      </c>
      <c r="AJ117" s="373">
        <f t="array" ref="AJ117">IFERROR((終値!$E$5-INDEX(終値!$E$5:$IT$5,1,$AN$2))/INDEX(終値!$E$5:$IT$5,1,$AN$2)*100,"")</f>
        <v>1.0179378228534113</v>
      </c>
      <c r="AK117" s="374">
        <f>IF(OR(AI117="",AJ117=""),"",AI117-AJ117)</f>
        <v>-7.0149393221037855</v>
      </c>
      <c r="AL117" s="372">
        <f>IF(AK117="","",IF(AK117&lt;-5,3,IF(AK117&lt;0,1,IF(AK117&lt;3,-1,-2))))</f>
        <v>3</v>
      </c>
      <c r="AO117" s="376" t="str">
        <f>IF(OR($C117="",$E117="",$F117="",$H117="",$I117="",$H117-$I117&lt;=0),"-",IF(AND($H117-MAX($F117,$E117)&gt;=ABS($E117-$F117)*2,MIN($F117,$E117)-$I117&lt;=ABS($E117-$F117)*0.5,ABS($E117-$F117)&gt;0),"上ヒゲ陰線▼",IF(AND($E117&lt;$F117,ABS($E117-$F117)&gt;=($H117-$I117)*0.7),"大陰線▼",IF(AND(MIN($F117,$E117)-$I117&gt;=($H117-$I117)*0.5,$H117-MAX($F117,$E117)&lt;=($H117-$I117)*0.2),"長い下ヒゲ(反発警戒)","通常"))))</f>
        <v>通常</v>
      </c>
      <c r="AP117" s="377">
        <f>IF($AO117="上ヒゲ陰線▼",2,IF($AO117="大陰線▼",2,IF($AO117="長い下ヒゲ(反発警戒)",-2,0)))</f>
        <v>0</v>
      </c>
      <c r="AQ117">
        <f>IF(C117&lt;&gt;"",始値!F176,"")</f>
        <v>2462</v>
      </c>
      <c r="AR117">
        <f>IF(C117&lt;&gt;"",高値!F176,"")</f>
        <v>2506</v>
      </c>
      <c r="AS117">
        <f>IF(C117&lt;&gt;"",安値!F176,"")</f>
        <v>2428</v>
      </c>
      <c r="AT117" t="str">
        <f>IF(OR(C117="",AQ117="",AR117="",AS117="",AR117-AS117&lt;=0),"-",IF(AND(AR117-MAX(G117,AQ117)&gt;=ABS(G117-AQ117)*2,MIN(G117,AQ117)-AS117&lt;=ABS(G117-AQ117)*0.5,ABS(G117-AQ117)&gt;0),"上ヒゲ陰線▼",IF(AND(G117&lt;AQ117,ABS(G117-AQ117)&gt;=(AR117-AS117)*0.7),"大陰線▼",IF(AND(MIN(G117,AQ117)-AS117&gt;=(AR117-AS117)*0.5,AR117-MAX(G117,AQ117)&lt;=(AR117-AS117)*0.2),"長い下ヒゲ(反発)","通常"))))</f>
        <v>通常</v>
      </c>
      <c r="AU117">
        <f>IF(AT117="上ヒゲ陰線▼",2,IF(AT117="大陰線▼",2,IF(AT117="長い下ヒゲ(反発)",-2,0)))</f>
        <v>0</v>
      </c>
      <c r="BA117">
        <f>IFERROR((SUM(OFFSET(高値!$E$6,IFERROR(MATCH($C117,銘柄管理!$B$6:$B$305,0),MATCH(TEXT($C117,"0"),銘柄管理!$B$6:$B$305,0))-1,0,1,14))-SUM(OFFSET(安値!$E$6,IFERROR(MATCH($C117,銘柄管理!$B$6:$B$305,0),MATCH(TEXT($C117,"0"),銘柄管理!$B$6:$B$305,0))-1,0,1,14)))/SUM(OFFSET(終値!$E$6,IFERROR(MATCH($C117,銘柄管理!$B$6:$B$305,0),MATCH(TEXT($C117,"0"),銘柄管理!$B$6:$B$305,0))-1,0,1,14))*100,"")</f>
      </c>
      <c r="BB117">
        <f>IFERROR((MAX(OFFSET(高値!$E$6,IFERROR(MATCH($C117,銘柄管理!$B$6:$B$305,0),MATCH(TEXT($C117,"0"),銘柄管理!$B$6:$B$305,0))-1,0,1,25))-MIN(OFFSET(安値!$E$6,IFERROR(MATCH($C117,銘柄管理!$B$6:$B$305,0),MATCH(TEXT($C117,"0"),銘柄管理!$B$6:$B$305,0))-1,0,1,25)))/$E117*100,"")</f>
      </c>
      <c r="BC117">
        <f>IFERROR(($F117-$G117)/$G117*100,"")</f>
      </c>
      <c r="BD117">
        <f>IFERROR(($E117-MAX(OFFSET(高値!$E$6,IFERROR(MATCH($C117,銘柄管理!$B$6:$B$305,0),MATCH(TEXT($C117,"0"),銘柄管理!$B$6:$B$305,0))-1,0,1,25)))/MAX(OFFSET(高値!$E$6,IFERROR(MATCH($C117,銘柄管理!$B$6:$B$305,0),MATCH(TEXT($C117,"0"),銘柄管理!$B$6:$B$305,0))-1,0,1,25))*100,"")</f>
      </c>
      <c r="BE117">
        <f>IFERROR(($H117-$I117)/$F117*100,"")</f>
      </c>
      <c r="BF117">
        <f>IFERROR(-(($BA117-AVERAGE($BA$3:$BA$206))/STDEV($BA$3:$BA$206))-(($BE117-AVERAGE($BE$3:$BE$206))/STDEV($BE$3:$BE$206))-(($BB117-AVERAGE($BB$3:$BB$206))/STDEV($BB$3:$BB$206))-(($Z117-AVERAGE($Z$3:$Z$206))/STDEV($Z$3:$Z$206))-(($BC117-AVERAGE($BC$3:$BC$206))/STDEV($BC$3:$BC$206)),"")</f>
      </c>
      <c r="BG117">
        <f>IF(OR($C117="",$C117="TOPX",$BA117="",$BF117=""),0,IF(AND($BK$10=1,$BA117&lt;=$BK$2,$BB117&lt;=$BK$3,$BC117&lt;=$BK$4,$Z117&lt;=$BK$5,$Z117&gt;=$BK$6,$BD117&gt;=$BK$7,$BE117&lt;=$BK$8),1,0))</f>
      </c>
      <c r="BH117">
        <f>IF($C117="","",IF($BG117=1,"○ゲート通過",IF($BK$10&lt;&gt;1,"― この方向は停止中",IF($BA117&gt;$BK$2,"×値動きが荒い",IF($BB117&gt;$BK$3,"×レンジが広い",IF($BC117&gt;$BK$4,"×窓を開けて上昇",IF($Z117&gt;$BK$5,"×前日に急騰",IF($Z117&lt;$BK$6,"×前日に急落",IF($BD117&lt;$BK$7,"×高値から離れすぎ",IF($BE117&gt;$BK$8,"×当日の値幅が大きい","×")))))))))</f>
      </c>
    </row>
    <row r="118" spans="1:60"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IF(AND(E118&lt;&gt;"",K118&lt;&gt;"",K118&lt;&gt;0),(E118-K118)/K118*100,"")</f>
        <v>-32.967289719626166</v>
      </c>
      <c r="M118" s="333">
        <f>IF(C118&lt;&gt;"",IFERROR(AVERAGE(出来高!E179:I179),""),"")</f>
        <v>126620</v>
      </c>
      <c r="N118" s="333">
        <f>IF(C118&lt;&gt;"",IFERROR(AVERAGE(出来高!E179:AC179),""),"")</f>
        <v>104852</v>
      </c>
      <c r="O118" s="335">
        <f>IF(AND(J118&lt;&gt;"",M118&lt;&gt;"",M118&lt;&gt;0),J118/M118,"")</f>
        <v>0.86637182119728318</v>
      </c>
      <c r="P118" s="212" t="str">
        <f>IF(O118="","",IF(O118&gt;=2,"急増↑↑",IF(O118&gt;=1.5,"増加↑",IF(O118&gt;=1,"普通→","減少↓"))))</f>
        <v>減少↓</v>
      </c>
      <c r="Q118" s="212" t="str">
        <f>IF(E118="","",IF(AND(E118&lt;G118,O118&gt;=1.5),"売り▼",IF(E118&gt;G118,"様子見▲","中立→")))</f>
        <v>様子見▲</v>
      </c>
      <c r="R118" s="333">
        <f>IF(E118&lt;&gt;"",ROUND(E118*0.92,0),"")</f>
        <v>2639</v>
      </c>
      <c r="S118" s="333">
        <f>IF(E118&lt;&gt;"",ROUND(E118*1.04,0),"")</f>
        <v>2984</v>
      </c>
      <c r="T118" s="325">
        <f>IF(C118="","",IFERROR(IF(W118&gt;=70,3,IF(W118&gt;=60,2,IF(W118&gt;=50,1,0)))+IF(X118&lt;0,2,0)+IF(AD118="下降トレンド▼",3,IF(AD118="もみ合い→",1,0))+IF(V118="年初来安値圏●",3,IF(V118="安値圏",2,0))+IF(Q118="売り▼",2,0)+IF(P118="急増↑↑",2,IF(P118="増加↑",1,0))+IF(Z118&lt;0,1,0)+IF(L118&lt;=-30,2,IF(L118&lt;=-15,1,0))+IF(AE118="25日戻り売り★",2,IF(AE118="5日戻り売り○",1,0))+N(AL118)+N(AP118)+N(AU118),0))</f>
        <v>4</v>
      </c>
      <c r="U118" s="212" t="str">
        <f>IF(T118="","",IF(AND(T118&gt;=3,O118&gt;=1.5),"有効",IF(T118&gt;=3,"要確認","除外")))</f>
        <v>要確認</v>
      </c>
      <c r="V118" s="212" t="str">
        <f>IF(AND(I118&lt;&gt;"",K118&lt;&gt;""),IF(I118&lt;=K118*0.6,"年初来安値圏●",IF(I118&lt;=K118*0.75,"安値圏","通常")),"")</f>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IF(AF118="","",AF118&amp;" | "&amp;AD118&amp;IF(AE118&lt;&gt;"なし"," "&amp;AE118,"")&amp;IF(X118&lt;0," MACD-"," MACD+")&amp;" RSI:"&amp;TEXT(W118,"0.0")&amp;IF(W118&gt;=70," [過熱]",IF(W118&lt;=30," [売られ過ぎ]",""))&amp;" 前日比:"&amp;TEXT(Z118,"+0.0;-0.0;0.0")&amp;"%"&amp;IF(V118="年初来安値圏●"," [年初来安値圏]",IF(V118="安値圏"," [安値圏]",""))&amp;IF(OR(AO118="通常",AO118="-"),""," ["&amp;AO118&amp;"]")&amp;IF(OR(AT118="通常",AT118="-"),"","前日["&amp;AT118&amp;"]")&amp;" ["&amp;T118&amp;"点]")</f>
        <v>相場上昇・見送り | パーフェクト▲ MACD+ RSI:64.4 前日比:+1.3% [安値圏] [4点]</v>
      </c>
      <c r="Z118" s="338">
        <f>IF(AND(E118&lt;&gt;"",G118&lt;&gt;"",G118&lt;&gt;0),(E118-G118)/G118*100,"")</f>
        <v>1.2707377338510413</v>
      </c>
      <c r="AA118" s="212" t="str">
        <f>IF(OR(C118="",E118="",E118=0),"",IF(E118&gt;G118,"上昇▲",IF(E118&lt;G118,"下落▼","横ばい→")))</f>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IF(OR(C118="",AB118="",AC118="",AB118=0,AC118=0),"",IF(AND(E118&gt;AB118,AB118&gt;AC118),"パーフェクト▲",IF(E118&gt;AC118,"上昇トレンド▲",IF(AND(E118&lt;AB118,AB118&lt;AC118),"下降トレンド▼","もみ合い→"))))</f>
        <v>パーフェクト▲</v>
      </c>
      <c r="AE118" s="212" t="str">
        <f>IF(OR(C118="",AB118="",AC118=""),"",IF(AND(ABS(E118-AC118)/AC118&lt;=0.02,E118&lt;AC118),"25日戻り売り★",IF(AND(ABS(E118-AB118)/AB118&lt;=0.01,E118&lt;AB118),"5日戻り売り○","なし")))</f>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IF(AND(T118&gt;=7,C118&lt;&gt;""),T118,0)</f>
        <v>0</v>
      </c>
      <c r="AH118">
        <f>IF(AG118&gt;0,AG118*10000-ROW(A118),0)</f>
        <v>0</v>
      </c>
      <c r="AI118" s="373">
        <f t="array" ref="AI118">IF(C118="","",IFERROR((INDEX(終値!$E:$E,MATCH(TEXT(C118,"0"),終値!$A:$A,0))-INDEX(終値!$E:$CZ,MATCH(TEXT(C118,"0"),終値!$A:$A,0),$AN$2))/INDEX(終値!$E:$CZ,MATCH(TEXT(C118,"0"),終値!$A:$A,0),$AN$2)*100,""))</f>
        <v>12.730844793713164</v>
      </c>
      <c r="AJ118" s="373">
        <f t="array" ref="AJ118">IFERROR((終値!$E$5-INDEX(終値!$E$5:$IT$5,1,$AN$2))/INDEX(終値!$E$5:$IT$5,1,$AN$2)*100,"")</f>
        <v>1.0179378228534113</v>
      </c>
      <c r="AK118" s="374">
        <f>IF(OR(AI118="",AJ118=""),"",AI118-AJ118)</f>
        <v>11.712906970859752</v>
      </c>
      <c r="AL118" s="372">
        <f>IF(AK118="","",IF(AK118&lt;-5,3,IF(AK118&lt;0,1,IF(AK118&lt;3,-1,-2))))</f>
        <v>-2</v>
      </c>
      <c r="AO118" s="376" t="str">
        <f>IF(OR($C118="",$E118="",$F118="",$H118="",$I118="",$H118-$I118&lt;=0),"-",IF(AND($H118-MAX($F118,$E118)&gt;=ABS($E118-$F118)*2,MIN($F118,$E118)-$I118&lt;=ABS($E118-$F118)*0.5,ABS($E118-$F118)&gt;0),"上ヒゲ陰線▼",IF(AND($E118&lt;$F118,ABS($E118-$F118)&gt;=($H118-$I118)*0.7),"大陰線▼",IF(AND(MIN($F118,$E118)-$I118&gt;=($H118-$I118)*0.5,$H118-MAX($F118,$E118)&lt;=($H118-$I118)*0.2),"長い下ヒゲ(反発警戒)","通常"))))</f>
        <v>通常</v>
      </c>
      <c r="AP118" s="377">
        <f>IF($AO118="上ヒゲ陰線▼",2,IF($AO118="大陰線▼",2,IF($AO118="長い下ヒゲ(反発警戒)",-2,0)))</f>
        <v>0</v>
      </c>
      <c r="AQ118">
        <f>IF(C118&lt;&gt;"",始値!F179,"")</f>
        <v>2828</v>
      </c>
      <c r="AR118">
        <f>IF(C118&lt;&gt;"",高値!F179,"")</f>
        <v>2862</v>
      </c>
      <c r="AS118">
        <f>IF(C118&lt;&gt;"",安値!F179,"")</f>
        <v>2817</v>
      </c>
      <c r="AT118" t="str">
        <f>IF(OR(C118="",AQ118="",AR118="",AS118="",AR118-AS118&lt;=0),"-",IF(AND(AR118-MAX(G118,AQ118)&gt;=ABS(G118-AQ118)*2,MIN(G118,AQ118)-AS118&lt;=ABS(G118-AQ118)*0.5,ABS(G118-AQ118)&gt;0),"上ヒゲ陰線▼",IF(AND(G118&lt;AQ118,ABS(G118-AQ118)&gt;=(AR118-AS118)*0.7),"大陰線▼",IF(AND(MIN(G118,AQ118)-AS118&gt;=(AR118-AS118)*0.5,AR118-MAX(G118,AQ118)&lt;=(AR118-AS118)*0.2),"長い下ヒゲ(反発)","通常"))))</f>
        <v>通常</v>
      </c>
      <c r="AU118">
        <f>IF(AT118="上ヒゲ陰線▼",2,IF(AT118="大陰線▼",2,IF(AT118="長い下ヒゲ(反発)",-2,0)))</f>
        <v>0</v>
      </c>
      <c r="BA118">
        <f>IFERROR((SUM(OFFSET(高値!$E$6,IFERROR(MATCH($C118,銘柄管理!$B$6:$B$305,0),MATCH(TEXT($C118,"0"),銘柄管理!$B$6:$B$305,0))-1,0,1,14))-SUM(OFFSET(安値!$E$6,IFERROR(MATCH($C118,銘柄管理!$B$6:$B$305,0),MATCH(TEXT($C118,"0"),銘柄管理!$B$6:$B$305,0))-1,0,1,14)))/SUM(OFFSET(終値!$E$6,IFERROR(MATCH($C118,銘柄管理!$B$6:$B$305,0),MATCH(TEXT($C118,"0"),銘柄管理!$B$6:$B$305,0))-1,0,1,14))*100,"")</f>
      </c>
      <c r="BB118">
        <f>IFERROR((MAX(OFFSET(高値!$E$6,IFERROR(MATCH($C118,銘柄管理!$B$6:$B$305,0),MATCH(TEXT($C118,"0"),銘柄管理!$B$6:$B$305,0))-1,0,1,25))-MIN(OFFSET(安値!$E$6,IFERROR(MATCH($C118,銘柄管理!$B$6:$B$305,0),MATCH(TEXT($C118,"0"),銘柄管理!$B$6:$B$305,0))-1,0,1,25)))/$E118*100,"")</f>
      </c>
      <c r="BC118">
        <f>IFERROR(($F118-$G118)/$G118*100,"")</f>
      </c>
      <c r="BD118">
        <f>IFERROR(($E118-MAX(OFFSET(高値!$E$6,IFERROR(MATCH($C118,銘柄管理!$B$6:$B$305,0),MATCH(TEXT($C118,"0"),銘柄管理!$B$6:$B$305,0))-1,0,1,25)))/MAX(OFFSET(高値!$E$6,IFERROR(MATCH($C118,銘柄管理!$B$6:$B$305,0),MATCH(TEXT($C118,"0"),銘柄管理!$B$6:$B$305,0))-1,0,1,25))*100,"")</f>
      </c>
      <c r="BE118">
        <f>IFERROR(($H118-$I118)/$F118*100,"")</f>
      </c>
      <c r="BF118">
        <f>IFERROR(-(($BA118-AVERAGE($BA$3:$BA$206))/STDEV($BA$3:$BA$206))-(($BE118-AVERAGE($BE$3:$BE$206))/STDEV($BE$3:$BE$206))-(($BB118-AVERAGE($BB$3:$BB$206))/STDEV($BB$3:$BB$206))-(($Z118-AVERAGE($Z$3:$Z$206))/STDEV($Z$3:$Z$206))-(($BC118-AVERAGE($BC$3:$BC$206))/STDEV($BC$3:$BC$206)),"")</f>
      </c>
      <c r="BG118">
        <f>IF(OR($C118="",$C118="TOPX",$BA118="",$BF118=""),0,IF(AND($BK$10=1,$BA118&lt;=$BK$2,$BB118&lt;=$BK$3,$BC118&lt;=$BK$4,$Z118&lt;=$BK$5,$Z118&gt;=$BK$6,$BD118&gt;=$BK$7,$BE118&lt;=$BK$8),1,0))</f>
      </c>
      <c r="BH118">
        <f>IF($C118="","",IF($BG118=1,"○ゲート通過",IF($BK$10&lt;&gt;1,"― この方向は停止中",IF($BA118&gt;$BK$2,"×値動きが荒い",IF($BB118&gt;$BK$3,"×レンジが広い",IF($BC118&gt;$BK$4,"×窓を開けて上昇",IF($Z118&gt;$BK$5,"×前日に急騰",IF($Z118&lt;$BK$6,"×前日に急落",IF($BD118&lt;$BK$7,"×高値から離れすぎ",IF($BE118&gt;$BK$8,"×当日の値幅が大きい","×")))))))))</f>
      </c>
    </row>
    <row r="119" spans="1:60"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IF(AND(E119&lt;&gt;"",K119&lt;&gt;"",K119&lt;&gt;0),(E119-K119)/K119*100,"")</f>
        <v>-2.6147426981919333</v>
      </c>
      <c r="M119" s="326">
        <f>IF(C119&lt;&gt;"",IFERROR(AVERAGE(出来高!E190:I190),""),"")</f>
        <v>2128920</v>
      </c>
      <c r="N119" s="326">
        <f>IF(C119&lt;&gt;"",IFERROR(AVERAGE(出来高!E190:AC190),""),"")</f>
        <v>2316672</v>
      </c>
      <c r="O119" s="328">
        <f>IF(AND(J119&lt;&gt;"",M119&lt;&gt;"",M119&lt;&gt;0),J119/M119,"")</f>
        <v>0.88716344437555195</v>
      </c>
      <c r="P119" s="325" t="str">
        <f>IF(O119="","",IF(O119&gt;=2,"急増↑↑",IF(O119&gt;=1.5,"増加↑",IF(O119&gt;=1,"普通→","減少↓"))))</f>
        <v>減少↓</v>
      </c>
      <c r="Q119" s="325" t="str">
        <f>IF(E119="","",IF(AND(E119&lt;G119,O119&gt;=1.5),"売り▼",IF(E119&gt;G119,"様子見▲","中立→")))</f>
        <v>様子見▲</v>
      </c>
      <c r="R119" s="326">
        <f>IF(E119&lt;&gt;"",ROUND(E119*0.92,0),"")</f>
        <v>1610</v>
      </c>
      <c r="S119" s="326">
        <f>IF(E119&lt;&gt;"",ROUND(E119*1.04,0),"")</f>
        <v>1821</v>
      </c>
      <c r="T119" s="325">
        <f>IF(C119="","",IFERROR(IF(W119&gt;=70,3,IF(W119&gt;=60,2,IF(W119&gt;=50,1,0)))+IF(X119&lt;0,2,0)+IF(AD119="下降トレンド▼",3,IF(AD119="もみ合い→",1,0))+IF(V119="年初来安値圏●",3,IF(V119="安値圏",2,0))+IF(Q119="売り▼",2,0)+IF(P119="急増↑↑",2,IF(P119="増加↑",1,0))+IF(Z119&lt;0,1,0)+IF(L119&lt;=-30,2,IF(L119&lt;=-15,1,0))+IF(AE119="25日戻り売り★",2,IF(AE119="5日戻り売り○",1,0))+N(AL119)+N(AP119)+N(AU119),0))</f>
        <v>-1</v>
      </c>
      <c r="U119" s="325" t="str">
        <f>IF(T119="","",IF(AND(T119&gt;=3,O119&gt;=1.5),"有効",IF(T119&gt;=3,"要確認","除外")))</f>
        <v>除外</v>
      </c>
      <c r="V119" s="325" t="str">
        <f>IF(AND(I119&lt;&gt;"",K119&lt;&gt;""),IF(I119&lt;=K119*0.6,"年初来安値圏●",IF(I119&lt;=K119*0.75,"安値圏","通常")),"")</f>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IF(AF119="","",AF119&amp;" | "&amp;AD119&amp;IF(AE119&lt;&gt;"なし"," "&amp;AE119,"")&amp;IF(X119&lt;0," MACD-"," MACD+")&amp;" RSI:"&amp;TEXT(W119,"0.0")&amp;IF(W119&gt;=70," [過熱]",IF(W119&lt;=30," [売られ過ぎ]",""))&amp;" 前日比:"&amp;TEXT(Z119,"+0.0;-0.0;0.0")&amp;"%"&amp;IF(V119="年初来安値圏●"," [年初来安値圏]",IF(V119="安値圏"," [安値圏]",""))&amp;IF(OR(AO119="通常",AO119="-"),""," ["&amp;AO119&amp;"]")&amp;IF(OR(AT119="通常",AT119="-"),"","前日["&amp;AT119&amp;"]")&amp;" ["&amp;T119&amp;"点]")</f>
        <v>相場上昇・見送り | パーフェクト▲ MACD+ RSI:55.2 前日比:+1.7% [-1点]</v>
      </c>
      <c r="Z119" s="331">
        <f>IF(AND(E119&lt;&gt;"",G119&lt;&gt;"",G119&lt;&gt;0),(E119-G119)/G119*100,"")</f>
        <v>1.7141196978500872</v>
      </c>
      <c r="AA119" s="325" t="str">
        <f>IF(OR(C119="",E119="",E119=0),"",IF(E119&gt;G119,"上昇▲",IF(E119&lt;G119,"下落▼","横ばい→")))</f>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IF(OR(C119="",AB119="",AC119="",AB119=0,AC119=0),"",IF(AND(E119&gt;AB119,AB119&gt;AC119),"パーフェクト▲",IF(E119&gt;AC119,"上昇トレンド▲",IF(AND(E119&lt;AB119,AB119&lt;AC119),"下降トレンド▼","もみ合い→"))))</f>
        <v>パーフェクト▲</v>
      </c>
      <c r="AE119" s="325" t="str">
        <f>IF(OR(C119="",AB119="",AC119=""),"",IF(AND(ABS(E119-AC119)/AC119&lt;=0.02,E119&lt;AC119),"25日戻り売り★",IF(AND(ABS(E119-AB119)/AB119&lt;=0.01,E119&lt;AB119),"5日戻り売り○","なし")))</f>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IF(AND(T119&gt;=7,C119&lt;&gt;""),T119,0)</f>
        <v>0</v>
      </c>
      <c r="AH119">
        <f>IF(AG119&gt;0,AG119*10000-ROW(A119),0)</f>
        <v>0</v>
      </c>
      <c r="AI119" s="373">
        <f t="array" ref="AI119">IF(C119="","",IFERROR((INDEX(終値!$E:$E,MATCH(TEXT(C119,"0"),終値!$A:$A,0))-INDEX(終値!$E:$CZ,MATCH(TEXT(C119,"0"),終値!$A:$A,0),$AN$2))/INDEX(終値!$E:$CZ,MATCH(TEXT(C119,"0"),終値!$A:$A,0),$AN$2)*100,""))</f>
        <v>15.240289664252799</v>
      </c>
      <c r="AJ119" s="373">
        <f t="array" ref="AJ119">IFERROR((終値!$E$5-INDEX(終値!$E$5:$IT$5,1,$AN$2))/INDEX(終値!$E$5:$IT$5,1,$AN$2)*100,"")</f>
        <v>1.0179378228534113</v>
      </c>
      <c r="AK119" s="374">
        <f>IF(OR(AI119="",AJ119=""),"",AI119-AJ119)</f>
        <v>14.222351841399387</v>
      </c>
      <c r="AL119" s="372">
        <f>IF(AK119="","",IF(AK119&lt;-5,3,IF(AK119&lt;0,1,IF(AK119&lt;3,-1,-2))))</f>
        <v>-2</v>
      </c>
      <c r="AO119" s="376" t="str">
        <f>IF(OR($C119="",$E119="",$F119="",$H119="",$I119="",$H119-$I119&lt;=0),"-",IF(AND($H119-MAX($F119,$E119)&gt;=ABS($E119-$F119)*2,MIN($F119,$E119)-$I119&lt;=ABS($E119-$F119)*0.5,ABS($E119-$F119)&gt;0),"上ヒゲ陰線▼",IF(AND($E119&lt;$F119,ABS($E119-$F119)&gt;=($H119-$I119)*0.7),"大陰線▼",IF(AND(MIN($F119,$E119)-$I119&gt;=($H119-$I119)*0.5,$H119-MAX($F119,$E119)&lt;=($H119-$I119)*0.2),"長い下ヒゲ(反発警戒)","通常"))))</f>
        <v>通常</v>
      </c>
      <c r="AP119" s="377">
        <f>IF($AO119="上ヒゲ陰線▼",2,IF($AO119="大陰線▼",2,IF($AO119="長い下ヒゲ(反発警戒)",-2,0)))</f>
        <v>0</v>
      </c>
      <c r="AQ119">
        <f>IF(C119&lt;&gt;"",始値!F190,"")</f>
        <v>1698.5</v>
      </c>
      <c r="AR119">
        <f>IF(C119&lt;&gt;"",高値!F190,"")</f>
        <v>1730</v>
      </c>
      <c r="AS119">
        <f>IF(C119&lt;&gt;"",安値!F190,"")</f>
        <v>1696.5</v>
      </c>
      <c r="AT119" t="str">
        <f>IF(OR(C119="",AQ119="",AR119="",AS119="",AR119-AS119&lt;=0),"-",IF(AND(AR119-MAX(G119,AQ119)&gt;=ABS(G119-AQ119)*2,MIN(G119,AQ119)-AS119&lt;=ABS(G119-AQ119)*0.5,ABS(G119-AQ119)&gt;0),"上ヒゲ陰線▼",IF(AND(G119&lt;AQ119,ABS(G119-AQ119)&gt;=(AR119-AS119)*0.7),"大陰線▼",IF(AND(MIN(G119,AQ119)-AS119&gt;=(AR119-AS119)*0.5,AR119-MAX(G119,AQ119)&lt;=(AR119-AS119)*0.2),"長い下ヒゲ(反発)","通常"))))</f>
        <v>通常</v>
      </c>
      <c r="AU119">
        <f>IF(AT119="上ヒゲ陰線▼",2,IF(AT119="大陰線▼",2,IF(AT119="長い下ヒゲ(反発)",-2,0)))</f>
        <v>0</v>
      </c>
      <c r="BA119">
        <f>IFERROR((SUM(OFFSET(高値!$E$6,IFERROR(MATCH($C119,銘柄管理!$B$6:$B$305,0),MATCH(TEXT($C119,"0"),銘柄管理!$B$6:$B$305,0))-1,0,1,14))-SUM(OFFSET(安値!$E$6,IFERROR(MATCH($C119,銘柄管理!$B$6:$B$305,0),MATCH(TEXT($C119,"0"),銘柄管理!$B$6:$B$305,0))-1,0,1,14)))/SUM(OFFSET(終値!$E$6,IFERROR(MATCH($C119,銘柄管理!$B$6:$B$305,0),MATCH(TEXT($C119,"0"),銘柄管理!$B$6:$B$305,0))-1,0,1,14))*100,"")</f>
      </c>
      <c r="BB119">
        <f>IFERROR((MAX(OFFSET(高値!$E$6,IFERROR(MATCH($C119,銘柄管理!$B$6:$B$305,0),MATCH(TEXT($C119,"0"),銘柄管理!$B$6:$B$305,0))-1,0,1,25))-MIN(OFFSET(安値!$E$6,IFERROR(MATCH($C119,銘柄管理!$B$6:$B$305,0),MATCH(TEXT($C119,"0"),銘柄管理!$B$6:$B$305,0))-1,0,1,25)))/$E119*100,"")</f>
      </c>
      <c r="BC119">
        <f>IFERROR(($F119-$G119)/$G119*100,"")</f>
      </c>
      <c r="BD119">
        <f>IFERROR(($E119-MAX(OFFSET(高値!$E$6,IFERROR(MATCH($C119,銘柄管理!$B$6:$B$305,0),MATCH(TEXT($C119,"0"),銘柄管理!$B$6:$B$305,0))-1,0,1,25)))/MAX(OFFSET(高値!$E$6,IFERROR(MATCH($C119,銘柄管理!$B$6:$B$305,0),MATCH(TEXT($C119,"0"),銘柄管理!$B$6:$B$305,0))-1,0,1,25))*100,"")</f>
      </c>
      <c r="BE119">
        <f>IFERROR(($H119-$I119)/$F119*100,"")</f>
      </c>
      <c r="BF119">
        <f>IFERROR(-(($BA119-AVERAGE($BA$3:$BA$206))/STDEV($BA$3:$BA$206))-(($BE119-AVERAGE($BE$3:$BE$206))/STDEV($BE$3:$BE$206))-(($BB119-AVERAGE($BB$3:$BB$206))/STDEV($BB$3:$BB$206))-(($Z119-AVERAGE($Z$3:$Z$206))/STDEV($Z$3:$Z$206))-(($BC119-AVERAGE($BC$3:$BC$206))/STDEV($BC$3:$BC$206)),"")</f>
      </c>
      <c r="BG119">
        <f>IF(OR($C119="",$C119="TOPX",$BA119="",$BF119=""),0,IF(AND($BK$10=1,$BA119&lt;=$BK$2,$BB119&lt;=$BK$3,$BC119&lt;=$BK$4,$Z119&lt;=$BK$5,$Z119&gt;=$BK$6,$BD119&gt;=$BK$7,$BE119&lt;=$BK$8),1,0))</f>
      </c>
      <c r="BH119">
        <f>IF($C119="","",IF($BG119=1,"○ゲート通過",IF($BK$10&lt;&gt;1,"― この方向は停止中",IF($BA119&gt;$BK$2,"×値動きが荒い",IF($BB119&gt;$BK$3,"×レンジが広い",IF($BC119&gt;$BK$4,"×窓を開けて上昇",IF($Z119&gt;$BK$5,"×前日に急騰",IF($Z119&lt;$BK$6,"×前日に急落",IF($BD119&lt;$BK$7,"×高値から離れすぎ",IF($BE119&gt;$BK$8,"×当日の値幅が大きい","×")))))))))</f>
      </c>
    </row>
    <row r="120" spans="1:60"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IF(AND(E120&lt;&gt;"",K120&lt;&gt;"",K120&lt;&gt;0),(E120-K120)/K120*100,"")</f>
        <v>-32.82068062827225</v>
      </c>
      <c r="M120" s="333">
        <f>IF(C120&lt;&gt;"",IFERROR(AVERAGE(出来高!E197:I197),""),"")</f>
        <v>2315160</v>
      </c>
      <c r="N120" s="333">
        <f>IF(C120&lt;&gt;"",IFERROR(AVERAGE(出来高!E197:AC197),""),"")</f>
        <v>1957596</v>
      </c>
      <c r="O120" s="335">
        <f>IF(AND(J120&lt;&gt;"",M120&lt;&gt;"",M120&lt;&gt;0),J120/M120,"")</f>
        <v>0.67779332745900933</v>
      </c>
      <c r="P120" s="212" t="str">
        <f>IF(O120="","",IF(O120&gt;=2,"急増↑↑",IF(O120&gt;=1.5,"増加↑",IF(O120&gt;=1,"普通→","減少↓"))))</f>
        <v>減少↓</v>
      </c>
      <c r="Q120" s="212" t="str">
        <f>IF(E120="","",IF(AND(E120&lt;G120,O120&gt;=1.5),"売り▼",IF(E120&gt;G120,"様子見▲","中立→")))</f>
        <v>中立→</v>
      </c>
      <c r="R120" s="333">
        <f>IF(E120&lt;&gt;"",ROUND(E120*0.92,0),"")</f>
        <v>56663</v>
      </c>
      <c r="S120" s="333">
        <f>IF(E120&lt;&gt;"",ROUND(E120*1.04,0),"")</f>
        <v>64054</v>
      </c>
      <c r="T120" s="325">
        <f>IF(C120="","",IFERROR(IF(W120&gt;=70,3,IF(W120&gt;=60,2,IF(W120&gt;=50,1,0)))+IF(X120&lt;0,2,0)+IF(AD120="下降トレンド▼",3,IF(AD120="もみ合い→",1,0))+IF(V120="年初来安値圏●",3,IF(V120="安値圏",2,0))+IF(Q120="売り▼",2,0)+IF(P120="急増↑↑",2,IF(P120="増加↑",1,0))+IF(Z120&lt;0,1,0)+IF(L120&lt;=-30,2,IF(L120&lt;=-15,1,0))+IF(AE120="25日戻り売り★",2,IF(AE120="5日戻り売り○",1,0))+N(AL120)+N(AP120)+N(AU120),0))</f>
        <v>14</v>
      </c>
      <c r="U120" s="212" t="str">
        <f>IF(T120="","",IF(AND(T120&gt;=3,O120&gt;=1.5),"有効",IF(T120&gt;=3,"要確認","除外")))</f>
        <v>要確認</v>
      </c>
      <c r="V120" s="212" t="str">
        <f>IF(AND(I120&lt;&gt;"",K120&lt;&gt;""),IF(I120&lt;=K120*0.6,"年初来安値圏●",IF(I120&lt;=K120*0.75,"安値圏","通常")),"")</f>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IF(AF120="","",AF120&amp;" | "&amp;AD120&amp;IF(AE120&lt;&gt;"なし"," "&amp;AE120,"")&amp;IF(X120&lt;0," MACD-"," MACD+")&amp;" RSI:"&amp;TEXT(W120,"0.0")&amp;IF(W120&gt;=70," [過熱]",IF(W120&lt;=30," [売られ過ぎ]",""))&amp;" 前日比:"&amp;TEXT(Z120,"+0.0;-0.0;0.0")&amp;"%"&amp;IF(V120="年初来安値圏●"," [年初来安値圏]",IF(V120="安値圏"," [安値圏]",""))&amp;IF(OR(AO120="通常",AO120="-"),""," ["&amp;AO120&amp;"]")&amp;IF(OR(AT120="通常",AT120="-"),"","前日["&amp;AT120&amp;"]")&amp;" ["&amp;T120&amp;"点]")</f>
        <v>★逆張り売り | 下降トレンド▼ 5日戻り売り○ MACD- RSI:39.7 前日比:-3.4% [安値圏] [14点]</v>
      </c>
      <c r="Z120" s="338">
        <f>IF(AND(E120&lt;&gt;"",G120&lt;&gt;"",G120&lt;&gt;0),(E120-G120)/G120*100,"")</f>
        <v>-3.3730781299027299</v>
      </c>
      <c r="AA120" s="212" t="str">
        <f>IF(OR(C120="",E120="",E120=0),"",IF(E120&gt;G120,"上昇▲",IF(E120&lt;G120,"下落▼","横ばい→")))</f>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IF(OR(C120="",AB120="",AC120="",AB120=0,AC120=0),"",IF(AND(E120&gt;AB120,AB120&gt;AC120),"パーフェクト▲",IF(E120&gt;AC120,"上昇トレンド▲",IF(AND(E120&lt;AB120,AB120&lt;AC120),"下降トレンド▼","もみ合い→"))))</f>
        <v>下降トレンド▼</v>
      </c>
      <c r="AE120" s="212" t="str">
        <f>IF(OR(C120="",AB120="",AC120=""),"",IF(AND(ABS(E120-AC120)/AC120&lt;=0.02,E120&lt;AC120),"25日戻り売り★",IF(AND(ABS(E120-AB120)/AB120&lt;=0.01,E120&lt;AB120),"5日戻り売り○","なし")))</f>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IF(AND(T120&gt;=7,C120&lt;&gt;""),T120,0)</f>
        <v>14</v>
      </c>
      <c r="AH120">
        <f>IF(AG120&gt;0,AG120*10000-ROW(A120),0)</f>
        <v>139880</v>
      </c>
      <c r="AI120" s="373">
        <f t="array" ref="AI120">IF(C120="","",IFERROR((INDEX(終値!$E:$E,MATCH(TEXT(C120,"0"),終値!$A:$A,0))-INDEX(終値!$E:$CZ,MATCH(TEXT(C120,"0"),終値!$A:$A,0),$AN$2))/INDEX(終値!$E:$CZ,MATCH(TEXT(C120,"0"),終値!$A:$A,0),$AN$2)*100,""))</f>
        <v>-27.129673450070989</v>
      </c>
      <c r="AJ120" s="373">
        <f t="array" ref="AJ120">IFERROR((終値!$E$5-INDEX(終値!$E$5:$IT$5,1,$AN$2))/INDEX(終値!$E$5:$IT$5,1,$AN$2)*100,"")</f>
        <v>1.0179378228534113</v>
      </c>
      <c r="AK120" s="374">
        <f>IF(OR(AI120="",AJ120=""),"",AI120-AJ120)</f>
        <v>-28.147611272924401</v>
      </c>
      <c r="AL120" s="372">
        <f>IF(AK120="","",IF(AK120&lt;-5,3,IF(AK120&lt;0,1,IF(AK120&lt;3,-1,-2))))</f>
        <v>3</v>
      </c>
      <c r="AO120" s="376" t="str">
        <f>IF(OR($C120="",$E120="",$F120="",$H120="",$I120="",$H120-$I120&lt;=0),"-",IF(AND($H120-MAX($F120,$E120)&gt;=ABS($E120-$F120)*2,MIN($F120,$E120)-$I120&lt;=ABS($E120-$F120)*0.5,ABS($E120-$F120)&gt;0),"上ヒゲ陰線▼",IF(AND($E120&lt;$F120,ABS($E120-$F120)&gt;=($H120-$I120)*0.7),"大陰線▼",IF(AND(MIN($F120,$E120)-$I120&gt;=($H120-$I120)*0.5,$H120-MAX($F120,$E120)&lt;=($H120-$I120)*0.2),"長い下ヒゲ(反発警戒)","通常"))))</f>
        <v>通常</v>
      </c>
      <c r="AP120" s="377">
        <f>IF($AO120="上ヒゲ陰線▼",2,IF($AO120="大陰線▼",2,IF($AO120="長い下ヒゲ(反発警戒)",-2,0)))</f>
        <v>0</v>
      </c>
      <c r="AQ120">
        <f>IF(C120&lt;&gt;"",始値!F197,"")</f>
        <v>63890</v>
      </c>
      <c r="AR120">
        <f>IF(C120&lt;&gt;"",高値!F197,"")</f>
        <v>64480</v>
      </c>
      <c r="AS120">
        <f>IF(C120&lt;&gt;"",安値!F197,"")</f>
        <v>62440</v>
      </c>
      <c r="AT120" t="str">
        <f>IF(OR(C120="",AQ120="",AR120="",AS120="",AR120-AS120&lt;=0),"-",IF(AND(AR120-MAX(G120,AQ120)&gt;=ABS(G120-AQ120)*2,MIN(G120,AQ120)-AS120&lt;=ABS(G120-AQ120)*0.5,ABS(G120-AQ120)&gt;0),"上ヒゲ陰線▼",IF(AND(G120&lt;AQ120,ABS(G120-AQ120)&gt;=(AR120-AS120)*0.7),"大陰線▼",IF(AND(MIN(G120,AQ120)-AS120&gt;=(AR120-AS120)*0.5,AR120-MAX(G120,AQ120)&lt;=(AR120-AS120)*0.2),"長い下ヒゲ(反発)","通常"))))</f>
        <v>通常</v>
      </c>
      <c r="AU120">
        <f>IF(AT120="上ヒゲ陰線▼",2,IF(AT120="大陰線▼",2,IF(AT120="長い下ヒゲ(反発)",-2,0)))</f>
        <v>0</v>
      </c>
      <c r="BA120">
        <f>IFERROR((SUM(OFFSET(高値!$E$6,IFERROR(MATCH($C120,銘柄管理!$B$6:$B$305,0),MATCH(TEXT($C120,"0"),銘柄管理!$B$6:$B$305,0))-1,0,1,14))-SUM(OFFSET(安値!$E$6,IFERROR(MATCH($C120,銘柄管理!$B$6:$B$305,0),MATCH(TEXT($C120,"0"),銘柄管理!$B$6:$B$305,0))-1,0,1,14)))/SUM(OFFSET(終値!$E$6,IFERROR(MATCH($C120,銘柄管理!$B$6:$B$305,0),MATCH(TEXT($C120,"0"),銘柄管理!$B$6:$B$305,0))-1,0,1,14))*100,"")</f>
      </c>
      <c r="BB120">
        <f>IFERROR((MAX(OFFSET(高値!$E$6,IFERROR(MATCH($C120,銘柄管理!$B$6:$B$305,0),MATCH(TEXT($C120,"0"),銘柄管理!$B$6:$B$305,0))-1,0,1,25))-MIN(OFFSET(安値!$E$6,IFERROR(MATCH($C120,銘柄管理!$B$6:$B$305,0),MATCH(TEXT($C120,"0"),銘柄管理!$B$6:$B$305,0))-1,0,1,25)))/$E120*100,"")</f>
      </c>
      <c r="BC120">
        <f>IFERROR(($F120-$G120)/$G120*100,"")</f>
      </c>
      <c r="BD120">
        <f>IFERROR(($E120-MAX(OFFSET(高値!$E$6,IFERROR(MATCH($C120,銘柄管理!$B$6:$B$305,0),MATCH(TEXT($C120,"0"),銘柄管理!$B$6:$B$305,0))-1,0,1,25)))/MAX(OFFSET(高値!$E$6,IFERROR(MATCH($C120,銘柄管理!$B$6:$B$305,0),MATCH(TEXT($C120,"0"),銘柄管理!$B$6:$B$305,0))-1,0,1,25))*100,"")</f>
      </c>
      <c r="BE120">
        <f>IFERROR(($H120-$I120)/$F120*100,"")</f>
      </c>
      <c r="BF120">
        <f>IFERROR(-(($BA120-AVERAGE($BA$3:$BA$206))/STDEV($BA$3:$BA$206))-(($BE120-AVERAGE($BE$3:$BE$206))/STDEV($BE$3:$BE$206))-(($BB120-AVERAGE($BB$3:$BB$206))/STDEV($BB$3:$BB$206))-(($Z120-AVERAGE($Z$3:$Z$206))/STDEV($Z$3:$Z$206))-(($BC120-AVERAGE($BC$3:$BC$206))/STDEV($BC$3:$BC$206)),"")</f>
      </c>
      <c r="BG120">
        <f>IF(OR($C120="",$C120="TOPX",$BA120="",$BF120=""),0,IF(AND($BK$10=1,$BA120&lt;=$BK$2,$BB120&lt;=$BK$3,$BC120&lt;=$BK$4,$Z120&lt;=$BK$5,$Z120&gt;=$BK$6,$BD120&gt;=$BK$7,$BE120&lt;=$BK$8),1,0))</f>
      </c>
      <c r="BH120">
        <f>IF($C120="","",IF($BG120=1,"○ゲート通過",IF($BK$10&lt;&gt;1,"― この方向は停止中",IF($BA120&gt;$BK$2,"×値動きが荒い",IF($BB120&gt;$BK$3,"×レンジが広い",IF($BC120&gt;$BK$4,"×窓を開けて上昇",IF($Z120&gt;$BK$5,"×前日に急騰",IF($Z120&lt;$BK$6,"×前日に急落",IF($BD120&lt;$BK$7,"×高値から離れすぎ",IF($BE120&gt;$BK$8,"×当日の値幅が大きい","×")))))))))</f>
      </c>
    </row>
    <row r="121" spans="1:60"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IF(AND(E121&lt;&gt;"",K121&lt;&gt;"",K121&lt;&gt;0),(E121-K121)/K121*100,"")</f>
        <v>-36.131840796019901</v>
      </c>
      <c r="M121" s="326">
        <f>IF(C121&lt;&gt;"",IFERROR(AVERAGE(出来高!E208:I208),""),"")</f>
        <v>2339240</v>
      </c>
      <c r="N121" s="326">
        <f>IF(C121&lt;&gt;"",IFERROR(AVERAGE(出来高!E208:AC208),""),"")</f>
        <v>1761128</v>
      </c>
      <c r="O121" s="328">
        <f>IF(AND(J121&lt;&gt;"",M121&lt;&gt;"",M121&lt;&gt;0),J121/M121,"")</f>
        <v>1.1746977650860964</v>
      </c>
      <c r="P121" s="325" t="str">
        <f>IF(O121="","",IF(O121&gt;=2,"急増↑↑",IF(O121&gt;=1.5,"増加↑",IF(O121&gt;=1,"普通→","減少↓"))))</f>
        <v>普通→</v>
      </c>
      <c r="Q121" s="325" t="str">
        <f>IF(E121="","",IF(AND(E121&lt;G121,O121&gt;=1.5),"売り▼",IF(E121&gt;G121,"様子見▲","中立→")))</f>
        <v>中立→</v>
      </c>
      <c r="R121" s="326">
        <f>IF(E121&lt;&gt;"",ROUND(E121*0.92,0),"")</f>
        <v>4724</v>
      </c>
      <c r="S121" s="326">
        <f>IF(E121&lt;&gt;"",ROUND(E121*1.04,0),"")</f>
        <v>5340</v>
      </c>
      <c r="T121" s="325">
        <f>IF(C121="","",IFERROR(IF(W121&gt;=70,3,IF(W121&gt;=60,2,IF(W121&gt;=50,1,0)))+IF(X121&lt;0,2,0)+IF(AD121="下降トレンド▼",3,IF(AD121="もみ合い→",1,0))+IF(V121="年初来安値圏●",3,IF(V121="安値圏",2,0))+IF(Q121="売り▼",2,0)+IF(P121="急増↑↑",2,IF(P121="増加↑",1,0))+IF(Z121&lt;0,1,0)+IF(L121&lt;=-30,2,IF(L121&lt;=-15,1,0))+IF(AE121="25日戻り売り★",2,IF(AE121="5日戻り売り○",1,0))+N(AL121)+N(AP121)+N(AU121),0))</f>
        <v>15</v>
      </c>
      <c r="U121" s="325" t="str">
        <f>IF(T121="","",IF(AND(T121&gt;=3,O121&gt;=1.5),"有効",IF(T121&gt;=3,"要確認","除外")))</f>
        <v>要確認</v>
      </c>
      <c r="V121" s="325" t="str">
        <f>IF(AND(I121&lt;&gt;"",K121&lt;&gt;""),IF(I121&lt;=K121*0.6,"年初来安値圏●",IF(I121&lt;=K121*0.75,"安値圏","通常")),"")</f>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IF(AF121="","",AF121&amp;" | "&amp;AD121&amp;IF(AE121&lt;&gt;"なし"," "&amp;AE121,"")&amp;IF(X121&lt;0," MACD-"," MACD+")&amp;" RSI:"&amp;TEXT(W121,"0.0")&amp;IF(W121&gt;=70," [過熱]",IF(W121&lt;=30," [売られ過ぎ]",""))&amp;" 前日比:"&amp;TEXT(Z121,"+0.0;-0.0;0.0")&amp;"%"&amp;IF(V121="年初来安値圏●"," [年初来安値圏]",IF(V121="安値圏"," [安値圏]",""))&amp;IF(OR(AO121="通常",AO121="-"),""," ["&amp;AO121&amp;"]")&amp;IF(OR(AT121="通常",AT121="-"),"","前日["&amp;AT121&amp;"]")&amp;" ["&amp;T121&amp;"点]")</f>
        <v>相場上昇・見送り | 下降トレンド▼ MACD- RSI:26.8 [売られ過ぎ] 前日比:-2.2% [安値圏] [上ヒゲ陰線▼] [15点]</v>
      </c>
      <c r="Z121" s="331">
        <f>IF(AND(E121&lt;&gt;"",G121&lt;&gt;"",G121&lt;&gt;0),(E121-G121)/G121*100,"")</f>
        <v>-2.2277227722772275</v>
      </c>
      <c r="AA121" s="325" t="str">
        <f>IF(OR(C121="",E121="",E121=0),"",IF(E121&gt;G121,"上昇▲",IF(E121&lt;G121,"下落▼","横ばい→")))</f>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IF(OR(C121="",AB121="",AC121="",AB121=0,AC121=0),"",IF(AND(E121&gt;AB121,AB121&gt;AC121),"パーフェクト▲",IF(E121&gt;AC121,"上昇トレンド▲",IF(AND(E121&lt;AB121,AB121&lt;AC121),"下降トレンド▼","もみ合い→"))))</f>
        <v>下降トレンド▼</v>
      </c>
      <c r="AE121" s="325" t="str">
        <f>IF(OR(C121="",AB121="",AC121=""),"",IF(AND(ABS(E121-AC121)/AC121&lt;=0.02,E121&lt;AC121),"25日戻り売り★",IF(AND(ABS(E121-AB121)/AB121&lt;=0.01,E121&lt;AB121),"5日戻り売り○","なし")))</f>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IF(AND(T121&gt;=7,C121&lt;&gt;""),T121,0)</f>
        <v>15</v>
      </c>
      <c r="AH121">
        <f>IF(AG121&gt;0,AG121*10000-ROW(A121),0)</f>
        <v>149879</v>
      </c>
      <c r="AI121" s="373">
        <f t="array" ref="AI121">IF(C121="","",IFERROR((INDEX(終値!$E:$E,MATCH(TEXT(C121,"0"),終値!$A:$A,0))-INDEX(終値!$E:$CZ,MATCH(TEXT(C121,"0"),終値!$A:$A,0),$AN$2))/INDEX(終値!$E:$CZ,MATCH(TEXT(C121,"0"),終値!$A:$A,0),$AN$2)*100,""))</f>
        <v>-13.813360187982546</v>
      </c>
      <c r="AJ121" s="373">
        <f t="array" ref="AJ121">IFERROR((終値!$E$5-INDEX(終値!$E$5:$IT$5,1,$AN$2))/INDEX(終値!$E$5:$IT$5,1,$AN$2)*100,"")</f>
        <v>1.0179378228534113</v>
      </c>
      <c r="AK121" s="374">
        <f>IF(OR(AI121="",AJ121=""),"",AI121-AJ121)</f>
        <v>-14.831298010835958</v>
      </c>
      <c r="AL121" s="372">
        <f>IF(AK121="","",IF(AK121&lt;-5,3,IF(AK121&lt;0,1,IF(AK121&lt;3,-1,-2))))</f>
        <v>3</v>
      </c>
      <c r="AO121" s="376" t="str">
        <f>IF(OR($C121="",$E121="",$F121="",$H121="",$I121="",$H121-$I121&lt;=0),"-",IF(AND($H121-MAX($F121,$E121)&gt;=ABS($E121-$F121)*2,MIN($F121,$E121)-$I121&lt;=ABS($E121-$F121)*0.5,ABS($E121-$F121)&gt;0),"上ヒゲ陰線▼",IF(AND($E121&lt;$F121,ABS($E121-$F121)&gt;=($H121-$I121)*0.7),"大陰線▼",IF(AND(MIN($F121,$E121)-$I121&gt;=($H121-$I121)*0.5,$H121-MAX($F121,$E121)&lt;=($H121-$I121)*0.2),"長い下ヒゲ(反発警戒)","通常"))))</f>
        <v>上ヒゲ陰線▼</v>
      </c>
      <c r="AP121" s="377">
        <f>IF($AO121="上ヒゲ陰線▼",2,IF($AO121="大陰線▼",2,IF($AO121="長い下ヒゲ(反発警戒)",-2,0)))</f>
        <v>2</v>
      </c>
      <c r="AQ121">
        <f>IF(C121&lt;&gt;"",始値!F208,"")</f>
        <v>5356</v>
      </c>
      <c r="AR121">
        <f>IF(C121&lt;&gt;"",高値!F208,"")</f>
        <v>5454</v>
      </c>
      <c r="AS121">
        <f>IF(C121&lt;&gt;"",安値!F208,"")</f>
        <v>5102</v>
      </c>
      <c r="AT121" t="str">
        <f>IF(OR(C121="",AQ121="",AR121="",AS121="",AR121-AS121&lt;=0),"-",IF(AND(AR121-MAX(G121,AQ121)&gt;=ABS(G121-AQ121)*2,MIN(G121,AQ121)-AS121&lt;=ABS(G121-AQ121)*0.5,ABS(G121-AQ121)&gt;0),"上ヒゲ陰線▼",IF(AND(G121&lt;AQ121,ABS(G121-AQ121)&gt;=(AR121-AS121)*0.7),"大陰線▼",IF(AND(MIN(G121,AQ121)-AS121&gt;=(AR121-AS121)*0.5,AR121-MAX(G121,AQ121)&lt;=(AR121-AS121)*0.2),"長い下ヒゲ(反発)","通常"))))</f>
        <v>通常</v>
      </c>
      <c r="AU121">
        <f>IF(AT121="上ヒゲ陰線▼",2,IF(AT121="大陰線▼",2,IF(AT121="長い下ヒゲ(反発)",-2,0)))</f>
        <v>0</v>
      </c>
      <c r="BA121">
        <f>IFERROR((SUM(OFFSET(高値!$E$6,IFERROR(MATCH($C121,銘柄管理!$B$6:$B$305,0),MATCH(TEXT($C121,"0"),銘柄管理!$B$6:$B$305,0))-1,0,1,14))-SUM(OFFSET(安値!$E$6,IFERROR(MATCH($C121,銘柄管理!$B$6:$B$305,0),MATCH(TEXT($C121,"0"),銘柄管理!$B$6:$B$305,0))-1,0,1,14)))/SUM(OFFSET(終値!$E$6,IFERROR(MATCH($C121,銘柄管理!$B$6:$B$305,0),MATCH(TEXT($C121,"0"),銘柄管理!$B$6:$B$305,0))-1,0,1,14))*100,"")</f>
      </c>
      <c r="BB121">
        <f>IFERROR((MAX(OFFSET(高値!$E$6,IFERROR(MATCH($C121,銘柄管理!$B$6:$B$305,0),MATCH(TEXT($C121,"0"),銘柄管理!$B$6:$B$305,0))-1,0,1,25))-MIN(OFFSET(安値!$E$6,IFERROR(MATCH($C121,銘柄管理!$B$6:$B$305,0),MATCH(TEXT($C121,"0"),銘柄管理!$B$6:$B$305,0))-1,0,1,25)))/$E121*100,"")</f>
      </c>
      <c r="BC121">
        <f>IFERROR(($F121-$G121)/$G121*100,"")</f>
      </c>
      <c r="BD121">
        <f>IFERROR(($E121-MAX(OFFSET(高値!$E$6,IFERROR(MATCH($C121,銘柄管理!$B$6:$B$305,0),MATCH(TEXT($C121,"0"),銘柄管理!$B$6:$B$305,0))-1,0,1,25)))/MAX(OFFSET(高値!$E$6,IFERROR(MATCH($C121,銘柄管理!$B$6:$B$305,0),MATCH(TEXT($C121,"0"),銘柄管理!$B$6:$B$305,0))-1,0,1,25))*100,"")</f>
      </c>
      <c r="BE121">
        <f>IFERROR(($H121-$I121)/$F121*100,"")</f>
      </c>
      <c r="BF121">
        <f>IFERROR(-(($BA121-AVERAGE($BA$3:$BA$206))/STDEV($BA$3:$BA$206))-(($BE121-AVERAGE($BE$3:$BE$206))/STDEV($BE$3:$BE$206))-(($BB121-AVERAGE($BB$3:$BB$206))/STDEV($BB$3:$BB$206))-(($Z121-AVERAGE($Z$3:$Z$206))/STDEV($Z$3:$Z$206))-(($BC121-AVERAGE($BC$3:$BC$206))/STDEV($BC$3:$BC$206)),"")</f>
      </c>
      <c r="BG121">
        <f>IF(OR($C121="",$C121="TOPX",$BA121="",$BF121=""),0,IF(AND($BK$10=1,$BA121&lt;=$BK$2,$BB121&lt;=$BK$3,$BC121&lt;=$BK$4,$Z121&lt;=$BK$5,$Z121&gt;=$BK$6,$BD121&gt;=$BK$7,$BE121&lt;=$BK$8),1,0))</f>
      </c>
      <c r="BH121">
        <f>IF($C121="","",IF($BG121=1,"○ゲート通過",IF($BK$10&lt;&gt;1,"― この方向は停止中",IF($BA121&gt;$BK$2,"×値動きが荒い",IF($BB121&gt;$BK$3,"×レンジが広い",IF($BC121&gt;$BK$4,"×窓を開けて上昇",IF($Z121&gt;$BK$5,"×前日に急騰",IF($Z121&lt;$BK$6,"×前日に急落",IF($BD121&lt;$BK$7,"×高値から離れすぎ",IF($BE121&gt;$BK$8,"×当日の値幅が大きい","×")))))))))</f>
      </c>
    </row>
    <row r="122" spans="1:60"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IF(AND(E122&lt;&gt;"",K122&lt;&gt;"",K122&lt;&gt;0),(E122-K122)/K122*100,"")</f>
        <v>-39.056402979780067</v>
      </c>
      <c r="M122" s="333">
        <f>IF(C122&lt;&gt;"",IFERROR(AVERAGE(出来高!E18:I18),""),"")</f>
        <v>1610880</v>
      </c>
      <c r="N122" s="333">
        <f>IF(C122&lt;&gt;"",IFERROR(AVERAGE(出来高!E18:AC18),""),"")</f>
        <v>1438195.8333333333</v>
      </c>
      <c r="O122" s="335">
        <f>IF(AND(J122&lt;&gt;"",M122&lt;&gt;"",M122&lt;&gt;0),J122/M122,"")</f>
        <v>1.6432012316249502</v>
      </c>
      <c r="P122" s="212" t="str">
        <f>IF(O122="","",IF(O122&gt;=2,"急増↑↑",IF(O122&gt;=1.5,"増加↑",IF(O122&gt;=1,"普通→","減少↓"))))</f>
        <v>増加↑</v>
      </c>
      <c r="Q122" s="212" t="str">
        <f>IF(E122="","",IF(AND(E122&lt;G122,O122&gt;=1.5),"売り▼",IF(E122&gt;G122,"様子見▲","中立→")))</f>
        <v>様子見▲</v>
      </c>
      <c r="R122" s="333">
        <f>IF(E122&lt;&gt;"",ROUND(E122*0.92,0),"")</f>
        <v>1581</v>
      </c>
      <c r="S122" s="333">
        <f>IF(E122&lt;&gt;"",ROUND(E122*1.04,0),"")</f>
        <v>1787</v>
      </c>
      <c r="T122" s="325">
        <f>IF(C122="","",IFERROR(IF(W122&gt;=70,3,IF(W122&gt;=60,2,IF(W122&gt;=50,1,0)))+IF(X122&lt;0,2,0)+IF(AD122="下降トレンド▼",3,IF(AD122="もみ合い→",1,0))+IF(V122="年初来安値圏●",3,IF(V122="安値圏",2,0))+IF(Q122="売り▼",2,0)+IF(P122="急増↑↑",2,IF(P122="増加↑",1,0))+IF(Z122&lt;0,1,0)+IF(L122&lt;=-30,2,IF(L122&lt;=-15,1,0))+IF(AE122="25日戻り売り★",2,IF(AE122="5日戻り売り○",1,0))+N(AL122)+N(AP122)+N(AU122),0))</f>
        <v>2</v>
      </c>
      <c r="U122" s="212" t="str">
        <f>IF(T122="","",IF(AND(T122&gt;=3,O122&gt;=1.5),"有効",IF(T122&gt;=3,"要確認","除外")))</f>
        <v>除外</v>
      </c>
      <c r="V122" s="212" t="str">
        <f>IF(AND(I122&lt;&gt;"",K122&lt;&gt;""),IF(I122&lt;=K122*0.6,"年初来安値圏●",IF(I122&lt;=K122*0.75,"安値圏","通常")),"")</f>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IF(AF122="","",AF122&amp;" | "&amp;AD122&amp;IF(AE122&lt;&gt;"なし"," "&amp;AE122,"")&amp;IF(X122&lt;0," MACD-"," MACD+")&amp;" RSI:"&amp;TEXT(W122,"0.0")&amp;IF(W122&gt;=70," [過熱]",IF(W122&lt;=30," [売られ過ぎ]",""))&amp;" 前日比:"&amp;TEXT(Z122,"+0.0;-0.0;0.0")&amp;"%"&amp;IF(V122="年初来安値圏●"," [年初来安値圏]",IF(V122="安値圏"," [安値圏]",""))&amp;IF(OR(AO122="通常",AO122="-"),""," ["&amp;AO122&amp;"]")&amp;IF(OR(AT122="通常",AT122="-"),"","前日["&amp;AT122&amp;"]")&amp;" ["&amp;T122&amp;"点]")</f>
        <v>相場上昇・見送り | パーフェクト▲ MACD+ RSI:49.8 前日比:+1.6% [年初来安値圏] [長い下ヒゲ(反発警戒)] [2点]</v>
      </c>
      <c r="Z122" s="338">
        <f>IF(AND(E122&lt;&gt;"",G122&lt;&gt;"",G122&lt;&gt;0),(E122-G122)/G122*100,"")</f>
        <v>1.5966883500887048</v>
      </c>
      <c r="AA122" s="212" t="str">
        <f>IF(OR(C122="",E122="",E122=0),"",IF(E122&gt;G122,"上昇▲",IF(E122&lt;G122,"下落▼","横ばい→")))</f>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IF(OR(C122="",AB122="",AC122="",AB122=0,AC122=0),"",IF(AND(E122&gt;AB122,AB122&gt;AC122),"パーフェクト▲",IF(E122&gt;AC122,"上昇トレンド▲",IF(AND(E122&lt;AB122,AB122&lt;AC122),"下降トレンド▼","もみ合い→"))))</f>
        <v>パーフェクト▲</v>
      </c>
      <c r="AE122" s="212" t="str">
        <f>IF(OR(C122="",AB122="",AC122=""),"",IF(AND(ABS(E122-AC122)/AC122&lt;=0.02,E122&lt;AC122),"25日戻り売り★",IF(AND(ABS(E122-AB122)/AB122&lt;=0.01,E122&lt;AB122),"5日戻り売り○","なし")))</f>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IF(AND(T122&gt;=7,C122&lt;&gt;""),T122,0)</f>
        <v>0</v>
      </c>
      <c r="AH122">
        <f>IF(AG122&gt;0,AG122*10000-ROW(A122),0)</f>
        <v>0</v>
      </c>
      <c r="AI122" s="373">
        <f t="array" ref="AI122">IF(C122="","",IFERROR((INDEX(終値!$E:$E,MATCH(TEXT(C122,"0"),終値!$A:$A,0))-INDEX(終値!$E:$CZ,MATCH(TEXT(C122,"0"),終値!$A:$A,0),$AN$2))/INDEX(終値!$E:$CZ,MATCH(TEXT(C122,"0"),終値!$A:$A,0),$AN$2)*100,""))</f>
        <v>9.4267515923566894</v>
      </c>
      <c r="AJ122" s="373">
        <f t="array" ref="AJ122">IFERROR((終値!$E$5-INDEX(終値!$E$5:$IT$5,1,$AN$2))/INDEX(終値!$E$5:$IT$5,1,$AN$2)*100,"")</f>
        <v>1.0179378228534113</v>
      </c>
      <c r="AK122" s="374">
        <f>IF(OR(AI122="",AJ122=""),"",AI122-AJ122)</f>
        <v>8.4088137695032774</v>
      </c>
      <c r="AL122" s="372">
        <f>IF(AK122="","",IF(AK122&lt;-5,3,IF(AK122&lt;0,1,IF(AK122&lt;3,-1,-2))))</f>
        <v>-2</v>
      </c>
      <c r="AO122" s="376" t="str">
        <f>IF(OR($C122="",$E122="",$F122="",$H122="",$I122="",$H122-$I122&lt;=0),"-",IF(AND($H122-MAX($F122,$E122)&gt;=ABS($E122-$F122)*2,MIN($F122,$E122)-$I122&lt;=ABS($E122-$F122)*0.5,ABS($E122-$F122)&gt;0),"上ヒゲ陰線▼",IF(AND($E122&lt;$F122,ABS($E122-$F122)&gt;=($H122-$I122)*0.7),"大陰線▼",IF(AND(MIN($F122,$E122)-$I122&gt;=($H122-$I122)*0.5,$H122-MAX($F122,$E122)&lt;=($H122-$I122)*0.2),"長い下ヒゲ(反発警戒)","通常"))))</f>
        <v>長い下ヒゲ(反発警戒)</v>
      </c>
      <c r="AP122" s="377">
        <f>IF($AO122="上ヒゲ陰線▼",2,IF($AO122="大陰線▼",2,IF($AO122="長い下ヒゲ(反発警戒)",-2,0)))</f>
        <v>-2</v>
      </c>
      <c r="AQ122">
        <f>IF(C122&lt;&gt;"",始値!F18,"")</f>
        <v>1701</v>
      </c>
      <c r="AR122">
        <f>IF(C122&lt;&gt;"",高値!F18,"")</f>
        <v>1711</v>
      </c>
      <c r="AS122">
        <f>IF(C122&lt;&gt;"",安値!F18,"")</f>
        <v>1671</v>
      </c>
      <c r="AT122" t="str">
        <f>IF(OR(C122="",AQ122="",AR122="",AS122="",AR122-AS122&lt;=0),"-",IF(AND(AR122-MAX(G122,AQ122)&gt;=ABS(G122-AQ122)*2,MIN(G122,AQ122)-AS122&lt;=ABS(G122-AQ122)*0.5,ABS(G122-AQ122)&gt;0),"上ヒゲ陰線▼",IF(AND(G122&lt;AQ122,ABS(G122-AQ122)&gt;=(AR122-AS122)*0.7),"大陰線▼",IF(AND(MIN(G122,AQ122)-AS122&gt;=(AR122-AS122)*0.5,AR122-MAX(G122,AQ122)&lt;=(AR122-AS122)*0.2),"長い下ヒゲ(反発)","通常"))))</f>
        <v>通常</v>
      </c>
      <c r="AU122">
        <f>IF(AT122="上ヒゲ陰線▼",2,IF(AT122="大陰線▼",2,IF(AT122="長い下ヒゲ(反発)",-2,0)))</f>
        <v>0</v>
      </c>
      <c r="BA122">
        <f>IFERROR((SUM(OFFSET(高値!$E$6,IFERROR(MATCH($C122,銘柄管理!$B$6:$B$305,0),MATCH(TEXT($C122,"0"),銘柄管理!$B$6:$B$305,0))-1,0,1,14))-SUM(OFFSET(安値!$E$6,IFERROR(MATCH($C122,銘柄管理!$B$6:$B$305,0),MATCH(TEXT($C122,"0"),銘柄管理!$B$6:$B$305,0))-1,0,1,14)))/SUM(OFFSET(終値!$E$6,IFERROR(MATCH($C122,銘柄管理!$B$6:$B$305,0),MATCH(TEXT($C122,"0"),銘柄管理!$B$6:$B$305,0))-1,0,1,14))*100,"")</f>
      </c>
      <c r="BB122">
        <f>IFERROR((MAX(OFFSET(高値!$E$6,IFERROR(MATCH($C122,銘柄管理!$B$6:$B$305,0),MATCH(TEXT($C122,"0"),銘柄管理!$B$6:$B$305,0))-1,0,1,25))-MIN(OFFSET(安値!$E$6,IFERROR(MATCH($C122,銘柄管理!$B$6:$B$305,0),MATCH(TEXT($C122,"0"),銘柄管理!$B$6:$B$305,0))-1,0,1,25)))/$E122*100,"")</f>
      </c>
      <c r="BC122">
        <f>IFERROR(($F122-$G122)/$G122*100,"")</f>
      </c>
      <c r="BD122">
        <f>IFERROR(($E122-MAX(OFFSET(高値!$E$6,IFERROR(MATCH($C122,銘柄管理!$B$6:$B$305,0),MATCH(TEXT($C122,"0"),銘柄管理!$B$6:$B$305,0))-1,0,1,25)))/MAX(OFFSET(高値!$E$6,IFERROR(MATCH($C122,銘柄管理!$B$6:$B$305,0),MATCH(TEXT($C122,"0"),銘柄管理!$B$6:$B$305,0))-1,0,1,25))*100,"")</f>
      </c>
      <c r="BE122">
        <f>IFERROR(($H122-$I122)/$F122*100,"")</f>
      </c>
      <c r="BF122">
        <f>IFERROR(-(($BA122-AVERAGE($BA$3:$BA$206))/STDEV($BA$3:$BA$206))-(($BE122-AVERAGE($BE$3:$BE$206))/STDEV($BE$3:$BE$206))-(($BB122-AVERAGE($BB$3:$BB$206))/STDEV($BB$3:$BB$206))-(($Z122-AVERAGE($Z$3:$Z$206))/STDEV($Z$3:$Z$206))-(($BC122-AVERAGE($BC$3:$BC$206))/STDEV($BC$3:$BC$206)),"")</f>
      </c>
      <c r="BG122">
        <f>IF(OR($C122="",$C122="TOPX",$BA122="",$BF122=""),0,IF(AND($BK$10=1,$BA122&lt;=$BK$2,$BB122&lt;=$BK$3,$BC122&lt;=$BK$4,$Z122&lt;=$BK$5,$Z122&gt;=$BK$6,$BD122&gt;=$BK$7,$BE122&lt;=$BK$8),1,0))</f>
      </c>
      <c r="BH122">
        <f>IF($C122="","",IF($BG122=1,"○ゲート通過",IF($BK$10&lt;&gt;1,"― この方向は停止中",IF($BA122&gt;$BK$2,"×値動きが荒い",IF($BB122&gt;$BK$3,"×レンジが広い",IF($BC122&gt;$BK$4,"×窓を開けて上昇",IF($Z122&gt;$BK$5,"×前日に急騰",IF($Z122&lt;$BK$6,"×前日に急落",IF($BD122&lt;$BK$7,"×高値から離れすぎ",IF($BE122&gt;$BK$8,"×当日の値幅が大きい","×")))))))))</f>
      </c>
    </row>
    <row r="123" spans="1:60"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IF(AND(E123&lt;&gt;"",K123&lt;&gt;"",K123&lt;&gt;0),(E123-K123)/K123*100,"")</f>
        <v>-11.799737559301512</v>
      </c>
      <c r="M123" s="326">
        <f>IF(C123&lt;&gt;"",IFERROR(AVERAGE(出来高!E41:I41),""),"")</f>
        <v>5639660</v>
      </c>
      <c r="N123" s="326">
        <f>IF(C123&lt;&gt;"",IFERROR(AVERAGE(出来高!E41:AC41),""),"")</f>
        <v>3777408</v>
      </c>
      <c r="O123" s="328">
        <f>IF(AND(J123&lt;&gt;"",M123&lt;&gt;"",M123&lt;&gt;0),J123/M123,"")</f>
        <v>0.80162633917647519</v>
      </c>
      <c r="P123" s="325" t="str">
        <f>IF(O123="","",IF(O123&gt;=2,"急増↑↑",IF(O123&gt;=1.5,"増加↑",IF(O123&gt;=1,"普通→","減少↓"))))</f>
        <v>減少↓</v>
      </c>
      <c r="Q123" s="325" t="str">
        <f>IF(E123="","",IF(AND(E123&lt;G123,O123&gt;=1.5),"売り▼",IF(E123&gt;G123,"様子見▲","中立→")))</f>
        <v>様子見▲</v>
      </c>
      <c r="R123" s="326">
        <f>IF(E123&lt;&gt;"",ROUND(E123*0.92,0),"")</f>
        <v>804</v>
      </c>
      <c r="S123" s="326">
        <f>IF(E123&lt;&gt;"",ROUND(E123*1.04,0),"")</f>
        <v>909</v>
      </c>
      <c r="T123" s="325">
        <f>IF(C123="","",IFERROR(IF(W123&gt;=70,3,IF(W123&gt;=60,2,IF(W123&gt;=50,1,0)))+IF(X123&lt;0,2,0)+IF(AD123="下降トレンド▼",3,IF(AD123="もみ合い→",1,0))+IF(V123="年初来安値圏●",3,IF(V123="安値圏",2,0))+IF(Q123="売り▼",2,0)+IF(P123="急増↑↑",2,IF(P123="増加↑",1,0))+IF(Z123&lt;0,1,0)+IF(L123&lt;=-30,2,IF(L123&lt;=-15,1,0))+IF(AE123="25日戻り売り★",2,IF(AE123="5日戻り売り○",1,0))+N(AL123)+N(AP123)+N(AU123),0))</f>
        <v>-3</v>
      </c>
      <c r="U123" s="325" t="str">
        <f>IF(T123="","",IF(AND(T123&gt;=3,O123&gt;=1.5),"有効",IF(T123&gt;=3,"要確認","除外")))</f>
        <v>除外</v>
      </c>
      <c r="V123" s="325" t="str">
        <f>IF(AND(I123&lt;&gt;"",K123&lt;&gt;""),IF(I123&lt;=K123*0.6,"年初来安値圏●",IF(I123&lt;=K123*0.75,"安値圏","通常")),"")</f>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IF(AF123="","",AF123&amp;" | "&amp;AD123&amp;IF(AE123&lt;&gt;"なし"," "&amp;AE123,"")&amp;IF(X123&lt;0," MACD-"," MACD+")&amp;" RSI:"&amp;TEXT(W123,"0.0")&amp;IF(W123&gt;=70," [過熱]",IF(W123&lt;=30," [売られ過ぎ]",""))&amp;" 前日比:"&amp;TEXT(Z123,"+0.0;-0.0;0.0")&amp;"%"&amp;IF(V123="年初来安値圏●"," [年初来安値圏]",IF(V123="安値圏"," [安値圏]",""))&amp;IF(OR(AO123="通常",AO123="-"),""," ["&amp;AO123&amp;"]")&amp;IF(OR(AT123="通常",AT123="-"),"","前日["&amp;AT123&amp;"]")&amp;" ["&amp;T123&amp;"点]")</f>
        <v>相場上昇・見送り | パーフェクト▲ MACD+ RSI:59.6 前日比:+2.5% [長い下ヒゲ(反発警戒)] [-3点]</v>
      </c>
      <c r="Z123" s="331">
        <f>IF(AND(E123&lt;&gt;"",G123&lt;&gt;"",G123&lt;&gt;0),(E123-G123)/G123*100,"")</f>
        <v>2.5225859439164613</v>
      </c>
      <c r="AA123" s="325" t="str">
        <f>IF(OR(C123="",E123="",E123=0),"",IF(E123&gt;G123,"上昇▲",IF(E123&lt;G123,"下落▼","横ばい→")))</f>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IF(OR(C123="",AB123="",AC123="",AB123=0,AC123=0),"",IF(AND(E123&gt;AB123,AB123&gt;AC123),"パーフェクト▲",IF(E123&gt;AC123,"上昇トレンド▲",IF(AND(E123&lt;AB123,AB123&lt;AC123),"下降トレンド▼","もみ合い→"))))</f>
        <v>パーフェクト▲</v>
      </c>
      <c r="AE123" s="325" t="str">
        <f>IF(OR(C123="",AB123="",AC123=""),"",IF(AND(ABS(E123-AC123)/AC123&lt;=0.02,E123&lt;AC123),"25日戻り売り★",IF(AND(ABS(E123-AB123)/AB123&lt;=0.01,E123&lt;AB123),"5日戻り売り○","なし")))</f>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IF(AND(T123&gt;=7,C123&lt;&gt;""),T123,0)</f>
        <v>0</v>
      </c>
      <c r="AH123">
        <f>IF(AG123&gt;0,AG123*10000-ROW(A123),0)</f>
        <v>0</v>
      </c>
      <c r="AI123" s="373">
        <f t="array" ref="AI123">IF(C123="","",IFERROR((INDEX(終値!$E:$E,MATCH(TEXT(C123,"0"),終値!$A:$A,0))-INDEX(終値!$E:$CZ,MATCH(TEXT(C123,"0"),終値!$A:$A,0),$AN$2))/INDEX(終値!$E:$CZ,MATCH(TEXT(C123,"0"),終値!$A:$A,0),$AN$2)*100,""))</f>
        <v>9.9672791341555413</v>
      </c>
      <c r="AJ123" s="373">
        <f t="array" ref="AJ123">IFERROR((終値!$E$5-INDEX(終値!$E$5:$IT$5,1,$AN$2))/INDEX(終値!$E$5:$IT$5,1,$AN$2)*100,"")</f>
        <v>1.0179378228534113</v>
      </c>
      <c r="AK123" s="374">
        <f>IF(OR(AI123="",AJ123=""),"",AI123-AJ123)</f>
        <v>8.9493413113021294</v>
      </c>
      <c r="AL123" s="372">
        <f>IF(AK123="","",IF(AK123&lt;-5,3,IF(AK123&lt;0,1,IF(AK123&lt;3,-1,-2))))</f>
        <v>-2</v>
      </c>
      <c r="AO123" s="376" t="str">
        <f>IF(OR($C123="",$E123="",$F123="",$H123="",$I123="",$H123-$I123&lt;=0),"-",IF(AND($H123-MAX($F123,$E123)&gt;=ABS($E123-$F123)*2,MIN($F123,$E123)-$I123&lt;=ABS($E123-$F123)*0.5,ABS($E123-$F123)&gt;0),"上ヒゲ陰線▼",IF(AND($E123&lt;$F123,ABS($E123-$F123)&gt;=($H123-$I123)*0.7),"大陰線▼",IF(AND(MIN($F123,$E123)-$I123&gt;=($H123-$I123)*0.5,$H123-MAX($F123,$E123)&lt;=($H123-$I123)*0.2),"長い下ヒゲ(反発警戒)","通常"))))</f>
        <v>長い下ヒゲ(反発警戒)</v>
      </c>
      <c r="AP123" s="377">
        <f>IF($AO123="上ヒゲ陰線▼",2,IF($AO123="大陰線▼",2,IF($AO123="長い下ヒゲ(反発警戒)",-2,0)))</f>
        <v>-2</v>
      </c>
      <c r="AQ123">
        <f>IF(C123&lt;&gt;"",始値!F41,"")</f>
        <v>864.3</v>
      </c>
      <c r="AR123">
        <f>IF(C123&lt;&gt;"",高値!F41,"")</f>
        <v>878.1</v>
      </c>
      <c r="AS123">
        <f>IF(C123&lt;&gt;"",安値!F41,"")</f>
        <v>842.5</v>
      </c>
      <c r="AT123" t="str">
        <f>IF(OR(C123="",AQ123="",AR123="",AS123="",AR123-AS123&lt;=0),"-",IF(AND(AR123-MAX(G123,AQ123)&gt;=ABS(G123-AQ123)*2,MIN(G123,AQ123)-AS123&lt;=ABS(G123-AQ123)*0.5,ABS(G123-AQ123)&gt;0),"上ヒゲ陰線▼",IF(AND(G123&lt;AQ123,ABS(G123-AQ123)&gt;=(AR123-AS123)*0.7),"大陰線▼",IF(AND(MIN(G123,AQ123)-AS123&gt;=(AR123-AS123)*0.5,AR123-MAX(G123,AQ123)&lt;=(AR123-AS123)*0.2),"長い下ヒゲ(反発)","通常"))))</f>
        <v>通常</v>
      </c>
      <c r="AU123">
        <f>IF(AT123="上ヒゲ陰線▼",2,IF(AT123="大陰線▼",2,IF(AT123="長い下ヒゲ(反発)",-2,0)))</f>
        <v>0</v>
      </c>
      <c r="BA123">
        <f>IFERROR((SUM(OFFSET(高値!$E$6,IFERROR(MATCH($C123,銘柄管理!$B$6:$B$305,0),MATCH(TEXT($C123,"0"),銘柄管理!$B$6:$B$305,0))-1,0,1,14))-SUM(OFFSET(安値!$E$6,IFERROR(MATCH($C123,銘柄管理!$B$6:$B$305,0),MATCH(TEXT($C123,"0"),銘柄管理!$B$6:$B$305,0))-1,0,1,14)))/SUM(OFFSET(終値!$E$6,IFERROR(MATCH($C123,銘柄管理!$B$6:$B$305,0),MATCH(TEXT($C123,"0"),銘柄管理!$B$6:$B$305,0))-1,0,1,14))*100,"")</f>
      </c>
      <c r="BB123">
        <f>IFERROR((MAX(OFFSET(高値!$E$6,IFERROR(MATCH($C123,銘柄管理!$B$6:$B$305,0),MATCH(TEXT($C123,"0"),銘柄管理!$B$6:$B$305,0))-1,0,1,25))-MIN(OFFSET(安値!$E$6,IFERROR(MATCH($C123,銘柄管理!$B$6:$B$305,0),MATCH(TEXT($C123,"0"),銘柄管理!$B$6:$B$305,0))-1,0,1,25)))/$E123*100,"")</f>
      </c>
      <c r="BC123">
        <f>IFERROR(($F123-$G123)/$G123*100,"")</f>
      </c>
      <c r="BD123">
        <f>IFERROR(($E123-MAX(OFFSET(高値!$E$6,IFERROR(MATCH($C123,銘柄管理!$B$6:$B$305,0),MATCH(TEXT($C123,"0"),銘柄管理!$B$6:$B$305,0))-1,0,1,25)))/MAX(OFFSET(高値!$E$6,IFERROR(MATCH($C123,銘柄管理!$B$6:$B$305,0),MATCH(TEXT($C123,"0"),銘柄管理!$B$6:$B$305,0))-1,0,1,25))*100,"")</f>
      </c>
      <c r="BE123">
        <f>IFERROR(($H123-$I123)/$F123*100,"")</f>
      </c>
      <c r="BF123">
        <f>IFERROR(-(($BA123-AVERAGE($BA$3:$BA$206))/STDEV($BA$3:$BA$206))-(($BE123-AVERAGE($BE$3:$BE$206))/STDEV($BE$3:$BE$206))-(($BB123-AVERAGE($BB$3:$BB$206))/STDEV($BB$3:$BB$206))-(($Z123-AVERAGE($Z$3:$Z$206))/STDEV($Z$3:$Z$206))-(($BC123-AVERAGE($BC$3:$BC$206))/STDEV($BC$3:$BC$206)),"")</f>
      </c>
      <c r="BG123">
        <f>IF(OR($C123="",$C123="TOPX",$BA123="",$BF123=""),0,IF(AND($BK$10=1,$BA123&lt;=$BK$2,$BB123&lt;=$BK$3,$BC123&lt;=$BK$4,$Z123&lt;=$BK$5,$Z123&gt;=$BK$6,$BD123&gt;=$BK$7,$BE123&lt;=$BK$8),1,0))</f>
      </c>
      <c r="BH123">
        <f>IF($C123="","",IF($BG123=1,"○ゲート通過",IF($BK$10&lt;&gt;1,"― この方向は停止中",IF($BA123&gt;$BK$2,"×値動きが荒い",IF($BB123&gt;$BK$3,"×レンジが広い",IF($BC123&gt;$BK$4,"×窓を開けて上昇",IF($Z123&gt;$BK$5,"×前日に急騰",IF($Z123&lt;$BK$6,"×前日に急落",IF($BD123&lt;$BK$7,"×高値から離れすぎ",IF($BE123&gt;$BK$8,"×当日の値幅が大きい","×")))))))))</f>
      </c>
    </row>
    <row r="124" spans="1:60"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IF(AND(E124&lt;&gt;"",K124&lt;&gt;"",K124&lt;&gt;0),(E124-K124)/K124*100,"")</f>
        <v>-14.535543947308655</v>
      </c>
      <c r="M124" s="333">
        <f>IF(C124&lt;&gt;"",IFERROR(AVERAGE(出来高!E64:I64),""),"")</f>
        <v>437000</v>
      </c>
      <c r="N124" s="333">
        <f>IF(C124&lt;&gt;"",IFERROR(AVERAGE(出来高!E64:AC64),""),"")</f>
        <v>366056</v>
      </c>
      <c r="O124" s="335">
        <f>IF(AND(J124&lt;&gt;"",M124&lt;&gt;"",M124&lt;&gt;0),J124/M124,"")</f>
        <v>1.1933638443935928</v>
      </c>
      <c r="P124" s="212" t="str">
        <f>IF(O124="","",IF(O124&gt;=2,"急増↑↑",IF(O124&gt;=1.5,"増加↑",IF(O124&gt;=1,"普通→","減少↓"))))</f>
        <v>普通→</v>
      </c>
      <c r="Q124" s="212" t="str">
        <f>IF(E124="","",IF(AND(E124&lt;G124,O124&gt;=1.5),"売り▼",IF(E124&gt;G124,"様子見▲","中立→")))</f>
        <v>様子見▲</v>
      </c>
      <c r="R124" s="333">
        <f>IF(E124&lt;&gt;"",ROUND(E124*0.92,0),"")</f>
        <v>3462</v>
      </c>
      <c r="S124" s="333">
        <f>IF(E124&lt;&gt;"",ROUND(E124*1.04,0),"")</f>
        <v>3914</v>
      </c>
      <c r="T124" s="325">
        <f>IF(C124="","",IFERROR(IF(W124&gt;=70,3,IF(W124&gt;=60,2,IF(W124&gt;=50,1,0)))+IF(X124&lt;0,2,0)+IF(AD124="下降トレンド▼",3,IF(AD124="もみ合い→",1,0))+IF(V124="年初来安値圏●",3,IF(V124="安値圏",2,0))+IF(Q124="売り▼",2,0)+IF(P124="急増↑↑",2,IF(P124="増加↑",1,0))+IF(Z124&lt;0,1,0)+IF(L124&lt;=-30,2,IF(L124&lt;=-15,1,0))+IF(AE124="25日戻り売り★",2,IF(AE124="5日戻り売り○",1,0))+N(AL124)+N(AP124)+N(AU124),0))</f>
        <v>4</v>
      </c>
      <c r="U124" s="212" t="str">
        <f>IF(T124="","",IF(AND(T124&gt;=3,O124&gt;=1.5),"有効",IF(T124&gt;=3,"要確認","除外")))</f>
        <v>要確認</v>
      </c>
      <c r="V124" s="212" t="str">
        <f>IF(AND(I124&lt;&gt;"",K124&lt;&gt;""),IF(I124&lt;=K124*0.6,"年初来安値圏●",IF(I124&lt;=K124*0.75,"安値圏","通常")),"")</f>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IF(AF124="","",AF124&amp;" | "&amp;AD124&amp;IF(AE124&lt;&gt;"なし"," "&amp;AE124,"")&amp;IF(X124&lt;0," MACD-"," MACD+")&amp;" RSI:"&amp;TEXT(W124,"0.0")&amp;IF(W124&gt;=70," [過熱]",IF(W124&lt;=30," [売られ過ぎ]",""))&amp;" 前日比:"&amp;TEXT(Z124,"+0.0;-0.0;0.0")&amp;"%"&amp;IF(V124="年初来安値圏●"," [年初来安値圏]",IF(V124="安値圏"," [安値圏]",""))&amp;IF(OR(AO124="通常",AO124="-"),""," ["&amp;AO124&amp;"]")&amp;IF(OR(AT124="通常",AT124="-"),"","前日["&amp;AT124&amp;"]")&amp;" ["&amp;T124&amp;"点]")</f>
        <v>○逆張り売り | もみ合い→ 25日戻り売り★ MACD- RSI:40.2 前日比:+1.3% [4点]</v>
      </c>
      <c r="Z124" s="338">
        <f>IF(AND(E124&lt;&gt;"",G124&lt;&gt;"",G124&lt;&gt;0),(E124-G124)/G124*100,"")</f>
        <v>1.3193322563274097</v>
      </c>
      <c r="AA124" s="212" t="str">
        <f>IF(OR(C124="",E124="",E124=0),"",IF(E124&gt;G124,"上昇▲",IF(E124&lt;G124,"下落▼","横ばい→")))</f>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IF(OR(C124="",AB124="",AC124="",AB124=0,AC124=0),"",IF(AND(E124&gt;AB124,AB124&gt;AC124),"パーフェクト▲",IF(E124&gt;AC124,"上昇トレンド▲",IF(AND(E124&lt;AB124,AB124&lt;AC124),"下降トレンド▼","もみ合い→"))))</f>
        <v>もみ合い→</v>
      </c>
      <c r="AE124" s="212" t="str">
        <f>IF(OR(C124="",AB124="",AC124=""),"",IF(AND(ABS(E124-AC124)/AC124&lt;=0.02,E124&lt;AC124),"25日戻り売り★",IF(AND(ABS(E124-AB124)/AB124&lt;=0.01,E124&lt;AB124),"5日戻り売り○","なし")))</f>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IF(AND(T124&gt;=7,C124&lt;&gt;""),T124,0)</f>
        <v>0</v>
      </c>
      <c r="AH124">
        <f>IF(AG124&gt;0,AG124*10000-ROW(A124),0)</f>
        <v>0</v>
      </c>
      <c r="AI124" s="373">
        <f t="array" ref="AI124">IF(C124="","",IFERROR((INDEX(終値!$E:$E,MATCH(TEXT(C124,"0"),終値!$A:$A,0))-INDEX(終値!$E:$CZ,MATCH(TEXT(C124,"0"),終値!$A:$A,0),$AN$2))/INDEX(終値!$E:$CZ,MATCH(TEXT(C124,"0"),終値!$A:$A,0),$AN$2)*100,""))</f>
        <v>1.7577068685776096</v>
      </c>
      <c r="AJ124" s="373">
        <f t="array" ref="AJ124">IFERROR((終値!$E$5-INDEX(終値!$E$5:$IT$5,1,$AN$2))/INDEX(終値!$E$5:$IT$5,1,$AN$2)*100,"")</f>
        <v>1.0179378228534113</v>
      </c>
      <c r="AK124" s="374">
        <f>IF(OR(AI124="",AJ124=""),"",AI124-AJ124)</f>
        <v>0.73976904572419833</v>
      </c>
      <c r="AL124" s="372">
        <f>IF(AK124="","",IF(AK124&lt;-5,3,IF(AK124&lt;0,1,IF(AK124&lt;3,-1,-2))))</f>
        <v>-1</v>
      </c>
      <c r="AO124" s="376" t="str">
        <f>IF(OR($C124="",$E124="",$F124="",$H124="",$I124="",$H124-$I124&lt;=0),"-",IF(AND($H124-MAX($F124,$E124)&gt;=ABS($E124-$F124)*2,MIN($F124,$E124)-$I124&lt;=ABS($E124-$F124)*0.5,ABS($E124-$F124)&gt;0),"上ヒゲ陰線▼",IF(AND($E124&lt;$F124,ABS($E124-$F124)&gt;=($H124-$I124)*0.7),"大陰線▼",IF(AND(MIN($F124,$E124)-$I124&gt;=($H124-$I124)*0.5,$H124-MAX($F124,$E124)&lt;=($H124-$I124)*0.2),"長い下ヒゲ(反発警戒)","通常"))))</f>
        <v>通常</v>
      </c>
      <c r="AP124" s="377">
        <f>IF($AO124="上ヒゲ陰線▼",2,IF($AO124="大陰線▼",2,IF($AO124="長い下ヒゲ(反発警戒)",-2,0)))</f>
        <v>0</v>
      </c>
      <c r="AQ124">
        <f>IF(C124&lt;&gt;"",始値!F64,"")</f>
        <v>3754</v>
      </c>
      <c r="AR124">
        <f>IF(C124&lt;&gt;"",高値!F64,"")</f>
        <v>3770</v>
      </c>
      <c r="AS124">
        <f>IF(C124&lt;&gt;"",安値!F64,"")</f>
        <v>3702</v>
      </c>
      <c r="AT124" t="str">
        <f>IF(OR(C124="",AQ124="",AR124="",AS124="",AR124-AS124&lt;=0),"-",IF(AND(AR124-MAX(G124,AQ124)&gt;=ABS(G124-AQ124)*2,MIN(G124,AQ124)-AS124&lt;=ABS(G124-AQ124)*0.5,ABS(G124-AQ124)&gt;0),"上ヒゲ陰線▼",IF(AND(G124&lt;AQ124,ABS(G124-AQ124)&gt;=(AR124-AS124)*0.7),"大陰線▼",IF(AND(MIN(G124,AQ124)-AS124&gt;=(AR124-AS124)*0.5,AR124-MAX(G124,AQ124)&lt;=(AR124-AS124)*0.2),"長い下ヒゲ(反発)","通常"))))</f>
        <v>通常</v>
      </c>
      <c r="AU124">
        <f>IF(AT124="上ヒゲ陰線▼",2,IF(AT124="大陰線▼",2,IF(AT124="長い下ヒゲ(反発)",-2,0)))</f>
        <v>0</v>
      </c>
      <c r="BA124">
        <f>IFERROR((SUM(OFFSET(高値!$E$6,IFERROR(MATCH($C124,銘柄管理!$B$6:$B$305,0),MATCH(TEXT($C124,"0"),銘柄管理!$B$6:$B$305,0))-1,0,1,14))-SUM(OFFSET(安値!$E$6,IFERROR(MATCH($C124,銘柄管理!$B$6:$B$305,0),MATCH(TEXT($C124,"0"),銘柄管理!$B$6:$B$305,0))-1,0,1,14)))/SUM(OFFSET(終値!$E$6,IFERROR(MATCH($C124,銘柄管理!$B$6:$B$305,0),MATCH(TEXT($C124,"0"),銘柄管理!$B$6:$B$305,0))-1,0,1,14))*100,"")</f>
      </c>
      <c r="BB124">
        <f>IFERROR((MAX(OFFSET(高値!$E$6,IFERROR(MATCH($C124,銘柄管理!$B$6:$B$305,0),MATCH(TEXT($C124,"0"),銘柄管理!$B$6:$B$305,0))-1,0,1,25))-MIN(OFFSET(安値!$E$6,IFERROR(MATCH($C124,銘柄管理!$B$6:$B$305,0),MATCH(TEXT($C124,"0"),銘柄管理!$B$6:$B$305,0))-1,0,1,25)))/$E124*100,"")</f>
      </c>
      <c r="BC124">
        <f>IFERROR(($F124-$G124)/$G124*100,"")</f>
      </c>
      <c r="BD124">
        <f>IFERROR(($E124-MAX(OFFSET(高値!$E$6,IFERROR(MATCH($C124,銘柄管理!$B$6:$B$305,0),MATCH(TEXT($C124,"0"),銘柄管理!$B$6:$B$305,0))-1,0,1,25)))/MAX(OFFSET(高値!$E$6,IFERROR(MATCH($C124,銘柄管理!$B$6:$B$305,0),MATCH(TEXT($C124,"0"),銘柄管理!$B$6:$B$305,0))-1,0,1,25))*100,"")</f>
      </c>
      <c r="BE124">
        <f>IFERROR(($H124-$I124)/$F124*100,"")</f>
      </c>
      <c r="BF124">
        <f>IFERROR(-(($BA124-AVERAGE($BA$3:$BA$206))/STDEV($BA$3:$BA$206))-(($BE124-AVERAGE($BE$3:$BE$206))/STDEV($BE$3:$BE$206))-(($BB124-AVERAGE($BB$3:$BB$206))/STDEV($BB$3:$BB$206))-(($Z124-AVERAGE($Z$3:$Z$206))/STDEV($Z$3:$Z$206))-(($BC124-AVERAGE($BC$3:$BC$206))/STDEV($BC$3:$BC$206)),"")</f>
      </c>
      <c r="BG124">
        <f>IF(OR($C124="",$C124="TOPX",$BA124="",$BF124=""),0,IF(AND($BK$10=1,$BA124&lt;=$BK$2,$BB124&lt;=$BK$3,$BC124&lt;=$BK$4,$Z124&lt;=$BK$5,$Z124&gt;=$BK$6,$BD124&gt;=$BK$7,$BE124&lt;=$BK$8),1,0))</f>
      </c>
      <c r="BH124">
        <f>IF($C124="","",IF($BG124=1,"○ゲート通過",IF($BK$10&lt;&gt;1,"― この方向は停止中",IF($BA124&gt;$BK$2,"×値動きが荒い",IF($BB124&gt;$BK$3,"×レンジが広い",IF($BC124&gt;$BK$4,"×窓を開けて上昇",IF($Z124&gt;$BK$5,"×前日に急騰",IF($Z124&lt;$BK$6,"×前日に急落",IF($BD124&lt;$BK$7,"×高値から離れすぎ",IF($BE124&gt;$BK$8,"×当日の値幅が大きい","×")))))))))</f>
      </c>
    </row>
    <row r="125" spans="1:60"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IF(AND(E125&lt;&gt;"",K125&lt;&gt;"",K125&lt;&gt;0),(E125-K125)/K125*100,"")</f>
        <v>-16.770186335403729</v>
      </c>
      <c r="M125" s="326">
        <f>IF(C125&lt;&gt;"",IFERROR(AVERAGE(出来高!E67:I67),""),"")</f>
        <v>1009340</v>
      </c>
      <c r="N125" s="326">
        <f>IF(C125&lt;&gt;"",IFERROR(AVERAGE(出来高!E67:AC67),""),"")</f>
        <v>1166095.8333333333</v>
      </c>
      <c r="O125" s="328">
        <f>IF(AND(J125&lt;&gt;"",M125&lt;&gt;"",M125&lt;&gt;0),J125/M125,"")</f>
        <v>0.89513939802247011</v>
      </c>
      <c r="P125" s="325" t="str">
        <f>IF(O125="","",IF(O125&gt;=2,"急増↑↑",IF(O125&gt;=1.5,"増加↑",IF(O125&gt;=1,"普通→","減少↓"))))</f>
        <v>減少↓</v>
      </c>
      <c r="Q125" s="325" t="str">
        <f>IF(E125="","",IF(AND(E125&lt;G125,O125&gt;=1.5),"売り▼",IF(E125&gt;G125,"様子見▲","中立→")))</f>
        <v>様子見▲</v>
      </c>
      <c r="R125" s="326">
        <f>IF(E125&lt;&gt;"",ROUND(E125*0.92,0),"")</f>
        <v>1726</v>
      </c>
      <c r="S125" s="326">
        <f>IF(E125&lt;&gt;"",ROUND(E125*1.04,0),"")</f>
        <v>1951</v>
      </c>
      <c r="T125" s="325">
        <f>IF(C125="","",IFERROR(IF(W125&gt;=70,3,IF(W125&gt;=60,2,IF(W125&gt;=50,1,0)))+IF(X125&lt;0,2,0)+IF(AD125="下降トレンド▼",3,IF(AD125="もみ合い→",1,0))+IF(V125="年初来安値圏●",3,IF(V125="安値圏",2,0))+IF(Q125="売り▼",2,0)+IF(P125="急増↑↑",2,IF(P125="増加↑",1,0))+IF(Z125&lt;0,1,0)+IF(L125&lt;=-30,2,IF(L125&lt;=-15,1,0))+IF(AE125="25日戻り売り★",2,IF(AE125="5日戻り売り○",1,0))+N(AL125)+N(AP125)+N(AU125),0))</f>
        <v>9</v>
      </c>
      <c r="U125" s="325" t="str">
        <f>IF(T125="","",IF(AND(T125&gt;=3,O125&gt;=1.5),"有効",IF(T125&gt;=3,"要確認","除外")))</f>
        <v>要確認</v>
      </c>
      <c r="V125" s="325" t="str">
        <f>IF(AND(I125&lt;&gt;"",K125&lt;&gt;""),IF(I125&lt;=K125*0.6,"年初来安値圏●",IF(I125&lt;=K125*0.75,"安値圏","通常")),"")</f>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IF(AF125="","",AF125&amp;" | "&amp;AD125&amp;IF(AE125&lt;&gt;"なし"," "&amp;AE125,"")&amp;IF(X125&lt;0," MACD-"," MACD+")&amp;" RSI:"&amp;TEXT(W125,"0.0")&amp;IF(W125&gt;=70," [過熱]",IF(W125&lt;=30," [売られ過ぎ]",""))&amp;" 前日比:"&amp;TEXT(Z125,"+0.0;-0.0;0.0")&amp;"%"&amp;IF(V125="年初来安値圏●"," [年初来安値圏]",IF(V125="安値圏"," [安値圏]",""))&amp;IF(OR(AO125="通常",AO125="-"),""," ["&amp;AO125&amp;"]")&amp;IF(OR(AT125="通常",AT125="-"),"","前日["&amp;AT125&amp;"]")&amp;" ["&amp;T125&amp;"点]")</f>
        <v>○逆張り売り | もみ合い→ 25日戻り売り★ MACD- RSI:47.2 前日比:+1.1% [9点]</v>
      </c>
      <c r="Z125" s="331">
        <f>IF(AND(E125&lt;&gt;"",G125&lt;&gt;"",G125&lt;&gt;0),(E125-G125)/G125*100,"")</f>
        <v>1.1048234977095122</v>
      </c>
      <c r="AA125" s="325" t="str">
        <f>IF(OR(C125="",E125="",E125=0),"",IF(E125&gt;G125,"上昇▲",IF(E125&lt;G125,"下落▼","横ばい→")))</f>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IF(OR(C125="",AB125="",AC125="",AB125=0,AC125=0),"",IF(AND(E125&gt;AB125,AB125&gt;AC125),"パーフェクト▲",IF(E125&gt;AC125,"上昇トレンド▲",IF(AND(E125&lt;AB125,AB125&lt;AC125),"下降トレンド▼","もみ合い→"))))</f>
        <v>もみ合い→</v>
      </c>
      <c r="AE125" s="325" t="str">
        <f>IF(OR(C125="",AB125="",AC125=""),"",IF(AND(ABS(E125-AC125)/AC125&lt;=0.02,E125&lt;AC125),"25日戻り売り★",IF(AND(ABS(E125-AB125)/AB125&lt;=0.01,E125&lt;AB125),"5日戻り売り○","なし")))</f>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IF(AND(T125&gt;=7,C125&lt;&gt;""),T125,0)</f>
        <v>9</v>
      </c>
      <c r="AH125">
        <f>IF(AG125&gt;0,AG125*10000-ROW(A125),0)</f>
        <v>89875</v>
      </c>
      <c r="AI125" s="373">
        <f t="array" ref="AI125">IF(C125="","",IFERROR((INDEX(終値!$E:$E,MATCH(TEXT(C125,"0"),終値!$A:$A,0))-INDEX(終値!$E:$CZ,MATCH(TEXT(C125,"0"),終値!$A:$A,0),$AN$2))/INDEX(終値!$E:$CZ,MATCH(TEXT(C125,"0"),終値!$A:$A,0),$AN$2)*100,""))</f>
        <v>-12.110564535019911</v>
      </c>
      <c r="AJ125" s="373">
        <f t="array" ref="AJ125">IFERROR((終値!$E$5-INDEX(終値!$E$5:$IT$5,1,$AN$2))/INDEX(終値!$E$5:$IT$5,1,$AN$2)*100,"")</f>
        <v>1.0179378228534113</v>
      </c>
      <c r="AK125" s="374">
        <f>IF(OR(AI125="",AJ125=""),"",AI125-AJ125)</f>
        <v>-13.128502357873323</v>
      </c>
      <c r="AL125" s="372">
        <f>IF(AK125="","",IF(AK125&lt;-5,3,IF(AK125&lt;0,1,IF(AK125&lt;3,-1,-2))))</f>
        <v>3</v>
      </c>
      <c r="AO125" s="376" t="str">
        <f>IF(OR($C125="",$E125="",$F125="",$H125="",$I125="",$H125-$I125&lt;=0),"-",IF(AND($H125-MAX($F125,$E125)&gt;=ABS($E125-$F125)*2,MIN($F125,$E125)-$I125&lt;=ABS($E125-$F125)*0.5,ABS($E125-$F125)&gt;0),"上ヒゲ陰線▼",IF(AND($E125&lt;$F125,ABS($E125-$F125)&gt;=($H125-$I125)*0.7),"大陰線▼",IF(AND(MIN($F125,$E125)-$I125&gt;=($H125-$I125)*0.5,$H125-MAX($F125,$E125)&lt;=($H125-$I125)*0.2),"長い下ヒゲ(反発警戒)","通常"))))</f>
        <v>通常</v>
      </c>
      <c r="AP125" s="377">
        <f>IF($AO125="上ヒゲ陰線▼",2,IF($AO125="大陰線▼",2,IF($AO125="長い下ヒゲ(反発警戒)",-2,0)))</f>
        <v>0</v>
      </c>
      <c r="AQ125">
        <f>IF(C125&lt;&gt;"",始値!F67,"")</f>
        <v>1860</v>
      </c>
      <c r="AR125">
        <f>IF(C125&lt;&gt;"",高値!F67,"")</f>
        <v>1875</v>
      </c>
      <c r="AS125">
        <f>IF(C125&lt;&gt;"",安値!F67,"")</f>
        <v>1845</v>
      </c>
      <c r="AT125" t="str">
        <f>IF(OR(C125="",AQ125="",AR125="",AS125="",AR125-AS125&lt;=0),"-",IF(AND(AR125-MAX(G125,AQ125)&gt;=ABS(G125-AQ125)*2,MIN(G125,AQ125)-AS125&lt;=ABS(G125-AQ125)*0.5,ABS(G125-AQ125)&gt;0),"上ヒゲ陰線▼",IF(AND(G125&lt;AQ125,ABS(G125-AQ125)&gt;=(AR125-AS125)*0.7),"大陰線▼",IF(AND(MIN(G125,AQ125)-AS125&gt;=(AR125-AS125)*0.5,AR125-MAX(G125,AQ125)&lt;=(AR125-AS125)*0.2),"長い下ヒゲ(反発)","通常"))))</f>
        <v>通常</v>
      </c>
      <c r="AU125">
        <f>IF(AT125="上ヒゲ陰線▼",2,IF(AT125="大陰線▼",2,IF(AT125="長い下ヒゲ(反発)",-2,0)))</f>
        <v>0</v>
      </c>
      <c r="BA125">
        <f>IFERROR((SUM(OFFSET(高値!$E$6,IFERROR(MATCH($C125,銘柄管理!$B$6:$B$305,0),MATCH(TEXT($C125,"0"),銘柄管理!$B$6:$B$305,0))-1,0,1,14))-SUM(OFFSET(安値!$E$6,IFERROR(MATCH($C125,銘柄管理!$B$6:$B$305,0),MATCH(TEXT($C125,"0"),銘柄管理!$B$6:$B$305,0))-1,0,1,14)))/SUM(OFFSET(終値!$E$6,IFERROR(MATCH($C125,銘柄管理!$B$6:$B$305,0),MATCH(TEXT($C125,"0"),銘柄管理!$B$6:$B$305,0))-1,0,1,14))*100,"")</f>
      </c>
      <c r="BB125">
        <f>IFERROR((MAX(OFFSET(高値!$E$6,IFERROR(MATCH($C125,銘柄管理!$B$6:$B$305,0),MATCH(TEXT($C125,"0"),銘柄管理!$B$6:$B$305,0))-1,0,1,25))-MIN(OFFSET(安値!$E$6,IFERROR(MATCH($C125,銘柄管理!$B$6:$B$305,0),MATCH(TEXT($C125,"0"),銘柄管理!$B$6:$B$305,0))-1,0,1,25)))/$E125*100,"")</f>
      </c>
      <c r="BC125">
        <f>IFERROR(($F125-$G125)/$G125*100,"")</f>
      </c>
      <c r="BD125">
        <f>IFERROR(($E125-MAX(OFFSET(高値!$E$6,IFERROR(MATCH($C125,銘柄管理!$B$6:$B$305,0),MATCH(TEXT($C125,"0"),銘柄管理!$B$6:$B$305,0))-1,0,1,25)))/MAX(OFFSET(高値!$E$6,IFERROR(MATCH($C125,銘柄管理!$B$6:$B$305,0),MATCH(TEXT($C125,"0"),銘柄管理!$B$6:$B$305,0))-1,0,1,25))*100,"")</f>
      </c>
      <c r="BE125">
        <f>IFERROR(($H125-$I125)/$F125*100,"")</f>
      </c>
      <c r="BF125">
        <f>IFERROR(-(($BA125-AVERAGE($BA$3:$BA$206))/STDEV($BA$3:$BA$206))-(($BE125-AVERAGE($BE$3:$BE$206))/STDEV($BE$3:$BE$206))-(($BB125-AVERAGE($BB$3:$BB$206))/STDEV($BB$3:$BB$206))-(($Z125-AVERAGE($Z$3:$Z$206))/STDEV($Z$3:$Z$206))-(($BC125-AVERAGE($BC$3:$BC$206))/STDEV($BC$3:$BC$206)),"")</f>
      </c>
      <c r="BG125">
        <f>IF(OR($C125="",$C125="TOPX",$BA125="",$BF125=""),0,IF(AND($BK$10=1,$BA125&lt;=$BK$2,$BB125&lt;=$BK$3,$BC125&lt;=$BK$4,$Z125&lt;=$BK$5,$Z125&gt;=$BK$6,$BD125&gt;=$BK$7,$BE125&lt;=$BK$8),1,0))</f>
      </c>
      <c r="BH125">
        <f>IF($C125="","",IF($BG125=1,"○ゲート通過",IF($BK$10&lt;&gt;1,"― この方向は停止中",IF($BA125&gt;$BK$2,"×値動きが荒い",IF($BB125&gt;$BK$3,"×レンジが広い",IF($BC125&gt;$BK$4,"×窓を開けて上昇",IF($Z125&gt;$BK$5,"×前日に急騰",IF($Z125&lt;$BK$6,"×前日に急落",IF($BD125&lt;$BK$7,"×高値から離れすぎ",IF($BE125&gt;$BK$8,"×当日の値幅が大きい","×")))))))))</f>
      </c>
    </row>
    <row r="126" spans="1:60"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IF(AND(E126&lt;&gt;"",K126&lt;&gt;"",K126&lt;&gt;0),(E126-K126)/K126*100,"")</f>
        <v>-8.9253187613843341</v>
      </c>
      <c r="M126" s="333">
        <f>IF(C126&lt;&gt;"",IFERROR(AVERAGE(出来高!E91:I91),""),"")</f>
        <v>14973120</v>
      </c>
      <c r="N126" s="333">
        <f>IF(C126&lt;&gt;"",IFERROR(AVERAGE(出来高!E91:AC91),""),"")</f>
        <v>12655132</v>
      </c>
      <c r="O126" s="335">
        <f>IF(AND(J126&lt;&gt;"",M126&lt;&gt;"",M126&lt;&gt;0),J126/M126,"")</f>
        <v>0.77368644611143167</v>
      </c>
      <c r="P126" s="212" t="str">
        <f>IF(O126="","",IF(O126&gt;=2,"急増↑↑",IF(O126&gt;=1.5,"増加↑",IF(O126&gt;=1,"普通→","減少↓"))))</f>
        <v>減少↓</v>
      </c>
      <c r="Q126" s="212" t="str">
        <f>IF(E126="","",IF(AND(E126&lt;G126,O126&gt;=1.5),"売り▼",IF(E126&gt;G126,"様子見▲","中立→")))</f>
        <v>様子見▲</v>
      </c>
      <c r="R126" s="333">
        <f>IF(E126&lt;&gt;"",ROUND(E126*0.92,0),"")</f>
        <v>5060</v>
      </c>
      <c r="S126" s="333">
        <f>IF(E126&lt;&gt;"",ROUND(E126*1.04,0),"")</f>
        <v>5720</v>
      </c>
      <c r="T126" s="325">
        <f>IF(C126="","",IFERROR(IF(W126&gt;=70,3,IF(W126&gt;=60,2,IF(W126&gt;=50,1,0)))+IF(X126&lt;0,2,0)+IF(AD126="下降トレンド▼",3,IF(AD126="もみ合い→",1,0))+IF(V126="年初来安値圏●",3,IF(V126="安値圏",2,0))+IF(Q126="売り▼",2,0)+IF(P126="急増↑↑",2,IF(P126="増加↑",1,0))+IF(Z126&lt;0,1,0)+IF(L126&lt;=-30,2,IF(L126&lt;=-15,1,0))+IF(AE126="25日戻り売り★",2,IF(AE126="5日戻り売り○",1,0))+N(AL126)+N(AP126)+N(AU126),0))</f>
        <v>-1</v>
      </c>
      <c r="U126" s="212" t="str">
        <f>IF(T126="","",IF(AND(T126&gt;=3,O126&gt;=1.5),"有効",IF(T126&gt;=3,"要確認","除外")))</f>
        <v>除外</v>
      </c>
      <c r="V126" s="212" t="str">
        <f>IF(AND(I126&lt;&gt;"",K126&lt;&gt;""),IF(I126&lt;=K126*0.6,"年初来安値圏●",IF(I126&lt;=K126*0.75,"安値圏","通常")),"")</f>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IF(AF126="","",AF126&amp;" | "&amp;AD126&amp;IF(AE126&lt;&gt;"なし"," "&amp;AE126,"")&amp;IF(X126&lt;0," MACD-"," MACD+")&amp;" RSI:"&amp;TEXT(W126,"0.0")&amp;IF(W126&gt;=70," [過熱]",IF(W126&lt;=30," [売られ過ぎ]",""))&amp;" 前日比:"&amp;TEXT(Z126,"+0.0;-0.0;0.0")&amp;"%"&amp;IF(V126="年初来安値圏●"," [年初来安値圏]",IF(V126="安値圏"," [安値圏]",""))&amp;IF(OR(AO126="通常",AO126="-"),""," ["&amp;AO126&amp;"]")&amp;IF(OR(AT126="通常",AT126="-"),"","前日["&amp;AT126&amp;"]")&amp;" ["&amp;T126&amp;"点]")</f>
        <v>△過熱・様子見 | パーフェクト▲ MACD+ RSI:80.6 [過熱] 前日比:+0.4%前日[長い下ヒゲ(反発)] [-1点]</v>
      </c>
      <c r="Z126" s="338">
        <f>IF(AND(E126&lt;&gt;"",G126&lt;&gt;"",G126&lt;&gt;0),(E126-G126)/G126*100,"")</f>
        <v>0.43827611395178961</v>
      </c>
      <c r="AA126" s="212" t="str">
        <f>IF(OR(C126="",E126="",E126=0),"",IF(E126&gt;G126,"上昇▲",IF(E126&lt;G126,"下落▼","横ばい→")))</f>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IF(OR(C126="",AB126="",AC126="",AB126=0,AC126=0),"",IF(AND(E126&gt;AB126,AB126&gt;AC126),"パーフェクト▲",IF(E126&gt;AC126,"上昇トレンド▲",IF(AND(E126&lt;AB126,AB126&lt;AC126),"下降トレンド▼","もみ合い→"))))</f>
        <v>パーフェクト▲</v>
      </c>
      <c r="AE126" s="212" t="str">
        <f>IF(OR(C126="",AB126="",AC126=""),"",IF(AND(ABS(E126-AC126)/AC126&lt;=0.02,E126&lt;AC126),"25日戻り売り★",IF(AND(ABS(E126-AB126)/AB126&lt;=0.01,E126&lt;AB126),"5日戻り売り○","なし")))</f>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IF(AND(T126&gt;=7,C126&lt;&gt;""),T126,0)</f>
        <v>0</v>
      </c>
      <c r="AH126">
        <f>IF(AG126&gt;0,AG126*10000-ROW(A126),0)</f>
        <v>0</v>
      </c>
      <c r="AI126" s="373">
        <f t="array" ref="AI126">IF(C126="","",IFERROR((INDEX(終値!$E:$E,MATCH(TEXT(C126,"0"),終値!$A:$A,0))-INDEX(終値!$E:$CZ,MATCH(TEXT(C126,"0"),終値!$A:$A,0),$AN$2))/INDEX(終値!$E:$CZ,MATCH(TEXT(C126,"0"),終値!$A:$A,0),$AN$2)*100,""))</f>
        <v>22.330960854092528</v>
      </c>
      <c r="AJ126" s="373">
        <f t="array" ref="AJ126">IFERROR((終値!$E$5-INDEX(終値!$E$5:$IT$5,1,$AN$2))/INDEX(終値!$E$5:$IT$5,1,$AN$2)*100,"")</f>
        <v>1.0179378228534113</v>
      </c>
      <c r="AK126" s="374">
        <f>IF(OR(AI126="",AJ126=""),"",AI126-AJ126)</f>
        <v>21.313023031239116</v>
      </c>
      <c r="AL126" s="372">
        <f>IF(AK126="","",IF(AK126&lt;-5,3,IF(AK126&lt;0,1,IF(AK126&lt;3,-1,-2))))</f>
        <v>-2</v>
      </c>
      <c r="AO126" s="376" t="str">
        <f>IF(OR($C126="",$E126="",$F126="",$H126="",$I126="",$H126-$I126&lt;=0),"-",IF(AND($H126-MAX($F126,$E126)&gt;=ABS($E126-$F126)*2,MIN($F126,$E126)-$I126&lt;=ABS($E126-$F126)*0.5,ABS($E126-$F126)&gt;0),"上ヒゲ陰線▼",IF(AND($E126&lt;$F126,ABS($E126-$F126)&gt;=($H126-$I126)*0.7),"大陰線▼",IF(AND(MIN($F126,$E126)-$I126&gt;=($H126-$I126)*0.5,$H126-MAX($F126,$E126)&lt;=($H126-$I126)*0.2),"長い下ヒゲ(反発警戒)","通常"))))</f>
        <v>通常</v>
      </c>
      <c r="AP126" s="377">
        <f>IF($AO126="上ヒゲ陰線▼",2,IF($AO126="大陰線▼",2,IF($AO126="長い下ヒゲ(反発警戒)",-2,0)))</f>
        <v>0</v>
      </c>
      <c r="AQ126">
        <f>IF(C126&lt;&gt;"",始値!F91,"")</f>
        <v>5425</v>
      </c>
      <c r="AR126">
        <f>IF(C126&lt;&gt;"",高値!F91,"")</f>
        <v>5498</v>
      </c>
      <c r="AS126">
        <f>IF(C126&lt;&gt;"",安値!F91,"")</f>
        <v>5314</v>
      </c>
      <c r="AT126" t="str">
        <f>IF(OR(C126="",AQ126="",AR126="",AS126="",AR126-AS126&lt;=0),"-",IF(AND(AR126-MAX(G126,AQ126)&gt;=ABS(G126-AQ126)*2,MIN(G126,AQ126)-AS126&lt;=ABS(G126-AQ126)*0.5,ABS(G126-AQ126)&gt;0),"上ヒゲ陰線▼",IF(AND(G126&lt;AQ126,ABS(G126-AQ126)&gt;=(AR126-AS126)*0.7),"大陰線▼",IF(AND(MIN(G126,AQ126)-AS126&gt;=(AR126-AS126)*0.5,AR126-MAX(G126,AQ126)&lt;=(AR126-AS126)*0.2),"長い下ヒゲ(反発)","通常"))))</f>
        <v>長い下ヒゲ(反発)</v>
      </c>
      <c r="AU126">
        <f>IF(AT126="上ヒゲ陰線▼",2,IF(AT126="大陰線▼",2,IF(AT126="長い下ヒゲ(反発)",-2,0)))</f>
        <v>-2</v>
      </c>
      <c r="BA126">
        <f>IFERROR((SUM(OFFSET(高値!$E$6,IFERROR(MATCH($C126,銘柄管理!$B$6:$B$305,0),MATCH(TEXT($C126,"0"),銘柄管理!$B$6:$B$305,0))-1,0,1,14))-SUM(OFFSET(安値!$E$6,IFERROR(MATCH($C126,銘柄管理!$B$6:$B$305,0),MATCH(TEXT($C126,"0"),銘柄管理!$B$6:$B$305,0))-1,0,1,14)))/SUM(OFFSET(終値!$E$6,IFERROR(MATCH($C126,銘柄管理!$B$6:$B$305,0),MATCH(TEXT($C126,"0"),銘柄管理!$B$6:$B$305,0))-1,0,1,14))*100,"")</f>
      </c>
      <c r="BB126">
        <f>IFERROR((MAX(OFFSET(高値!$E$6,IFERROR(MATCH($C126,銘柄管理!$B$6:$B$305,0),MATCH(TEXT($C126,"0"),銘柄管理!$B$6:$B$305,0))-1,0,1,25))-MIN(OFFSET(安値!$E$6,IFERROR(MATCH($C126,銘柄管理!$B$6:$B$305,0),MATCH(TEXT($C126,"0"),銘柄管理!$B$6:$B$305,0))-1,0,1,25)))/$E126*100,"")</f>
      </c>
      <c r="BC126">
        <f>IFERROR(($F126-$G126)/$G126*100,"")</f>
      </c>
      <c r="BD126">
        <f>IFERROR(($E126-MAX(OFFSET(高値!$E$6,IFERROR(MATCH($C126,銘柄管理!$B$6:$B$305,0),MATCH(TEXT($C126,"0"),銘柄管理!$B$6:$B$305,0))-1,0,1,25)))/MAX(OFFSET(高値!$E$6,IFERROR(MATCH($C126,銘柄管理!$B$6:$B$305,0),MATCH(TEXT($C126,"0"),銘柄管理!$B$6:$B$305,0))-1,0,1,25))*100,"")</f>
      </c>
      <c r="BE126">
        <f>IFERROR(($H126-$I126)/$F126*100,"")</f>
      </c>
      <c r="BF126">
        <f>IFERROR(-(($BA126-AVERAGE($BA$3:$BA$206))/STDEV($BA$3:$BA$206))-(($BE126-AVERAGE($BE$3:$BE$206))/STDEV($BE$3:$BE$206))-(($BB126-AVERAGE($BB$3:$BB$206))/STDEV($BB$3:$BB$206))-(($Z126-AVERAGE($Z$3:$Z$206))/STDEV($Z$3:$Z$206))-(($BC126-AVERAGE($BC$3:$BC$206))/STDEV($BC$3:$BC$206)),"")</f>
      </c>
      <c r="BG126">
        <f>IF(OR($C126="",$C126="TOPX",$BA126="",$BF126=""),0,IF(AND($BK$10=1,$BA126&lt;=$BK$2,$BB126&lt;=$BK$3,$BC126&lt;=$BK$4,$Z126&lt;=$BK$5,$Z126&gt;=$BK$6,$BD126&gt;=$BK$7,$BE126&lt;=$BK$8),1,0))</f>
      </c>
      <c r="BH126">
        <f>IF($C126="","",IF($BG126=1,"○ゲート通過",IF($BK$10&lt;&gt;1,"― この方向は停止中",IF($BA126&gt;$BK$2,"×値動きが荒い",IF($BB126&gt;$BK$3,"×レンジが広い",IF($BC126&gt;$BK$4,"×窓を開けて上昇",IF($Z126&gt;$BK$5,"×前日に急騰",IF($Z126&lt;$BK$6,"×前日に急落",IF($BD126&lt;$BK$7,"×高値から離れすぎ",IF($BE126&gt;$BK$8,"×当日の値幅が大きい","×")))))))))</f>
      </c>
    </row>
    <row r="127" spans="1:60"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IF(AND(E127&lt;&gt;"",K127&lt;&gt;"",K127&lt;&gt;0),(E127-K127)/K127*100,"")</f>
        <v>3.4334763948497855</v>
      </c>
      <c r="M127" s="326">
        <f>IF(C127&lt;&gt;"",IFERROR(AVERAGE(出来高!E95:I95),""),"")</f>
        <v>377220</v>
      </c>
      <c r="N127" s="326">
        <f>IF(C127&lt;&gt;"",IFERROR(AVERAGE(出来高!E95:AC95),""),"")</f>
        <v>212554.16666666666</v>
      </c>
      <c r="O127" s="328">
        <f>IF(AND(J127&lt;&gt;"",M127&lt;&gt;"",M127&lt;&gt;0),J127/M127,"")</f>
        <v>3.1973384232013147</v>
      </c>
      <c r="P127" s="325" t="str">
        <f>IF(O127="","",IF(O127&gt;=2,"急増↑↑",IF(O127&gt;=1.5,"増加↑",IF(O127&gt;=1,"普通→","減少↓"))))</f>
        <v>急増↑↑</v>
      </c>
      <c r="Q127" s="325" t="str">
        <f>IF(E127="","",IF(AND(E127&lt;G127,O127&gt;=1.5),"売り▼",IF(E127&gt;G127,"様子見▲","中立→")))</f>
        <v>様子見▲</v>
      </c>
      <c r="R127" s="326">
        <f>IF(E127&lt;&gt;"",ROUND(E127*0.92,0),"")</f>
        <v>1330</v>
      </c>
      <c r="S127" s="326">
        <f>IF(E127&lt;&gt;"",ROUND(E127*1.04,0),"")</f>
        <v>1504</v>
      </c>
      <c r="T127" s="325">
        <f>IF(C127="","",IFERROR(IF(W127&gt;=70,3,IF(W127&gt;=60,2,IF(W127&gt;=50,1,0)))+IF(X127&lt;0,2,0)+IF(AD127="下降トレンド▼",3,IF(AD127="もみ合い→",1,0))+IF(V127="年初来安値圏●",3,IF(V127="安値圏",2,0))+IF(Q127="売り▼",2,0)+IF(P127="急増↑↑",2,IF(P127="増加↑",1,0))+IF(Z127&lt;0,1,0)+IF(L127&lt;=-30,2,IF(L127&lt;=-15,1,0))+IF(AE127="25日戻り売り★",2,IF(AE127="5日戻り売り○",1,0))+N(AL127)+N(AP127)+N(AU127),0))</f>
        <v>2</v>
      </c>
      <c r="U127" s="325" t="str">
        <f>IF(T127="","",IF(AND(T127&gt;=3,O127&gt;=1.5),"有効",IF(T127&gt;=3,"要確認","除外")))</f>
        <v>除外</v>
      </c>
      <c r="V127" s="325" t="str">
        <f>IF(AND(I127&lt;&gt;"",K127&lt;&gt;""),IF(I127&lt;=K127*0.6,"年初来安値圏●",IF(I127&lt;=K127*0.75,"安値圏","通常")),"")</f>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IF(AF127="","",AF127&amp;" | "&amp;AD127&amp;IF(AE127&lt;&gt;"なし"," "&amp;AE127,"")&amp;IF(X127&lt;0," MACD-"," MACD+")&amp;" RSI:"&amp;TEXT(W127,"0.0")&amp;IF(W127&gt;=70," [過熱]",IF(W127&lt;=30," [売られ過ぎ]",""))&amp;" 前日比:"&amp;TEXT(Z127,"+0.0;-0.0;0.0")&amp;"%"&amp;IF(V127="年初来安値圏●"," [年初来安値圏]",IF(V127="安値圏"," [安値圏]",""))&amp;IF(OR(AO127="通常",AO127="-"),""," ["&amp;AO127&amp;"]")&amp;IF(OR(AT127="通常",AT127="-"),"","前日["&amp;AT127&amp;"]")&amp;" ["&amp;T127&amp;"点]")</f>
        <v>相場上昇・見送り | パーフェクト▲ MACD- RSI:49.0 前日比:+14.9% [2点]</v>
      </c>
      <c r="Z127" s="331">
        <f>IF(AND(E127&lt;&gt;"",G127&lt;&gt;"",G127&lt;&gt;0),(E127-G127)/G127*100,"")</f>
        <v>14.853057982525813</v>
      </c>
      <c r="AA127" s="325" t="str">
        <f>IF(OR(C127="",E127="",E127=0),"",IF(E127&gt;G127,"上昇▲",IF(E127&lt;G127,"下落▼","横ばい→")))</f>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IF(OR(C127="",AB127="",AC127="",AB127=0,AC127=0),"",IF(AND(E127&gt;AB127,AB127&gt;AC127),"パーフェクト▲",IF(E127&gt;AC127,"上昇トレンド▲",IF(AND(E127&lt;AB127,AB127&lt;AC127),"下降トレンド▼","もみ合い→"))))</f>
        <v>パーフェクト▲</v>
      </c>
      <c r="AE127" s="325" t="str">
        <f>IF(OR(C127="",AB127="",AC127=""),"",IF(AND(ABS(E127-AC127)/AC127&lt;=0.02,E127&lt;AC127),"25日戻り売り★",IF(AND(ABS(E127-AB127)/AB127&lt;=0.01,E127&lt;AB127),"5日戻り売り○","なし")))</f>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IF(AND(T127&gt;=7,C127&lt;&gt;""),T127,0)</f>
        <v>0</v>
      </c>
      <c r="AH127">
        <f>IF(AG127&gt;0,AG127*10000-ROW(A127),0)</f>
        <v>0</v>
      </c>
      <c r="AI127" s="373">
        <f t="array" ref="AI127">IF(C127="","",IFERROR((INDEX(終値!$E:$E,MATCH(TEXT(C127,"0"),終値!$A:$A,0))-INDEX(終値!$E:$CZ,MATCH(TEXT(C127,"0"),終値!$A:$A,0),$AN$2))/INDEX(終値!$E:$CZ,MATCH(TEXT(C127,"0"),終値!$A:$A,0),$AN$2)*100,""))</f>
        <v>12.441679626749611</v>
      </c>
      <c r="AJ127" s="373">
        <f t="array" ref="AJ127">IFERROR((終値!$E$5-INDEX(終値!$E$5:$IT$5,1,$AN$2))/INDEX(終値!$E$5:$IT$5,1,$AN$2)*100,"")</f>
        <v>1.0179378228534113</v>
      </c>
      <c r="AK127" s="374">
        <f>IF(OR(AI127="",AJ127=""),"",AI127-AJ127)</f>
        <v>11.423741803896199</v>
      </c>
      <c r="AL127" s="372">
        <f>IF(AK127="","",IF(AK127&lt;-5,3,IF(AK127&lt;0,1,IF(AK127&lt;3,-1,-2))))</f>
        <v>-2</v>
      </c>
      <c r="AO127" s="376" t="str">
        <f>IF(OR($C127="",$E127="",$F127="",$H127="",$I127="",$H127-$I127&lt;=0),"-",IF(AND($H127-MAX($F127,$E127)&gt;=ABS($E127-$F127)*2,MIN($F127,$E127)-$I127&lt;=ABS($E127-$F127)*0.5,ABS($E127-$F127)&gt;0),"上ヒゲ陰線▼",IF(AND($E127&lt;$F127,ABS($E127-$F127)&gt;=($H127-$I127)*0.7),"大陰線▼",IF(AND(MIN($F127,$E127)-$I127&gt;=($H127-$I127)*0.5,$H127-MAX($F127,$E127)&lt;=($H127-$I127)*0.2),"長い下ヒゲ(反発警戒)","通常"))))</f>
        <v>通常</v>
      </c>
      <c r="AP127" s="377">
        <f>IF($AO127="上ヒゲ陰線▼",2,IF($AO127="大陰線▼",2,IF($AO127="長い下ヒゲ(反発警戒)",-2,0)))</f>
        <v>0</v>
      </c>
      <c r="AQ127">
        <f>IF(C127&lt;&gt;"",始値!F95,"")</f>
        <v>1248</v>
      </c>
      <c r="AR127">
        <f>IF(C127&lt;&gt;"",高値!F95,"")</f>
        <v>1266</v>
      </c>
      <c r="AS127">
        <f>IF(C127&lt;&gt;"",安値!F95,"")</f>
        <v>1240</v>
      </c>
      <c r="AT127" t="str">
        <f>IF(OR(C127="",AQ127="",AR127="",AS127="",AR127-AS127&lt;=0),"-",IF(AND(AR127-MAX(G127,AQ127)&gt;=ABS(G127-AQ127)*2,MIN(G127,AQ127)-AS127&lt;=ABS(G127-AQ127)*0.5,ABS(G127-AQ127)&gt;0),"上ヒゲ陰線▼",IF(AND(G127&lt;AQ127,ABS(G127-AQ127)&gt;=(AR127-AS127)*0.7),"大陰線▼",IF(AND(MIN(G127,AQ127)-AS127&gt;=(AR127-AS127)*0.5,AR127-MAX(G127,AQ127)&lt;=(AR127-AS127)*0.2),"長い下ヒゲ(反発)","通常"))))</f>
        <v>通常</v>
      </c>
      <c r="AU127">
        <f>IF(AT127="上ヒゲ陰線▼",2,IF(AT127="大陰線▼",2,IF(AT127="長い下ヒゲ(反発)",-2,0)))</f>
        <v>0</v>
      </c>
      <c r="BA127">
        <f>IFERROR((SUM(OFFSET(高値!$E$6,IFERROR(MATCH($C127,銘柄管理!$B$6:$B$305,0),MATCH(TEXT($C127,"0"),銘柄管理!$B$6:$B$305,0))-1,0,1,14))-SUM(OFFSET(安値!$E$6,IFERROR(MATCH($C127,銘柄管理!$B$6:$B$305,0),MATCH(TEXT($C127,"0"),銘柄管理!$B$6:$B$305,0))-1,0,1,14)))/SUM(OFFSET(終値!$E$6,IFERROR(MATCH($C127,銘柄管理!$B$6:$B$305,0),MATCH(TEXT($C127,"0"),銘柄管理!$B$6:$B$305,0))-1,0,1,14))*100,"")</f>
      </c>
      <c r="BB127">
        <f>IFERROR((MAX(OFFSET(高値!$E$6,IFERROR(MATCH($C127,銘柄管理!$B$6:$B$305,0),MATCH(TEXT($C127,"0"),銘柄管理!$B$6:$B$305,0))-1,0,1,25))-MIN(OFFSET(安値!$E$6,IFERROR(MATCH($C127,銘柄管理!$B$6:$B$305,0),MATCH(TEXT($C127,"0"),銘柄管理!$B$6:$B$305,0))-1,0,1,25)))/$E127*100,"")</f>
      </c>
      <c r="BC127">
        <f>IFERROR(($F127-$G127)/$G127*100,"")</f>
      </c>
      <c r="BD127">
        <f>IFERROR(($E127-MAX(OFFSET(高値!$E$6,IFERROR(MATCH($C127,銘柄管理!$B$6:$B$305,0),MATCH(TEXT($C127,"0"),銘柄管理!$B$6:$B$305,0))-1,0,1,25)))/MAX(OFFSET(高値!$E$6,IFERROR(MATCH($C127,銘柄管理!$B$6:$B$305,0),MATCH(TEXT($C127,"0"),銘柄管理!$B$6:$B$305,0))-1,0,1,25))*100,"")</f>
      </c>
      <c r="BE127">
        <f>IFERROR(($H127-$I127)/$F127*100,"")</f>
      </c>
      <c r="BF127">
        <f>IFERROR(-(($BA127-AVERAGE($BA$3:$BA$206))/STDEV($BA$3:$BA$206))-(($BE127-AVERAGE($BE$3:$BE$206))/STDEV($BE$3:$BE$206))-(($BB127-AVERAGE($BB$3:$BB$206))/STDEV($BB$3:$BB$206))-(($Z127-AVERAGE($Z$3:$Z$206))/STDEV($Z$3:$Z$206))-(($BC127-AVERAGE($BC$3:$BC$206))/STDEV($BC$3:$BC$206)),"")</f>
      </c>
      <c r="BG127">
        <f>IF(OR($C127="",$C127="TOPX",$BA127="",$BF127=""),0,IF(AND($BK$10=1,$BA127&lt;=$BK$2,$BB127&lt;=$BK$3,$BC127&lt;=$BK$4,$Z127&lt;=$BK$5,$Z127&gt;=$BK$6,$BD127&gt;=$BK$7,$BE127&lt;=$BK$8),1,0))</f>
      </c>
      <c r="BH127">
        <f>IF($C127="","",IF($BG127=1,"○ゲート通過",IF($BK$10&lt;&gt;1,"― この方向は停止中",IF($BA127&gt;$BK$2,"×値動きが荒い",IF($BB127&gt;$BK$3,"×レンジが広い",IF($BC127&gt;$BK$4,"×窓を開けて上昇",IF($Z127&gt;$BK$5,"×前日に急騰",IF($Z127&lt;$BK$6,"×前日に急落",IF($BD127&lt;$BK$7,"×高値から離れすぎ",IF($BE127&gt;$BK$8,"×当日の値幅が大きい","×")))))))))</f>
      </c>
    </row>
    <row r="128" spans="1:60"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IF(AND(E128&lt;&gt;"",K128&lt;&gt;"",K128&lt;&gt;0),(E128-K128)/K128*100,"")</f>
        <v>-8.0909571655208889</v>
      </c>
      <c r="M128" s="333">
        <f>IF(C128&lt;&gt;"",IFERROR(AVERAGE(出来高!E116:I116),""),"")</f>
        <v>230540</v>
      </c>
      <c r="N128" s="333">
        <f>IF(C128&lt;&gt;"",IFERROR(AVERAGE(出来高!E116:AC116),""),"")</f>
        <v>197472</v>
      </c>
      <c r="O128" s="335">
        <f>IF(AND(J128&lt;&gt;"",M128&lt;&gt;"",M128&lt;&gt;0),J128/M128,"")</f>
        <v>0.76038865272837686</v>
      </c>
      <c r="P128" s="212" t="str">
        <f>IF(O128="","",IF(O128&gt;=2,"急増↑↑",IF(O128&gt;=1.5,"増加↑",IF(O128&gt;=1,"普通→","減少↓"))))</f>
        <v>減少↓</v>
      </c>
      <c r="Q128" s="212" t="str">
        <f>IF(E128="","",IF(AND(E128&lt;G128,O128&gt;=1.5),"売り▼",IF(E128&gt;G128,"様子見▲","中立→")))</f>
        <v>様子見▲</v>
      </c>
      <c r="R128" s="333">
        <f>IF(E128&lt;&gt;"",ROUND(E128*0.92,0),"")</f>
        <v>1599</v>
      </c>
      <c r="S128" s="333">
        <f>IF(E128&lt;&gt;"",ROUND(E128*1.04,0),"")</f>
        <v>1808</v>
      </c>
      <c r="T128" s="325">
        <f>IF(C128="","",IFERROR(IF(W128&gt;=70,3,IF(W128&gt;=60,2,IF(W128&gt;=50,1,0)))+IF(X128&lt;0,2,0)+IF(AD128="下降トレンド▼",3,IF(AD128="もみ合い→",1,0))+IF(V128="年初来安値圏●",3,IF(V128="安値圏",2,0))+IF(Q128="売り▼",2,0)+IF(P128="急増↑↑",2,IF(P128="増加↑",1,0))+IF(Z128&lt;0,1,0)+IF(L128&lt;=-30,2,IF(L128&lt;=-15,1,0))+IF(AE128="25日戻り売り★",2,IF(AE128="5日戻り売り○",1,0))+N(AL128)+N(AP128)+N(AU128),0))</f>
        <v>4</v>
      </c>
      <c r="U128" s="212" t="str">
        <f>IF(T128="","",IF(AND(T128&gt;=3,O128&gt;=1.5),"有効",IF(T128&gt;=3,"要確認","除外")))</f>
        <v>要確認</v>
      </c>
      <c r="V128" s="212" t="str">
        <f>IF(AND(I128&lt;&gt;"",K128&lt;&gt;""),IF(I128&lt;=K128*0.6,"年初来安値圏●",IF(I128&lt;=K128*0.75,"安値圏","通常")),"")</f>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IF(AF128="","",AF128&amp;" | "&amp;AD128&amp;IF(AE128&lt;&gt;"なし"," "&amp;AE128,"")&amp;IF(X128&lt;0," MACD-"," MACD+")&amp;" RSI:"&amp;TEXT(W128,"0.0")&amp;IF(W128&gt;=70," [過熱]",IF(W128&lt;=30," [売られ過ぎ]",""))&amp;" 前日比:"&amp;TEXT(Z128,"+0.0;-0.0;0.0")&amp;"%"&amp;IF(V128="年初来安値圏●"," [年初来安値圏]",IF(V128="安値圏"," [安値圏]",""))&amp;IF(OR(AO128="通常",AO128="-"),""," ["&amp;AO128&amp;"]")&amp;IF(OR(AT128="通常",AT128="-"),"","前日["&amp;AT128&amp;"]")&amp;" ["&amp;T128&amp;"点]")</f>
        <v>相場上昇・見送り | もみ合い→ MACD- RSI:34.3 前日比:+1.4% [4点]</v>
      </c>
      <c r="Z128" s="338">
        <f>IF(AND(E128&lt;&gt;"",G128&lt;&gt;"",G128&lt;&gt;0),(E128-G128)/G128*100,"")</f>
        <v>1.4002333722287048</v>
      </c>
      <c r="AA128" s="212" t="str">
        <f>IF(OR(C128="",E128="",E128=0),"",IF(E128&gt;G128,"上昇▲",IF(E128&lt;G128,"下落▼","横ばい→")))</f>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IF(OR(C128="",AB128="",AC128="",AB128=0,AC128=0),"",IF(AND(E128&gt;AB128,AB128&gt;AC128),"パーフェクト▲",IF(E128&gt;AC128,"上昇トレンド▲",IF(AND(E128&lt;AB128,AB128&lt;AC128),"下降トレンド▼","もみ合い→"))))</f>
        <v>もみ合い→</v>
      </c>
      <c r="AE128" s="212" t="str">
        <f>IF(OR(C128="",AB128="",AC128=""),"",IF(AND(ABS(E128-AC128)/AC128&lt;=0.02,E128&lt;AC128),"25日戻り売り★",IF(AND(ABS(E128-AB128)/AB128&lt;=0.01,E128&lt;AB128),"5日戻り売り○","なし")))</f>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IF(AND(T128&gt;=7,C128&lt;&gt;""),T128,0)</f>
        <v>0</v>
      </c>
      <c r="AH128">
        <f>IF(AG128&gt;0,AG128*10000-ROW(A128),0)</f>
        <v>0</v>
      </c>
      <c r="AI128" s="373">
        <f t="array" ref="AI128">IF(C128="","",IFERROR((INDEX(終値!$E:$E,MATCH(TEXT(C128,"0"),終値!$A:$A,0))-INDEX(終値!$E:$CZ,MATCH(TEXT(C128,"0"),終値!$A:$A,0),$AN$2))/INDEX(終値!$E:$CZ,MATCH(TEXT(C128,"0"),終値!$A:$A,0),$AN$2)*100,""))</f>
        <v>-0.17231476163124643</v>
      </c>
      <c r="AJ128" s="373">
        <f t="array" ref="AJ128">IFERROR((終値!$E$5-INDEX(終値!$E$5:$IT$5,1,$AN$2))/INDEX(終値!$E$5:$IT$5,1,$AN$2)*100,"")</f>
        <v>1.0179378228534113</v>
      </c>
      <c r="AK128" s="374">
        <f>IF(OR(AI128="",AJ128=""),"",AI128-AJ128)</f>
        <v>-1.1902525844846576</v>
      </c>
      <c r="AL128" s="372">
        <f>IF(AK128="","",IF(AK128&lt;-5,3,IF(AK128&lt;0,1,IF(AK128&lt;3,-1,-2))))</f>
        <v>1</v>
      </c>
      <c r="AO128" s="376" t="str">
        <f>IF(OR($C128="",$E128="",$F128="",$H128="",$I128="",$H128-$I128&lt;=0),"-",IF(AND($H128-MAX($F128,$E128)&gt;=ABS($E128-$F128)*2,MIN($F128,$E128)-$I128&lt;=ABS($E128-$F128)*0.5,ABS($E128-$F128)&gt;0),"上ヒゲ陰線▼",IF(AND($E128&lt;$F128,ABS($E128-$F128)&gt;=($H128-$I128)*0.7),"大陰線▼",IF(AND(MIN($F128,$E128)-$I128&gt;=($H128-$I128)*0.5,$H128-MAX($F128,$E128)&lt;=($H128-$I128)*0.2),"長い下ヒゲ(反発警戒)","通常"))))</f>
        <v>通常</v>
      </c>
      <c r="AP128" s="377">
        <f>IF($AO128="上ヒゲ陰線▼",2,IF($AO128="大陰線▼",2,IF($AO128="長い下ヒゲ(反発警戒)",-2,0)))</f>
        <v>0</v>
      </c>
      <c r="AQ128">
        <f>IF(C128&lt;&gt;"",始値!F116,"")</f>
        <v>1725</v>
      </c>
      <c r="AR128">
        <f>IF(C128&lt;&gt;"",高値!F116,"")</f>
        <v>1728</v>
      </c>
      <c r="AS128">
        <f>IF(C128&lt;&gt;"",安値!F116,"")</f>
        <v>1707</v>
      </c>
      <c r="AT128" t="str">
        <f>IF(OR(C128="",AQ128="",AR128="",AS128="",AR128-AS128&lt;=0),"-",IF(AND(AR128-MAX(G128,AQ128)&gt;=ABS(G128-AQ128)*2,MIN(G128,AQ128)-AS128&lt;=ABS(G128-AQ128)*0.5,ABS(G128-AQ128)&gt;0),"上ヒゲ陰線▼",IF(AND(G128&lt;AQ128,ABS(G128-AQ128)&gt;=(AR128-AS128)*0.7),"大陰線▼",IF(AND(MIN(G128,AQ128)-AS128&gt;=(AR128-AS128)*0.5,AR128-MAX(G128,AQ128)&lt;=(AR128-AS128)*0.2),"長い下ヒゲ(反発)","通常"))))</f>
        <v>通常</v>
      </c>
      <c r="AU128">
        <f>IF(AT128="上ヒゲ陰線▼",2,IF(AT128="大陰線▼",2,IF(AT128="長い下ヒゲ(反発)",-2,0)))</f>
        <v>0</v>
      </c>
      <c r="BA128">
        <f>IFERROR((SUM(OFFSET(高値!$E$6,IFERROR(MATCH($C128,銘柄管理!$B$6:$B$305,0),MATCH(TEXT($C128,"0"),銘柄管理!$B$6:$B$305,0))-1,0,1,14))-SUM(OFFSET(安値!$E$6,IFERROR(MATCH($C128,銘柄管理!$B$6:$B$305,0),MATCH(TEXT($C128,"0"),銘柄管理!$B$6:$B$305,0))-1,0,1,14)))/SUM(OFFSET(終値!$E$6,IFERROR(MATCH($C128,銘柄管理!$B$6:$B$305,0),MATCH(TEXT($C128,"0"),銘柄管理!$B$6:$B$305,0))-1,0,1,14))*100,"")</f>
      </c>
      <c r="BB128">
        <f>IFERROR((MAX(OFFSET(高値!$E$6,IFERROR(MATCH($C128,銘柄管理!$B$6:$B$305,0),MATCH(TEXT($C128,"0"),銘柄管理!$B$6:$B$305,0))-1,0,1,25))-MIN(OFFSET(安値!$E$6,IFERROR(MATCH($C128,銘柄管理!$B$6:$B$305,0),MATCH(TEXT($C128,"0"),銘柄管理!$B$6:$B$305,0))-1,0,1,25)))/$E128*100,"")</f>
      </c>
      <c r="BC128">
        <f>IFERROR(($F128-$G128)/$G128*100,"")</f>
      </c>
      <c r="BD128">
        <f>IFERROR(($E128-MAX(OFFSET(高値!$E$6,IFERROR(MATCH($C128,銘柄管理!$B$6:$B$305,0),MATCH(TEXT($C128,"0"),銘柄管理!$B$6:$B$305,0))-1,0,1,25)))/MAX(OFFSET(高値!$E$6,IFERROR(MATCH($C128,銘柄管理!$B$6:$B$305,0),MATCH(TEXT($C128,"0"),銘柄管理!$B$6:$B$305,0))-1,0,1,25))*100,"")</f>
      </c>
      <c r="BE128">
        <f>IFERROR(($H128-$I128)/$F128*100,"")</f>
      </c>
      <c r="BF128">
        <f>IFERROR(-(($BA128-AVERAGE($BA$3:$BA$206))/STDEV($BA$3:$BA$206))-(($BE128-AVERAGE($BE$3:$BE$206))/STDEV($BE$3:$BE$206))-(($BB128-AVERAGE($BB$3:$BB$206))/STDEV($BB$3:$BB$206))-(($Z128-AVERAGE($Z$3:$Z$206))/STDEV($Z$3:$Z$206))-(($BC128-AVERAGE($BC$3:$BC$206))/STDEV($BC$3:$BC$206)),"")</f>
      </c>
      <c r="BG128">
        <f>IF(OR($C128="",$C128="TOPX",$BA128="",$BF128=""),0,IF(AND($BK$10=1,$BA128&lt;=$BK$2,$BB128&lt;=$BK$3,$BC128&lt;=$BK$4,$Z128&lt;=$BK$5,$Z128&gt;=$BK$6,$BD128&gt;=$BK$7,$BE128&lt;=$BK$8),1,0))</f>
      </c>
      <c r="BH128">
        <f>IF($C128="","",IF($BG128=1,"○ゲート通過",IF($BK$10&lt;&gt;1,"― この方向は停止中",IF($BA128&gt;$BK$2,"×値動きが荒い",IF($BB128&gt;$BK$3,"×レンジが広い",IF($BC128&gt;$BK$4,"×窓を開けて上昇",IF($Z128&gt;$BK$5,"×前日に急騰",IF($Z128&lt;$BK$6,"×前日に急落",IF($BD128&lt;$BK$7,"×高値から離れすぎ",IF($BE128&gt;$BK$8,"×当日の値幅が大きい","×")))))))))</f>
      </c>
    </row>
    <row r="129" spans="1:60"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IF(AND(E129&lt;&gt;"",K129&lt;&gt;"",K129&lt;&gt;0),(E129-K129)/K129*100,"")</f>
        <v>-31.047265987025025</v>
      </c>
      <c r="M129" s="326">
        <f>IF(C129&lt;&gt;"",IFERROR(AVERAGE(出来高!E124:I124),""),"")</f>
        <v>10539140</v>
      </c>
      <c r="N129" s="326">
        <f>IF(C129&lt;&gt;"",IFERROR(AVERAGE(出来高!E124:AC124),""),"")</f>
        <v>8742800</v>
      </c>
      <c r="O129" s="328">
        <f>IF(AND(J129&lt;&gt;"",M129&lt;&gt;"",M129&lt;&gt;0),J129/M129,"")</f>
        <v>0.93994386638757998</v>
      </c>
      <c r="P129" s="325" t="str">
        <f>IF(O129="","",IF(O129&gt;=2,"急増↑↑",IF(O129&gt;=1.5,"増加↑",IF(O129&gt;=1,"普通→","減少↓"))))</f>
        <v>減少↓</v>
      </c>
      <c r="Q129" s="325" t="str">
        <f>IF(E129="","",IF(AND(E129&lt;G129,O129&gt;=1.5),"売り▼",IF(E129&gt;G129,"様子見▲","中立→")))</f>
        <v>様子見▲</v>
      </c>
      <c r="R129" s="326">
        <f>IF(E129&lt;&gt;"",ROUND(E129*0.92,0),"")</f>
        <v>1369</v>
      </c>
      <c r="S129" s="326">
        <f>IF(E129&lt;&gt;"",ROUND(E129*1.04,0),"")</f>
        <v>1548</v>
      </c>
      <c r="T129" s="325">
        <f>IF(C129="","",IFERROR(IF(W129&gt;=70,3,IF(W129&gt;=60,2,IF(W129&gt;=50,1,0)))+IF(X129&lt;0,2,0)+IF(AD129="下降トレンド▼",3,IF(AD129="もみ合い→",1,0))+IF(V129="年初来安値圏●",3,IF(V129="安値圏",2,0))+IF(Q129="売り▼",2,0)+IF(P129="急増↑↑",2,IF(P129="増加↑",1,0))+IF(Z129&lt;0,1,0)+IF(L129&lt;=-30,2,IF(L129&lt;=-15,1,0))+IF(AE129="25日戻り売り★",2,IF(AE129="5日戻り売り○",1,0))+N(AL129)+N(AP129)+N(AU129),0))</f>
        <v>11</v>
      </c>
      <c r="U129" s="325" t="str">
        <f>IF(T129="","",IF(AND(T129&gt;=3,O129&gt;=1.5),"有効",IF(T129&gt;=3,"要確認","除外")))</f>
        <v>要確認</v>
      </c>
      <c r="V129" s="325" t="str">
        <f>IF(AND(I129&lt;&gt;"",K129&lt;&gt;""),IF(I129&lt;=K129*0.6,"年初来安値圏●",IF(I129&lt;=K129*0.75,"安値圏","通常")),"")</f>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IF(AF129="","",AF129&amp;" | "&amp;AD129&amp;IF(AE129&lt;&gt;"なし"," "&amp;AE129,"")&amp;IF(X129&lt;0," MACD-"," MACD+")&amp;" RSI:"&amp;TEXT(W129,"0.0")&amp;IF(W129&gt;=70," [過熱]",IF(W129&lt;=30," [売られ過ぎ]",""))&amp;" 前日比:"&amp;TEXT(Z129,"+0.0;-0.0;0.0")&amp;"%"&amp;IF(V129="年初来安値圏●"," [年初来安値圏]",IF(V129="安値圏"," [安値圏]",""))&amp;IF(OR(AO129="通常",AO129="-"),""," ["&amp;AO129&amp;"]")&amp;IF(OR(AT129="通常",AT129="-"),"","前日["&amp;AT129&amp;"]")&amp;" ["&amp;T129&amp;"点]")</f>
        <v>★逆張り売り | 下降トレンド▼ 5日戻り売り○ MACD- RSI:38.5 前日比:+0.4% [安値圏] [11点]</v>
      </c>
      <c r="Z129" s="331">
        <f>IF(AND(E129&lt;&gt;"",G129&lt;&gt;"",G129&lt;&gt;0),(E129-G129)/G129*100,"")</f>
        <v>0.43874451569355388</v>
      </c>
      <c r="AA129" s="325" t="str">
        <f>IF(OR(C129="",E129="",E129=0),"",IF(E129&gt;G129,"上昇▲",IF(E129&lt;G129,"下落▼","横ばい→")))</f>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IF(OR(C129="",AB129="",AC129="",AB129=0,AC129=0),"",IF(AND(E129&gt;AB129,AB129&gt;AC129),"パーフェクト▲",IF(E129&gt;AC129,"上昇トレンド▲",IF(AND(E129&lt;AB129,AB129&lt;AC129),"下降トレンド▼","もみ合い→"))))</f>
        <v>下降トレンド▼</v>
      </c>
      <c r="AE129" s="325" t="str">
        <f>IF(OR(C129="",AB129="",AC129=""),"",IF(AND(ABS(E129-AC129)/AC129&lt;=0.02,E129&lt;AC129),"25日戻り売り★",IF(AND(ABS(E129-AB129)/AB129&lt;=0.01,E129&lt;AB129),"5日戻り売り○","なし")))</f>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IF(AND(T129&gt;=7,C129&lt;&gt;""),T129,0)</f>
        <v>11</v>
      </c>
      <c r="AH129">
        <f>IF(AG129&gt;0,AG129*10000-ROW(A129),0)</f>
        <v>109871</v>
      </c>
      <c r="AI129" s="373">
        <f t="array" ref="AI129">IF(C129="","",IFERROR((INDEX(終値!$E:$E,MATCH(TEXT(C129,"0"),終値!$A:$A,0))-INDEX(終値!$E:$CZ,MATCH(TEXT(C129,"0"),終値!$A:$A,0),$AN$2))/INDEX(終値!$E:$CZ,MATCH(TEXT(C129,"0"),終値!$A:$A,0),$AN$2)*100,""))</f>
        <v>0.6085192697768762</v>
      </c>
      <c r="AJ129" s="373">
        <f t="array" ref="AJ129">IFERROR((終値!$E$5-INDEX(終値!$E$5:$IT$5,1,$AN$2))/INDEX(終値!$E$5:$IT$5,1,$AN$2)*100,"")</f>
        <v>1.0179378228534113</v>
      </c>
      <c r="AK129" s="374">
        <f>IF(OR(AI129="",AJ129=""),"",AI129-AJ129)</f>
        <v>-0.40941855307653507</v>
      </c>
      <c r="AL129" s="372">
        <f>IF(AK129="","",IF(AK129&lt;-5,3,IF(AK129&lt;0,1,IF(AK129&lt;3,-1,-2))))</f>
        <v>1</v>
      </c>
      <c r="AO129" s="376" t="str">
        <f>IF(OR($C129="",$E129="",$F129="",$H129="",$I129="",$H129-$I129&lt;=0),"-",IF(AND($H129-MAX($F129,$E129)&gt;=ABS($E129-$F129)*2,MIN($F129,$E129)-$I129&lt;=ABS($E129-$F129)*0.5,ABS($E129-$F129)&gt;0),"上ヒゲ陰線▼",IF(AND($E129&lt;$F129,ABS($E129-$F129)&gt;=($H129-$I129)*0.7),"大陰線▼",IF(AND(MIN($F129,$E129)-$I129&gt;=($H129-$I129)*0.5,$H129-MAX($F129,$E129)&lt;=($H129-$I129)*0.2),"長い下ヒゲ(反発警戒)","通常"))))</f>
        <v>通常</v>
      </c>
      <c r="AP129" s="377">
        <f>IF($AO129="上ヒゲ陰線▼",2,IF($AO129="大陰線▼",2,IF($AO129="長い下ヒゲ(反発警戒)",-2,0)))</f>
        <v>0</v>
      </c>
      <c r="AQ129">
        <f>IF(C129&lt;&gt;"",始値!F124,"")</f>
        <v>1479.5</v>
      </c>
      <c r="AR129">
        <f>IF(C129&lt;&gt;"",高値!F124,"")</f>
        <v>1495.5</v>
      </c>
      <c r="AS129">
        <f>IF(C129&lt;&gt;"",安値!F124,"")</f>
        <v>1473.5</v>
      </c>
      <c r="AT129" t="str">
        <f>IF(OR(C129="",AQ129="",AR129="",AS129="",AR129-AS129&lt;=0),"-",IF(AND(AR129-MAX(G129,AQ129)&gt;=ABS(G129-AQ129)*2,MIN(G129,AQ129)-AS129&lt;=ABS(G129-AQ129)*0.5,ABS(G129-AQ129)&gt;0),"上ヒゲ陰線▼",IF(AND(G129&lt;AQ129,ABS(G129-AQ129)&gt;=(AR129-AS129)*0.7),"大陰線▼",IF(AND(MIN(G129,AQ129)-AS129&gt;=(AR129-AS129)*0.5,AR129-MAX(G129,AQ129)&lt;=(AR129-AS129)*0.2),"長い下ヒゲ(反発)","通常"))))</f>
        <v>通常</v>
      </c>
      <c r="AU129">
        <f>IF(AT129="上ヒゲ陰線▼",2,IF(AT129="大陰線▼",2,IF(AT129="長い下ヒゲ(反発)",-2,0)))</f>
        <v>0</v>
      </c>
      <c r="BA129">
        <f>IFERROR((SUM(OFFSET(高値!$E$6,IFERROR(MATCH($C129,銘柄管理!$B$6:$B$305,0),MATCH(TEXT($C129,"0"),銘柄管理!$B$6:$B$305,0))-1,0,1,14))-SUM(OFFSET(安値!$E$6,IFERROR(MATCH($C129,銘柄管理!$B$6:$B$305,0),MATCH(TEXT($C129,"0"),銘柄管理!$B$6:$B$305,0))-1,0,1,14)))/SUM(OFFSET(終値!$E$6,IFERROR(MATCH($C129,銘柄管理!$B$6:$B$305,0),MATCH(TEXT($C129,"0"),銘柄管理!$B$6:$B$305,0))-1,0,1,14))*100,"")</f>
      </c>
      <c r="BB129">
        <f>IFERROR((MAX(OFFSET(高値!$E$6,IFERROR(MATCH($C129,銘柄管理!$B$6:$B$305,0),MATCH(TEXT($C129,"0"),銘柄管理!$B$6:$B$305,0))-1,0,1,25))-MIN(OFFSET(安値!$E$6,IFERROR(MATCH($C129,銘柄管理!$B$6:$B$305,0),MATCH(TEXT($C129,"0"),銘柄管理!$B$6:$B$305,0))-1,0,1,25)))/$E129*100,"")</f>
      </c>
      <c r="BC129">
        <f>IFERROR(($F129-$G129)/$G129*100,"")</f>
      </c>
      <c r="BD129">
        <f>IFERROR(($E129-MAX(OFFSET(高値!$E$6,IFERROR(MATCH($C129,銘柄管理!$B$6:$B$305,0),MATCH(TEXT($C129,"0"),銘柄管理!$B$6:$B$305,0))-1,0,1,25)))/MAX(OFFSET(高値!$E$6,IFERROR(MATCH($C129,銘柄管理!$B$6:$B$305,0),MATCH(TEXT($C129,"0"),銘柄管理!$B$6:$B$305,0))-1,0,1,25))*100,"")</f>
      </c>
      <c r="BE129">
        <f>IFERROR(($H129-$I129)/$F129*100,"")</f>
      </c>
      <c r="BF129">
        <f>IFERROR(-(($BA129-AVERAGE($BA$3:$BA$206))/STDEV($BA$3:$BA$206))-(($BE129-AVERAGE($BE$3:$BE$206))/STDEV($BE$3:$BE$206))-(($BB129-AVERAGE($BB$3:$BB$206))/STDEV($BB$3:$BB$206))-(($Z129-AVERAGE($Z$3:$Z$206))/STDEV($Z$3:$Z$206))-(($BC129-AVERAGE($BC$3:$BC$206))/STDEV($BC$3:$BC$206)),"")</f>
      </c>
      <c r="BG129">
        <f>IF(OR($C129="",$C129="TOPX",$BA129="",$BF129=""),0,IF(AND($BK$10=1,$BA129&lt;=$BK$2,$BB129&lt;=$BK$3,$BC129&lt;=$BK$4,$Z129&lt;=$BK$5,$Z129&gt;=$BK$6,$BD129&gt;=$BK$7,$BE129&lt;=$BK$8),1,0))</f>
      </c>
      <c r="BH129">
        <f>IF($C129="","",IF($BG129=1,"○ゲート通過",IF($BK$10&lt;&gt;1,"― この方向は停止中",IF($BA129&gt;$BK$2,"×値動きが荒い",IF($BB129&gt;$BK$3,"×レンジが広い",IF($BC129&gt;$BK$4,"×窓を開けて上昇",IF($Z129&gt;$BK$5,"×前日に急騰",IF($Z129&lt;$BK$6,"×前日に急落",IF($BD129&lt;$BK$7,"×高値から離れすぎ",IF($BE129&gt;$BK$8,"×当日の値幅が大きい","×")))))))))</f>
      </c>
    </row>
    <row r="130" spans="1:60"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IF(AND(E130&lt;&gt;"",K130&lt;&gt;"",K130&lt;&gt;0),(E130-K130)/K130*100,"")</f>
        <v>-43.659942363112393</v>
      </c>
      <c r="M130" s="333">
        <f>IF(C130&lt;&gt;"",IFERROR(AVERAGE(出来高!E144:I144),""),"")</f>
        <v>183040</v>
      </c>
      <c r="N130" s="333">
        <f>IF(C130&lt;&gt;"",IFERROR(AVERAGE(出来高!E144:AC144),""),"")</f>
        <v>148287.5</v>
      </c>
      <c r="O130" s="335">
        <f>IF(AND(J130&lt;&gt;"",M130&lt;&gt;"",M130&lt;&gt;0),J130/M130,"")</f>
        <v>1.1046765734265733</v>
      </c>
      <c r="P130" s="212" t="str">
        <f>IF(O130="","",IF(O130&gt;=2,"急増↑↑",IF(O130&gt;=1.5,"増加↑",IF(O130&gt;=1,"普通→","減少↓"))))</f>
        <v>普通→</v>
      </c>
      <c r="Q130" s="212" t="str">
        <f>IF(E130="","",IF(AND(E130&lt;G130,O130&gt;=1.5),"売り▼",IF(E130&gt;G130,"様子見▲","中立→")))</f>
        <v>中立→</v>
      </c>
      <c r="R130" s="333">
        <f>IF(E130&lt;&gt;"",ROUND(E130*0.92,0),"")</f>
        <v>17986</v>
      </c>
      <c r="S130" s="333">
        <f>IF(E130&lt;&gt;"",ROUND(E130*1.04,0),"")</f>
        <v>20332</v>
      </c>
      <c r="T130" s="325">
        <f>IF(C130="","",IFERROR(IF(W130&gt;=70,3,IF(W130&gt;=60,2,IF(W130&gt;=50,1,0)))+IF(X130&lt;0,2,0)+IF(AD130="下降トレンド▼",3,IF(AD130="もみ合い→",1,0))+IF(V130="年初来安値圏●",3,IF(V130="安値圏",2,0))+IF(Q130="売り▼",2,0)+IF(P130="急増↑↑",2,IF(P130="増加↑",1,0))+IF(Z130&lt;0,1,0)+IF(L130&lt;=-30,2,IF(L130&lt;=-15,1,0))+IF(AE130="25日戻り売り★",2,IF(AE130="5日戻り売り○",1,0))+N(AL130)+N(AP130)+N(AU130),0))</f>
        <v>12</v>
      </c>
      <c r="U130" s="212" t="str">
        <f>IF(T130="","",IF(AND(T130&gt;=3,O130&gt;=1.5),"有効",IF(T130&gt;=3,"要確認","除外")))</f>
        <v>要確認</v>
      </c>
      <c r="V130" s="212" t="str">
        <f>IF(AND(I130&lt;&gt;"",K130&lt;&gt;""),IF(I130&lt;=K130*0.6,"年初来安値圏●",IF(I130&lt;=K130*0.75,"安値圏","通常")),"")</f>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IF(AF130="","",AF130&amp;" | "&amp;AD130&amp;IF(AE130&lt;&gt;"なし"," "&amp;AE130,"")&amp;IF(X130&lt;0," MACD-"," MACD+")&amp;" RSI:"&amp;TEXT(W130,"0.0")&amp;IF(W130&gt;=70," [過熱]",IF(W130&lt;=30," [売られ過ぎ]",""))&amp;" 前日比:"&amp;TEXT(Z130,"+0.0;-0.0;0.0")&amp;"%"&amp;IF(V130="年初来安値圏●"," [年初来安値圏]",IF(V130="安値圏"," [安値圏]",""))&amp;IF(OR(AO130="通常",AO130="-"),""," ["&amp;AO130&amp;"]")&amp;IF(OR(AT130="通常",AT130="-"),"","前日["&amp;AT130&amp;"]")&amp;" ["&amp;T130&amp;"点]")</f>
        <v>相場上昇・見送り | 上昇トレンド▲ 5日戻り売り○ MACD- RSI:49.6 前日比:-8.9% [年初来安値圏] [大陰線▼]前日[長い下ヒゲ(反発)] [12点]</v>
      </c>
      <c r="Z130" s="338">
        <f>IF(AND(E130&lt;&gt;"",G130&lt;&gt;"",G130&lt;&gt;0),(E130-G130)/G130*100,"")</f>
        <v>-8.8578088578088572</v>
      </c>
      <c r="AA130" s="212" t="str">
        <f>IF(OR(C130="",E130="",E130=0),"",IF(E130&gt;G130,"上昇▲",IF(E130&lt;G130,"下落▼","横ばい→")))</f>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IF(OR(C130="",AB130="",AC130="",AB130=0,AC130=0),"",IF(AND(E130&gt;AB130,AB130&gt;AC130),"パーフェクト▲",IF(E130&gt;AC130,"上昇トレンド▲",IF(AND(E130&lt;AB130,AB130&lt;AC130),"下降トレンド▼","もみ合い→"))))</f>
        <v>上昇トレンド▲</v>
      </c>
      <c r="AE130" s="212" t="str">
        <f>IF(OR(C130="",AB130="",AC130=""),"",IF(AND(ABS(E130-AC130)/AC130&lt;=0.02,E130&lt;AC130),"25日戻り売り★",IF(AND(ABS(E130-AB130)/AB130&lt;=0.01,E130&lt;AB130),"5日戻り売り○","なし")))</f>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IF(AND(T130&gt;=7,C130&lt;&gt;""),T130,0)</f>
        <v>12</v>
      </c>
      <c r="AH130">
        <f>IF(AG130&gt;0,AG130*10000-ROW(A130),0)</f>
        <v>119870</v>
      </c>
      <c r="AI130" s="373">
        <f t="array" ref="AI130">IF(C130="","",IFERROR((INDEX(終値!$E:$E,MATCH(TEXT(C130,"0"),終値!$A:$A,0))-INDEX(終値!$E:$CZ,MATCH(TEXT(C130,"0"),終値!$A:$A,0),$AN$2))/INDEX(終値!$E:$CZ,MATCH(TEXT(C130,"0"),終値!$A:$A,0),$AN$2)*100,""))</f>
        <v>-24.224806201550386</v>
      </c>
      <c r="AJ130" s="373">
        <f t="array" ref="AJ130">IFERROR((終値!$E$5-INDEX(終値!$E$5:$IT$5,1,$AN$2))/INDEX(終値!$E$5:$IT$5,1,$AN$2)*100,"")</f>
        <v>1.0179378228534113</v>
      </c>
      <c r="AK130" s="374">
        <f>IF(OR(AI130="",AJ130=""),"",AI130-AJ130)</f>
        <v>-25.242744024403798</v>
      </c>
      <c r="AL130" s="372">
        <f>IF(AK130="","",IF(AK130&lt;-5,3,IF(AK130&lt;0,1,IF(AK130&lt;3,-1,-2))))</f>
        <v>3</v>
      </c>
      <c r="AO130" s="376" t="str">
        <f>IF(OR($C130="",$E130="",$F130="",$H130="",$I130="",$H130-$I130&lt;=0),"-",IF(AND($H130-MAX($F130,$E130)&gt;=ABS($E130-$F130)*2,MIN($F130,$E130)-$I130&lt;=ABS($E130-$F130)*0.5,ABS($E130-$F130)&gt;0),"上ヒゲ陰線▼",IF(AND($E130&lt;$F130,ABS($E130-$F130)&gt;=($H130-$I130)*0.7),"大陰線▼",IF(AND(MIN($F130,$E130)-$I130&gt;=($H130-$I130)*0.5,$H130-MAX($F130,$E130)&lt;=($H130-$I130)*0.2),"長い下ヒゲ(反発警戒)","通常"))))</f>
        <v>大陰線▼</v>
      </c>
      <c r="AP130" s="377">
        <f>IF($AO130="上ヒゲ陰線▼",2,IF($AO130="大陰線▼",2,IF($AO130="長い下ヒゲ(反発警戒)",-2,0)))</f>
        <v>2</v>
      </c>
      <c r="AQ130">
        <f>IF(C130&lt;&gt;"",始値!F144,"")</f>
        <v>21000</v>
      </c>
      <c r="AR130">
        <f>IF(C130&lt;&gt;"",高値!F144,"")</f>
        <v>21540</v>
      </c>
      <c r="AS130">
        <f>IF(C130&lt;&gt;"",安値!F144,"")</f>
        <v>20320</v>
      </c>
      <c r="AT130" t="str">
        <f>IF(OR(C130="",AQ130="",AR130="",AS130="",AR130-AS130&lt;=0),"-",IF(AND(AR130-MAX(G130,AQ130)&gt;=ABS(G130-AQ130)*2,MIN(G130,AQ130)-AS130&lt;=ABS(G130-AQ130)*0.5,ABS(G130-AQ130)&gt;0),"上ヒゲ陰線▼",IF(AND(G130&lt;AQ130,ABS(G130-AQ130)&gt;=(AR130-AS130)*0.7),"大陰線▼",IF(AND(MIN(G130,AQ130)-AS130&gt;=(AR130-AS130)*0.5,AR130-MAX(G130,AQ130)&lt;=(AR130-AS130)*0.2),"長い下ヒゲ(反発)","通常"))))</f>
        <v>長い下ヒゲ(反発)</v>
      </c>
      <c r="AU130">
        <f>IF(AT130="上ヒゲ陰線▼",2,IF(AT130="大陰線▼",2,IF(AT130="長い下ヒゲ(反発)",-2,0)))</f>
        <v>-2</v>
      </c>
      <c r="BA130">
        <f>IFERROR((SUM(OFFSET(高値!$E$6,IFERROR(MATCH($C130,銘柄管理!$B$6:$B$305,0),MATCH(TEXT($C130,"0"),銘柄管理!$B$6:$B$305,0))-1,0,1,14))-SUM(OFFSET(安値!$E$6,IFERROR(MATCH($C130,銘柄管理!$B$6:$B$305,0),MATCH(TEXT($C130,"0"),銘柄管理!$B$6:$B$305,0))-1,0,1,14)))/SUM(OFFSET(終値!$E$6,IFERROR(MATCH($C130,銘柄管理!$B$6:$B$305,0),MATCH(TEXT($C130,"0"),銘柄管理!$B$6:$B$305,0))-1,0,1,14))*100,"")</f>
      </c>
      <c r="BB130">
        <f>IFERROR((MAX(OFFSET(高値!$E$6,IFERROR(MATCH($C130,銘柄管理!$B$6:$B$305,0),MATCH(TEXT($C130,"0"),銘柄管理!$B$6:$B$305,0))-1,0,1,25))-MIN(OFFSET(安値!$E$6,IFERROR(MATCH($C130,銘柄管理!$B$6:$B$305,0),MATCH(TEXT($C130,"0"),銘柄管理!$B$6:$B$305,0))-1,0,1,25)))/$E130*100,"")</f>
      </c>
      <c r="BC130">
        <f>IFERROR(($F130-$G130)/$G130*100,"")</f>
      </c>
      <c r="BD130">
        <f>IFERROR(($E130-MAX(OFFSET(高値!$E$6,IFERROR(MATCH($C130,銘柄管理!$B$6:$B$305,0),MATCH(TEXT($C130,"0"),銘柄管理!$B$6:$B$305,0))-1,0,1,25)))/MAX(OFFSET(高値!$E$6,IFERROR(MATCH($C130,銘柄管理!$B$6:$B$305,0),MATCH(TEXT($C130,"0"),銘柄管理!$B$6:$B$305,0))-1,0,1,25))*100,"")</f>
      </c>
      <c r="BE130">
        <f>IFERROR(($H130-$I130)/$F130*100,"")</f>
      </c>
      <c r="BF130">
        <f>IFERROR(-(($BA130-AVERAGE($BA$3:$BA$206))/STDEV($BA$3:$BA$206))-(($BE130-AVERAGE($BE$3:$BE$206))/STDEV($BE$3:$BE$206))-(($BB130-AVERAGE($BB$3:$BB$206))/STDEV($BB$3:$BB$206))-(($Z130-AVERAGE($Z$3:$Z$206))/STDEV($Z$3:$Z$206))-(($BC130-AVERAGE($BC$3:$BC$206))/STDEV($BC$3:$BC$206)),"")</f>
      </c>
      <c r="BG130">
        <f>IF(OR($C130="",$C130="TOPX",$BA130="",$BF130=""),0,IF(AND($BK$10=1,$BA130&lt;=$BK$2,$BB130&lt;=$BK$3,$BC130&lt;=$BK$4,$Z130&lt;=$BK$5,$Z130&gt;=$BK$6,$BD130&gt;=$BK$7,$BE130&lt;=$BK$8),1,0))</f>
      </c>
      <c r="BH130">
        <f>IF($C130="","",IF($BG130=1,"○ゲート通過",IF($BK$10&lt;&gt;1,"― この方向は停止中",IF($BA130&gt;$BK$2,"×値動きが荒い",IF($BB130&gt;$BK$3,"×レンジが広い",IF($BC130&gt;$BK$4,"×窓を開けて上昇",IF($Z130&gt;$BK$5,"×前日に急騰",IF($Z130&lt;$BK$6,"×前日に急落",IF($BD130&lt;$BK$7,"×高値から離れすぎ",IF($BE130&gt;$BK$8,"×当日の値幅が大きい","×")))))))))</f>
      </c>
    </row>
    <row r="131" spans="1:60"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IF(AND(E131&lt;&gt;"",K131&lt;&gt;"",K131&lt;&gt;0),(E131-K131)/K131*100,"")</f>
        <v>-68.542713567839201</v>
      </c>
      <c r="M131" s="326">
        <f>IF(C131&lt;&gt;"",IFERROR(AVERAGE(出来高!E146:I146),""),"")</f>
        <v>162220</v>
      </c>
      <c r="N131" s="326">
        <f>IF(C131&lt;&gt;"",IFERROR(AVERAGE(出来高!E146:AC146),""),"")</f>
        <v>220876</v>
      </c>
      <c r="O131" s="328">
        <f>IF(AND(J131&lt;&gt;"",M131&lt;&gt;"",M131&lt;&gt;0),J131/M131,"")</f>
        <v>0.49870546171865365</v>
      </c>
      <c r="P131" s="325" t="str">
        <f>IF(O131="","",IF(O131&gt;=2,"急増↑↑",IF(O131&gt;=1.5,"増加↑",IF(O131&gt;=1,"普通→","減少↓"))))</f>
        <v>減少↓</v>
      </c>
      <c r="Q131" s="325" t="str">
        <f>IF(E131="","",IF(AND(E131&lt;G131,O131&gt;=1.5),"売り▼",IF(E131&gt;G131,"様子見▲","中立→")))</f>
        <v>中立→</v>
      </c>
      <c r="R131" s="326">
        <f>IF(E131&lt;&gt;"",ROUND(E131*0.92,0),"")</f>
        <v>288</v>
      </c>
      <c r="S131" s="326">
        <f>IF(E131&lt;&gt;"",ROUND(E131*1.04,0),"")</f>
        <v>326</v>
      </c>
      <c r="T131" s="325">
        <f>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8</v>
      </c>
      <c r="U131" s="325" t="str">
        <f>IF(T131="","",IF(AND(T131&gt;=3,O131&gt;=1.5),"有効",IF(T131&gt;=3,"要確認","除外")))</f>
        <v>要確認</v>
      </c>
      <c r="V131" s="325" t="str">
        <f>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IF(AND(E131&lt;&gt;"",G131&lt;&gt;"",G131&lt;&gt;0),(E131-G131)/G131*100,"")</f>
        <v>-0.63492063492063489</v>
      </c>
      <c r="AA131" s="325" t="str">
        <f>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IF(OR(C131="",AB131="",AC131="",AB131=0,AC131=0),"",IF(AND(E131&gt;AB131,AB131&gt;AC131),"パーフェクト▲",IF(E131&gt;AC131,"上昇トレンド▲",IF(AND(E131&lt;AB131,AB131&lt;AC131),"下降トレンド▼","もみ合い→"))))</f>
        <v>上昇トレンド▲</v>
      </c>
      <c r="AE131" s="325" t="str">
        <f>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IF(AND(T131&gt;=7,C131&lt;&gt;""),T131,0)</f>
        <v>8</v>
      </c>
      <c r="AH131">
        <f>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IFERROR((終値!$E$5-INDEX(終値!$E$5:$IT$5,1,$AN$2))/INDEX(終値!$E$5:$IT$5,1,$AN$2)*100,"")</f>
        <v>1.0179378228534113</v>
      </c>
      <c r="AK131" s="374">
        <f>IF(OR(AI131="",AJ131=""),"",AI131-AJ131)</f>
        <v>0.9364595712833963</v>
      </c>
      <c r="AL131" s="372">
        <f>IF(AK131="","",IF(AK131&lt;-5,3,IF(AK131&lt;0,1,IF(AK131&lt;3,-1,-2))))</f>
        <v>-1</v>
      </c>
      <c r="AO131" s="376" t="str">
        <f>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IF($AO131="上ヒゲ陰線▼",2,IF($AO131="大陰線▼",2,IF($AO131="長い下ヒゲ(反発警戒)",-2,0)))</f>
        <v>0</v>
      </c>
      <c r="AQ131">
        <f>IF(C131&lt;&gt;"",始値!F146,"")</f>
        <v>316</v>
      </c>
      <c r="AR131">
        <f>IF(C131&lt;&gt;"",高値!F146,"")</f>
        <v>322</v>
      </c>
      <c r="AS131">
        <f>IF(C131&lt;&gt;"",安値!F146,"")</f>
        <v>313</v>
      </c>
      <c r="AT131" t="str">
        <f>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IF(AT131="上ヒゲ陰線▼",2,IF(AT131="大陰線▼",2,IF(AT131="長い下ヒゲ(反発)",-2,0)))</f>
        <v>0</v>
      </c>
      <c r="BA131">
        <f>IFERROR((SUM(OFFSET(高値!$E$6,IFERROR(MATCH($C131,銘柄管理!$B$6:$B$305,0),MATCH(TEXT($C131,"0"),銘柄管理!$B$6:$B$305,0))-1,0,1,14))-SUM(OFFSET(安値!$E$6,IFERROR(MATCH($C131,銘柄管理!$B$6:$B$305,0),MATCH(TEXT($C131,"0"),銘柄管理!$B$6:$B$305,0))-1,0,1,14)))/SUM(OFFSET(終値!$E$6,IFERROR(MATCH($C131,銘柄管理!$B$6:$B$305,0),MATCH(TEXT($C131,"0"),銘柄管理!$B$6:$B$305,0))-1,0,1,14))*100,"")</f>
      </c>
      <c r="BB131">
        <f>IFERROR((MAX(OFFSET(高値!$E$6,IFERROR(MATCH($C131,銘柄管理!$B$6:$B$305,0),MATCH(TEXT($C131,"0"),銘柄管理!$B$6:$B$305,0))-1,0,1,25))-MIN(OFFSET(安値!$E$6,IFERROR(MATCH($C131,銘柄管理!$B$6:$B$305,0),MATCH(TEXT($C131,"0"),銘柄管理!$B$6:$B$305,0))-1,0,1,25)))/$E131*100,"")</f>
      </c>
      <c r="BC131">
        <f>IFERROR(($F131-$G131)/$G131*100,"")</f>
      </c>
      <c r="BD131">
        <f>IFERROR(($E131-MAX(OFFSET(高値!$E$6,IFERROR(MATCH($C131,銘柄管理!$B$6:$B$305,0),MATCH(TEXT($C131,"0"),銘柄管理!$B$6:$B$305,0))-1,0,1,25)))/MAX(OFFSET(高値!$E$6,IFERROR(MATCH($C131,銘柄管理!$B$6:$B$305,0),MATCH(TEXT($C131,"0"),銘柄管理!$B$6:$B$305,0))-1,0,1,25))*100,"")</f>
      </c>
      <c r="BE131">
        <f>IFERROR(($H131-$I131)/$F131*100,"")</f>
      </c>
      <c r="BF131">
        <f>IFERROR(-(($BA131-AVERAGE($BA$3:$BA$206))/STDEV($BA$3:$BA$206))-(($BE131-AVERAGE($BE$3:$BE$206))/STDEV($BE$3:$BE$206))-(($BB131-AVERAGE($BB$3:$BB$206))/STDEV($BB$3:$BB$206))-(($Z131-AVERAGE($Z$3:$Z$206))/STDEV($Z$3:$Z$206))-(($BC131-AVERAGE($BC$3:$BC$206))/STDEV($BC$3:$BC$206)),"")</f>
      </c>
      <c r="BG131">
        <f>IF(OR($C131="",$C131="TOPX",$BA131="",$BF131=""),0,IF(AND($BK$10=1,$BA131&lt;=$BK$2,$BB131&lt;=$BK$3,$BC131&lt;=$BK$4,$Z131&lt;=$BK$5,$Z131&gt;=$BK$6,$BD131&gt;=$BK$7,$BE131&lt;=$BK$8),1,0))</f>
      </c>
      <c r="BH131">
        <f>IF($C131="","",IF($BG131=1,"○ゲート通過",IF($BK$10&lt;&gt;1,"― この方向は停止中",IF($BA131&gt;$BK$2,"×値動きが荒い",IF($BB131&gt;$BK$3,"×レンジが広い",IF($BC131&gt;$BK$4,"×窓を開けて上昇",IF($Z131&gt;$BK$5,"×前日に急騰",IF($Z131&lt;$BK$6,"×前日に急落",IF($BD131&lt;$BK$7,"×高値から離れすぎ",IF($BE131&gt;$BK$8,"×当日の値幅が大きい","×")))))))))</f>
      </c>
    </row>
    <row r="132" spans="1:60"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IF(AND(E132&lt;&gt;"",K132&lt;&gt;"",K132&lt;&gt;0),(E132-K132)/K132*100,"")</f>
        <v>-11.359782977280435</v>
      </c>
      <c r="M132" s="333">
        <f>IF(C132&lt;&gt;"",IFERROR(AVERAGE(出来高!E156:I156),""),"")</f>
        <v>1458900</v>
      </c>
      <c r="N132" s="333">
        <f>IF(C132&lt;&gt;"",IFERROR(AVERAGE(出来高!E156:AC156),""),"")</f>
        <v>980244</v>
      </c>
      <c r="O132" s="335">
        <f>IF(AND(J132&lt;&gt;"",M132&lt;&gt;"",M132&lt;&gt;0),J132/M132,"")</f>
        <v>0.98725066831174169</v>
      </c>
      <c r="P132" s="212" t="str">
        <f>IF(O132="","",IF(O132&gt;=2,"急増↑↑",IF(O132&gt;=1.5,"増加↑",IF(O132&gt;=1,"普通→","減少↓"))))</f>
        <v>減少↓</v>
      </c>
      <c r="Q132" s="212" t="str">
        <f>IF(E132="","",IF(AND(E132&lt;G132,O132&gt;=1.5),"売り▼",IF(E132&gt;G132,"様子見▲","中立→")))</f>
        <v>様子見▲</v>
      </c>
      <c r="R132" s="333">
        <f>IF(E132&lt;&gt;"",ROUND(E132*0.92,0),"")</f>
        <v>2405</v>
      </c>
      <c r="S132" s="333">
        <f>IF(E132&lt;&gt;"",ROUND(E132*1.04,0),"")</f>
        <v>2719</v>
      </c>
      <c r="T132" s="325">
        <f>IF(C132="","",IFERROR(IF(W132&gt;=70,3,IF(W132&gt;=60,2,IF(W132&gt;=50,1,0)))+IF(X132&lt;0,2,0)+IF(AD132="下降トレンド▼",3,IF(AD132="もみ合い→",1,0))+IF(V132="年初来安値圏●",3,IF(V132="安値圏",2,0))+IF(Q132="売り▼",2,0)+IF(P132="急増↑↑",2,IF(P132="増加↑",1,0))+IF(Z132&lt;0,1,0)+IF(L132&lt;=-30,2,IF(L132&lt;=-15,1,0))+IF(AE132="25日戻り売り★",2,IF(AE132="5日戻り売り○",1,0))+N(AL132)+N(AP132)+N(AU132),0))</f>
        <v>5</v>
      </c>
      <c r="U132" s="212" t="str">
        <f>IF(T132="","",IF(AND(T132&gt;=3,O132&gt;=1.5),"有効",IF(T132&gt;=3,"要確認","除外")))</f>
        <v>要確認</v>
      </c>
      <c r="V132" s="212" t="str">
        <f>IF(AND(I132&lt;&gt;"",K132&lt;&gt;""),IF(I132&lt;=K132*0.6,"年初来安値圏●",IF(I132&lt;=K132*0.75,"安値圏","通常")),"")</f>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IF(AF132="","",AF132&amp;" | "&amp;AD132&amp;IF(AE132&lt;&gt;"なし"," "&amp;AE132,"")&amp;IF(X132&lt;0," MACD-"," MACD+")&amp;" RSI:"&amp;TEXT(W132,"0.0")&amp;IF(W132&gt;=70," [過熱]",IF(W132&lt;=30," [売られ過ぎ]",""))&amp;" 前日比:"&amp;TEXT(Z132,"+0.0;-0.0;0.0")&amp;"%"&amp;IF(V132="年初来安値圏●"," [年初来安値圏]",IF(V132="安値圏"," [安値圏]",""))&amp;IF(OR(AO132="通常",AO132="-"),""," ["&amp;AO132&amp;"]")&amp;IF(OR(AT132="通常",AT132="-"),"","前日["&amp;AT132&amp;"]")&amp;" ["&amp;T132&amp;"点]")</f>
        <v>相場上昇・見送り | 上昇トレンド▲ MACD- RSI:46.1 前日比:+2.6% [5点]</v>
      </c>
      <c r="Z132" s="338">
        <f>IF(AND(E132&lt;&gt;"",G132&lt;&gt;"",G132&lt;&gt;0),(E132-G132)/G132*100,"")</f>
        <v>2.5902668759811616</v>
      </c>
      <c r="AA132" s="212" t="str">
        <f>IF(OR(C132="",E132="",E132=0),"",IF(E132&gt;G132,"上昇▲",IF(E132&lt;G132,"下落▼","横ばい→")))</f>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IF(OR(C132="",AB132="",AC132="",AB132=0,AC132=0),"",IF(AND(E132&gt;AB132,AB132&gt;AC132),"パーフェクト▲",IF(E132&gt;AC132,"上昇トレンド▲",IF(AND(E132&lt;AB132,AB132&lt;AC132),"下降トレンド▼","もみ合い→"))))</f>
        <v>上昇トレンド▲</v>
      </c>
      <c r="AE132" s="212" t="str">
        <f>IF(OR(C132="",AB132="",AC132=""),"",IF(AND(ABS(E132-AC132)/AC132&lt;=0.02,E132&lt;AC132),"25日戻り売り★",IF(AND(ABS(E132-AB132)/AB132&lt;=0.01,E132&lt;AB132),"5日戻り売り○","なし")))</f>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IF(AND(T132&gt;=7,C132&lt;&gt;""),T132,0)</f>
        <v>0</v>
      </c>
      <c r="AH132">
        <f>IF(AG132&gt;0,AG132*10000-ROW(A132),0)</f>
        <v>0</v>
      </c>
      <c r="AI132" s="373">
        <f t="array" ref="AI132">IF(C132="","",IFERROR((INDEX(終値!$E:$E,MATCH(TEXT(C132,"0"),終値!$A:$A,0))-INDEX(終値!$E:$CZ,MATCH(TEXT(C132,"0"),終値!$A:$A,0),$AN$2))/INDEX(終値!$E:$CZ,MATCH(TEXT(C132,"0"),終値!$A:$A,0),$AN$2)*100,""))</f>
        <v>-5.1523947750362842</v>
      </c>
      <c r="AJ132" s="373">
        <f t="array" ref="AJ132">IFERROR((終値!$E$5-INDEX(終値!$E$5:$IT$5,1,$AN$2))/INDEX(終値!$E$5:$IT$5,1,$AN$2)*100,"")</f>
        <v>1.0179378228534113</v>
      </c>
      <c r="AK132" s="374">
        <f>IF(OR(AI132="",AJ132=""),"",AI132-AJ132)</f>
        <v>-6.1703325978896952</v>
      </c>
      <c r="AL132" s="372">
        <f>IF(AK132="","",IF(AK132&lt;-5,3,IF(AK132&lt;0,1,IF(AK132&lt;3,-1,-2))))</f>
        <v>3</v>
      </c>
      <c r="AO132" s="376" t="str">
        <f>IF(OR($C132="",$E132="",$F132="",$H132="",$I132="",$H132-$I132&lt;=0),"-",IF(AND($H132-MAX($F132,$E132)&gt;=ABS($E132-$F132)*2,MIN($F132,$E132)-$I132&lt;=ABS($E132-$F132)*0.5,ABS($E132-$F132)&gt;0),"上ヒゲ陰線▼",IF(AND($E132&lt;$F132,ABS($E132-$F132)&gt;=($H132-$I132)*0.7),"大陰線▼",IF(AND(MIN($F132,$E132)-$I132&gt;=($H132-$I132)*0.5,$H132-MAX($F132,$E132)&lt;=($H132-$I132)*0.2),"長い下ヒゲ(反発警戒)","通常"))))</f>
        <v>通常</v>
      </c>
      <c r="AP132" s="377">
        <f>IF($AO132="上ヒゲ陰線▼",2,IF($AO132="大陰線▼",2,IF($AO132="長い下ヒゲ(反発警戒)",-2,0)))</f>
        <v>0</v>
      </c>
      <c r="AQ132">
        <f>IF(C132&lt;&gt;"",始値!F156,"")</f>
        <v>2524</v>
      </c>
      <c r="AR132">
        <f>IF(C132&lt;&gt;"",高値!F156,"")</f>
        <v>2577</v>
      </c>
      <c r="AS132">
        <f>IF(C132&lt;&gt;"",安値!F156,"")</f>
        <v>2520</v>
      </c>
      <c r="AT132" t="str">
        <f>IF(OR(C132="",AQ132="",AR132="",AS132="",AR132-AS132&lt;=0),"-",IF(AND(AR132-MAX(G132,AQ132)&gt;=ABS(G132-AQ132)*2,MIN(G132,AQ132)-AS132&lt;=ABS(G132-AQ132)*0.5,ABS(G132-AQ132)&gt;0),"上ヒゲ陰線▼",IF(AND(G132&lt;AQ132,ABS(G132-AQ132)&gt;=(AR132-AS132)*0.7),"大陰線▼",IF(AND(MIN(G132,AQ132)-AS132&gt;=(AR132-AS132)*0.5,AR132-MAX(G132,AQ132)&lt;=(AR132-AS132)*0.2),"長い下ヒゲ(反発)","通常"))))</f>
        <v>通常</v>
      </c>
      <c r="AU132">
        <f>IF(AT132="上ヒゲ陰線▼",2,IF(AT132="大陰線▼",2,IF(AT132="長い下ヒゲ(反発)",-2,0)))</f>
        <v>0</v>
      </c>
      <c r="BA132">
        <f>IFERROR((SUM(OFFSET(高値!$E$6,IFERROR(MATCH($C132,銘柄管理!$B$6:$B$305,0),MATCH(TEXT($C132,"0"),銘柄管理!$B$6:$B$305,0))-1,0,1,14))-SUM(OFFSET(安値!$E$6,IFERROR(MATCH($C132,銘柄管理!$B$6:$B$305,0),MATCH(TEXT($C132,"0"),銘柄管理!$B$6:$B$305,0))-1,0,1,14)))/SUM(OFFSET(終値!$E$6,IFERROR(MATCH($C132,銘柄管理!$B$6:$B$305,0),MATCH(TEXT($C132,"0"),銘柄管理!$B$6:$B$305,0))-1,0,1,14))*100,"")</f>
      </c>
      <c r="BB132">
        <f>IFERROR((MAX(OFFSET(高値!$E$6,IFERROR(MATCH($C132,銘柄管理!$B$6:$B$305,0),MATCH(TEXT($C132,"0"),銘柄管理!$B$6:$B$305,0))-1,0,1,25))-MIN(OFFSET(安値!$E$6,IFERROR(MATCH($C132,銘柄管理!$B$6:$B$305,0),MATCH(TEXT($C132,"0"),銘柄管理!$B$6:$B$305,0))-1,0,1,25)))/$E132*100,"")</f>
      </c>
      <c r="BC132">
        <f>IFERROR(($F132-$G132)/$G132*100,"")</f>
      </c>
      <c r="BD132">
        <f>IFERROR(($E132-MAX(OFFSET(高値!$E$6,IFERROR(MATCH($C132,銘柄管理!$B$6:$B$305,0),MATCH(TEXT($C132,"0"),銘柄管理!$B$6:$B$305,0))-1,0,1,25)))/MAX(OFFSET(高値!$E$6,IFERROR(MATCH($C132,銘柄管理!$B$6:$B$305,0),MATCH(TEXT($C132,"0"),銘柄管理!$B$6:$B$305,0))-1,0,1,25))*100,"")</f>
      </c>
      <c r="BE132">
        <f>IFERROR(($H132-$I132)/$F132*100,"")</f>
      </c>
      <c r="BF132">
        <f>IFERROR(-(($BA132-AVERAGE($BA$3:$BA$206))/STDEV($BA$3:$BA$206))-(($BE132-AVERAGE($BE$3:$BE$206))/STDEV($BE$3:$BE$206))-(($BB132-AVERAGE($BB$3:$BB$206))/STDEV($BB$3:$BB$206))-(($Z132-AVERAGE($Z$3:$Z$206))/STDEV($Z$3:$Z$206))-(($BC132-AVERAGE($BC$3:$BC$206))/STDEV($BC$3:$BC$206)),"")</f>
      </c>
      <c r="BG132">
        <f>IF(OR($C132="",$C132="TOPX",$BA132="",$BF132=""),0,IF(AND($BK$10=1,$BA132&lt;=$BK$2,$BB132&lt;=$BK$3,$BC132&lt;=$BK$4,$Z132&lt;=$BK$5,$Z132&gt;=$BK$6,$BD132&gt;=$BK$7,$BE132&lt;=$BK$8),1,0))</f>
      </c>
      <c r="BH132">
        <f>IF($C132="","",IF($BG132=1,"○ゲート通過",IF($BK$10&lt;&gt;1,"― この方向は停止中",IF($BA132&gt;$BK$2,"×値動きが荒い",IF($BB132&gt;$BK$3,"×レンジが広い",IF($BC132&gt;$BK$4,"×窓を開けて上昇",IF($Z132&gt;$BK$5,"×前日に急騰",IF($Z132&lt;$BK$6,"×前日に急落",IF($BD132&lt;$BK$7,"×高値から離れすぎ",IF($BE132&gt;$BK$8,"×当日の値幅が大きい","×")))))))))</f>
      </c>
    </row>
    <row r="133" spans="1:60"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IF(AND(E133&lt;&gt;"",K133&lt;&gt;"",K133&lt;&gt;0),(E133-K133)/K133*100,"")</f>
        <v>-8.268493787016606</v>
      </c>
      <c r="M133" s="326">
        <f>IF(C133&lt;&gt;"",IFERROR(AVERAGE(出来高!E165:I165),""),"")</f>
        <v>239600</v>
      </c>
      <c r="N133" s="326">
        <f>IF(C133&lt;&gt;"",IFERROR(AVERAGE(出来高!E165:AC165),""),"")</f>
        <v>338028</v>
      </c>
      <c r="O133" s="328">
        <f>IF(AND(J133&lt;&gt;"",M133&lt;&gt;"",M133&lt;&gt;0),J133/M133,"")</f>
        <v>0.70701168614357257</v>
      </c>
      <c r="P133" s="325" t="str">
        <f>IF(O133="","",IF(O133&gt;=2,"急増↑↑",IF(O133&gt;=1.5,"増加↑",IF(O133&gt;=1,"普通→","減少↓"))))</f>
        <v>減少↓</v>
      </c>
      <c r="Q133" s="325" t="str">
        <f>IF(E133="","",IF(AND(E133&lt;G133,O133&gt;=1.5),"売り▼",IF(E133&gt;G133,"様子見▲","中立→")))</f>
        <v>様子見▲</v>
      </c>
      <c r="R133" s="326">
        <f>IF(E133&lt;&gt;"",ROUND(E133*0.92,0),"")</f>
        <v>7267</v>
      </c>
      <c r="S133" s="326">
        <f>IF(E133&lt;&gt;"",ROUND(E133*1.04,0),"")</f>
        <v>8215</v>
      </c>
      <c r="T133" s="325">
        <f>IF(C133="","",IFERROR(IF(W133&gt;=70,3,IF(W133&gt;=60,2,IF(W133&gt;=50,1,0)))+IF(X133&lt;0,2,0)+IF(AD133="下降トレンド▼",3,IF(AD133="もみ合い→",1,0))+IF(V133="年初来安値圏●",3,IF(V133="安値圏",2,0))+IF(Q133="売り▼",2,0)+IF(P133="急増↑↑",2,IF(P133="増加↑",1,0))+IF(Z133&lt;0,1,0)+IF(L133&lt;=-30,2,IF(L133&lt;=-15,1,0))+IF(AE133="25日戻り売り★",2,IF(AE133="5日戻り売り○",1,0))+N(AL133)+N(AP133)+N(AU133),0))</f>
        <v>3</v>
      </c>
      <c r="U133" s="325" t="str">
        <f>IF(T133="","",IF(AND(T133&gt;=3,O133&gt;=1.5),"有効",IF(T133&gt;=3,"要確認","除外")))</f>
        <v>要確認</v>
      </c>
      <c r="V133" s="325" t="str">
        <f>IF(AND(I133&lt;&gt;"",K133&lt;&gt;""),IF(I133&lt;=K133*0.6,"年初来安値圏●",IF(I133&lt;=K133*0.75,"安値圏","通常")),"")</f>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IF(AF133="","",AF133&amp;" | "&amp;AD133&amp;IF(AE133&lt;&gt;"なし"," "&amp;AE133,"")&amp;IF(X133&lt;0," MACD-"," MACD+")&amp;" RSI:"&amp;TEXT(W133,"0.0")&amp;IF(W133&gt;=70," [過熱]",IF(W133&lt;=30," [売られ過ぎ]",""))&amp;" 前日比:"&amp;TEXT(Z133,"+0.0;-0.0;0.0")&amp;"%"&amp;IF(V133="年初来安値圏●"," [年初来安値圏]",IF(V133="安値圏"," [安値圏]",""))&amp;IF(OR(AO133="通常",AO133="-"),""," ["&amp;AO133&amp;"]")&amp;IF(OR(AT133="通常",AT133="-"),"","前日["&amp;AT133&amp;"]")&amp;" ["&amp;T133&amp;"点]")</f>
        <v>△過熱・様子見 | パーフェクト▲ MACD+ RSI:72.9 [過熱] 前日比:+2.0%前日[上ヒゲ陰線▼] [3点]</v>
      </c>
      <c r="Z133" s="331">
        <f>IF(AND(E133&lt;&gt;"",G133&lt;&gt;"",G133&lt;&gt;0),(E133-G133)/G133*100,"")</f>
        <v>1.9752130131680867</v>
      </c>
      <c r="AA133" s="325" t="str">
        <f>IF(OR(C133="",E133="",E133=0),"",IF(E133&gt;G133,"上昇▲",IF(E133&lt;G133,"下落▼","横ばい→")))</f>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IF(OR(C133="",AB133="",AC133="",AB133=0,AC133=0),"",IF(AND(E133&gt;AB133,AB133&gt;AC133),"パーフェクト▲",IF(E133&gt;AC133,"上昇トレンド▲",IF(AND(E133&lt;AB133,AB133&lt;AC133),"下降トレンド▼","もみ合い→"))))</f>
        <v>パーフェクト▲</v>
      </c>
      <c r="AE133" s="325" t="str">
        <f>IF(OR(C133="",AB133="",AC133=""),"",IF(AND(ABS(E133-AC133)/AC133&lt;=0.02,E133&lt;AC133),"25日戻り売り★",IF(AND(ABS(E133-AB133)/AB133&lt;=0.01,E133&lt;AB133),"5日戻り売り○","なし")))</f>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IF(AND(T133&gt;=7,C133&lt;&gt;""),T133,0)</f>
        <v>0</v>
      </c>
      <c r="AH133">
        <f>IF(AG133&gt;0,AG133*10000-ROW(A133),0)</f>
        <v>0</v>
      </c>
      <c r="AI133" s="373">
        <f t="array" ref="AI133">IF(C133="","",IFERROR((INDEX(終値!$E:$E,MATCH(TEXT(C133,"0"),終値!$A:$A,0))-INDEX(終値!$E:$CZ,MATCH(TEXT(C133,"0"),終値!$A:$A,0),$AN$2))/INDEX(終値!$E:$CZ,MATCH(TEXT(C133,"0"),終値!$A:$A,0),$AN$2)*100,""))</f>
        <v>30.389567514031036</v>
      </c>
      <c r="AJ133" s="373">
        <f t="array" ref="AJ133">IFERROR((終値!$E$5-INDEX(終値!$E$5:$IT$5,1,$AN$2))/INDEX(終値!$E$5:$IT$5,1,$AN$2)*100,"")</f>
        <v>1.0179378228534113</v>
      </c>
      <c r="AK133" s="374">
        <f>IF(OR(AI133="",AJ133=""),"",AI133-AJ133)</f>
        <v>29.371629691177624</v>
      </c>
      <c r="AL133" s="372">
        <f>IF(AK133="","",IF(AK133&lt;-5,3,IF(AK133&lt;0,1,IF(AK133&lt;3,-1,-2))))</f>
        <v>-2</v>
      </c>
      <c r="AO133" s="376" t="str">
        <f>IF(OR($C133="",$E133="",$F133="",$H133="",$I133="",$H133-$I133&lt;=0),"-",IF(AND($H133-MAX($F133,$E133)&gt;=ABS($E133-$F133)*2,MIN($F133,$E133)-$I133&lt;=ABS($E133-$F133)*0.5,ABS($E133-$F133)&gt;0),"上ヒゲ陰線▼",IF(AND($E133&lt;$F133,ABS($E133-$F133)&gt;=($H133-$I133)*0.7),"大陰線▼",IF(AND(MIN($F133,$E133)-$I133&gt;=($H133-$I133)*0.5,$H133-MAX($F133,$E133)&lt;=($H133-$I133)*0.2),"長い下ヒゲ(反発警戒)","通常"))))</f>
        <v>通常</v>
      </c>
      <c r="AP133" s="377">
        <f>IF($AO133="上ヒゲ陰線▼",2,IF($AO133="大陰線▼",2,IF($AO133="長い下ヒゲ(反発警戒)",-2,0)))</f>
        <v>0</v>
      </c>
      <c r="AQ133">
        <f>IF(C133&lt;&gt;"",始値!F165,"")</f>
        <v>7781</v>
      </c>
      <c r="AR133">
        <f>IF(C133&lt;&gt;"",高値!F165,"")</f>
        <v>7935</v>
      </c>
      <c r="AS133">
        <f>IF(C133&lt;&gt;"",安値!F165,"")</f>
        <v>7746</v>
      </c>
      <c r="AT133" t="str">
        <f>IF(OR(C133="",AQ133="",AR133="",AS133="",AR133-AS133&lt;=0),"-",IF(AND(AR133-MAX(G133,AQ133)&gt;=ABS(G133-AQ133)*2,MIN(G133,AQ133)-AS133&lt;=ABS(G133-AQ133)*0.5,ABS(G133-AQ133)&gt;0),"上ヒゲ陰線▼",IF(AND(G133&lt;AQ133,ABS(G133-AQ133)&gt;=(AR133-AS133)*0.7),"大陰線▼",IF(AND(MIN(G133,AQ133)-AS133&gt;=(AR133-AS133)*0.5,AR133-MAX(G133,AQ133)&lt;=(AR133-AS133)*0.2),"長い下ヒゲ(反発)","通常"))))</f>
        <v>上ヒゲ陰線▼</v>
      </c>
      <c r="AU133">
        <f>IF(AT133="上ヒゲ陰線▼",2,IF(AT133="大陰線▼",2,IF(AT133="長い下ヒゲ(反発)",-2,0)))</f>
        <v>2</v>
      </c>
      <c r="BA133">
        <f>IFERROR((SUM(OFFSET(高値!$E$6,IFERROR(MATCH($C133,銘柄管理!$B$6:$B$305,0),MATCH(TEXT($C133,"0"),銘柄管理!$B$6:$B$305,0))-1,0,1,14))-SUM(OFFSET(安値!$E$6,IFERROR(MATCH($C133,銘柄管理!$B$6:$B$305,0),MATCH(TEXT($C133,"0"),銘柄管理!$B$6:$B$305,0))-1,0,1,14)))/SUM(OFFSET(終値!$E$6,IFERROR(MATCH($C133,銘柄管理!$B$6:$B$305,0),MATCH(TEXT($C133,"0"),銘柄管理!$B$6:$B$305,0))-1,0,1,14))*100,"")</f>
      </c>
      <c r="BB133">
        <f>IFERROR((MAX(OFFSET(高値!$E$6,IFERROR(MATCH($C133,銘柄管理!$B$6:$B$305,0),MATCH(TEXT($C133,"0"),銘柄管理!$B$6:$B$305,0))-1,0,1,25))-MIN(OFFSET(安値!$E$6,IFERROR(MATCH($C133,銘柄管理!$B$6:$B$305,0),MATCH(TEXT($C133,"0"),銘柄管理!$B$6:$B$305,0))-1,0,1,25)))/$E133*100,"")</f>
      </c>
      <c r="BC133">
        <f>IFERROR(($F133-$G133)/$G133*100,"")</f>
      </c>
      <c r="BD133">
        <f>IFERROR(($E133-MAX(OFFSET(高値!$E$6,IFERROR(MATCH($C133,銘柄管理!$B$6:$B$305,0),MATCH(TEXT($C133,"0"),銘柄管理!$B$6:$B$305,0))-1,0,1,25)))/MAX(OFFSET(高値!$E$6,IFERROR(MATCH($C133,銘柄管理!$B$6:$B$305,0),MATCH(TEXT($C133,"0"),銘柄管理!$B$6:$B$305,0))-1,0,1,25))*100,"")</f>
      </c>
      <c r="BE133">
        <f>IFERROR(($H133-$I133)/$F133*100,"")</f>
      </c>
      <c r="BF133">
        <f>IFERROR(-(($BA133-AVERAGE($BA$3:$BA$206))/STDEV($BA$3:$BA$206))-(($BE133-AVERAGE($BE$3:$BE$206))/STDEV($BE$3:$BE$206))-(($BB133-AVERAGE($BB$3:$BB$206))/STDEV($BB$3:$BB$206))-(($Z133-AVERAGE($Z$3:$Z$206))/STDEV($Z$3:$Z$206))-(($BC133-AVERAGE($BC$3:$BC$206))/STDEV($BC$3:$BC$206)),"")</f>
      </c>
      <c r="BG133">
        <f>IF(OR($C133="",$C133="TOPX",$BA133="",$BF133=""),0,IF(AND($BK$10=1,$BA133&lt;=$BK$2,$BB133&lt;=$BK$3,$BC133&lt;=$BK$4,$Z133&lt;=$BK$5,$Z133&gt;=$BK$6,$BD133&gt;=$BK$7,$BE133&lt;=$BK$8),1,0))</f>
      </c>
      <c r="BH133">
        <f>IF($C133="","",IF($BG133=1,"○ゲート通過",IF($BK$10&lt;&gt;1,"― この方向は停止中",IF($BA133&gt;$BK$2,"×値動きが荒い",IF($BB133&gt;$BK$3,"×レンジが広い",IF($BC133&gt;$BK$4,"×窓を開けて上昇",IF($Z133&gt;$BK$5,"×前日に急騰",IF($Z133&lt;$BK$6,"×前日に急落",IF($BD133&lt;$BK$7,"×高値から離れすぎ",IF($BE133&gt;$BK$8,"×当日の値幅が大きい","×")))))))))</f>
      </c>
    </row>
    <row r="134" spans="1:60"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IF(AND(E134&lt;&gt;"",K134&lt;&gt;"",K134&lt;&gt;0),(E134-K134)/K134*100,"")</f>
        <v>-22.037914691943129</v>
      </c>
      <c r="M134" s="333">
        <f>IF(C134&lt;&gt;"",IFERROR(AVERAGE(出来高!E167:I167),""),"")</f>
        <v>160860</v>
      </c>
      <c r="N134" s="333">
        <f>IF(C134&lt;&gt;"",IFERROR(AVERAGE(出来高!E167:AC167),""),"")</f>
        <v>143537.5</v>
      </c>
      <c r="O134" s="335">
        <f>IF(AND(J134&lt;&gt;"",M134&lt;&gt;"",M134&lt;&gt;0),J134/M134,"")</f>
        <v>0.58498072858386174</v>
      </c>
      <c r="P134" s="212" t="str">
        <f>IF(O134="","",IF(O134&gt;=2,"急増↑↑",IF(O134&gt;=1.5,"増加↑",IF(O134&gt;=1,"普通→","減少↓"))))</f>
        <v>減少↓</v>
      </c>
      <c r="Q134" s="212" t="str">
        <f>IF(E134="","",IF(AND(E134&lt;G134,O134&gt;=1.5),"売り▼",IF(E134&gt;G134,"様子見▲","中立→")))</f>
        <v>中立→</v>
      </c>
      <c r="R134" s="333">
        <f>IF(E134&lt;&gt;"",ROUND(E134*0.92,0),"")</f>
        <v>3027</v>
      </c>
      <c r="S134" s="333">
        <f>IF(E134&lt;&gt;"",ROUND(E134*1.04,0),"")</f>
        <v>3422</v>
      </c>
      <c r="T134" s="325">
        <f>IF(C134="","",IFERROR(IF(W134&gt;=70,3,IF(W134&gt;=60,2,IF(W134&gt;=50,1,0)))+IF(X134&lt;0,2,0)+IF(AD134="下降トレンド▼",3,IF(AD134="もみ合い→",1,0))+IF(V134="年初来安値圏●",3,IF(V134="安値圏",2,0))+IF(Q134="売り▼",2,0)+IF(P134="急増↑↑",2,IF(P134="増加↑",1,0))+IF(Z134&lt;0,1,0)+IF(L134&lt;=-30,2,IF(L134&lt;=-15,1,0))+IF(AE134="25日戻り売り★",2,IF(AE134="5日戻り売り○",1,0))+N(AL134)+N(AP134)+N(AU134),0))</f>
        <v>6</v>
      </c>
      <c r="U134" s="212" t="str">
        <f>IF(T134="","",IF(AND(T134&gt;=3,O134&gt;=1.5),"有効",IF(T134&gt;=3,"要確認","除外")))</f>
        <v>要確認</v>
      </c>
      <c r="V134" s="212" t="str">
        <f>IF(AND(I134&lt;&gt;"",K134&lt;&gt;""),IF(I134&lt;=K134*0.6,"年初来安値圏●",IF(I134&lt;=K134*0.75,"安値圏","通常")),"")</f>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IF(AF134="","",AF134&amp;" | "&amp;AD134&amp;IF(AE134&lt;&gt;"なし"," "&amp;AE134,"")&amp;IF(X134&lt;0," MACD-"," MACD+")&amp;" RSI:"&amp;TEXT(W134,"0.0")&amp;IF(W134&gt;=70," [過熱]",IF(W134&lt;=30," [売られ過ぎ]",""))&amp;" 前日比:"&amp;TEXT(Z134,"+0.0;-0.0;0.0")&amp;"%"&amp;IF(V134="年初来安値圏●"," [年初来安値圏]",IF(V134="安値圏"," [安値圏]",""))&amp;IF(OR(AO134="通常",AO134="-"),""," ["&amp;AO134&amp;"]")&amp;IF(OR(AT134="通常",AT134="-"),"","前日["&amp;AT134&amp;"]")&amp;" ["&amp;T134&amp;"点]")</f>
        <v>相場上昇・見送り | パーフェクト▲ MACD- RSI:50.7 前日比:-1.3% [6点]</v>
      </c>
      <c r="Z134" s="338">
        <f>IF(AND(E134&lt;&gt;"",G134&lt;&gt;"",G134&lt;&gt;0),(E134-G134)/G134*100,"")</f>
        <v>-1.3493253373313343</v>
      </c>
      <c r="AA134" s="212" t="str">
        <f>IF(OR(C134="",E134="",E134=0),"",IF(E134&gt;G134,"上昇▲",IF(E134&lt;G134,"下落▼","横ばい→")))</f>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IF(OR(C134="",AB134="",AC134="",AB134=0,AC134=0),"",IF(AND(E134&gt;AB134,AB134&gt;AC134),"パーフェクト▲",IF(E134&gt;AC134,"上昇トレンド▲",IF(AND(E134&lt;AB134,AB134&lt;AC134),"下降トレンド▼","もみ合い→"))))</f>
        <v>パーフェクト▲</v>
      </c>
      <c r="AE134" s="212" t="str">
        <f>IF(OR(C134="",AB134="",AC134=""),"",IF(AND(ABS(E134-AC134)/AC134&lt;=0.02,E134&lt;AC134),"25日戻り売り★",IF(AND(ABS(E134-AB134)/AB134&lt;=0.01,E134&lt;AB134),"5日戻り売り○","なし")))</f>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IF(AND(T134&gt;=7,C134&lt;&gt;""),T134,0)</f>
        <v>0</v>
      </c>
      <c r="AH134">
        <f>IF(AG134&gt;0,AG134*10000-ROW(A134),0)</f>
        <v>0</v>
      </c>
      <c r="AI134" s="373">
        <f t="array" ref="AI134">IF(C134="","",IFERROR((INDEX(終値!$E:$E,MATCH(TEXT(C134,"0"),終値!$A:$A,0))-INDEX(終値!$E:$CZ,MATCH(TEXT(C134,"0"),終値!$A:$A,0),$AN$2))/INDEX(終値!$E:$CZ,MATCH(TEXT(C134,"0"),終値!$A:$A,0),$AN$2)*100,""))</f>
        <v>-1.791044776119403</v>
      </c>
      <c r="AJ134" s="373">
        <f t="array" ref="AJ134">IFERROR((終値!$E$5-INDEX(終値!$E$5:$IT$5,1,$AN$2))/INDEX(終値!$E$5:$IT$5,1,$AN$2)*100,"")</f>
        <v>1.0179378228534113</v>
      </c>
      <c r="AK134" s="374">
        <f>IF(OR(AI134="",AJ134=""),"",AI134-AJ134)</f>
        <v>-2.8089825989728143</v>
      </c>
      <c r="AL134" s="372">
        <f>IF(AK134="","",IF(AK134&lt;-5,3,IF(AK134&lt;0,1,IF(AK134&lt;3,-1,-2))))</f>
        <v>1</v>
      </c>
      <c r="AO134" s="376" t="str">
        <f>IF(OR($C134="",$E134="",$F134="",$H134="",$I134="",$H134-$I134&lt;=0),"-",IF(AND($H134-MAX($F134,$E134)&gt;=ABS($E134-$F134)*2,MIN($F134,$E134)-$I134&lt;=ABS($E134-$F134)*0.5,ABS($E134-$F134)&gt;0),"上ヒゲ陰線▼",IF(AND($E134&lt;$F134,ABS($E134-$F134)&gt;=($H134-$I134)*0.7),"大陰線▼",IF(AND(MIN($F134,$E134)-$I134&gt;=($H134-$I134)*0.5,$H134-MAX($F134,$E134)&lt;=($H134-$I134)*0.2),"長い下ヒゲ(反発警戒)","通常"))))</f>
        <v>通常</v>
      </c>
      <c r="AP134" s="377">
        <f>IF($AO134="上ヒゲ陰線▼",2,IF($AO134="大陰線▼",2,IF($AO134="長い下ヒゲ(反発警戒)",-2,0)))</f>
        <v>0</v>
      </c>
      <c r="AQ134">
        <f>IF(C134&lt;&gt;"",始値!F167,"")</f>
        <v>3235</v>
      </c>
      <c r="AR134">
        <f>IF(C134&lt;&gt;"",高値!F167,"")</f>
        <v>3350</v>
      </c>
      <c r="AS134">
        <f>IF(C134&lt;&gt;"",安値!F167,"")</f>
        <v>3235</v>
      </c>
      <c r="AT134" t="str">
        <f>IF(OR(C134="",AQ134="",AR134="",AS134="",AR134-AS134&lt;=0),"-",IF(AND(AR134-MAX(G134,AQ134)&gt;=ABS(G134-AQ134)*2,MIN(G134,AQ134)-AS134&lt;=ABS(G134-AQ134)*0.5,ABS(G134-AQ134)&gt;0),"上ヒゲ陰線▼",IF(AND(G134&lt;AQ134,ABS(G134-AQ134)&gt;=(AR134-AS134)*0.7),"大陰線▼",IF(AND(MIN(G134,AQ134)-AS134&gt;=(AR134-AS134)*0.5,AR134-MAX(G134,AQ134)&lt;=(AR134-AS134)*0.2),"長い下ヒゲ(反発)","通常"))))</f>
        <v>通常</v>
      </c>
      <c r="AU134">
        <f>IF(AT134="上ヒゲ陰線▼",2,IF(AT134="大陰線▼",2,IF(AT134="長い下ヒゲ(反発)",-2,0)))</f>
        <v>0</v>
      </c>
      <c r="BA134">
        <f>IFERROR((SUM(OFFSET(高値!$E$6,IFERROR(MATCH($C134,銘柄管理!$B$6:$B$305,0),MATCH(TEXT($C134,"0"),銘柄管理!$B$6:$B$305,0))-1,0,1,14))-SUM(OFFSET(安値!$E$6,IFERROR(MATCH($C134,銘柄管理!$B$6:$B$305,0),MATCH(TEXT($C134,"0"),銘柄管理!$B$6:$B$305,0))-1,0,1,14)))/SUM(OFFSET(終値!$E$6,IFERROR(MATCH($C134,銘柄管理!$B$6:$B$305,0),MATCH(TEXT($C134,"0"),銘柄管理!$B$6:$B$305,0))-1,0,1,14))*100,"")</f>
      </c>
      <c r="BB134">
        <f>IFERROR((MAX(OFFSET(高値!$E$6,IFERROR(MATCH($C134,銘柄管理!$B$6:$B$305,0),MATCH(TEXT($C134,"0"),銘柄管理!$B$6:$B$305,0))-1,0,1,25))-MIN(OFFSET(安値!$E$6,IFERROR(MATCH($C134,銘柄管理!$B$6:$B$305,0),MATCH(TEXT($C134,"0"),銘柄管理!$B$6:$B$305,0))-1,0,1,25)))/$E134*100,"")</f>
      </c>
      <c r="BC134">
        <f>IFERROR(($F134-$G134)/$G134*100,"")</f>
      </c>
      <c r="BD134">
        <f>IFERROR(($E134-MAX(OFFSET(高値!$E$6,IFERROR(MATCH($C134,銘柄管理!$B$6:$B$305,0),MATCH(TEXT($C134,"0"),銘柄管理!$B$6:$B$305,0))-1,0,1,25)))/MAX(OFFSET(高値!$E$6,IFERROR(MATCH($C134,銘柄管理!$B$6:$B$305,0),MATCH(TEXT($C134,"0"),銘柄管理!$B$6:$B$305,0))-1,0,1,25))*100,"")</f>
      </c>
      <c r="BE134">
        <f>IFERROR(($H134-$I134)/$F134*100,"")</f>
      </c>
      <c r="BF134">
        <f>IFERROR(-(($BA134-AVERAGE($BA$3:$BA$206))/STDEV($BA$3:$BA$206))-(($BE134-AVERAGE($BE$3:$BE$206))/STDEV($BE$3:$BE$206))-(($BB134-AVERAGE($BB$3:$BB$206))/STDEV($BB$3:$BB$206))-(($Z134-AVERAGE($Z$3:$Z$206))/STDEV($Z$3:$Z$206))-(($BC134-AVERAGE($BC$3:$BC$206))/STDEV($BC$3:$BC$206)),"")</f>
      </c>
      <c r="BG134">
        <f>IF(OR($C134="",$C134="TOPX",$BA134="",$BF134=""),0,IF(AND($BK$10=1,$BA134&lt;=$BK$2,$BB134&lt;=$BK$3,$BC134&lt;=$BK$4,$Z134&lt;=$BK$5,$Z134&gt;=$BK$6,$BD134&gt;=$BK$7,$BE134&lt;=$BK$8),1,0))</f>
      </c>
      <c r="BH134">
        <f>IF($C134="","",IF($BG134=1,"○ゲート通過",IF($BK$10&lt;&gt;1,"― この方向は停止中",IF($BA134&gt;$BK$2,"×値動きが荒い",IF($BB134&gt;$BK$3,"×レンジが広い",IF($BC134&gt;$BK$4,"×窓を開けて上昇",IF($Z134&gt;$BK$5,"×前日に急騰",IF($Z134&lt;$BK$6,"×前日に急落",IF($BD134&lt;$BK$7,"×高値から離れすぎ",IF($BE134&gt;$BK$8,"×当日の値幅が大きい","×")))))))))</f>
      </c>
    </row>
    <row r="135" spans="1:60"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IF(AND(E135&lt;&gt;"",K135&lt;&gt;"",K135&lt;&gt;0),(E135-K135)/K135*100,"")</f>
        <v>-13.543441226575808</v>
      </c>
      <c r="M135" s="326">
        <f>IF(C135&lt;&gt;"",IFERROR(AVERAGE(出来高!E168:I168),""),"")</f>
        <v>24980</v>
      </c>
      <c r="N135" s="326">
        <f>IF(C135&lt;&gt;"",IFERROR(AVERAGE(出来高!E168:AC168),""),"")</f>
        <v>24295.833333333332</v>
      </c>
      <c r="O135" s="328">
        <f>IF(AND(J135&lt;&gt;"",M135&lt;&gt;"",M135&lt;&gt;0),J135/M135,"")</f>
        <v>0.89671737389911932</v>
      </c>
      <c r="P135" s="325" t="str">
        <f>IF(O135="","",IF(O135&gt;=2,"急増↑↑",IF(O135&gt;=1.5,"増加↑",IF(O135&gt;=1,"普通→","減少↓"))))</f>
        <v>減少↓</v>
      </c>
      <c r="Q135" s="325" t="str">
        <f>IF(E135="","",IF(AND(E135&lt;G135,O135&gt;=1.5),"売り▼",IF(E135&gt;G135,"様子見▲","中立→")))</f>
        <v>中立→</v>
      </c>
      <c r="R135" s="326">
        <f>IF(E135&lt;&gt;"",ROUND(E135*0.92,0),"")</f>
        <v>1868</v>
      </c>
      <c r="S135" s="326">
        <f>IF(E135&lt;&gt;"",ROUND(E135*1.04,0),"")</f>
        <v>2111</v>
      </c>
      <c r="T135" s="325">
        <f>IF(C135="","",IFERROR(IF(W135&gt;=70,3,IF(W135&gt;=60,2,IF(W135&gt;=50,1,0)))+IF(X135&lt;0,2,0)+IF(AD135="下降トレンド▼",3,IF(AD135="もみ合い→",1,0))+IF(V135="年初来安値圏●",3,IF(V135="安値圏",2,0))+IF(Q135="売り▼",2,0)+IF(P135="急増↑↑",2,IF(P135="増加↑",1,0))+IF(Z135&lt;0,1,0)+IF(L135&lt;=-30,2,IF(L135&lt;=-15,1,0))+IF(AE135="25日戻り売り★",2,IF(AE135="5日戻り売り○",1,0))+N(AL135)+N(AP135)+N(AU135),0))</f>
        <v>4</v>
      </c>
      <c r="U135" s="325" t="str">
        <f>IF(T135="","",IF(AND(T135&gt;=3,O135&gt;=1.5),"有効",IF(T135&gt;=3,"要確認","除外")))</f>
        <v>要確認</v>
      </c>
      <c r="V135" s="325" t="str">
        <f>IF(AND(I135&lt;&gt;"",K135&lt;&gt;""),IF(I135&lt;=K135*0.6,"年初来安値圏●",IF(I135&lt;=K135*0.75,"安値圏","通常")),"")</f>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IF(AF135="","",AF135&amp;" | "&amp;AD135&amp;IF(AE135&lt;&gt;"なし"," "&amp;AE135,"")&amp;IF(X135&lt;0," MACD-"," MACD+")&amp;" RSI:"&amp;TEXT(W135,"0.0")&amp;IF(W135&gt;=70," [過熱]",IF(W135&lt;=30," [売られ過ぎ]",""))&amp;" 前日比:"&amp;TEXT(Z135,"+0.0;-0.0;0.0")&amp;"%"&amp;IF(V135="年初来安値圏●"," [年初来安値圏]",IF(V135="安値圏"," [安値圏]",""))&amp;IF(OR(AO135="通常",AO135="-"),""," ["&amp;AO135&amp;"]")&amp;IF(OR(AT135="通常",AT135="-"),"","前日["&amp;AT135&amp;"]")&amp;" ["&amp;T135&amp;"点]")</f>
        <v>相場上昇・見送り | パーフェクト▲ MACD- RSI:50.3 前日比:-0.1% [上ヒゲ陰線▼] [4点]</v>
      </c>
      <c r="Z135" s="331">
        <f>IF(AND(E135&lt;&gt;"",G135&lt;&gt;"",G135&lt;&gt;0),(E135-G135)/G135*100,"")</f>
        <v>-0.14756517461878996</v>
      </c>
      <c r="AA135" s="325" t="str">
        <f>IF(OR(C135="",E135="",E135=0),"",IF(E135&gt;G135,"上昇▲",IF(E135&lt;G135,"下落▼","横ばい→")))</f>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IF(OR(C135="",AB135="",AC135="",AB135=0,AC135=0),"",IF(AND(E135&gt;AB135,AB135&gt;AC135),"パーフェクト▲",IF(E135&gt;AC135,"上昇トレンド▲",IF(AND(E135&lt;AB135,AB135&lt;AC135),"下降トレンド▼","もみ合い→"))))</f>
        <v>パーフェクト▲</v>
      </c>
      <c r="AE135" s="325" t="str">
        <f>IF(OR(C135="",AB135="",AC135=""),"",IF(AND(ABS(E135-AC135)/AC135&lt;=0.02,E135&lt;AC135),"25日戻り売り★",IF(AND(ABS(E135-AB135)/AB135&lt;=0.01,E135&lt;AB135),"5日戻り売り○","なし")))</f>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IF(AND(T135&gt;=7,C135&lt;&gt;""),T135,0)</f>
        <v>0</v>
      </c>
      <c r="AH135">
        <f>IF(AG135&gt;0,AG135*10000-ROW(A135),0)</f>
        <v>0</v>
      </c>
      <c r="AI135" s="373">
        <f t="array" ref="AI135">IF(C135="","",IFERROR((INDEX(終値!$E:$E,MATCH(TEXT(C135,"0"),終値!$A:$A,0))-INDEX(終値!$E:$CZ,MATCH(TEXT(C135,"0"),終値!$A:$A,0),$AN$2))/INDEX(終値!$E:$CZ,MATCH(TEXT(C135,"0"),終値!$A:$A,0),$AN$2)*100,""))</f>
        <v>5.3997923156801662</v>
      </c>
      <c r="AJ135" s="373">
        <f t="array" ref="AJ135">IFERROR((終値!$E$5-INDEX(終値!$E$5:$IT$5,1,$AN$2))/INDEX(終値!$E$5:$IT$5,1,$AN$2)*100,"")</f>
        <v>1.0179378228534113</v>
      </c>
      <c r="AK135" s="374">
        <f>IF(OR(AI135="",AJ135=""),"",AI135-AJ135)</f>
        <v>4.3818544928267551</v>
      </c>
      <c r="AL135" s="372">
        <f>IF(AK135="","",IF(AK135&lt;-5,3,IF(AK135&lt;0,1,IF(AK135&lt;3,-1,-2))))</f>
        <v>-2</v>
      </c>
      <c r="AO135" s="376" t="str">
        <f>IF(OR($C135="",$E135="",$F135="",$H135="",$I135="",$H135-$I135&lt;=0),"-",IF(AND($H135-MAX($F135,$E135)&gt;=ABS($E135-$F135)*2,MIN($F135,$E135)-$I135&lt;=ABS($E135-$F135)*0.5,ABS($E135-$F135)&gt;0),"上ヒゲ陰線▼",IF(AND($E135&lt;$F135,ABS($E135-$F135)&gt;=($H135-$I135)*0.7),"大陰線▼",IF(AND(MIN($F135,$E135)-$I135&gt;=($H135-$I135)*0.5,$H135-MAX($F135,$E135)&lt;=($H135-$I135)*0.2),"長い下ヒゲ(反発警戒)","通常"))))</f>
        <v>上ヒゲ陰線▼</v>
      </c>
      <c r="AP135" s="377">
        <f>IF($AO135="上ヒゲ陰線▼",2,IF($AO135="大陰線▼",2,IF($AO135="長い下ヒゲ(反発警戒)",-2,0)))</f>
        <v>2</v>
      </c>
      <c r="AQ135">
        <f>IF(C135&lt;&gt;"",始値!F168,"")</f>
        <v>2016</v>
      </c>
      <c r="AR135">
        <f>IF(C135&lt;&gt;"",高値!F168,"")</f>
        <v>2064</v>
      </c>
      <c r="AS135">
        <f>IF(C135&lt;&gt;"",安値!F168,"")</f>
        <v>2016</v>
      </c>
      <c r="AT135" t="str">
        <f>IF(OR(C135="",AQ135="",AR135="",AS135="",AR135-AS135&lt;=0),"-",IF(AND(AR135-MAX(G135,AQ135)&gt;=ABS(G135-AQ135)*2,MIN(G135,AQ135)-AS135&lt;=ABS(G135-AQ135)*0.5,ABS(G135-AQ135)&gt;0),"上ヒゲ陰線▼",IF(AND(G135&lt;AQ135,ABS(G135-AQ135)&gt;=(AR135-AS135)*0.7),"大陰線▼",IF(AND(MIN(G135,AQ135)-AS135&gt;=(AR135-AS135)*0.5,AR135-MAX(G135,AQ135)&lt;=(AR135-AS135)*0.2),"長い下ヒゲ(反発)","通常"))))</f>
        <v>通常</v>
      </c>
      <c r="AU135">
        <f>IF(AT135="上ヒゲ陰線▼",2,IF(AT135="大陰線▼",2,IF(AT135="長い下ヒゲ(反発)",-2,0)))</f>
        <v>0</v>
      </c>
      <c r="BA135">
        <f>IFERROR((SUM(OFFSET(高値!$E$6,IFERROR(MATCH($C135,銘柄管理!$B$6:$B$305,0),MATCH(TEXT($C135,"0"),銘柄管理!$B$6:$B$305,0))-1,0,1,14))-SUM(OFFSET(安値!$E$6,IFERROR(MATCH($C135,銘柄管理!$B$6:$B$305,0),MATCH(TEXT($C135,"0"),銘柄管理!$B$6:$B$305,0))-1,0,1,14)))/SUM(OFFSET(終値!$E$6,IFERROR(MATCH($C135,銘柄管理!$B$6:$B$305,0),MATCH(TEXT($C135,"0"),銘柄管理!$B$6:$B$305,0))-1,0,1,14))*100,"")</f>
      </c>
      <c r="BB135">
        <f>IFERROR((MAX(OFFSET(高値!$E$6,IFERROR(MATCH($C135,銘柄管理!$B$6:$B$305,0),MATCH(TEXT($C135,"0"),銘柄管理!$B$6:$B$305,0))-1,0,1,25))-MIN(OFFSET(安値!$E$6,IFERROR(MATCH($C135,銘柄管理!$B$6:$B$305,0),MATCH(TEXT($C135,"0"),銘柄管理!$B$6:$B$305,0))-1,0,1,25)))/$E135*100,"")</f>
      </c>
      <c r="BC135">
        <f>IFERROR(($F135-$G135)/$G135*100,"")</f>
      </c>
      <c r="BD135">
        <f>IFERROR(($E135-MAX(OFFSET(高値!$E$6,IFERROR(MATCH($C135,銘柄管理!$B$6:$B$305,0),MATCH(TEXT($C135,"0"),銘柄管理!$B$6:$B$305,0))-1,0,1,25)))/MAX(OFFSET(高値!$E$6,IFERROR(MATCH($C135,銘柄管理!$B$6:$B$305,0),MATCH(TEXT($C135,"0"),銘柄管理!$B$6:$B$305,0))-1,0,1,25))*100,"")</f>
      </c>
      <c r="BE135">
        <f>IFERROR(($H135-$I135)/$F135*100,"")</f>
      </c>
      <c r="BF135">
        <f>IFERROR(-(($BA135-AVERAGE($BA$3:$BA$206))/STDEV($BA$3:$BA$206))-(($BE135-AVERAGE($BE$3:$BE$206))/STDEV($BE$3:$BE$206))-(($BB135-AVERAGE($BB$3:$BB$206))/STDEV($BB$3:$BB$206))-(($Z135-AVERAGE($Z$3:$Z$206))/STDEV($Z$3:$Z$206))-(($BC135-AVERAGE($BC$3:$BC$206))/STDEV($BC$3:$BC$206)),"")</f>
      </c>
      <c r="BG135">
        <f>IF(OR($C135="",$C135="TOPX",$BA135="",$BF135=""),0,IF(AND($BK$10=1,$BA135&lt;=$BK$2,$BB135&lt;=$BK$3,$BC135&lt;=$BK$4,$Z135&lt;=$BK$5,$Z135&gt;=$BK$6,$BD135&gt;=$BK$7,$BE135&lt;=$BK$8),1,0))</f>
      </c>
      <c r="BH135">
        <f>IF($C135="","",IF($BG135=1,"○ゲート通過",IF($BK$10&lt;&gt;1,"― この方向は停止中",IF($BA135&gt;$BK$2,"×値動きが荒い",IF($BB135&gt;$BK$3,"×レンジが広い",IF($BC135&gt;$BK$4,"×窓を開けて上昇",IF($Z135&gt;$BK$5,"×前日に急騰",IF($Z135&lt;$BK$6,"×前日に急落",IF($BD135&lt;$BK$7,"×高値から離れすぎ",IF($BE135&gt;$BK$8,"×当日の値幅が大きい","×")))))))))</f>
      </c>
    </row>
    <row r="136" spans="1:60"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IF(AND(E136&lt;&gt;"",K136&lt;&gt;"",K136&lt;&gt;0),(E136-K136)/K136*100,"")</f>
        <v>-13.544668587896252</v>
      </c>
      <c r="M136" s="333">
        <f>IF(C136&lt;&gt;"",IFERROR(AVERAGE(出来高!E169:I169),""),"")</f>
        <v>210320</v>
      </c>
      <c r="N136" s="333">
        <f>IF(C136&lt;&gt;"",IFERROR(AVERAGE(出来高!E169:AC169),""),"")</f>
        <v>184648</v>
      </c>
      <c r="O136" s="335">
        <f>IF(AND(J136&lt;&gt;"",M136&lt;&gt;"",M136&lt;&gt;0),J136/M136,"")</f>
        <v>0.49591099277291745</v>
      </c>
      <c r="P136" s="212" t="str">
        <f>IF(O136="","",IF(O136&gt;=2,"急増↑↑",IF(O136&gt;=1.5,"増加↑",IF(O136&gt;=1,"普通→","減少↓"))))</f>
        <v>減少↓</v>
      </c>
      <c r="Q136" s="212" t="str">
        <f>IF(E136="","",IF(AND(E136&lt;G136,O136&gt;=1.5),"売り▼",IF(E136&gt;G136,"様子見▲","中立→")))</f>
        <v>様子見▲</v>
      </c>
      <c r="R136" s="333">
        <f>IF(E136&lt;&gt;"",ROUND(E136*0.92,0),"")</f>
        <v>828</v>
      </c>
      <c r="S136" s="333">
        <f>IF(E136&lt;&gt;"",ROUND(E136*1.04,0),"")</f>
        <v>936</v>
      </c>
      <c r="T136" s="325">
        <f>IF(C136="","",IFERROR(IF(W136&gt;=70,3,IF(W136&gt;=60,2,IF(W136&gt;=50,1,0)))+IF(X136&lt;0,2,0)+IF(AD136="下降トレンド▼",3,IF(AD136="もみ合い→",1,0))+IF(V136="年初来安値圏●",3,IF(V136="安値圏",2,0))+IF(Q136="売り▼",2,0)+IF(P136="急増↑↑",2,IF(P136="増加↑",1,0))+IF(Z136&lt;0,1,0)+IF(L136&lt;=-30,2,IF(L136&lt;=-15,1,0))+IF(AE136="25日戻り売り★",2,IF(AE136="5日戻り売り○",1,0))+N(AL136)+N(AP136)+N(AU136),0))</f>
        <v>4</v>
      </c>
      <c r="U136" s="212" t="str">
        <f>IF(T136="","",IF(AND(T136&gt;=3,O136&gt;=1.5),"有効",IF(T136&gt;=3,"要確認","除外")))</f>
        <v>要確認</v>
      </c>
      <c r="V136" s="212" t="str">
        <f>IF(AND(I136&lt;&gt;"",K136&lt;&gt;""),IF(I136&lt;=K136*0.6,"年初来安値圏●",IF(I136&lt;=K136*0.75,"安値圏","通常")),"")</f>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IF(AF136="","",AF136&amp;" | "&amp;AD136&amp;IF(AE136&lt;&gt;"なし"," "&amp;AE136,"")&amp;IF(X136&lt;0," MACD-"," MACD+")&amp;" RSI:"&amp;TEXT(W136,"0.0")&amp;IF(W136&gt;=70," [過熱]",IF(W136&lt;=30," [売られ過ぎ]",""))&amp;" 前日比:"&amp;TEXT(Z136,"+0.0;-0.0;0.0")&amp;"%"&amp;IF(V136="年初来安値圏●"," [年初来安値圏]",IF(V136="安値圏"," [安値圏]",""))&amp;IF(OR(AO136="通常",AO136="-"),""," ["&amp;AO136&amp;"]")&amp;IF(OR(AT136="通常",AT136="-"),"","前日["&amp;AT136&amp;"]")&amp;" ["&amp;T136&amp;"点]")</f>
        <v>○逆張り売り | もみ合い→ 25日戻り売り★ MACD- RSI:38.3 前日比:+1.2% [4点]</v>
      </c>
      <c r="Z136" s="338">
        <f>IF(AND(E136&lt;&gt;"",G136&lt;&gt;"",G136&lt;&gt;0),(E136-G136)/G136*100,"")</f>
        <v>1.2373453318335208</v>
      </c>
      <c r="AA136" s="212" t="str">
        <f>IF(OR(C136="",E136="",E136=0),"",IF(E136&gt;G136,"上昇▲",IF(E136&lt;G136,"下落▼","横ばい→")))</f>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IF(OR(C136="",AB136="",AC136="",AB136=0,AC136=0),"",IF(AND(E136&gt;AB136,AB136&gt;AC136),"パーフェクト▲",IF(E136&gt;AC136,"上昇トレンド▲",IF(AND(E136&lt;AB136,AB136&lt;AC136),"下降トレンド▼","もみ合い→"))))</f>
        <v>もみ合い→</v>
      </c>
      <c r="AE136" s="212" t="str">
        <f>IF(OR(C136="",AB136="",AC136=""),"",IF(AND(ABS(E136-AC136)/AC136&lt;=0.02,E136&lt;AC136),"25日戻り売り★",IF(AND(ABS(E136-AB136)/AB136&lt;=0.01,E136&lt;AB136),"5日戻り売り○","なし")))</f>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IF(AND(T136&gt;=7,C136&lt;&gt;""),T136,0)</f>
        <v>0</v>
      </c>
      <c r="AH136">
        <f>IF(AG136&gt;0,AG136*10000-ROW(A136),0)</f>
        <v>0</v>
      </c>
      <c r="AI136" s="373">
        <f t="array" ref="AI136">IF(C136="","",IFERROR((INDEX(終値!$E:$E,MATCH(TEXT(C136,"0"),終値!$A:$A,0))-INDEX(終値!$E:$CZ,MATCH(TEXT(C136,"0"),終値!$A:$A,0),$AN$2))/INDEX(終値!$E:$CZ,MATCH(TEXT(C136,"0"),終値!$A:$A,0),$AN$2)*100,""))</f>
        <v>2.5056947608200453</v>
      </c>
      <c r="AJ136" s="373">
        <f t="array" ref="AJ136">IFERROR((終値!$E$5-INDEX(終値!$E$5:$IT$5,1,$AN$2))/INDEX(終値!$E$5:$IT$5,1,$AN$2)*100,"")</f>
        <v>1.0179378228534113</v>
      </c>
      <c r="AK136" s="374">
        <f>IF(OR(AI136="",AJ136=""),"",AI136-AJ136)</f>
        <v>1.487756937966634</v>
      </c>
      <c r="AL136" s="372">
        <f>IF(AK136="","",IF(AK136&lt;-5,3,IF(AK136&lt;0,1,IF(AK136&lt;3,-1,-2))))</f>
        <v>-1</v>
      </c>
      <c r="AO136" s="376" t="str">
        <f>IF(OR($C136="",$E136="",$F136="",$H136="",$I136="",$H136-$I136&lt;=0),"-",IF(AND($H136-MAX($F136,$E136)&gt;=ABS($E136-$F136)*2,MIN($F136,$E136)-$I136&lt;=ABS($E136-$F136)*0.5,ABS($E136-$F136)&gt;0),"上ヒゲ陰線▼",IF(AND($E136&lt;$F136,ABS($E136-$F136)&gt;=($H136-$I136)*0.7),"大陰線▼",IF(AND(MIN($F136,$E136)-$I136&gt;=($H136-$I136)*0.5,$H136-MAX($F136,$E136)&lt;=($H136-$I136)*0.2),"長い下ヒゲ(反発警戒)","通常"))))</f>
        <v>通常</v>
      </c>
      <c r="AP136" s="377">
        <f>IF($AO136="上ヒゲ陰線▼",2,IF($AO136="大陰線▼",2,IF($AO136="長い下ヒゲ(反発警戒)",-2,0)))</f>
        <v>0</v>
      </c>
      <c r="AQ136">
        <f>IF(C136&lt;&gt;"",始値!F169,"")</f>
        <v>891</v>
      </c>
      <c r="AR136">
        <f>IF(C136&lt;&gt;"",高値!F169,"")</f>
        <v>900</v>
      </c>
      <c r="AS136">
        <f>IF(C136&lt;&gt;"",安値!F169,"")</f>
        <v>885</v>
      </c>
      <c r="AT136" t="str">
        <f>IF(OR(C136="",AQ136="",AR136="",AS136="",AR136-AS136&lt;=0),"-",IF(AND(AR136-MAX(G136,AQ136)&gt;=ABS(G136-AQ136)*2,MIN(G136,AQ136)-AS136&lt;=ABS(G136-AQ136)*0.5,ABS(G136-AQ136)&gt;0),"上ヒゲ陰線▼",IF(AND(G136&lt;AQ136,ABS(G136-AQ136)&gt;=(AR136-AS136)*0.7),"大陰線▼",IF(AND(MIN(G136,AQ136)-AS136&gt;=(AR136-AS136)*0.5,AR136-MAX(G136,AQ136)&lt;=(AR136-AS136)*0.2),"長い下ヒゲ(反発)","通常"))))</f>
        <v>通常</v>
      </c>
      <c r="AU136">
        <f>IF(AT136="上ヒゲ陰線▼",2,IF(AT136="大陰線▼",2,IF(AT136="長い下ヒゲ(反発)",-2,0)))</f>
        <v>0</v>
      </c>
      <c r="BA136">
        <f>IFERROR((SUM(OFFSET(高値!$E$6,IFERROR(MATCH($C136,銘柄管理!$B$6:$B$305,0),MATCH(TEXT($C136,"0"),銘柄管理!$B$6:$B$305,0))-1,0,1,14))-SUM(OFFSET(安値!$E$6,IFERROR(MATCH($C136,銘柄管理!$B$6:$B$305,0),MATCH(TEXT($C136,"0"),銘柄管理!$B$6:$B$305,0))-1,0,1,14)))/SUM(OFFSET(終値!$E$6,IFERROR(MATCH($C136,銘柄管理!$B$6:$B$305,0),MATCH(TEXT($C136,"0"),銘柄管理!$B$6:$B$305,0))-1,0,1,14))*100,"")</f>
      </c>
      <c r="BB136">
        <f>IFERROR((MAX(OFFSET(高値!$E$6,IFERROR(MATCH($C136,銘柄管理!$B$6:$B$305,0),MATCH(TEXT($C136,"0"),銘柄管理!$B$6:$B$305,0))-1,0,1,25))-MIN(OFFSET(安値!$E$6,IFERROR(MATCH($C136,銘柄管理!$B$6:$B$305,0),MATCH(TEXT($C136,"0"),銘柄管理!$B$6:$B$305,0))-1,0,1,25)))/$E136*100,"")</f>
      </c>
      <c r="BC136">
        <f>IFERROR(($F136-$G136)/$G136*100,"")</f>
      </c>
      <c r="BD136">
        <f>IFERROR(($E136-MAX(OFFSET(高値!$E$6,IFERROR(MATCH($C136,銘柄管理!$B$6:$B$305,0),MATCH(TEXT($C136,"0"),銘柄管理!$B$6:$B$305,0))-1,0,1,25)))/MAX(OFFSET(高値!$E$6,IFERROR(MATCH($C136,銘柄管理!$B$6:$B$305,0),MATCH(TEXT($C136,"0"),銘柄管理!$B$6:$B$305,0))-1,0,1,25))*100,"")</f>
      </c>
      <c r="BE136">
        <f>IFERROR(($H136-$I136)/$F136*100,"")</f>
      </c>
      <c r="BF136">
        <f>IFERROR(-(($BA136-AVERAGE($BA$3:$BA$206))/STDEV($BA$3:$BA$206))-(($BE136-AVERAGE($BE$3:$BE$206))/STDEV($BE$3:$BE$206))-(($BB136-AVERAGE($BB$3:$BB$206))/STDEV($BB$3:$BB$206))-(($Z136-AVERAGE($Z$3:$Z$206))/STDEV($Z$3:$Z$206))-(($BC136-AVERAGE($BC$3:$BC$206))/STDEV($BC$3:$BC$206)),"")</f>
      </c>
      <c r="BG136">
        <f>IF(OR($C136="",$C136="TOPX",$BA136="",$BF136=""),0,IF(AND($BK$10=1,$BA136&lt;=$BK$2,$BB136&lt;=$BK$3,$BC136&lt;=$BK$4,$Z136&lt;=$BK$5,$Z136&gt;=$BK$6,$BD136&gt;=$BK$7,$BE136&lt;=$BK$8),1,0))</f>
      </c>
      <c r="BH136">
        <f>IF($C136="","",IF($BG136=1,"○ゲート通過",IF($BK$10&lt;&gt;1,"― この方向は停止中",IF($BA136&gt;$BK$2,"×値動きが荒い",IF($BB136&gt;$BK$3,"×レンジが広い",IF($BC136&gt;$BK$4,"×窓を開けて上昇",IF($Z136&gt;$BK$5,"×前日に急騰",IF($Z136&lt;$BK$6,"×前日に急落",IF($BD136&lt;$BK$7,"×高値から離れすぎ",IF($BE136&gt;$BK$8,"×当日の値幅が大きい","×")))))))))</f>
      </c>
    </row>
    <row r="137" spans="1:60"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IF(AND(E137&lt;&gt;"",K137&lt;&gt;"",K137&lt;&gt;0),(E137-K137)/K137*100,"")</f>
        <v>-3.6967418546365911</v>
      </c>
      <c r="M137" s="326">
        <f>IF(C137&lt;&gt;"",IFERROR(AVERAGE(出来高!E177:I177),""),"")</f>
        <v>553600</v>
      </c>
      <c r="N137" s="326">
        <f>IF(C137&lt;&gt;"",IFERROR(AVERAGE(出来高!E177:AC177),""),"")</f>
        <v>553600</v>
      </c>
      <c r="O137" s="328">
        <f>IF(AND(J137&lt;&gt;"",M137&lt;&gt;"",M137&lt;&gt;0),J137/M137,"")</f>
        <v>0.82351878612716767</v>
      </c>
      <c r="P137" s="325" t="str">
        <f>IF(O137="","",IF(O137&gt;=2,"急増↑↑",IF(O137&gt;=1.5,"増加↑",IF(O137&gt;=1,"普通→","減少↓"))))</f>
        <v>減少↓</v>
      </c>
      <c r="Q137" s="325" t="str">
        <f>IF(E137="","",IF(AND(E137&lt;G137,O137&gt;=1.5),"売り▼",IF(E137&gt;G137,"様子見▲","中立→")))</f>
        <v>様子見▲</v>
      </c>
      <c r="R137" s="326">
        <f>IF(E137&lt;&gt;"",ROUND(E137*0.92,0),"")</f>
        <v>1414</v>
      </c>
      <c r="S137" s="326">
        <f>IF(E137&lt;&gt;"",ROUND(E137*1.04,0),"")</f>
        <v>1598</v>
      </c>
      <c r="T137" s="325">
        <f>IF(C137="","",IFERROR(IF(W137&gt;=70,3,IF(W137&gt;=60,2,IF(W137&gt;=50,1,0)))+IF(X137&lt;0,2,0)+IF(AD137="下降トレンド▼",3,IF(AD137="もみ合い→",1,0))+IF(V137="年初来安値圏●",3,IF(V137="安値圏",2,0))+IF(Q137="売り▼",2,0)+IF(P137="急増↑↑",2,IF(P137="増加↑",1,0))+IF(Z137&lt;0,1,0)+IF(L137&lt;=-30,2,IF(L137&lt;=-15,1,0))+IF(AE137="25日戻り売り★",2,IF(AE137="5日戻り売り○",1,0))+N(AL137)+N(AP137)+N(AU137),0))</f>
        <v>1</v>
      </c>
      <c r="U137" s="325" t="str">
        <f>IF(T137="","",IF(AND(T137&gt;=3,O137&gt;=1.5),"有効",IF(T137&gt;=3,"要確認","除外")))</f>
        <v>除外</v>
      </c>
      <c r="V137" s="325" t="str">
        <f>IF(AND(I137&lt;&gt;"",K137&lt;&gt;""),IF(I137&lt;=K137*0.6,"年初来安値圏●",IF(I137&lt;=K137*0.75,"安値圏","通常")),"")</f>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IF(AF137="","",AF137&amp;" | "&amp;AD137&amp;IF(AE137&lt;&gt;"なし"," "&amp;AE137,"")&amp;IF(X137&lt;0," MACD-"," MACD+")&amp;" RSI:"&amp;TEXT(W137,"0.0")&amp;IF(W137&gt;=70," [過熱]",IF(W137&lt;=30," [売られ過ぎ]",""))&amp;" 前日比:"&amp;TEXT(Z137,"+0.0;-0.0;0.0")&amp;"%"&amp;IF(V137="年初来安値圏●"," [年初来安値圏]",IF(V137="安値圏"," [安値圏]",""))&amp;IF(OR(AO137="通常",AO137="-"),""," ["&amp;AO137&amp;"]")&amp;IF(OR(AT137="通常",AT137="-"),"","前日["&amp;AT137&amp;"]")&amp;" ["&amp;T137&amp;"点]")</f>
        <v>相場上昇・見送り | パーフェクト▲ MACD+ RSI:50.0 前日比:+0.5% [1点]</v>
      </c>
      <c r="Z137" s="331">
        <f>IF(AND(E137&lt;&gt;"",G137&lt;&gt;"",G137&lt;&gt;0),(E137-G137)/G137*100,"")</f>
        <v>0.52321778940483976</v>
      </c>
      <c r="AA137" s="325" t="str">
        <f>IF(OR(C137="",E137="",E137=0),"",IF(E137&gt;G137,"上昇▲",IF(E137&lt;G137,"下落▼","横ばい→")))</f>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IF(OR(C137="",AB137="",AC137="",AB137=0,AC137=0),"",IF(AND(E137&gt;AB137,AB137&gt;AC137),"パーフェクト▲",IF(E137&gt;AC137,"上昇トレンド▲",IF(AND(E137&lt;AB137,AB137&lt;AC137),"下降トレンド▼","もみ合い→"))))</f>
        <v>パーフェクト▲</v>
      </c>
      <c r="AE137" s="325" t="str">
        <f>IF(OR(C137="",AB137="",AC137=""),"",IF(AND(ABS(E137-AC137)/AC137&lt;=0.02,E137&lt;AC137),"25日戻り売り★",IF(AND(ABS(E137-AB137)/AB137&lt;=0.01,E137&lt;AB137),"5日戻り売り○","なし")))</f>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IF(AND(T137&gt;=7,C137&lt;&gt;""),T137,0)</f>
        <v>0</v>
      </c>
      <c r="AH137">
        <f>IF(AG137&gt;0,AG137*10000-ROW(A137),0)</f>
        <v>0</v>
      </c>
      <c r="AI137" s="373" t="str">
        <f t="array" ref="AI137">IF(C137="","",IFERROR((INDEX(終値!$E:$E,MATCH(TEXT(C137,"0"),終値!$A:$A,0))-INDEX(終値!$E:$CZ,MATCH(TEXT(C137,"0"),終値!$A:$A,0),$AN$2))/INDEX(終値!$E:$CZ,MATCH(TEXT(C137,"0"),終値!$A:$A,0),$AN$2)*100,""))</f>
        <v/>
      </c>
      <c r="AJ137" s="373">
        <f t="array" ref="AJ137">IFERROR((終値!$E$5-INDEX(終値!$E$5:$IT$5,1,$AN$2))/INDEX(終値!$E$5:$IT$5,1,$AN$2)*100,"")</f>
        <v>1.0179378228534113</v>
      </c>
      <c r="AK137" s="374" t="str">
        <f>IF(OR(AI137="",AJ137=""),"",AI137-AJ137)</f>
        <v/>
      </c>
      <c r="AL137" s="372" t="str">
        <f>IF(AK137="","",IF(AK137&lt;-5,3,IF(AK137&lt;0,1,IF(AK137&lt;3,-1,-2))))</f>
        <v/>
      </c>
      <c r="AO137" s="376" t="str">
        <f>IF(OR($C137="",$E137="",$F137="",$H137="",$I137="",$H137-$I137&lt;=0),"-",IF(AND($H137-MAX($F137,$E137)&gt;=ABS($E137-$F137)*2,MIN($F137,$E137)-$I137&lt;=ABS($E137-$F137)*0.5,ABS($E137-$F137)&gt;0),"上ヒゲ陰線▼",IF(AND($E137&lt;$F137,ABS($E137-$F137)&gt;=($H137-$I137)*0.7),"大陰線▼",IF(AND(MIN($F137,$E137)-$I137&gt;=($H137-$I137)*0.5,$H137-MAX($F137,$E137)&lt;=($H137-$I137)*0.2),"長い下ヒゲ(反発警戒)","通常"))))</f>
        <v>通常</v>
      </c>
      <c r="AP137" s="377">
        <f>IF($AO137="上ヒゲ陰線▼",2,IF($AO137="大陰線▼",2,IF($AO137="長い下ヒゲ(反発警戒)",-2,0)))</f>
        <v>0</v>
      </c>
      <c r="AQ137">
        <f>IF(C137&lt;&gt;"",始値!F177,"")</f>
        <v>1465</v>
      </c>
      <c r="AR137">
        <f>IF(C137&lt;&gt;"",高値!F177,"")</f>
        <v>1535</v>
      </c>
      <c r="AS137">
        <f>IF(C137&lt;&gt;"",安値!F177,"")</f>
        <v>1465</v>
      </c>
      <c r="AT137" t="str">
        <f>IF(OR(C137="",AQ137="",AR137="",AS137="",AR137-AS137&lt;=0),"-",IF(AND(AR137-MAX(G137,AQ137)&gt;=ABS(G137-AQ137)*2,MIN(G137,AQ137)-AS137&lt;=ABS(G137-AQ137)*0.5,ABS(G137-AQ137)&gt;0),"上ヒゲ陰線▼",IF(AND(G137&lt;AQ137,ABS(G137-AQ137)&gt;=(AR137-AS137)*0.7),"大陰線▼",IF(AND(MIN(G137,AQ137)-AS137&gt;=(AR137-AS137)*0.5,AR137-MAX(G137,AQ137)&lt;=(AR137-AS137)*0.2),"長い下ヒゲ(反発)","通常"))))</f>
        <v>通常</v>
      </c>
      <c r="AU137">
        <f>IF(AT137="上ヒゲ陰線▼",2,IF(AT137="大陰線▼",2,IF(AT137="長い下ヒゲ(反発)",-2,0)))</f>
        <v>0</v>
      </c>
      <c r="BA137">
        <f>IFERROR((SUM(OFFSET(高値!$E$6,IFERROR(MATCH($C137,銘柄管理!$B$6:$B$305,0),MATCH(TEXT($C137,"0"),銘柄管理!$B$6:$B$305,0))-1,0,1,14))-SUM(OFFSET(安値!$E$6,IFERROR(MATCH($C137,銘柄管理!$B$6:$B$305,0),MATCH(TEXT($C137,"0"),銘柄管理!$B$6:$B$305,0))-1,0,1,14)))/SUM(OFFSET(終値!$E$6,IFERROR(MATCH($C137,銘柄管理!$B$6:$B$305,0),MATCH(TEXT($C137,"0"),銘柄管理!$B$6:$B$305,0))-1,0,1,14))*100,"")</f>
      </c>
      <c r="BB137">
        <f>IFERROR((MAX(OFFSET(高値!$E$6,IFERROR(MATCH($C137,銘柄管理!$B$6:$B$305,0),MATCH(TEXT($C137,"0"),銘柄管理!$B$6:$B$305,0))-1,0,1,25))-MIN(OFFSET(安値!$E$6,IFERROR(MATCH($C137,銘柄管理!$B$6:$B$305,0),MATCH(TEXT($C137,"0"),銘柄管理!$B$6:$B$305,0))-1,0,1,25)))/$E137*100,"")</f>
      </c>
      <c r="BC137">
        <f>IFERROR(($F137-$G137)/$G137*100,"")</f>
      </c>
      <c r="BD137">
        <f>IFERROR(($E137-MAX(OFFSET(高値!$E$6,IFERROR(MATCH($C137,銘柄管理!$B$6:$B$305,0),MATCH(TEXT($C137,"0"),銘柄管理!$B$6:$B$305,0))-1,0,1,25)))/MAX(OFFSET(高値!$E$6,IFERROR(MATCH($C137,銘柄管理!$B$6:$B$305,0),MATCH(TEXT($C137,"0"),銘柄管理!$B$6:$B$305,0))-1,0,1,25))*100,"")</f>
      </c>
      <c r="BE137">
        <f>IFERROR(($H137-$I137)/$F137*100,"")</f>
      </c>
      <c r="BF137">
        <f>IFERROR(-(($BA137-AVERAGE($BA$3:$BA$206))/STDEV($BA$3:$BA$206))-(($BE137-AVERAGE($BE$3:$BE$206))/STDEV($BE$3:$BE$206))-(($BB137-AVERAGE($BB$3:$BB$206))/STDEV($BB$3:$BB$206))-(($Z137-AVERAGE($Z$3:$Z$206))/STDEV($Z$3:$Z$206))-(($BC137-AVERAGE($BC$3:$BC$206))/STDEV($BC$3:$BC$206)),"")</f>
      </c>
      <c r="BG137">
        <f>IF(OR($C137="",$C137="TOPX",$BA137="",$BF137=""),0,IF(AND($BK$10=1,$BA137&lt;=$BK$2,$BB137&lt;=$BK$3,$BC137&lt;=$BK$4,$Z137&lt;=$BK$5,$Z137&gt;=$BK$6,$BD137&gt;=$BK$7,$BE137&lt;=$BK$8),1,0))</f>
      </c>
      <c r="BH137">
        <f>IF($C137="","",IF($BG137=1,"○ゲート通過",IF($BK$10&lt;&gt;1,"― この方向は停止中",IF($BA137&gt;$BK$2,"×値動きが荒い",IF($BB137&gt;$BK$3,"×レンジが広い",IF($BC137&gt;$BK$4,"×窓を開けて上昇",IF($Z137&gt;$BK$5,"×前日に急騰",IF($Z137&lt;$BK$6,"×前日に急落",IF($BD137&lt;$BK$7,"×高値から離れすぎ",IF($BE137&gt;$BK$8,"×当日の値幅が大きい","×")))))))))</f>
      </c>
    </row>
    <row r="138" spans="1:60"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IF(AND(E138&lt;&gt;"",K138&lt;&gt;"",K138&lt;&gt;0),(E138-K138)/K138*100,"")</f>
        <v>-32.041116005873718</v>
      </c>
      <c r="M138" s="333">
        <f>IF(C138&lt;&gt;"",IFERROR(AVERAGE(出来高!E193:I193),""),"")</f>
        <v>418560</v>
      </c>
      <c r="N138" s="333">
        <f>IF(C138&lt;&gt;"",IFERROR(AVERAGE(出来高!E193:AC193),""),"")</f>
        <v>619792</v>
      </c>
      <c r="O138" s="335">
        <f>IF(AND(J138&lt;&gt;"",M138&lt;&gt;"",M138&lt;&gt;0),J138/M138,"")</f>
        <v>1.177131116207951</v>
      </c>
      <c r="P138" s="212" t="str">
        <f>IF(O138="","",IF(O138&gt;=2,"急増↑↑",IF(O138&gt;=1.5,"増加↑",IF(O138&gt;=1,"普通→","減少↓"))))</f>
        <v>普通→</v>
      </c>
      <c r="Q138" s="212" t="str">
        <f>IF(E138="","",IF(AND(E138&lt;G138,O138&gt;=1.5),"売り▼",IF(E138&gt;G138,"様子見▲","中立→")))</f>
        <v>様子見▲</v>
      </c>
      <c r="R138" s="333">
        <f>IF(E138&lt;&gt;"",ROUND(E138*0.92,0),"")</f>
        <v>2129</v>
      </c>
      <c r="S138" s="333">
        <f>IF(E138&lt;&gt;"",ROUND(E138*1.04,0),"")</f>
        <v>2407</v>
      </c>
      <c r="T138" s="325">
        <f>IF(C138="","",IFERROR(IF(W138&gt;=70,3,IF(W138&gt;=60,2,IF(W138&gt;=50,1,0)))+IF(X138&lt;0,2,0)+IF(AD138="下降トレンド▼",3,IF(AD138="もみ合い→",1,0))+IF(V138="年初来安値圏●",3,IF(V138="安値圏",2,0))+IF(Q138="売り▼",2,0)+IF(P138="急増↑↑",2,IF(P138="増加↑",1,0))+IF(Z138&lt;0,1,0)+IF(L138&lt;=-30,2,IF(L138&lt;=-15,1,0))+IF(AE138="25日戻り売り★",2,IF(AE138="5日戻り売り○",1,0))+N(AL138)+N(AP138)+N(AU138),0))</f>
        <v>3</v>
      </c>
      <c r="U138" s="212" t="str">
        <f>IF(T138="","",IF(AND(T138&gt;=3,O138&gt;=1.5),"有効",IF(T138&gt;=3,"要確認","除外")))</f>
        <v>要確認</v>
      </c>
      <c r="V138" s="212" t="str">
        <f>IF(AND(I138&lt;&gt;"",K138&lt;&gt;""),IF(I138&lt;=K138*0.6,"年初来安値圏●",IF(I138&lt;=K138*0.75,"安値圏","通常")),"")</f>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IF(AF138="","",AF138&amp;" | "&amp;AD138&amp;IF(AE138&lt;&gt;"なし"," "&amp;AE138,"")&amp;IF(X138&lt;0," MACD-"," MACD+")&amp;" RSI:"&amp;TEXT(W138,"0.0")&amp;IF(W138&gt;=70," [過熱]",IF(W138&lt;=30," [売られ過ぎ]",""))&amp;" 前日比:"&amp;TEXT(Z138,"+0.0;-0.0;0.0")&amp;"%"&amp;IF(V138="年初来安値圏●"," [年初来安値圏]",IF(V138="安値圏"," [安値圏]",""))&amp;IF(OR(AO138="通常",AO138="-"),""," ["&amp;AO138&amp;"]")&amp;IF(OR(AT138="通常",AT138="-"),"","前日["&amp;AT138&amp;"]")&amp;" ["&amp;T138&amp;"点]")</f>
        <v>相場上昇・見送り | パーフェクト▲ MACD+ RSI:56.9 前日比:+1.1% [安値圏] [3点]</v>
      </c>
      <c r="Z138" s="338">
        <f>IF(AND(E138&lt;&gt;"",G138&lt;&gt;"",G138&lt;&gt;0),(E138-G138)/G138*100,"")</f>
        <v>1.1363636363636365</v>
      </c>
      <c r="AA138" s="212" t="str">
        <f>IF(OR(C138="",E138="",E138=0),"",IF(E138&gt;G138,"上昇▲",IF(E138&lt;G138,"下落▼","横ばい→")))</f>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IF(OR(C138="",AB138="",AC138="",AB138=0,AC138=0),"",IF(AND(E138&gt;AB138,AB138&gt;AC138),"パーフェクト▲",IF(E138&gt;AC138,"上昇トレンド▲",IF(AND(E138&lt;AB138,AB138&lt;AC138),"下降トレンド▼","もみ合い→"))))</f>
        <v>パーフェクト▲</v>
      </c>
      <c r="AE138" s="212" t="str">
        <f>IF(OR(C138="",AB138="",AC138=""),"",IF(AND(ABS(E138-AC138)/AC138&lt;=0.02,E138&lt;AC138),"25日戻り売り★",IF(AND(ABS(E138-AB138)/AB138&lt;=0.01,E138&lt;AB138),"5日戻り売り○","なし")))</f>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IF(AND(T138&gt;=7,C138&lt;&gt;""),T138,0)</f>
        <v>0</v>
      </c>
      <c r="AH138">
        <f>IF(AG138&gt;0,AG138*10000-ROW(A138),0)</f>
        <v>0</v>
      </c>
      <c r="AI138" s="373">
        <f t="array" ref="AI138">IF(C138="","",IFERROR((INDEX(終値!$E:$E,MATCH(TEXT(C138,"0"),終値!$A:$A,0))-INDEX(終値!$E:$CZ,MATCH(TEXT(C138,"0"),終値!$A:$A,0),$AN$2))/INDEX(終値!$E:$CZ,MATCH(TEXT(C138,"0"),終値!$A:$A,0),$AN$2)*100,""))</f>
        <v>20.520833333333332</v>
      </c>
      <c r="AJ138" s="373">
        <f t="array" ref="AJ138">IFERROR((終値!$E$5-INDEX(終値!$E$5:$IT$5,1,$AN$2))/INDEX(終値!$E$5:$IT$5,1,$AN$2)*100,"")</f>
        <v>1.0179378228534113</v>
      </c>
      <c r="AK138" s="374">
        <f>IF(OR(AI138="",AJ138=""),"",AI138-AJ138)</f>
        <v>19.50289551047992</v>
      </c>
      <c r="AL138" s="372">
        <f>IF(AK138="","",IF(AK138&lt;-5,3,IF(AK138&lt;0,1,IF(AK138&lt;3,-1,-2))))</f>
        <v>-2</v>
      </c>
      <c r="AO138" s="376" t="str">
        <f>IF(OR($C138="",$E138="",$F138="",$H138="",$I138="",$H138-$I138&lt;=0),"-",IF(AND($H138-MAX($F138,$E138)&gt;=ABS($E138-$F138)*2,MIN($F138,$E138)-$I138&lt;=ABS($E138-$F138)*0.5,ABS($E138-$F138)&gt;0),"上ヒゲ陰線▼",IF(AND($E138&lt;$F138,ABS($E138-$F138)&gt;=($H138-$I138)*0.7),"大陰線▼",IF(AND(MIN($F138,$E138)-$I138&gt;=($H138-$I138)*0.5,$H138-MAX($F138,$E138)&lt;=($H138-$I138)*0.2),"長い下ヒゲ(反発警戒)","通常"))))</f>
        <v>通常</v>
      </c>
      <c r="AP138" s="377">
        <f>IF($AO138="上ヒゲ陰線▼",2,IF($AO138="大陰線▼",2,IF($AO138="長い下ヒゲ(反発警戒)",-2,0)))</f>
        <v>0</v>
      </c>
      <c r="AQ138">
        <f>IF(C138&lt;&gt;"",始値!F193,"")</f>
        <v>2182</v>
      </c>
      <c r="AR138">
        <f>IF(C138&lt;&gt;"",高値!F193,"")</f>
        <v>2310</v>
      </c>
      <c r="AS138">
        <f>IF(C138&lt;&gt;"",安値!F193,"")</f>
        <v>2160</v>
      </c>
      <c r="AT138" t="str">
        <f>IF(OR(C138="",AQ138="",AR138="",AS138="",AR138-AS138&lt;=0),"-",IF(AND(AR138-MAX(G138,AQ138)&gt;=ABS(G138-AQ138)*2,MIN(G138,AQ138)-AS138&lt;=ABS(G138-AQ138)*0.5,ABS(G138-AQ138)&gt;0),"上ヒゲ陰線▼",IF(AND(G138&lt;AQ138,ABS(G138-AQ138)&gt;=(AR138-AS138)*0.7),"大陰線▼",IF(AND(MIN(G138,AQ138)-AS138&gt;=(AR138-AS138)*0.5,AR138-MAX(G138,AQ138)&lt;=(AR138-AS138)*0.2),"長い下ヒゲ(反発)","通常"))))</f>
        <v>通常</v>
      </c>
      <c r="AU138">
        <f>IF(AT138="上ヒゲ陰線▼",2,IF(AT138="大陰線▼",2,IF(AT138="長い下ヒゲ(反発)",-2,0)))</f>
        <v>0</v>
      </c>
      <c r="BA138">
        <f>IFERROR((SUM(OFFSET(高値!$E$6,IFERROR(MATCH($C138,銘柄管理!$B$6:$B$305,0),MATCH(TEXT($C138,"0"),銘柄管理!$B$6:$B$305,0))-1,0,1,14))-SUM(OFFSET(安値!$E$6,IFERROR(MATCH($C138,銘柄管理!$B$6:$B$305,0),MATCH(TEXT($C138,"0"),銘柄管理!$B$6:$B$305,0))-1,0,1,14)))/SUM(OFFSET(終値!$E$6,IFERROR(MATCH($C138,銘柄管理!$B$6:$B$305,0),MATCH(TEXT($C138,"0"),銘柄管理!$B$6:$B$305,0))-1,0,1,14))*100,"")</f>
      </c>
      <c r="BB138">
        <f>IFERROR((MAX(OFFSET(高値!$E$6,IFERROR(MATCH($C138,銘柄管理!$B$6:$B$305,0),MATCH(TEXT($C138,"0"),銘柄管理!$B$6:$B$305,0))-1,0,1,25))-MIN(OFFSET(安値!$E$6,IFERROR(MATCH($C138,銘柄管理!$B$6:$B$305,0),MATCH(TEXT($C138,"0"),銘柄管理!$B$6:$B$305,0))-1,0,1,25)))/$E138*100,"")</f>
      </c>
      <c r="BC138">
        <f>IFERROR(($F138-$G138)/$G138*100,"")</f>
      </c>
      <c r="BD138">
        <f>IFERROR(($E138-MAX(OFFSET(高値!$E$6,IFERROR(MATCH($C138,銘柄管理!$B$6:$B$305,0),MATCH(TEXT($C138,"0"),銘柄管理!$B$6:$B$305,0))-1,0,1,25)))/MAX(OFFSET(高値!$E$6,IFERROR(MATCH($C138,銘柄管理!$B$6:$B$305,0),MATCH(TEXT($C138,"0"),銘柄管理!$B$6:$B$305,0))-1,0,1,25))*100,"")</f>
      </c>
      <c r="BE138">
        <f>IFERROR(($H138-$I138)/$F138*100,"")</f>
      </c>
      <c r="BF138">
        <f>IFERROR(-(($BA138-AVERAGE($BA$3:$BA$206))/STDEV($BA$3:$BA$206))-(($BE138-AVERAGE($BE$3:$BE$206))/STDEV($BE$3:$BE$206))-(($BB138-AVERAGE($BB$3:$BB$206))/STDEV($BB$3:$BB$206))-(($Z138-AVERAGE($Z$3:$Z$206))/STDEV($Z$3:$Z$206))-(($BC138-AVERAGE($BC$3:$BC$206))/STDEV($BC$3:$BC$206)),"")</f>
      </c>
      <c r="BG138">
        <f>IF(OR($C138="",$C138="TOPX",$BA138="",$BF138=""),0,IF(AND($BK$10=1,$BA138&lt;=$BK$2,$BB138&lt;=$BK$3,$BC138&lt;=$BK$4,$Z138&lt;=$BK$5,$Z138&gt;=$BK$6,$BD138&gt;=$BK$7,$BE138&lt;=$BK$8),1,0))</f>
      </c>
      <c r="BH138">
        <f>IF($C138="","",IF($BG138=1,"○ゲート通過",IF($BK$10&lt;&gt;1,"― この方向は停止中",IF($BA138&gt;$BK$2,"×値動きが荒い",IF($BB138&gt;$BK$3,"×レンジが広い",IF($BC138&gt;$BK$4,"×窓を開けて上昇",IF($Z138&gt;$BK$5,"×前日に急騰",IF($Z138&lt;$BK$6,"×前日に急落",IF($BD138&lt;$BK$7,"×高値から離れすぎ",IF($BE138&gt;$BK$8,"×当日の値幅が大きい","×")))))))))</f>
      </c>
    </row>
    <row r="139" spans="1:60"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IF(AND(E139&lt;&gt;"",K139&lt;&gt;"",K139&lt;&gt;0),(E139-K139)/K139*100,"")</f>
        <v>-22.299536116633529</v>
      </c>
      <c r="M139" s="326">
        <f>IF(C139&lt;&gt;"",IFERROR(AVERAGE(出来高!E11:I11),""),"")</f>
        <v>7196020</v>
      </c>
      <c r="N139" s="326">
        <f>IF(C139&lt;&gt;"",IFERROR(AVERAGE(出来高!E11:AC11),""),"")</f>
        <v>7094672</v>
      </c>
      <c r="O139" s="328">
        <f>IF(AND(J139&lt;&gt;"",M139&lt;&gt;"",M139&lt;&gt;0),J139/M139,"")</f>
        <v>0.75985058407286254</v>
      </c>
      <c r="P139" s="325" t="str">
        <f>IF(O139="","",IF(O139&gt;=2,"急増↑↑",IF(O139&gt;=1.5,"増加↑",IF(O139&gt;=1,"普通→","減少↓"))))</f>
        <v>減少↓</v>
      </c>
      <c r="Q139" s="325" t="str">
        <f>IF(E139="","",IF(AND(E139&lt;G139,O139&gt;=1.5),"売り▼",IF(E139&gt;G139,"様子見▲","中立→")))</f>
        <v>様子見▲</v>
      </c>
      <c r="R139" s="326">
        <f>IF(E139&lt;&gt;"",ROUND(E139*0.92,0),"")</f>
        <v>4315</v>
      </c>
      <c r="S139" s="326">
        <f>IF(E139&lt;&gt;"",ROUND(E139*1.04,0),"")</f>
        <v>4878</v>
      </c>
      <c r="T139" s="325">
        <f>IF(C139="","",IFERROR(IF(W139&gt;=70,3,IF(W139&gt;=60,2,IF(W139&gt;=50,1,0)))+IF(X139&lt;0,2,0)+IF(AD139="下降トレンド▼",3,IF(AD139="もみ合い→",1,0))+IF(V139="年初来安値圏●",3,IF(V139="安値圏",2,0))+IF(Q139="売り▼",2,0)+IF(P139="急増↑↑",2,IF(P139="増加↑",1,0))+IF(Z139&lt;0,1,0)+IF(L139&lt;=-30,2,IF(L139&lt;=-15,1,0))+IF(AE139="25日戻り売り★",2,IF(AE139="5日戻り売り○",1,0))+N(AL139)+N(AP139)+N(AU139),0))</f>
        <v>1</v>
      </c>
      <c r="U139" s="325" t="str">
        <f>IF(T139="","",IF(AND(T139&gt;=3,O139&gt;=1.5),"有効",IF(T139&gt;=3,"要確認","除外")))</f>
        <v>除外</v>
      </c>
      <c r="V139" s="325" t="str">
        <f>IF(AND(I139&lt;&gt;"",K139&lt;&gt;""),IF(I139&lt;=K139*0.6,"年初来安値圏●",IF(I139&lt;=K139*0.75,"安値圏","通常")),"")</f>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IF(AF139="","",AF139&amp;" | "&amp;AD139&amp;IF(AE139&lt;&gt;"なし"," "&amp;AE139,"")&amp;IF(X139&lt;0," MACD-"," MACD+")&amp;" RSI:"&amp;TEXT(W139,"0.0")&amp;IF(W139&gt;=70," [過熱]",IF(W139&lt;=30," [売られ過ぎ]",""))&amp;" 前日比:"&amp;TEXT(Z139,"+0.0;-0.0;0.0")&amp;"%"&amp;IF(V139="年初来安値圏●"," [年初来安値圏]",IF(V139="安値圏"," [安値圏]",""))&amp;IF(OR(AO139="通常",AO139="-"),""," ["&amp;AO139&amp;"]")&amp;IF(OR(AT139="通常",AT139="-"),"","前日["&amp;AT139&amp;"]")&amp;" ["&amp;T139&amp;"点]")</f>
        <v>相場上昇・見送り | パーフェクト▲ MACD+ RSI:62.0 前日比:+1.3% [1点]</v>
      </c>
      <c r="Z139" s="331">
        <f>IF(AND(E139&lt;&gt;"",G139&lt;&gt;"",G139&lt;&gt;0),(E139-G139)/G139*100,"")</f>
        <v>1.2740228892247896</v>
      </c>
      <c r="AA139" s="325" t="str">
        <f>IF(OR(C139="",E139="",E139=0),"",IF(E139&gt;G139,"上昇▲",IF(E139&lt;G139,"下落▼","横ばい→")))</f>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IF(OR(C139="",AB139="",AC139="",AB139=0,AC139=0),"",IF(AND(E139&gt;AB139,AB139&gt;AC139),"パーフェクト▲",IF(E139&gt;AC139,"上昇トレンド▲",IF(AND(E139&lt;AB139,AB139&lt;AC139),"下降トレンド▼","もみ合い→"))))</f>
        <v>パーフェクト▲</v>
      </c>
      <c r="AE139" s="325" t="str">
        <f>IF(OR(C139="",AB139="",AC139=""),"",IF(AND(ABS(E139-AC139)/AC139&lt;=0.02,E139&lt;AC139),"25日戻り売り★",IF(AND(ABS(E139-AB139)/AB139&lt;=0.01,E139&lt;AB139),"5日戻り売り○","なし")))</f>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IF(AND(T139&gt;=7,C139&lt;&gt;""),T139,0)</f>
        <v>0</v>
      </c>
      <c r="AH139">
        <f>IF(AG139&gt;0,AG139*10000-ROW(A139),0)</f>
        <v>0</v>
      </c>
      <c r="AI139" s="373">
        <f t="array" ref="AI139">IF(C139="","",IFERROR((INDEX(終値!$E:$E,MATCH(TEXT(C139,"0"),終値!$A:$A,0))-INDEX(終値!$E:$CZ,MATCH(TEXT(C139,"0"),終値!$A:$A,0),$AN$2))/INDEX(終値!$E:$CZ,MATCH(TEXT(C139,"0"),終値!$A:$A,0),$AN$2)*100,""))</f>
        <v>17.809595579000252</v>
      </c>
      <c r="AJ139" s="373">
        <f t="array" ref="AJ139">IFERROR((終値!$E$5-INDEX(終値!$E$5:$IT$5,1,$AN$2))/INDEX(終値!$E$5:$IT$5,1,$AN$2)*100,"")</f>
        <v>1.0179378228534113</v>
      </c>
      <c r="AK139" s="374">
        <f>IF(OR(AI139="",AJ139=""),"",AI139-AJ139)</f>
        <v>16.79165775614684</v>
      </c>
      <c r="AL139" s="372">
        <f>IF(AK139="","",IF(AK139&lt;-5,3,IF(AK139&lt;0,1,IF(AK139&lt;3,-1,-2))))</f>
        <v>-2</v>
      </c>
      <c r="AO139" s="376" t="str">
        <f>IF(OR($C139="",$E139="",$F139="",$H139="",$I139="",$H139-$I139&lt;=0),"-",IF(AND($H139-MAX($F139,$E139)&gt;=ABS($E139-$F139)*2,MIN($F139,$E139)-$I139&lt;=ABS($E139-$F139)*0.5,ABS($E139-$F139)&gt;0),"上ヒゲ陰線▼",IF(AND($E139&lt;$F139,ABS($E139-$F139)&gt;=($H139-$I139)*0.7),"大陰線▼",IF(AND(MIN($F139,$E139)-$I139&gt;=($H139-$I139)*0.5,$H139-MAX($F139,$E139)&lt;=($H139-$I139)*0.2),"長い下ヒゲ(反発警戒)","通常"))))</f>
        <v>通常</v>
      </c>
      <c r="AP139" s="377">
        <f>IF($AO139="上ヒゲ陰線▼",2,IF($AO139="大陰線▼",2,IF($AO139="長い下ヒゲ(反発警戒)",-2,0)))</f>
        <v>0</v>
      </c>
      <c r="AQ139">
        <f>IF(C139&lt;&gt;"",始値!F11,"")</f>
        <v>4677</v>
      </c>
      <c r="AR139">
        <f>IF(C139&lt;&gt;"",高値!F11,"")</f>
        <v>4753</v>
      </c>
      <c r="AS139">
        <f>IF(C139&lt;&gt;"",安値!F11,"")</f>
        <v>4631</v>
      </c>
      <c r="AT139" t="str">
        <f>IF(OR(C139="",AQ139="",AR139="",AS139="",AR139-AS139&lt;=0),"-",IF(AND(AR139-MAX(G139,AQ139)&gt;=ABS(G139-AQ139)*2,MIN(G139,AQ139)-AS139&lt;=ABS(G139-AQ139)*0.5,ABS(G139-AQ139)&gt;0),"上ヒゲ陰線▼",IF(AND(G139&lt;AQ139,ABS(G139-AQ139)&gt;=(AR139-AS139)*0.7),"大陰線▼",IF(AND(MIN(G139,AQ139)-AS139&gt;=(AR139-AS139)*0.5,AR139-MAX(G139,AQ139)&lt;=(AR139-AS139)*0.2),"長い下ヒゲ(反発)","通常"))))</f>
        <v>通常</v>
      </c>
      <c r="AU139">
        <f>IF(AT139="上ヒゲ陰線▼",2,IF(AT139="大陰線▼",2,IF(AT139="長い下ヒゲ(反発)",-2,0)))</f>
        <v>0</v>
      </c>
      <c r="BA139">
        <f>IFERROR((SUM(OFFSET(高値!$E$6,IFERROR(MATCH($C139,銘柄管理!$B$6:$B$305,0),MATCH(TEXT($C139,"0"),銘柄管理!$B$6:$B$305,0))-1,0,1,14))-SUM(OFFSET(安値!$E$6,IFERROR(MATCH($C139,銘柄管理!$B$6:$B$305,0),MATCH(TEXT($C139,"0"),銘柄管理!$B$6:$B$305,0))-1,0,1,14)))/SUM(OFFSET(終値!$E$6,IFERROR(MATCH($C139,銘柄管理!$B$6:$B$305,0),MATCH(TEXT($C139,"0"),銘柄管理!$B$6:$B$305,0))-1,0,1,14))*100,"")</f>
      </c>
      <c r="BB139">
        <f>IFERROR((MAX(OFFSET(高値!$E$6,IFERROR(MATCH($C139,銘柄管理!$B$6:$B$305,0),MATCH(TEXT($C139,"0"),銘柄管理!$B$6:$B$305,0))-1,0,1,25))-MIN(OFFSET(安値!$E$6,IFERROR(MATCH($C139,銘柄管理!$B$6:$B$305,0),MATCH(TEXT($C139,"0"),銘柄管理!$B$6:$B$305,0))-1,0,1,25)))/$E139*100,"")</f>
      </c>
      <c r="BC139">
        <f>IFERROR(($F139-$G139)/$G139*100,"")</f>
      </c>
      <c r="BD139">
        <f>IFERROR(($E139-MAX(OFFSET(高値!$E$6,IFERROR(MATCH($C139,銘柄管理!$B$6:$B$305,0),MATCH(TEXT($C139,"0"),銘柄管理!$B$6:$B$305,0))-1,0,1,25)))/MAX(OFFSET(高値!$E$6,IFERROR(MATCH($C139,銘柄管理!$B$6:$B$305,0),MATCH(TEXT($C139,"0"),銘柄管理!$B$6:$B$305,0))-1,0,1,25))*100,"")</f>
      </c>
      <c r="BE139">
        <f>IFERROR(($H139-$I139)/$F139*100,"")</f>
      </c>
      <c r="BF139">
        <f>IFERROR(-(($BA139-AVERAGE($BA$3:$BA$206))/STDEV($BA$3:$BA$206))-(($BE139-AVERAGE($BE$3:$BE$206))/STDEV($BE$3:$BE$206))-(($BB139-AVERAGE($BB$3:$BB$206))/STDEV($BB$3:$BB$206))-(($Z139-AVERAGE($Z$3:$Z$206))/STDEV($Z$3:$Z$206))-(($BC139-AVERAGE($BC$3:$BC$206))/STDEV($BC$3:$BC$206)),"")</f>
      </c>
      <c r="BG139">
        <f>IF(OR($C139="",$C139="TOPX",$BA139="",$BF139=""),0,IF(AND($BK$10=1,$BA139&lt;=$BK$2,$BB139&lt;=$BK$3,$BC139&lt;=$BK$4,$Z139&lt;=$BK$5,$Z139&gt;=$BK$6,$BD139&gt;=$BK$7,$BE139&lt;=$BK$8),1,0))</f>
      </c>
      <c r="BH139">
        <f>IF($C139="","",IF($BG139=1,"○ゲート通過",IF($BK$10&lt;&gt;1,"― この方向は停止中",IF($BA139&gt;$BK$2,"×値動きが荒い",IF($BB139&gt;$BK$3,"×レンジが広い",IF($BC139&gt;$BK$4,"×窓を開けて上昇",IF($Z139&gt;$BK$5,"×前日に急騰",IF($Z139&lt;$BK$6,"×前日に急落",IF($BD139&lt;$BK$7,"×高値から離れすぎ",IF($BE139&gt;$BK$8,"×当日の値幅が大きい","×")))))))))</f>
      </c>
    </row>
    <row r="140" spans="1:60"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IF(AND(E140&lt;&gt;"",K140&lt;&gt;"",K140&lt;&gt;0),(E140-K140)/K140*100,"")</f>
        <v>-24.685816876122082</v>
      </c>
      <c r="M140" s="333">
        <f>IF(C140&lt;&gt;"",IFERROR(AVERAGE(出来高!E24:I24),""),"")</f>
        <v>3579260</v>
      </c>
      <c r="N140" s="333">
        <f>IF(C140&lt;&gt;"",IFERROR(AVERAGE(出来高!E24:AC24),""),"")</f>
        <v>3500392</v>
      </c>
      <c r="O140" s="335">
        <f>IF(AND(J140&lt;&gt;"",M140&lt;&gt;"",M140&lt;&gt;0),J140/M140,"")</f>
        <v>0.90135949889083222</v>
      </c>
      <c r="P140" s="212" t="str">
        <f>IF(O140="","",IF(O140&gt;=2,"急増↑↑",IF(O140&gt;=1.5,"増加↑",IF(O140&gt;=1,"普通→","減少↓"))))</f>
        <v>減少↓</v>
      </c>
      <c r="Q140" s="212" t="str">
        <f>IF(E140="","",IF(AND(E140&lt;G140,O140&gt;=1.5),"売り▼",IF(E140&gt;G140,"様子見▲","中立→")))</f>
        <v>様子見▲</v>
      </c>
      <c r="R140" s="333">
        <f>IF(E140&lt;&gt;"",ROUND(E140*0.92,0),"")</f>
        <v>1158</v>
      </c>
      <c r="S140" s="333">
        <f>IF(E140&lt;&gt;"",ROUND(E140*1.04,0),"")</f>
        <v>1309</v>
      </c>
      <c r="T140" s="325">
        <f>IF(C140="","",IFERROR(IF(W140&gt;=70,3,IF(W140&gt;=60,2,IF(W140&gt;=50,1,0)))+IF(X140&lt;0,2,0)+IF(AD140="下降トレンド▼",3,IF(AD140="もみ合い→",1,0))+IF(V140="年初来安値圏●",3,IF(V140="安値圏",2,0))+IF(Q140="売り▼",2,0)+IF(P140="急増↑↑",2,IF(P140="増加↑",1,0))+IF(Z140&lt;0,1,0)+IF(L140&lt;=-30,2,IF(L140&lt;=-15,1,0))+IF(AE140="25日戻り売り★",2,IF(AE140="5日戻り売り○",1,0))+N(AL140)+N(AP140)+N(AU140),0))</f>
        <v>4</v>
      </c>
      <c r="U140" s="212" t="str">
        <f>IF(T140="","",IF(AND(T140&gt;=3,O140&gt;=1.5),"有効",IF(T140&gt;=3,"要確認","除外")))</f>
        <v>要確認</v>
      </c>
      <c r="V140" s="212" t="str">
        <f>IF(AND(I140&lt;&gt;"",K140&lt;&gt;""),IF(I140&lt;=K140*0.6,"年初来安値圏●",IF(I140&lt;=K140*0.75,"安値圏","通常")),"")</f>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IF(AF140="","",AF140&amp;" | "&amp;AD140&amp;IF(AE140&lt;&gt;"なし"," "&amp;AE140,"")&amp;IF(X140&lt;0," MACD-"," MACD+")&amp;" RSI:"&amp;TEXT(W140,"0.0")&amp;IF(W140&gt;=70," [過熱]",IF(W140&lt;=30," [売られ過ぎ]",""))&amp;" 前日比:"&amp;TEXT(Z140,"+0.0;-0.0;0.0")&amp;"%"&amp;IF(V140="年初来安値圏●"," [年初来安値圏]",IF(V140="安値圏"," [安値圏]",""))&amp;IF(OR(AO140="通常",AO140="-"),""," ["&amp;AO140&amp;"]")&amp;IF(OR(AT140="通常",AT140="-"),"","前日["&amp;AT140&amp;"]")&amp;" ["&amp;T140&amp;"点]")</f>
        <v>○逆張り売り | もみ合い→ 25日戻り売り★ MACD+ RSI:42.5 前日比:+1.4% [安値圏] [4点]</v>
      </c>
      <c r="Z140" s="338">
        <f>IF(AND(E140&lt;&gt;"",G140&lt;&gt;"",G140&lt;&gt;0),(E140-G140)/G140*100,"")</f>
        <v>1.4101531023368252</v>
      </c>
      <c r="AA140" s="212" t="str">
        <f>IF(OR(C140="",E140="",E140=0),"",IF(E140&gt;G140,"上昇▲",IF(E140&lt;G140,"下落▼","横ばい→")))</f>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IF(OR(C140="",AB140="",AC140="",AB140=0,AC140=0),"",IF(AND(E140&gt;AB140,AB140&gt;AC140),"パーフェクト▲",IF(E140&gt;AC140,"上昇トレンド▲",IF(AND(E140&lt;AB140,AB140&lt;AC140),"下降トレンド▼","もみ合い→"))))</f>
        <v>もみ合い→</v>
      </c>
      <c r="AE140" s="212" t="str">
        <f>IF(OR(C140="",AB140="",AC140=""),"",IF(AND(ABS(E140-AC140)/AC140&lt;=0.02,E140&lt;AC140),"25日戻り売り★",IF(AND(ABS(E140-AB140)/AB140&lt;=0.01,E140&lt;AB140),"5日戻り売り○","なし")))</f>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IF(AND(T140&gt;=7,C140&lt;&gt;""),T140,0)</f>
        <v>0</v>
      </c>
      <c r="AH140">
        <f>IF(AG140&gt;0,AG140*10000-ROW(A140),0)</f>
        <v>0</v>
      </c>
      <c r="AI140" s="373">
        <f t="array" ref="AI140">IF(C140="","",IFERROR((INDEX(終値!$E:$E,MATCH(TEXT(C140,"0"),終値!$A:$A,0))-INDEX(終値!$E:$CZ,MATCH(TEXT(C140,"0"),終値!$A:$A,0),$AN$2))/INDEX(終値!$E:$CZ,MATCH(TEXT(C140,"0"),終値!$A:$A,0),$AN$2)*100,""))</f>
        <v>6.0682680151706698</v>
      </c>
      <c r="AJ140" s="373">
        <f t="array" ref="AJ140">IFERROR((終値!$E$5-INDEX(終値!$E$5:$IT$5,1,$AN$2))/INDEX(終値!$E$5:$IT$5,1,$AN$2)*100,"")</f>
        <v>1.0179378228534113</v>
      </c>
      <c r="AK140" s="374">
        <f>IF(OR(AI140="",AJ140=""),"",AI140-AJ140)</f>
        <v>5.0503301923172588</v>
      </c>
      <c r="AL140" s="372">
        <f>IF(AK140="","",IF(AK140&lt;-5,3,IF(AK140&lt;0,1,IF(AK140&lt;3,-1,-2))))</f>
        <v>-2</v>
      </c>
      <c r="AO140" s="376" t="str">
        <f>IF(OR($C140="",$E140="",$F140="",$H140="",$I140="",$H140-$I140&lt;=0),"-",IF(AND($H140-MAX($F140,$E140)&gt;=ABS($E140-$F140)*2,MIN($F140,$E140)-$I140&lt;=ABS($E140-$F140)*0.5,ABS($E140-$F140)&gt;0),"上ヒゲ陰線▼",IF(AND($E140&lt;$F140,ABS($E140-$F140)&gt;=($H140-$I140)*0.7),"大陰線▼",IF(AND(MIN($F140,$E140)-$I140&gt;=($H140-$I140)*0.5,$H140-MAX($F140,$E140)&lt;=($H140-$I140)*0.2),"長い下ヒゲ(反発警戒)","通常"))))</f>
        <v>通常</v>
      </c>
      <c r="AP140" s="377">
        <f>IF($AO140="上ヒゲ陰線▼",2,IF($AO140="大陰線▼",2,IF($AO140="長い下ヒゲ(反発警戒)",-2,0)))</f>
        <v>0</v>
      </c>
      <c r="AQ140">
        <f>IF(C140&lt;&gt;"",始値!F24,"")</f>
        <v>1244.5</v>
      </c>
      <c r="AR140">
        <f>IF(C140&lt;&gt;"",高値!F24,"")</f>
        <v>1255</v>
      </c>
      <c r="AS140">
        <f>IF(C140&lt;&gt;"",安値!F24,"")</f>
        <v>1231</v>
      </c>
      <c r="AT140" t="str">
        <f>IF(OR(C140="",AQ140="",AR140="",AS140="",AR140-AS140&lt;=0),"-",IF(AND(AR140-MAX(G140,AQ140)&gt;=ABS(G140-AQ140)*2,MIN(G140,AQ140)-AS140&lt;=ABS(G140-AQ140)*0.5,ABS(G140-AQ140)&gt;0),"上ヒゲ陰線▼",IF(AND(G140&lt;AQ140,ABS(G140-AQ140)&gt;=(AR140-AS140)*0.7),"大陰線▼",IF(AND(MIN(G140,AQ140)-AS140&gt;=(AR140-AS140)*0.5,AR140-MAX(G140,AQ140)&lt;=(AR140-AS140)*0.2),"長い下ヒゲ(反発)","通常"))))</f>
        <v>通常</v>
      </c>
      <c r="AU140">
        <f>IF(AT140="上ヒゲ陰線▼",2,IF(AT140="大陰線▼",2,IF(AT140="長い下ヒゲ(反発)",-2,0)))</f>
        <v>0</v>
      </c>
      <c r="BA140">
        <f>IFERROR((SUM(OFFSET(高値!$E$6,IFERROR(MATCH($C140,銘柄管理!$B$6:$B$305,0),MATCH(TEXT($C140,"0"),銘柄管理!$B$6:$B$305,0))-1,0,1,14))-SUM(OFFSET(安値!$E$6,IFERROR(MATCH($C140,銘柄管理!$B$6:$B$305,0),MATCH(TEXT($C140,"0"),銘柄管理!$B$6:$B$305,0))-1,0,1,14)))/SUM(OFFSET(終値!$E$6,IFERROR(MATCH($C140,銘柄管理!$B$6:$B$305,0),MATCH(TEXT($C140,"0"),銘柄管理!$B$6:$B$305,0))-1,0,1,14))*100,"")</f>
      </c>
      <c r="BB140">
        <f>IFERROR((MAX(OFFSET(高値!$E$6,IFERROR(MATCH($C140,銘柄管理!$B$6:$B$305,0),MATCH(TEXT($C140,"0"),銘柄管理!$B$6:$B$305,0))-1,0,1,25))-MIN(OFFSET(安値!$E$6,IFERROR(MATCH($C140,銘柄管理!$B$6:$B$305,0),MATCH(TEXT($C140,"0"),銘柄管理!$B$6:$B$305,0))-1,0,1,25)))/$E140*100,"")</f>
      </c>
      <c r="BC140">
        <f>IFERROR(($F140-$G140)/$G140*100,"")</f>
      </c>
      <c r="BD140">
        <f>IFERROR(($E140-MAX(OFFSET(高値!$E$6,IFERROR(MATCH($C140,銘柄管理!$B$6:$B$305,0),MATCH(TEXT($C140,"0"),銘柄管理!$B$6:$B$305,0))-1,0,1,25)))/MAX(OFFSET(高値!$E$6,IFERROR(MATCH($C140,銘柄管理!$B$6:$B$305,0),MATCH(TEXT($C140,"0"),銘柄管理!$B$6:$B$305,0))-1,0,1,25))*100,"")</f>
      </c>
      <c r="BE140">
        <f>IFERROR(($H140-$I140)/$F140*100,"")</f>
      </c>
      <c r="BF140">
        <f>IFERROR(-(($BA140-AVERAGE($BA$3:$BA$206))/STDEV($BA$3:$BA$206))-(($BE140-AVERAGE($BE$3:$BE$206))/STDEV($BE$3:$BE$206))-(($BB140-AVERAGE($BB$3:$BB$206))/STDEV($BB$3:$BB$206))-(($Z140-AVERAGE($Z$3:$Z$206))/STDEV($Z$3:$Z$206))-(($BC140-AVERAGE($BC$3:$BC$206))/STDEV($BC$3:$BC$206)),"")</f>
      </c>
      <c r="BG140">
        <f>IF(OR($C140="",$C140="TOPX",$BA140="",$BF140=""),0,IF(AND($BK$10=1,$BA140&lt;=$BK$2,$BB140&lt;=$BK$3,$BC140&lt;=$BK$4,$Z140&lt;=$BK$5,$Z140&gt;=$BK$6,$BD140&gt;=$BK$7,$BE140&lt;=$BK$8),1,0))</f>
      </c>
      <c r="BH140">
        <f>IF($C140="","",IF($BG140=1,"○ゲート通過",IF($BK$10&lt;&gt;1,"― この方向は停止中",IF($BA140&gt;$BK$2,"×値動きが荒い",IF($BB140&gt;$BK$3,"×レンジが広い",IF($BC140&gt;$BK$4,"×窓を開けて上昇",IF($Z140&gt;$BK$5,"×前日に急騰",IF($Z140&lt;$BK$6,"×前日に急落",IF($BD140&lt;$BK$7,"×高値から離れすぎ",IF($BE140&gt;$BK$8,"×当日の値幅が大きい","×")))))))))</f>
      </c>
    </row>
    <row r="141" spans="1:60"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IF(AND(E141&lt;&gt;"",K141&lt;&gt;"",K141&lt;&gt;0),(E141-K141)/K141*100,"")</f>
        <v>-16.264090177133657</v>
      </c>
      <c r="M141" s="326">
        <f>IF(C141&lt;&gt;"",IFERROR(AVERAGE(出来高!E29:I29),""),"")</f>
        <v>7169920</v>
      </c>
      <c r="N141" s="326">
        <f>IF(C141&lt;&gt;"",IFERROR(AVERAGE(出来高!E29:AC29),""),"")</f>
        <v>6764208</v>
      </c>
      <c r="O141" s="328">
        <f>IF(AND(J141&lt;&gt;"",M141&lt;&gt;"",M141&lt;&gt;0),J141/M141,"")</f>
        <v>0.90285526198339727</v>
      </c>
      <c r="P141" s="325" t="str">
        <f>IF(O141="","",IF(O141&gt;=2,"急増↑↑",IF(O141&gt;=1.5,"増加↑",IF(O141&gt;=1,"普通→","減少↓"))))</f>
        <v>減少↓</v>
      </c>
      <c r="Q141" s="325" t="str">
        <f>IF(E141="","",IF(AND(E141&lt;G141,O141&gt;=1.5),"売り▼",IF(E141&gt;G141,"様子見▲","中立→")))</f>
        <v>様子見▲</v>
      </c>
      <c r="R141" s="326">
        <f>IF(E141&lt;&gt;"",ROUND(E141*0.92,0),"")</f>
        <v>1196</v>
      </c>
      <c r="S141" s="326">
        <f>IF(E141&lt;&gt;"",ROUND(E141*1.04,0),"")</f>
        <v>1352</v>
      </c>
      <c r="T141" s="325">
        <f>IF(C141="","",IFERROR(IF(W141&gt;=70,3,IF(W141&gt;=60,2,IF(W141&gt;=50,1,0)))+IF(X141&lt;0,2,0)+IF(AD141="下降トレンド▼",3,IF(AD141="もみ合い→",1,0))+IF(V141="年初来安値圏●",3,IF(V141="安値圏",2,0))+IF(Q141="売り▼",2,0)+IF(P141="急増↑↑",2,IF(P141="増加↑",1,0))+IF(Z141&lt;0,1,0)+IF(L141&lt;=-30,2,IF(L141&lt;=-15,1,0))+IF(AE141="25日戻り売り★",2,IF(AE141="5日戻り売り○",1,0))+N(AL141)+N(AP141)+N(AU141),0))</f>
        <v>0</v>
      </c>
      <c r="U141" s="325" t="str">
        <f>IF(T141="","",IF(AND(T141&gt;=3,O141&gt;=1.5),"有効",IF(T141&gt;=3,"要確認","除外")))</f>
        <v>除外</v>
      </c>
      <c r="V141" s="325" t="str">
        <f>IF(AND(I141&lt;&gt;"",K141&lt;&gt;""),IF(I141&lt;=K141*0.6,"年初来安値圏●",IF(I141&lt;=K141*0.75,"安値圏","通常")),"")</f>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IF(AF141="","",AF141&amp;" | "&amp;AD141&amp;IF(AE141&lt;&gt;"なし"," "&amp;AE141,"")&amp;IF(X141&lt;0," MACD-"," MACD+")&amp;" RSI:"&amp;TEXT(W141,"0.0")&amp;IF(W141&gt;=70," [過熱]",IF(W141&lt;=30," [売られ過ぎ]",""))&amp;" 前日比:"&amp;TEXT(Z141,"+0.0;-0.0;0.0")&amp;"%"&amp;IF(V141="年初来安値圏●"," [年初来安値圏]",IF(V141="安値圏"," [安値圏]",""))&amp;IF(OR(AO141="通常",AO141="-"),""," ["&amp;AO141&amp;"]")&amp;IF(OR(AT141="通常",AT141="-"),"","前日["&amp;AT141&amp;"]")&amp;" ["&amp;T141&amp;"点]")</f>
        <v>相場上昇・見送り | パーフェクト▲ MACD+ RSI:50.0 前日比:+1.3% [0点]</v>
      </c>
      <c r="Z141" s="331">
        <f>IF(AND(E141&lt;&gt;"",G141&lt;&gt;"",G141&lt;&gt;0),(E141-G141)/G141*100,"")</f>
        <v>1.3250194855806703</v>
      </c>
      <c r="AA141" s="325" t="str">
        <f>IF(OR(C141="",E141="",E141=0),"",IF(E141&gt;G141,"上昇▲",IF(E141&lt;G141,"下落▼","横ばい→")))</f>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IF(OR(C141="",AB141="",AC141="",AB141=0,AC141=0),"",IF(AND(E141&gt;AB141,AB141&gt;AC141),"パーフェクト▲",IF(E141&gt;AC141,"上昇トレンド▲",IF(AND(E141&lt;AB141,AB141&lt;AC141),"下降トレンド▼","もみ合い→"))))</f>
        <v>パーフェクト▲</v>
      </c>
      <c r="AE141" s="325" t="str">
        <f>IF(OR(C141="",AB141="",AC141=""),"",IF(AND(ABS(E141-AC141)/AC141&lt;=0.02,E141&lt;AC141),"25日戻り売り★",IF(AND(ABS(E141-AB141)/AB141&lt;=0.01,E141&lt;AB141),"5日戻り売り○","なし")))</f>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IF(AND(T141&gt;=7,C141&lt;&gt;""),T141,0)</f>
        <v>0</v>
      </c>
      <c r="AH141">
        <f>IF(AG141&gt;0,AG141*10000-ROW(A141),0)</f>
        <v>0</v>
      </c>
      <c r="AI141" s="373">
        <f t="array" ref="AI141">IF(C141="","",IFERROR((INDEX(終値!$E:$E,MATCH(TEXT(C141,"0"),終値!$A:$A,0))-INDEX(終値!$E:$CZ,MATCH(TEXT(C141,"0"),終値!$A:$A,0),$AN$2))/INDEX(終値!$E:$CZ,MATCH(TEXT(C141,"0"),終値!$A:$A,0),$AN$2)*100,""))</f>
        <v>7.839070924927416</v>
      </c>
      <c r="AJ141" s="373">
        <f t="array" ref="AJ141">IFERROR((終値!$E$5-INDEX(終値!$E$5:$IT$5,1,$AN$2))/INDEX(終値!$E$5:$IT$5,1,$AN$2)*100,"")</f>
        <v>1.0179378228534113</v>
      </c>
      <c r="AK141" s="374">
        <f>IF(OR(AI141="",AJ141=""),"",AI141-AJ141)</f>
        <v>6.8211331020740049</v>
      </c>
      <c r="AL141" s="372">
        <f>IF(AK141="","",IF(AK141&lt;-5,3,IF(AK141&lt;0,1,IF(AK141&lt;3,-1,-2))))</f>
        <v>-2</v>
      </c>
      <c r="AO141" s="376" t="str">
        <f>IF(OR($C141="",$E141="",$F141="",$H141="",$I141="",$H141-$I141&lt;=0),"-",IF(AND($H141-MAX($F141,$E141)&gt;=ABS($E141-$F141)*2,MIN($F141,$E141)-$I141&lt;=ABS($E141-$F141)*0.5,ABS($E141-$F141)&gt;0),"上ヒゲ陰線▼",IF(AND($E141&lt;$F141,ABS($E141-$F141)&gt;=($H141-$I141)*0.7),"大陰線▼",IF(AND(MIN($F141,$E141)-$I141&gt;=($H141-$I141)*0.5,$H141-MAX($F141,$E141)&lt;=($H141-$I141)*0.2),"長い下ヒゲ(反発警戒)","通常"))))</f>
        <v>通常</v>
      </c>
      <c r="AP141" s="377">
        <f>IF($AO141="上ヒゲ陰線▼",2,IF($AO141="大陰線▼",2,IF($AO141="長い下ヒゲ(反発警戒)",-2,0)))</f>
        <v>0</v>
      </c>
      <c r="AQ141">
        <f>IF(C141&lt;&gt;"",始値!F29,"")</f>
        <v>1279</v>
      </c>
      <c r="AR141">
        <f>IF(C141&lt;&gt;"",高値!F29,"")</f>
        <v>1301</v>
      </c>
      <c r="AS141">
        <f>IF(C141&lt;&gt;"",安値!F29,"")</f>
        <v>1273.5</v>
      </c>
      <c r="AT141" t="str">
        <f>IF(OR(C141="",AQ141="",AR141="",AS141="",AR141-AS141&lt;=0),"-",IF(AND(AR141-MAX(G141,AQ141)&gt;=ABS(G141-AQ141)*2,MIN(G141,AQ141)-AS141&lt;=ABS(G141-AQ141)*0.5,ABS(G141-AQ141)&gt;0),"上ヒゲ陰線▼",IF(AND(G141&lt;AQ141,ABS(G141-AQ141)&gt;=(AR141-AS141)*0.7),"大陰線▼",IF(AND(MIN(G141,AQ141)-AS141&gt;=(AR141-AS141)*0.5,AR141-MAX(G141,AQ141)&lt;=(AR141-AS141)*0.2),"長い下ヒゲ(反発)","通常"))))</f>
        <v>通常</v>
      </c>
      <c r="AU141">
        <f>IF(AT141="上ヒゲ陰線▼",2,IF(AT141="大陰線▼",2,IF(AT141="長い下ヒゲ(反発)",-2,0)))</f>
        <v>0</v>
      </c>
      <c r="BA141">
        <f>IFERROR((SUM(OFFSET(高値!$E$6,IFERROR(MATCH($C141,銘柄管理!$B$6:$B$305,0),MATCH(TEXT($C141,"0"),銘柄管理!$B$6:$B$305,0))-1,0,1,14))-SUM(OFFSET(安値!$E$6,IFERROR(MATCH($C141,銘柄管理!$B$6:$B$305,0),MATCH(TEXT($C141,"0"),銘柄管理!$B$6:$B$305,0))-1,0,1,14)))/SUM(OFFSET(終値!$E$6,IFERROR(MATCH($C141,銘柄管理!$B$6:$B$305,0),MATCH(TEXT($C141,"0"),銘柄管理!$B$6:$B$305,0))-1,0,1,14))*100,"")</f>
      </c>
      <c r="BB141">
        <f>IFERROR((MAX(OFFSET(高値!$E$6,IFERROR(MATCH($C141,銘柄管理!$B$6:$B$305,0),MATCH(TEXT($C141,"0"),銘柄管理!$B$6:$B$305,0))-1,0,1,25))-MIN(OFFSET(安値!$E$6,IFERROR(MATCH($C141,銘柄管理!$B$6:$B$305,0),MATCH(TEXT($C141,"0"),銘柄管理!$B$6:$B$305,0))-1,0,1,25)))/$E141*100,"")</f>
      </c>
      <c r="BC141">
        <f>IFERROR(($F141-$G141)/$G141*100,"")</f>
      </c>
      <c r="BD141">
        <f>IFERROR(($E141-MAX(OFFSET(高値!$E$6,IFERROR(MATCH($C141,銘柄管理!$B$6:$B$305,0),MATCH(TEXT($C141,"0"),銘柄管理!$B$6:$B$305,0))-1,0,1,25)))/MAX(OFFSET(高値!$E$6,IFERROR(MATCH($C141,銘柄管理!$B$6:$B$305,0),MATCH(TEXT($C141,"0"),銘柄管理!$B$6:$B$305,0))-1,0,1,25))*100,"")</f>
      </c>
      <c r="BE141">
        <f>IFERROR(($H141-$I141)/$F141*100,"")</f>
      </c>
      <c r="BF141">
        <f>IFERROR(-(($BA141-AVERAGE($BA$3:$BA$206))/STDEV($BA$3:$BA$206))-(($BE141-AVERAGE($BE$3:$BE$206))/STDEV($BE$3:$BE$206))-(($BB141-AVERAGE($BB$3:$BB$206))/STDEV($BB$3:$BB$206))-(($Z141-AVERAGE($Z$3:$Z$206))/STDEV($Z$3:$Z$206))-(($BC141-AVERAGE($BC$3:$BC$206))/STDEV($BC$3:$BC$206)),"")</f>
      </c>
      <c r="BG141">
        <f>IF(OR($C141="",$C141="TOPX",$BA141="",$BF141=""),0,IF(AND($BK$10=1,$BA141&lt;=$BK$2,$BB141&lt;=$BK$3,$BC141&lt;=$BK$4,$Z141&lt;=$BK$5,$Z141&gt;=$BK$6,$BD141&gt;=$BK$7,$BE141&lt;=$BK$8),1,0))</f>
      </c>
      <c r="BH141">
        <f>IF($C141="","",IF($BG141=1,"○ゲート通過",IF($BK$10&lt;&gt;1,"― この方向は停止中",IF($BA141&gt;$BK$2,"×値動きが荒い",IF($BB141&gt;$BK$3,"×レンジが広い",IF($BC141&gt;$BK$4,"×窓を開けて上昇",IF($Z141&gt;$BK$5,"×前日に急騰",IF($Z141&lt;$BK$6,"×前日に急落",IF($BD141&lt;$BK$7,"×高値から離れすぎ",IF($BE141&gt;$BK$8,"×当日の値幅が大きい","×")))))))))</f>
      </c>
    </row>
    <row r="142" spans="1:60"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IF(AND(E142&lt;&gt;"",K142&lt;&gt;"",K142&lt;&gt;0),(E142-K142)/K142*100,"")</f>
        <v>-1.1768349334159183</v>
      </c>
      <c r="M142" s="333">
        <f>IF(C142&lt;&gt;"",IFERROR(AVERAGE(出来高!E48:I48),""),"")</f>
        <v>1423000</v>
      </c>
      <c r="N142" s="333">
        <f>IF(C142&lt;&gt;"",IFERROR(AVERAGE(出来高!E48:AC48),""),"")</f>
        <v>1069400</v>
      </c>
      <c r="O142" s="335">
        <f>IF(AND(J142&lt;&gt;"",M142&lt;&gt;"",M142&lt;&gt;0),J142/M142,"")</f>
        <v>1.2791286015460295</v>
      </c>
      <c r="P142" s="212" t="str">
        <f>IF(O142="","",IF(O142&gt;=2,"急増↑↑",IF(O142&gt;=1.5,"増加↑",IF(O142&gt;=1,"普通→","減少↓"))))</f>
        <v>普通→</v>
      </c>
      <c r="Q142" s="212" t="str">
        <f>IF(E142="","",IF(AND(E142&lt;G142,O142&gt;=1.5),"売り▼",IF(E142&gt;G142,"様子見▲","中立→")))</f>
        <v>中立→</v>
      </c>
      <c r="R142" s="333">
        <f>IF(E142&lt;&gt;"",ROUND(E142*0.92,0),"")</f>
        <v>1468</v>
      </c>
      <c r="S142" s="333">
        <f>IF(E142&lt;&gt;"",ROUND(E142*1.04,0),"")</f>
        <v>1659</v>
      </c>
      <c r="T142" s="325">
        <f>IF(C142="","",IFERROR(IF(W142&gt;=70,3,IF(W142&gt;=60,2,IF(W142&gt;=50,1,0)))+IF(X142&lt;0,2,0)+IF(AD142="下降トレンド▼",3,IF(AD142="もみ合い→",1,0))+IF(V142="年初来安値圏●",3,IF(V142="安値圏",2,0))+IF(Q142="売り▼",2,0)+IF(P142="急増↑↑",2,IF(P142="増加↑",1,0))+IF(Z142&lt;0,1,0)+IF(L142&lt;=-30,2,IF(L142&lt;=-15,1,0))+IF(AE142="25日戻り売り★",2,IF(AE142="5日戻り売り○",1,0))+N(AL142)+N(AP142)+N(AU142),0))</f>
        <v>2</v>
      </c>
      <c r="U142" s="212" t="str">
        <f>IF(T142="","",IF(AND(T142&gt;=3,O142&gt;=1.5),"有効",IF(T142&gt;=3,"要確認","除外")))</f>
        <v>除外</v>
      </c>
      <c r="V142" s="212" t="str">
        <f>IF(AND(I142&lt;&gt;"",K142&lt;&gt;""),IF(I142&lt;=K142*0.6,"年初来安値圏●",IF(I142&lt;=K142*0.75,"安値圏","通常")),"")</f>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IF(AF142="","",AF142&amp;" | "&amp;AD142&amp;IF(AE142&lt;&gt;"なし"," "&amp;AE142,"")&amp;IF(X142&lt;0," MACD-"," MACD+")&amp;" RSI:"&amp;TEXT(W142,"0.0")&amp;IF(W142&gt;=70," [過熱]",IF(W142&lt;=30," [売られ過ぎ]",""))&amp;" 前日比:"&amp;TEXT(Z142,"+0.0;-0.0;0.0")&amp;"%"&amp;IF(V142="年初来安値圏●"," [年初来安値圏]",IF(V142="安値圏"," [安値圏]",""))&amp;IF(OR(AO142="通常",AO142="-"),""," ["&amp;AO142&amp;"]")&amp;IF(OR(AT142="通常",AT142="-"),"","前日["&amp;AT142&amp;"]")&amp;" ["&amp;T142&amp;"点]")</f>
        <v>◎反落確認 | パーフェクト▲ MACD+ RSI:77.0 [過熱] 前日比:-1.2% [2点]</v>
      </c>
      <c r="Z142" s="338">
        <f>IF(AND(E142&lt;&gt;"",G142&lt;&gt;"",G142&lt;&gt;0),(E142-G142)/G142*100,"")</f>
        <v>-1.1768349334159183</v>
      </c>
      <c r="AA142" s="212" t="str">
        <f>IF(OR(C142="",E142="",E142=0),"",IF(E142&gt;G142,"上昇▲",IF(E142&lt;G142,"下落▼","横ばい→")))</f>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IF(OR(C142="",AB142="",AC142="",AB142=0,AC142=0),"",IF(AND(E142&gt;AB142,AB142&gt;AC142),"パーフェクト▲",IF(E142&gt;AC142,"上昇トレンド▲",IF(AND(E142&lt;AB142,AB142&lt;AC142),"下降トレンド▼","もみ合い→"))))</f>
        <v>パーフェクト▲</v>
      </c>
      <c r="AE142" s="212" t="str">
        <f>IF(OR(C142="",AB142="",AC142=""),"",IF(AND(ABS(E142-AC142)/AC142&lt;=0.02,E142&lt;AC142),"25日戻り売り★",IF(AND(ABS(E142-AB142)/AB142&lt;=0.01,E142&lt;AB142),"5日戻り売り○","なし")))</f>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IF(AND(T142&gt;=7,C142&lt;&gt;""),T142,0)</f>
        <v>0</v>
      </c>
      <c r="AH142">
        <f>IF(AG142&gt;0,AG142*10000-ROW(A142),0)</f>
        <v>0</v>
      </c>
      <c r="AI142" s="373">
        <f t="array" ref="AI142">IF(C142="","",IFERROR((INDEX(終値!$E:$E,MATCH(TEXT(C142,"0"),終値!$A:$A,0))-INDEX(終値!$E:$CZ,MATCH(TEXT(C142,"0"),終値!$A:$A,0),$AN$2))/INDEX(終値!$E:$CZ,MATCH(TEXT(C142,"0"),終値!$A:$A,0),$AN$2)*100,""))</f>
        <v>12.716354645001765</v>
      </c>
      <c r="AJ142" s="373">
        <f t="array" ref="AJ142">IFERROR((終値!$E$5-INDEX(終値!$E$5:$IT$5,1,$AN$2))/INDEX(終値!$E$5:$IT$5,1,$AN$2)*100,"")</f>
        <v>1.0179378228534113</v>
      </c>
      <c r="AK142" s="374">
        <f>IF(OR(AI142="",AJ142=""),"",AI142-AJ142)</f>
        <v>11.698416822148353</v>
      </c>
      <c r="AL142" s="372">
        <f>IF(AK142="","",IF(AK142&lt;-5,3,IF(AK142&lt;0,1,IF(AK142&lt;3,-1,-2))))</f>
        <v>-2</v>
      </c>
      <c r="AO142" s="376" t="str">
        <f>IF(OR($C142="",$E142="",$F142="",$H142="",$I142="",$H142-$I142&lt;=0),"-",IF(AND($H142-MAX($F142,$E142)&gt;=ABS($E142-$F142)*2,MIN($F142,$E142)-$I142&lt;=ABS($E142-$F142)*0.5,ABS($E142-$F142)&gt;0),"上ヒゲ陰線▼",IF(AND($E142&lt;$F142,ABS($E142-$F142)&gt;=($H142-$I142)*0.7),"大陰線▼",IF(AND(MIN($F142,$E142)-$I142&gt;=($H142-$I142)*0.5,$H142-MAX($F142,$E142)&lt;=($H142-$I142)*0.2),"長い下ヒゲ(反発警戒)","通常"))))</f>
        <v>通常</v>
      </c>
      <c r="AP142" s="377">
        <f>IF($AO142="上ヒゲ陰線▼",2,IF($AO142="大陰線▼",2,IF($AO142="長い下ヒゲ(反発警戒)",-2,0)))</f>
        <v>0</v>
      </c>
      <c r="AQ142">
        <f>IF(C142&lt;&gt;"",始値!F48,"")</f>
        <v>1507</v>
      </c>
      <c r="AR142">
        <f>IF(C142&lt;&gt;"",高値!F48,"")</f>
        <v>1614.5</v>
      </c>
      <c r="AS142">
        <f>IF(C142&lt;&gt;"",安値!F48,"")</f>
        <v>1492</v>
      </c>
      <c r="AT142" t="str">
        <f>IF(OR(C142="",AQ142="",AR142="",AS142="",AR142-AS142&lt;=0),"-",IF(AND(AR142-MAX(G142,AQ142)&gt;=ABS(G142-AQ142)*2,MIN(G142,AQ142)-AS142&lt;=ABS(G142-AQ142)*0.5,ABS(G142-AQ142)&gt;0),"上ヒゲ陰線▼",IF(AND(G142&lt;AQ142,ABS(G142-AQ142)&gt;=(AR142-AS142)*0.7),"大陰線▼",IF(AND(MIN(G142,AQ142)-AS142&gt;=(AR142-AS142)*0.5,AR142-MAX(G142,AQ142)&lt;=(AR142-AS142)*0.2),"長い下ヒゲ(反発)","通常"))))</f>
        <v>通常</v>
      </c>
      <c r="AU142">
        <f>IF(AT142="上ヒゲ陰線▼",2,IF(AT142="大陰線▼",2,IF(AT142="長い下ヒゲ(反発)",-2,0)))</f>
        <v>0</v>
      </c>
      <c r="BA142">
        <f>IFERROR((SUM(OFFSET(高値!$E$6,IFERROR(MATCH($C142,銘柄管理!$B$6:$B$305,0),MATCH(TEXT($C142,"0"),銘柄管理!$B$6:$B$305,0))-1,0,1,14))-SUM(OFFSET(安値!$E$6,IFERROR(MATCH($C142,銘柄管理!$B$6:$B$305,0),MATCH(TEXT($C142,"0"),銘柄管理!$B$6:$B$305,0))-1,0,1,14)))/SUM(OFFSET(終値!$E$6,IFERROR(MATCH($C142,銘柄管理!$B$6:$B$305,0),MATCH(TEXT($C142,"0"),銘柄管理!$B$6:$B$305,0))-1,0,1,14))*100,"")</f>
      </c>
      <c r="BB142">
        <f>IFERROR((MAX(OFFSET(高値!$E$6,IFERROR(MATCH($C142,銘柄管理!$B$6:$B$305,0),MATCH(TEXT($C142,"0"),銘柄管理!$B$6:$B$305,0))-1,0,1,25))-MIN(OFFSET(安値!$E$6,IFERROR(MATCH($C142,銘柄管理!$B$6:$B$305,0),MATCH(TEXT($C142,"0"),銘柄管理!$B$6:$B$305,0))-1,0,1,25)))/$E142*100,"")</f>
      </c>
      <c r="BC142">
        <f>IFERROR(($F142-$G142)/$G142*100,"")</f>
      </c>
      <c r="BD142">
        <f>IFERROR(($E142-MAX(OFFSET(高値!$E$6,IFERROR(MATCH($C142,銘柄管理!$B$6:$B$305,0),MATCH(TEXT($C142,"0"),銘柄管理!$B$6:$B$305,0))-1,0,1,25)))/MAX(OFFSET(高値!$E$6,IFERROR(MATCH($C142,銘柄管理!$B$6:$B$305,0),MATCH(TEXT($C142,"0"),銘柄管理!$B$6:$B$305,0))-1,0,1,25))*100,"")</f>
      </c>
      <c r="BE142">
        <f>IFERROR(($H142-$I142)/$F142*100,"")</f>
      </c>
      <c r="BF142">
        <f>IFERROR(-(($BA142-AVERAGE($BA$3:$BA$206))/STDEV($BA$3:$BA$206))-(($BE142-AVERAGE($BE$3:$BE$206))/STDEV($BE$3:$BE$206))-(($BB142-AVERAGE($BB$3:$BB$206))/STDEV($BB$3:$BB$206))-(($Z142-AVERAGE($Z$3:$Z$206))/STDEV($Z$3:$Z$206))-(($BC142-AVERAGE($BC$3:$BC$206))/STDEV($BC$3:$BC$206)),"")</f>
      </c>
      <c r="BG142">
        <f>IF(OR($C142="",$C142="TOPX",$BA142="",$BF142=""),0,IF(AND($BK$10=1,$BA142&lt;=$BK$2,$BB142&lt;=$BK$3,$BC142&lt;=$BK$4,$Z142&lt;=$BK$5,$Z142&gt;=$BK$6,$BD142&gt;=$BK$7,$BE142&lt;=$BK$8),1,0))</f>
      </c>
      <c r="BH142">
        <f>IF($C142="","",IF($BG142=1,"○ゲート通過",IF($BK$10&lt;&gt;1,"― この方向は停止中",IF($BA142&gt;$BK$2,"×値動きが荒い",IF($BB142&gt;$BK$3,"×レンジが広い",IF($BC142&gt;$BK$4,"×窓を開けて上昇",IF($Z142&gt;$BK$5,"×前日に急騰",IF($Z142&lt;$BK$6,"×前日に急落",IF($BD142&lt;$BK$7,"×高値から離れすぎ",IF($BE142&gt;$BK$8,"×当日の値幅が大きい","×")))))))))</f>
      </c>
    </row>
    <row r="143" spans="1:60"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IF(AND(E143&lt;&gt;"",K143&lt;&gt;"",K143&lt;&gt;0),(E143-K143)/K143*100,"")</f>
        <v>-17.741165234001912</v>
      </c>
      <c r="M143" s="326">
        <f>IF(C143&lt;&gt;"",IFERROR(AVERAGE(出来高!E88:I88),""),"")</f>
        <v>3053580</v>
      </c>
      <c r="N143" s="326">
        <f>IF(C143&lt;&gt;"",IFERROR(AVERAGE(出来高!E88:AC88),""),"")</f>
        <v>2849512</v>
      </c>
      <c r="O143" s="328">
        <f>IF(AND(J143&lt;&gt;"",M143&lt;&gt;"",M143&lt;&gt;0),J143/M143,"")</f>
        <v>0.74561662049135768</v>
      </c>
      <c r="P143" s="325" t="str">
        <f>IF(O143="","",IF(O143&gt;=2,"急増↑↑",IF(O143&gt;=1.5,"増加↑",IF(O143&gt;=1,"普通→","減少↓"))))</f>
        <v>減少↓</v>
      </c>
      <c r="Q143" s="325" t="str">
        <f>IF(E143="","",IF(AND(E143&lt;G143,O143&gt;=1.5),"売り▼",IF(E143&gt;G143,"様子見▲","中立→")))</f>
        <v>様子見▲</v>
      </c>
      <c r="R143" s="326">
        <f>IF(E143&lt;&gt;"",ROUND(E143*0.92,0),"")</f>
        <v>1585</v>
      </c>
      <c r="S143" s="326">
        <f>IF(E143&lt;&gt;"",ROUND(E143*1.04,0),"")</f>
        <v>1791</v>
      </c>
      <c r="T143" s="325">
        <f>IF(C143="","",IFERROR(IF(W143&gt;=70,3,IF(W143&gt;=60,2,IF(W143&gt;=50,1,0)))+IF(X143&lt;0,2,0)+IF(AD143="下降トレンド▼",3,IF(AD143="もみ合い→",1,0))+IF(V143="年初来安値圏●",3,IF(V143="安値圏",2,0))+IF(Q143="売り▼",2,0)+IF(P143="急増↑↑",2,IF(P143="増加↑",1,0))+IF(Z143&lt;0,1,0)+IF(L143&lt;=-30,2,IF(L143&lt;=-15,1,0))+IF(AE143="25日戻り売り★",2,IF(AE143="5日戻り売り○",1,0))+N(AL143)+N(AP143)+N(AU143),0))</f>
        <v>3</v>
      </c>
      <c r="U143" s="325" t="str">
        <f>IF(T143="","",IF(AND(T143&gt;=3,O143&gt;=1.5),"有効",IF(T143&gt;=3,"要確認","除外")))</f>
        <v>要確認</v>
      </c>
      <c r="V143" s="325" t="str">
        <f>IF(AND(I143&lt;&gt;"",K143&lt;&gt;""),IF(I143&lt;=K143*0.6,"年初来安値圏●",IF(I143&lt;=K143*0.75,"安値圏","通常")),"")</f>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IF(AF143="","",AF143&amp;" | "&amp;AD143&amp;IF(AE143&lt;&gt;"なし"," "&amp;AE143,"")&amp;IF(X143&lt;0," MACD-"," MACD+")&amp;" RSI:"&amp;TEXT(W143,"0.0")&amp;IF(W143&gt;=70," [過熱]",IF(W143&lt;=30," [売られ過ぎ]",""))&amp;" 前日比:"&amp;TEXT(Z143,"+0.0;-0.0;0.0")&amp;"%"&amp;IF(V143="年初来安値圏●"," [年初来安値圏]",IF(V143="安値圏"," [安値圏]",""))&amp;IF(OR(AO143="通常",AO143="-"),""," ["&amp;AO143&amp;"]")&amp;IF(OR(AT143="通常",AT143="-"),"","前日["&amp;AT143&amp;"]")&amp;" ["&amp;T143&amp;"点]")</f>
        <v>相場上昇・見送り | もみ合い→ MACD- RSI:41.8 前日比:+0.6% [3点]</v>
      </c>
      <c r="Z143" s="331">
        <f>IF(AND(E143&lt;&gt;"",G143&lt;&gt;"",G143&lt;&gt;0),(E143-G143)/G143*100,"")</f>
        <v>0.58394160583941601</v>
      </c>
      <c r="AA143" s="325" t="str">
        <f>IF(OR(C143="",E143="",E143=0),"",IF(E143&gt;G143,"上昇▲",IF(E143&lt;G143,"下落▼","横ばい→")))</f>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IF(OR(C143="",AB143="",AC143="",AB143=0,AC143=0),"",IF(AND(E143&gt;AB143,AB143&gt;AC143),"パーフェクト▲",IF(E143&gt;AC143,"上昇トレンド▲",IF(AND(E143&lt;AB143,AB143&lt;AC143),"下降トレンド▼","もみ合い→"))))</f>
        <v>もみ合い→</v>
      </c>
      <c r="AE143" s="325" t="str">
        <f>IF(OR(C143="",AB143="",AC143=""),"",IF(AND(ABS(E143-AC143)/AC143&lt;=0.02,E143&lt;AC143),"25日戻り売り★",IF(AND(ABS(E143-AB143)/AB143&lt;=0.01,E143&lt;AB143),"5日戻り売り○","なし")))</f>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IF(AND(T143&gt;=7,C143&lt;&gt;""),T143,0)</f>
        <v>0</v>
      </c>
      <c r="AH143">
        <f>IF(AG143&gt;0,AG143*10000-ROW(A143),0)</f>
        <v>0</v>
      </c>
      <c r="AI143" s="373">
        <f t="array" ref="AI143">IF(C143="","",IFERROR((INDEX(終値!$E:$E,MATCH(TEXT(C143,"0"),終値!$A:$A,0))-INDEX(終値!$E:$CZ,MATCH(TEXT(C143,"0"),終値!$A:$A,0),$AN$2))/INDEX(終値!$E:$CZ,MATCH(TEXT(C143,"0"),終値!$A:$A,0),$AN$2)*100,""))</f>
        <v>3.4845298888555121</v>
      </c>
      <c r="AJ143" s="373">
        <f t="array" ref="AJ143">IFERROR((終値!$E$5-INDEX(終値!$E$5:$IT$5,1,$AN$2))/INDEX(終値!$E$5:$IT$5,1,$AN$2)*100,"")</f>
        <v>1.0179378228534113</v>
      </c>
      <c r="AK143" s="374">
        <f>IF(OR(AI143="",AJ143=""),"",AI143-AJ143)</f>
        <v>2.466592066002101</v>
      </c>
      <c r="AL143" s="372">
        <f>IF(AK143="","",IF(AK143&lt;-5,3,IF(AK143&lt;0,1,IF(AK143&lt;3,-1,-2))))</f>
        <v>-1</v>
      </c>
      <c r="AO143" s="376" t="str">
        <f>IF(OR($C143="",$E143="",$F143="",$H143="",$I143="",$H143-$I143&lt;=0),"-",IF(AND($H143-MAX($F143,$E143)&gt;=ABS($E143-$F143)*2,MIN($F143,$E143)-$I143&lt;=ABS($E143-$F143)*0.5,ABS($E143-$F143)&gt;0),"上ヒゲ陰線▼",IF(AND($E143&lt;$F143,ABS($E143-$F143)&gt;=($H143-$I143)*0.7),"大陰線▼",IF(AND(MIN($F143,$E143)-$I143&gt;=($H143-$I143)*0.5,$H143-MAX($F143,$E143)&lt;=($H143-$I143)*0.2),"長い下ヒゲ(反発警戒)","通常"))))</f>
        <v>通常</v>
      </c>
      <c r="AP143" s="377">
        <f>IF($AO143="上ヒゲ陰線▼",2,IF($AO143="大陰線▼",2,IF($AO143="長い下ヒゲ(反発警戒)",-2,0)))</f>
        <v>0</v>
      </c>
      <c r="AQ143">
        <f>IF(C143&lt;&gt;"",始値!F88,"")</f>
        <v>1719</v>
      </c>
      <c r="AR143">
        <f>IF(C143&lt;&gt;"",高値!F88,"")</f>
        <v>1728</v>
      </c>
      <c r="AS143">
        <f>IF(C143&lt;&gt;"",安値!F88,"")</f>
        <v>1699</v>
      </c>
      <c r="AT143" t="str">
        <f>IF(OR(C143="",AQ143="",AR143="",AS143="",AR143-AS143&lt;=0),"-",IF(AND(AR143-MAX(G143,AQ143)&gt;=ABS(G143-AQ143)*2,MIN(G143,AQ143)-AS143&lt;=ABS(G143-AQ143)*0.5,ABS(G143-AQ143)&gt;0),"上ヒゲ陰線▼",IF(AND(G143&lt;AQ143,ABS(G143-AQ143)&gt;=(AR143-AS143)*0.7),"大陰線▼",IF(AND(MIN(G143,AQ143)-AS143&gt;=(AR143-AS143)*0.5,AR143-MAX(G143,AQ143)&lt;=(AR143-AS143)*0.2),"長い下ヒゲ(反発)","通常"))))</f>
        <v>通常</v>
      </c>
      <c r="AU143">
        <f>IF(AT143="上ヒゲ陰線▼",2,IF(AT143="大陰線▼",2,IF(AT143="長い下ヒゲ(反発)",-2,0)))</f>
        <v>0</v>
      </c>
      <c r="BA143">
        <f>IFERROR((SUM(OFFSET(高値!$E$6,IFERROR(MATCH($C143,銘柄管理!$B$6:$B$305,0),MATCH(TEXT($C143,"0"),銘柄管理!$B$6:$B$305,0))-1,0,1,14))-SUM(OFFSET(安値!$E$6,IFERROR(MATCH($C143,銘柄管理!$B$6:$B$305,0),MATCH(TEXT($C143,"0"),銘柄管理!$B$6:$B$305,0))-1,0,1,14)))/SUM(OFFSET(終値!$E$6,IFERROR(MATCH($C143,銘柄管理!$B$6:$B$305,0),MATCH(TEXT($C143,"0"),銘柄管理!$B$6:$B$305,0))-1,0,1,14))*100,"")</f>
      </c>
      <c r="BB143">
        <f>IFERROR((MAX(OFFSET(高値!$E$6,IFERROR(MATCH($C143,銘柄管理!$B$6:$B$305,0),MATCH(TEXT($C143,"0"),銘柄管理!$B$6:$B$305,0))-1,0,1,25))-MIN(OFFSET(安値!$E$6,IFERROR(MATCH($C143,銘柄管理!$B$6:$B$305,0),MATCH(TEXT($C143,"0"),銘柄管理!$B$6:$B$305,0))-1,0,1,25)))/$E143*100,"")</f>
      </c>
      <c r="BC143">
        <f>IFERROR(($F143-$G143)/$G143*100,"")</f>
      </c>
      <c r="BD143">
        <f>IFERROR(($E143-MAX(OFFSET(高値!$E$6,IFERROR(MATCH($C143,銘柄管理!$B$6:$B$305,0),MATCH(TEXT($C143,"0"),銘柄管理!$B$6:$B$305,0))-1,0,1,25)))/MAX(OFFSET(高値!$E$6,IFERROR(MATCH($C143,銘柄管理!$B$6:$B$305,0),MATCH(TEXT($C143,"0"),銘柄管理!$B$6:$B$305,0))-1,0,1,25))*100,"")</f>
      </c>
      <c r="BE143">
        <f>IFERROR(($H143-$I143)/$F143*100,"")</f>
      </c>
      <c r="BF143">
        <f>IFERROR(-(($BA143-AVERAGE($BA$3:$BA$206))/STDEV($BA$3:$BA$206))-(($BE143-AVERAGE($BE$3:$BE$206))/STDEV($BE$3:$BE$206))-(($BB143-AVERAGE($BB$3:$BB$206))/STDEV($BB$3:$BB$206))-(($Z143-AVERAGE($Z$3:$Z$206))/STDEV($Z$3:$Z$206))-(($BC143-AVERAGE($BC$3:$BC$206))/STDEV($BC$3:$BC$206)),"")</f>
      </c>
      <c r="BG143">
        <f>IF(OR($C143="",$C143="TOPX",$BA143="",$BF143=""),0,IF(AND($BK$10=1,$BA143&lt;=$BK$2,$BB143&lt;=$BK$3,$BC143&lt;=$BK$4,$Z143&lt;=$BK$5,$Z143&gt;=$BK$6,$BD143&gt;=$BK$7,$BE143&lt;=$BK$8),1,0))</f>
      </c>
      <c r="BH143">
        <f>IF($C143="","",IF($BG143=1,"○ゲート通過",IF($BK$10&lt;&gt;1,"― この方向は停止中",IF($BA143&gt;$BK$2,"×値動きが荒い",IF($BB143&gt;$BK$3,"×レンジが広い",IF($BC143&gt;$BK$4,"×窓を開けて上昇",IF($Z143&gt;$BK$5,"×前日に急騰",IF($Z143&lt;$BK$6,"×前日に急落",IF($BD143&lt;$BK$7,"×高値から離れすぎ",IF($BE143&gt;$BK$8,"×当日の値幅が大きい","×")))))))))</f>
      </c>
    </row>
    <row r="144" spans="1:60"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IF(AND(E144&lt;&gt;"",K144&lt;&gt;"",K144&lt;&gt;0),(E144-K144)/K144*100,"")</f>
        <v>-55.555555555555557</v>
      </c>
      <c r="M144" s="333">
        <f>IF(C144&lt;&gt;"",IFERROR(AVERAGE(出来高!E93:I93),""),"")</f>
        <v>269200</v>
      </c>
      <c r="N144" s="333">
        <f>IF(C144&lt;&gt;"",IFERROR(AVERAGE(出来高!E93:AC93),""),"")</f>
        <v>497712</v>
      </c>
      <c r="O144" s="335">
        <f>IF(AND(J144&lt;&gt;"",M144&lt;&gt;"",M144&lt;&gt;0),J144/M144,"")</f>
        <v>0.83098068350668652</v>
      </c>
      <c r="P144" s="212" t="str">
        <f>IF(O144="","",IF(O144&gt;=2,"急増↑↑",IF(O144&gt;=1.5,"増加↑",IF(O144&gt;=1,"普通→","減少↓"))))</f>
        <v>減少↓</v>
      </c>
      <c r="Q144" s="212" t="str">
        <f>IF(E144="","",IF(AND(E144&lt;G144,O144&gt;=1.5),"売り▼",IF(E144&gt;G144,"様子見▲","中立→")))</f>
        <v>中立→</v>
      </c>
      <c r="R144" s="333">
        <f>IF(E144&lt;&gt;"",ROUND(E144*0.92,0),"")</f>
        <v>670</v>
      </c>
      <c r="S144" s="333">
        <f>IF(E144&lt;&gt;"",ROUND(E144*1.04,0),"")</f>
        <v>757</v>
      </c>
      <c r="T144" s="325">
        <f>IF(C144="","",IFERROR(IF(W144&gt;=70,3,IF(W144&gt;=60,2,IF(W144&gt;=50,1,0)))+IF(X144&lt;0,2,0)+IF(AD144="下降トレンド▼",3,IF(AD144="もみ合い→",1,0))+IF(V144="年初来安値圏●",3,IF(V144="安値圏",2,0))+IF(Q144="売り▼",2,0)+IF(P144="急増↑↑",2,IF(P144="増加↑",1,0))+IF(Z144&lt;0,1,0)+IF(L144&lt;=-30,2,IF(L144&lt;=-15,1,0))+IF(AE144="25日戻り売り★",2,IF(AE144="5日戻り売り○",1,0))+N(AL144)+N(AP144)+N(AU144),0))</f>
        <v>15</v>
      </c>
      <c r="U144" s="212" t="str">
        <f>IF(T144="","",IF(AND(T144&gt;=3,O144&gt;=1.5),"有効",IF(T144&gt;=3,"要確認","除外")))</f>
        <v>要確認</v>
      </c>
      <c r="V144" s="212" t="str">
        <f>IF(AND(I144&lt;&gt;"",K144&lt;&gt;""),IF(I144&lt;=K144*0.6,"年初来安値圏●",IF(I144&lt;=K144*0.75,"安値圏","通常")),"")</f>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IF(AF144="","",AF144&amp;" | "&amp;AD144&amp;IF(AE144&lt;&gt;"なし"," "&amp;AE144,"")&amp;IF(X144&lt;0," MACD-"," MACD+")&amp;" RSI:"&amp;TEXT(W144,"0.0")&amp;IF(W144&gt;=70," [過熱]",IF(W144&lt;=30," [売られ過ぎ]",""))&amp;" 前日比:"&amp;TEXT(Z144,"+0.0;-0.0;0.0")&amp;"%"&amp;IF(V144="年初来安値圏●"," [年初来安値圏]",IF(V144="安値圏"," [安値圏]",""))&amp;IF(OR(AO144="通常",AO144="-"),""," ["&amp;AO144&amp;"]")&amp;IF(OR(AT144="通常",AT144="-"),"","前日["&amp;AT144&amp;"]")&amp;" ["&amp;T144&amp;"点]")</f>
        <v>★逆張り売り | 下降トレンド▼ 5日戻り売り○ MACD- RSI:35.6 前日比:-1.9% [年初来安値圏] [15点]</v>
      </c>
      <c r="Z144" s="338">
        <f>IF(AND(E144&lt;&gt;"",G144&lt;&gt;"",G144&lt;&gt;0),(E144-G144)/G144*100,"")</f>
        <v>-1.8867924528301887</v>
      </c>
      <c r="AA144" s="212" t="str">
        <f>IF(OR(C144="",E144="",E144=0),"",IF(E144&gt;G144,"上昇▲",IF(E144&lt;G144,"下落▼","横ばい→")))</f>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IF(OR(C144="",AB144="",AC144="",AB144=0,AC144=0),"",IF(AND(E144&gt;AB144,AB144&gt;AC144),"パーフェクト▲",IF(E144&gt;AC144,"上昇トレンド▲",IF(AND(E144&lt;AB144,AB144&lt;AC144),"下降トレンド▼","もみ合い→"))))</f>
        <v>下降トレンド▼</v>
      </c>
      <c r="AE144" s="212" t="str">
        <f>IF(OR(C144="",AB144="",AC144=""),"",IF(AND(ABS(E144-AC144)/AC144&lt;=0.02,E144&lt;AC144),"25日戻り売り★",IF(AND(ABS(E144-AB144)/AB144&lt;=0.01,E144&lt;AB144),"5日戻り売り○","なし")))</f>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IF(AND(T144&gt;=7,C144&lt;&gt;""),T144,0)</f>
        <v>15</v>
      </c>
      <c r="AH144">
        <f>IF(AG144&gt;0,AG144*10000-ROW(A144),0)</f>
        <v>149856</v>
      </c>
      <c r="AI144" s="373">
        <f t="array" ref="AI144">IF(C144="","",IFERROR((INDEX(終値!$E:$E,MATCH(TEXT(C144,"0"),終値!$A:$A,0))-INDEX(終値!$E:$CZ,MATCH(TEXT(C144,"0"),終値!$A:$A,0),$AN$2))/INDEX(終値!$E:$CZ,MATCH(TEXT(C144,"0"),終値!$A:$A,0),$AN$2)*100,""))</f>
        <v>-16.894977168949772</v>
      </c>
      <c r="AJ144" s="373">
        <f t="array" ref="AJ144">IFERROR((終値!$E$5-INDEX(終値!$E$5:$IT$5,1,$AN$2))/INDEX(終値!$E$5:$IT$5,1,$AN$2)*100,"")</f>
        <v>1.0179378228534113</v>
      </c>
      <c r="AK144" s="374">
        <f>IF(OR(AI144="",AJ144=""),"",AI144-AJ144)</f>
        <v>-17.912914991803184</v>
      </c>
      <c r="AL144" s="372">
        <f>IF(AK144="","",IF(AK144&lt;-5,3,IF(AK144&lt;0,1,IF(AK144&lt;3,-1,-2))))</f>
        <v>3</v>
      </c>
      <c r="AO144" s="376" t="str">
        <f>IF(OR($C144="",$E144="",$F144="",$H144="",$I144="",$H144-$I144&lt;=0),"-",IF(AND($H144-MAX($F144,$E144)&gt;=ABS($E144-$F144)*2,MIN($F144,$E144)-$I144&lt;=ABS($E144-$F144)*0.5,ABS($E144-$F144)&gt;0),"上ヒゲ陰線▼",IF(AND($E144&lt;$F144,ABS($E144-$F144)&gt;=($H144-$I144)*0.7),"大陰線▼",IF(AND(MIN($F144,$E144)-$I144&gt;=($H144-$I144)*0.5,$H144-MAX($F144,$E144)&lt;=($H144-$I144)*0.2),"長い下ヒゲ(反発警戒)","通常"))))</f>
        <v>通常</v>
      </c>
      <c r="AP144" s="377">
        <f>IF($AO144="上ヒゲ陰線▼",2,IF($AO144="大陰線▼",2,IF($AO144="長い下ヒゲ(反発警戒)",-2,0)))</f>
        <v>0</v>
      </c>
      <c r="AQ144">
        <f>IF(C144&lt;&gt;"",始値!F93,"")</f>
        <v>733</v>
      </c>
      <c r="AR144">
        <f>IF(C144&lt;&gt;"",高値!F93,"")</f>
        <v>755</v>
      </c>
      <c r="AS144">
        <f>IF(C144&lt;&gt;"",安値!F93,"")</f>
        <v>733</v>
      </c>
      <c r="AT144" t="str">
        <f>IF(OR(C144="",AQ144="",AR144="",AS144="",AR144-AS144&lt;=0),"-",IF(AND(AR144-MAX(G144,AQ144)&gt;=ABS(G144-AQ144)*2,MIN(G144,AQ144)-AS144&lt;=ABS(G144-AQ144)*0.5,ABS(G144-AQ144)&gt;0),"上ヒゲ陰線▼",IF(AND(G144&lt;AQ144,ABS(G144-AQ144)&gt;=(AR144-AS144)*0.7),"大陰線▼",IF(AND(MIN(G144,AQ144)-AS144&gt;=(AR144-AS144)*0.5,AR144-MAX(G144,AQ144)&lt;=(AR144-AS144)*0.2),"長い下ヒゲ(反発)","通常"))))</f>
        <v>通常</v>
      </c>
      <c r="AU144">
        <f>IF(AT144="上ヒゲ陰線▼",2,IF(AT144="大陰線▼",2,IF(AT144="長い下ヒゲ(反発)",-2,0)))</f>
        <v>0</v>
      </c>
      <c r="BA144">
        <f>IFERROR((SUM(OFFSET(高値!$E$6,IFERROR(MATCH($C144,銘柄管理!$B$6:$B$305,0),MATCH(TEXT($C144,"0"),銘柄管理!$B$6:$B$305,0))-1,0,1,14))-SUM(OFFSET(安値!$E$6,IFERROR(MATCH($C144,銘柄管理!$B$6:$B$305,0),MATCH(TEXT($C144,"0"),銘柄管理!$B$6:$B$305,0))-1,0,1,14)))/SUM(OFFSET(終値!$E$6,IFERROR(MATCH($C144,銘柄管理!$B$6:$B$305,0),MATCH(TEXT($C144,"0"),銘柄管理!$B$6:$B$305,0))-1,0,1,14))*100,"")</f>
      </c>
      <c r="BB144">
        <f>IFERROR((MAX(OFFSET(高値!$E$6,IFERROR(MATCH($C144,銘柄管理!$B$6:$B$305,0),MATCH(TEXT($C144,"0"),銘柄管理!$B$6:$B$305,0))-1,0,1,25))-MIN(OFFSET(安値!$E$6,IFERROR(MATCH($C144,銘柄管理!$B$6:$B$305,0),MATCH(TEXT($C144,"0"),銘柄管理!$B$6:$B$305,0))-1,0,1,25)))/$E144*100,"")</f>
      </c>
      <c r="BC144">
        <f>IFERROR(($F144-$G144)/$G144*100,"")</f>
      </c>
      <c r="BD144">
        <f>IFERROR(($E144-MAX(OFFSET(高値!$E$6,IFERROR(MATCH($C144,銘柄管理!$B$6:$B$305,0),MATCH(TEXT($C144,"0"),銘柄管理!$B$6:$B$305,0))-1,0,1,25)))/MAX(OFFSET(高値!$E$6,IFERROR(MATCH($C144,銘柄管理!$B$6:$B$305,0),MATCH(TEXT($C144,"0"),銘柄管理!$B$6:$B$305,0))-1,0,1,25))*100,"")</f>
      </c>
      <c r="BE144">
        <f>IFERROR(($H144-$I144)/$F144*100,"")</f>
      </c>
      <c r="BF144">
        <f>IFERROR(-(($BA144-AVERAGE($BA$3:$BA$206))/STDEV($BA$3:$BA$206))-(($BE144-AVERAGE($BE$3:$BE$206))/STDEV($BE$3:$BE$206))-(($BB144-AVERAGE($BB$3:$BB$206))/STDEV($BB$3:$BB$206))-(($Z144-AVERAGE($Z$3:$Z$206))/STDEV($Z$3:$Z$206))-(($BC144-AVERAGE($BC$3:$BC$206))/STDEV($BC$3:$BC$206)),"")</f>
      </c>
      <c r="BG144">
        <f>IF(OR($C144="",$C144="TOPX",$BA144="",$BF144=""),0,IF(AND($BK$10=1,$BA144&lt;=$BK$2,$BB144&lt;=$BK$3,$BC144&lt;=$BK$4,$Z144&lt;=$BK$5,$Z144&gt;=$BK$6,$BD144&gt;=$BK$7,$BE144&lt;=$BK$8),1,0))</f>
      </c>
      <c r="BH144">
        <f>IF($C144="","",IF($BG144=1,"○ゲート通過",IF($BK$10&lt;&gt;1,"― この方向は停止中",IF($BA144&gt;$BK$2,"×値動きが荒い",IF($BB144&gt;$BK$3,"×レンジが広い",IF($BC144&gt;$BK$4,"×窓を開けて上昇",IF($Z144&gt;$BK$5,"×前日に急騰",IF($Z144&lt;$BK$6,"×前日に急落",IF($BD144&lt;$BK$7,"×高値から離れすぎ",IF($BE144&gt;$BK$8,"×当日の値幅が大きい","×")))))))))</f>
      </c>
    </row>
    <row r="145" spans="1:60"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IF(AND(E145&lt;&gt;"",K145&lt;&gt;"",K145&lt;&gt;0),(E145-K145)/K145*100,"")</f>
        <v>-3.8945233265720081</v>
      </c>
      <c r="M145" s="326">
        <f>IF(C145&lt;&gt;"",IFERROR(AVERAGE(出来高!E98:I98),""),"")</f>
        <v>8540860</v>
      </c>
      <c r="N145" s="326">
        <f>IF(C145&lt;&gt;"",IFERROR(AVERAGE(出来高!E98:AC98),""),"")</f>
        <v>6489016.666666667</v>
      </c>
      <c r="O145" s="328">
        <f>IF(AND(J145&lt;&gt;"",M145&lt;&gt;"",M145&lt;&gt;0),J145/M145,"")</f>
        <v>0.57582023355961809</v>
      </c>
      <c r="P145" s="325" t="str">
        <f>IF(O145="","",IF(O145&gt;=2,"急増↑↑",IF(O145&gt;=1.5,"増加↑",IF(O145&gt;=1,"普通→","減少↓"))))</f>
        <v>減少↓</v>
      </c>
      <c r="Q145" s="325" t="str">
        <f>IF(E145="","",IF(AND(E145&lt;G145,O145&gt;=1.5),"売り▼",IF(E145&gt;G145,"様子見▲","中立→")))</f>
        <v>様子見▲</v>
      </c>
      <c r="R145" s="326">
        <f>IF(E145&lt;&gt;"",ROUND(E145*0.92,0),"")</f>
        <v>1090</v>
      </c>
      <c r="S145" s="326">
        <f>IF(E145&lt;&gt;"",ROUND(E145*1.04,0),"")</f>
        <v>1232</v>
      </c>
      <c r="T145" s="325">
        <f>IF(C145="","",IFERROR(IF(W145&gt;=70,3,IF(W145&gt;=60,2,IF(W145&gt;=50,1,0)))+IF(X145&lt;0,2,0)+IF(AD145="下降トレンド▼",3,IF(AD145="もみ合い→",1,0))+IF(V145="年初来安値圏●",3,IF(V145="安値圏",2,0))+IF(Q145="売り▼",2,0)+IF(P145="急増↑↑",2,IF(P145="増加↑",1,0))+IF(Z145&lt;0,1,0)+IF(L145&lt;=-30,2,IF(L145&lt;=-15,1,0))+IF(AE145="25日戻り売り★",2,IF(AE145="5日戻り売り○",1,0))+N(AL145)+N(AP145)+N(AU145),0))</f>
        <v>0</v>
      </c>
      <c r="U145" s="325" t="str">
        <f>IF(T145="","",IF(AND(T145&gt;=3,O145&gt;=1.5),"有効",IF(T145&gt;=3,"要確認","除外")))</f>
        <v>除外</v>
      </c>
      <c r="V145" s="325" t="str">
        <f>IF(AND(I145&lt;&gt;"",K145&lt;&gt;""),IF(I145&lt;=K145*0.6,"年初来安値圏●",IF(I145&lt;=K145*0.75,"安値圏","通常")),"")</f>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IF(AF145="","",AF145&amp;" | "&amp;AD145&amp;IF(AE145&lt;&gt;"なし"," "&amp;AE145,"")&amp;IF(X145&lt;0," MACD-"," MACD+")&amp;" RSI:"&amp;TEXT(W145,"0.0")&amp;IF(W145&gt;=70," [過熱]",IF(W145&lt;=30," [売られ過ぎ]",""))&amp;" 前日比:"&amp;TEXT(Z145,"+0.0;-0.0;0.0")&amp;"%"&amp;IF(V145="年初来安値圏●"," [年初来安値圏]",IF(V145="安値圏"," [安値圏]",""))&amp;IF(OR(AO145="通常",AO145="-"),""," ["&amp;AO145&amp;"]")&amp;IF(OR(AT145="通常",AT145="-"),"","前日["&amp;AT145&amp;"]")&amp;" ["&amp;T145&amp;"点]")</f>
        <v>相場上昇・見送り | パーフェクト▲ MACD- RSI:48.8 前日比:+2.6% [0点]</v>
      </c>
      <c r="Z145" s="331">
        <f>IF(AND(E145&lt;&gt;"",G145&lt;&gt;"",G145&lt;&gt;0),(E145-G145)/G145*100,"")</f>
        <v>2.59852750108272</v>
      </c>
      <c r="AA145" s="325" t="str">
        <f>IF(OR(C145="",E145="",E145=0),"",IF(E145&gt;G145,"上昇▲",IF(E145&lt;G145,"下落▼","横ばい→")))</f>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IF(OR(C145="",AB145="",AC145="",AB145=0,AC145=0),"",IF(AND(E145&gt;AB145,AB145&gt;AC145),"パーフェクト▲",IF(E145&gt;AC145,"上昇トレンド▲",IF(AND(E145&lt;AB145,AB145&lt;AC145),"下降トレンド▼","もみ合い→"))))</f>
        <v>パーフェクト▲</v>
      </c>
      <c r="AE145" s="325" t="str">
        <f>IF(OR(C145="",AB145="",AC145=""),"",IF(AND(ABS(E145-AC145)/AC145&lt;=0.02,E145&lt;AC145),"25日戻り売り★",IF(AND(ABS(E145-AB145)/AB145&lt;=0.01,E145&lt;AB145),"5日戻り売り○","なし")))</f>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IF(AND(T145&gt;=7,C145&lt;&gt;""),T145,0)</f>
        <v>0</v>
      </c>
      <c r="AH145">
        <f>IF(AG145&gt;0,AG145*10000-ROW(A145),0)</f>
        <v>0</v>
      </c>
      <c r="AI145" s="373">
        <f t="array" ref="AI145">IF(C145="","",IFERROR((INDEX(終値!$E:$E,MATCH(TEXT(C145,"0"),終値!$A:$A,0))-INDEX(終値!$E:$CZ,MATCH(TEXT(C145,"0"),終値!$A:$A,0),$AN$2))/INDEX(終値!$E:$CZ,MATCH(TEXT(C145,"0"),終値!$A:$A,0),$AN$2)*100,""))</f>
        <v>6.2331838565022419</v>
      </c>
      <c r="AJ145" s="373">
        <f t="array" ref="AJ145">IFERROR((終値!$E$5-INDEX(終値!$E$5:$IT$5,1,$AN$2))/INDEX(終値!$E$5:$IT$5,1,$AN$2)*100,"")</f>
        <v>1.0179378228534113</v>
      </c>
      <c r="AK145" s="374">
        <f>IF(OR(AI145="",AJ145=""),"",AI145-AJ145)</f>
        <v>5.2152460336488309</v>
      </c>
      <c r="AL145" s="372">
        <f>IF(AK145="","",IF(AK145&lt;-5,3,IF(AK145&lt;0,1,IF(AK145&lt;3,-1,-2))))</f>
        <v>-2</v>
      </c>
      <c r="AO145" s="376" t="str">
        <f>IF(OR($C145="",$E145="",$F145="",$H145="",$I145="",$H145-$I145&lt;=0),"-",IF(AND($H145-MAX($F145,$E145)&gt;=ABS($E145-$F145)*2,MIN($F145,$E145)-$I145&lt;=ABS($E145-$F145)*0.5,ABS($E145-$F145)&gt;0),"上ヒゲ陰線▼",IF(AND($E145&lt;$F145,ABS($E145-$F145)&gt;=($H145-$I145)*0.7),"大陰線▼",IF(AND(MIN($F145,$E145)-$I145&gt;=($H145-$I145)*0.5,$H145-MAX($F145,$E145)&lt;=($H145-$I145)*0.2),"長い下ヒゲ(反発警戒)","通常"))))</f>
        <v>通常</v>
      </c>
      <c r="AP145" s="377">
        <f>IF($AO145="上ヒゲ陰線▼",2,IF($AO145="大陰線▼",2,IF($AO145="長い下ヒゲ(反発警戒)",-2,0)))</f>
        <v>0</v>
      </c>
      <c r="AQ145">
        <f>IF(C145&lt;&gt;"",始値!F98,"")</f>
        <v>1130</v>
      </c>
      <c r="AR145">
        <f>IF(C145&lt;&gt;"",高値!F98,"")</f>
        <v>1164</v>
      </c>
      <c r="AS145">
        <f>IF(C145&lt;&gt;"",安値!F98,"")</f>
        <v>1123</v>
      </c>
      <c r="AT145" t="str">
        <f>IF(OR(C145="",AQ145="",AR145="",AS145="",AR145-AS145&lt;=0),"-",IF(AND(AR145-MAX(G145,AQ145)&gt;=ABS(G145-AQ145)*2,MIN(G145,AQ145)-AS145&lt;=ABS(G145-AQ145)*0.5,ABS(G145-AQ145)&gt;0),"上ヒゲ陰線▼",IF(AND(G145&lt;AQ145,ABS(G145-AQ145)&gt;=(AR145-AS145)*0.7),"大陰線▼",IF(AND(MIN(G145,AQ145)-AS145&gt;=(AR145-AS145)*0.5,AR145-MAX(G145,AQ145)&lt;=(AR145-AS145)*0.2),"長い下ヒゲ(反発)","通常"))))</f>
        <v>通常</v>
      </c>
      <c r="AU145">
        <f>IF(AT145="上ヒゲ陰線▼",2,IF(AT145="大陰線▼",2,IF(AT145="長い下ヒゲ(反発)",-2,0)))</f>
        <v>0</v>
      </c>
      <c r="BA145">
        <f>IFERROR((SUM(OFFSET(高値!$E$6,IFERROR(MATCH($C145,銘柄管理!$B$6:$B$305,0),MATCH(TEXT($C145,"0"),銘柄管理!$B$6:$B$305,0))-1,0,1,14))-SUM(OFFSET(安値!$E$6,IFERROR(MATCH($C145,銘柄管理!$B$6:$B$305,0),MATCH(TEXT($C145,"0"),銘柄管理!$B$6:$B$305,0))-1,0,1,14)))/SUM(OFFSET(終値!$E$6,IFERROR(MATCH($C145,銘柄管理!$B$6:$B$305,0),MATCH(TEXT($C145,"0"),銘柄管理!$B$6:$B$305,0))-1,0,1,14))*100,"")</f>
      </c>
      <c r="BB145">
        <f>IFERROR((MAX(OFFSET(高値!$E$6,IFERROR(MATCH($C145,銘柄管理!$B$6:$B$305,0),MATCH(TEXT($C145,"0"),銘柄管理!$B$6:$B$305,0))-1,0,1,25))-MIN(OFFSET(安値!$E$6,IFERROR(MATCH($C145,銘柄管理!$B$6:$B$305,0),MATCH(TEXT($C145,"0"),銘柄管理!$B$6:$B$305,0))-1,0,1,25)))/$E145*100,"")</f>
      </c>
      <c r="BC145">
        <f>IFERROR(($F145-$G145)/$G145*100,"")</f>
      </c>
      <c r="BD145">
        <f>IFERROR(($E145-MAX(OFFSET(高値!$E$6,IFERROR(MATCH($C145,銘柄管理!$B$6:$B$305,0),MATCH(TEXT($C145,"0"),銘柄管理!$B$6:$B$305,0))-1,0,1,25)))/MAX(OFFSET(高値!$E$6,IFERROR(MATCH($C145,銘柄管理!$B$6:$B$305,0),MATCH(TEXT($C145,"0"),銘柄管理!$B$6:$B$305,0))-1,0,1,25))*100,"")</f>
      </c>
      <c r="BE145">
        <f>IFERROR(($H145-$I145)/$F145*100,"")</f>
      </c>
      <c r="BF145">
        <f>IFERROR(-(($BA145-AVERAGE($BA$3:$BA$206))/STDEV($BA$3:$BA$206))-(($BE145-AVERAGE($BE$3:$BE$206))/STDEV($BE$3:$BE$206))-(($BB145-AVERAGE($BB$3:$BB$206))/STDEV($BB$3:$BB$206))-(($Z145-AVERAGE($Z$3:$Z$206))/STDEV($Z$3:$Z$206))-(($BC145-AVERAGE($BC$3:$BC$206))/STDEV($BC$3:$BC$206)),"")</f>
      </c>
      <c r="BG145">
        <f>IF(OR($C145="",$C145="TOPX",$BA145="",$BF145=""),0,IF(AND($BK$10=1,$BA145&lt;=$BK$2,$BB145&lt;=$BK$3,$BC145&lt;=$BK$4,$Z145&lt;=$BK$5,$Z145&gt;=$BK$6,$BD145&gt;=$BK$7,$BE145&lt;=$BK$8),1,0))</f>
      </c>
      <c r="BH145">
        <f>IF($C145="","",IF($BG145=1,"○ゲート通過",IF($BK$10&lt;&gt;1,"― この方向は停止中",IF($BA145&gt;$BK$2,"×値動きが荒い",IF($BB145&gt;$BK$3,"×レンジが広い",IF($BC145&gt;$BK$4,"×窓を開けて上昇",IF($Z145&gt;$BK$5,"×前日に急騰",IF($Z145&lt;$BK$6,"×前日に急落",IF($BD145&lt;$BK$7,"×高値から離れすぎ",IF($BE145&gt;$BK$8,"×当日の値幅が大きい","×")))))))))</f>
      </c>
    </row>
    <row r="146" spans="1:60"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IF(AND(E146&lt;&gt;"",K146&lt;&gt;"",K146&lt;&gt;0),(E146-K146)/K146*100,"")</f>
        <v>-44.506172839506178</v>
      </c>
      <c r="M146" s="333">
        <f>IF(C146&lt;&gt;"",IFERROR(AVERAGE(出来高!E111:I111),""),"")</f>
        <v>256380</v>
      </c>
      <c r="N146" s="333">
        <f>IF(C146&lt;&gt;"",IFERROR(AVERAGE(出来高!E111:AC111),""),"")</f>
        <v>396204.16666666669</v>
      </c>
      <c r="O146" s="335">
        <f>IF(AND(J146&lt;&gt;"",M146&lt;&gt;"",M146&lt;&gt;0),J146/M146,"")</f>
        <v>0.58389890007020828</v>
      </c>
      <c r="P146" s="212" t="str">
        <f>IF(O146="","",IF(O146&gt;=2,"急増↑↑",IF(O146&gt;=1.5,"増加↑",IF(O146&gt;=1,"普通→","減少↓"))))</f>
        <v>減少↓</v>
      </c>
      <c r="Q146" s="212" t="str">
        <f>IF(E146="","",IF(AND(E146&lt;G146,O146&gt;=1.5),"売り▼",IF(E146&gt;G146,"様子見▲","中立→")))</f>
        <v>様子見▲</v>
      </c>
      <c r="R146" s="333">
        <f>IF(E146&lt;&gt;"",ROUND(E146*0.92,0),"")</f>
        <v>827</v>
      </c>
      <c r="S146" s="333">
        <f>IF(E146&lt;&gt;"",ROUND(E146*1.04,0),"")</f>
        <v>935</v>
      </c>
      <c r="T146" s="325">
        <f>IF(C146="","",IFERROR(IF(W146&gt;=70,3,IF(W146&gt;=60,2,IF(W146&gt;=50,1,0)))+IF(X146&lt;0,2,0)+IF(AD146="下降トレンド▼",3,IF(AD146="もみ合い→",1,0))+IF(V146="年初来安値圏●",3,IF(V146="安値圏",2,0))+IF(Q146="売り▼",2,0)+IF(P146="急増↑↑",2,IF(P146="増加↑",1,0))+IF(Z146&lt;0,1,0)+IF(L146&lt;=-30,2,IF(L146&lt;=-15,1,0))+IF(AE146="25日戻り売り★",2,IF(AE146="5日戻り売り○",1,0))+N(AL146)+N(AP146)+N(AU146),0))</f>
        <v>11</v>
      </c>
      <c r="U146" s="212" t="str">
        <f>IF(T146="","",IF(AND(T146&gt;=3,O146&gt;=1.5),"有効",IF(T146&gt;=3,"要確認","除外")))</f>
        <v>要確認</v>
      </c>
      <c r="V146" s="212" t="str">
        <f>IF(AND(I146&lt;&gt;"",K146&lt;&gt;""),IF(I146&lt;=K146*0.6,"年初来安値圏●",IF(I146&lt;=K146*0.75,"安値圏","通常")),"")</f>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IF(AF146="","",AF146&amp;" | "&amp;AD146&amp;IF(AE146&lt;&gt;"なし"," "&amp;AE146,"")&amp;IF(X146&lt;0," MACD-"," MACD+")&amp;" RSI:"&amp;TEXT(W146,"0.0")&amp;IF(W146&gt;=70," [過熱]",IF(W146&lt;=30," [売られ過ぎ]",""))&amp;" 前日比:"&amp;TEXT(Z146,"+0.0;-0.0;0.0")&amp;"%"&amp;IF(V146="年初来安値圏●"," [年初来安値圏]",IF(V146="安値圏"," [安値圏]",""))&amp;IF(OR(AO146="通常",AO146="-"),""," ["&amp;AO146&amp;"]")&amp;IF(OR(AT146="通常",AT146="-"),"","前日["&amp;AT146&amp;"]")&amp;" ["&amp;T146&amp;"点]")</f>
        <v>相場上昇・見送り | パーフェクト▲ MACD- RSI:51.2 前日比:+0.7% [年初来安値圏] [11点]</v>
      </c>
      <c r="Z146" s="338">
        <f>IF(AND(E146&lt;&gt;"",G146&lt;&gt;"",G146&lt;&gt;0),(E146-G146)/G146*100,"")</f>
        <v>0.67189249720044786</v>
      </c>
      <c r="AA146" s="212" t="str">
        <f>IF(OR(C146="",E146="",E146=0),"",IF(E146&gt;G146,"上昇▲",IF(E146&lt;G146,"下落▼","横ばい→")))</f>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IF(OR(C146="",AB146="",AC146="",AB146=0,AC146=0),"",IF(AND(E146&gt;AB146,AB146&gt;AC146),"パーフェクト▲",IF(E146&gt;AC146,"上昇トレンド▲",IF(AND(E146&lt;AB146,AB146&lt;AC146),"下降トレンド▼","もみ合い→"))))</f>
        <v>パーフェクト▲</v>
      </c>
      <c r="AE146" s="212" t="str">
        <f>IF(OR(C146="",AB146="",AC146=""),"",IF(AND(ABS(E146-AC146)/AC146&lt;=0.02,E146&lt;AC146),"25日戻り売り★",IF(AND(ABS(E146-AB146)/AB146&lt;=0.01,E146&lt;AB146),"5日戻り売り○","なし")))</f>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IF(AND(T146&gt;=7,C146&lt;&gt;""),T146,0)</f>
        <v>11</v>
      </c>
      <c r="AH146">
        <f>IF(AG146&gt;0,AG146*10000-ROW(A146),0)</f>
        <v>109854</v>
      </c>
      <c r="AI146" s="373">
        <f t="array" ref="AI146">IF(C146="","",IFERROR((INDEX(終値!$E:$E,MATCH(TEXT(C146,"0"),終値!$A:$A,0))-INDEX(終値!$E:$CZ,MATCH(TEXT(C146,"0"),終値!$A:$A,0),$AN$2))/INDEX(終値!$E:$CZ,MATCH(TEXT(C146,"0"),終値!$A:$A,0),$AN$2)*100,""))</f>
        <v>-4.3617021276595747</v>
      </c>
      <c r="AJ146" s="373">
        <f t="array" ref="AJ146">IFERROR((終値!$E$5-INDEX(終値!$E$5:$IT$5,1,$AN$2))/INDEX(終値!$E$5:$IT$5,1,$AN$2)*100,"")</f>
        <v>1.0179378228534113</v>
      </c>
      <c r="AK146" s="374">
        <f>IF(OR(AI146="",AJ146=""),"",AI146-AJ146)</f>
        <v>-5.3796399505129857</v>
      </c>
      <c r="AL146" s="372">
        <f>IF(AK146="","",IF(AK146&lt;-5,3,IF(AK146&lt;0,1,IF(AK146&lt;3,-1,-2))))</f>
        <v>3</v>
      </c>
      <c r="AO146" s="376" t="str">
        <f>IF(OR($C146="",$E146="",$F146="",$H146="",$I146="",$H146-$I146&lt;=0),"-",IF(AND($H146-MAX($F146,$E146)&gt;=ABS($E146-$F146)*2,MIN($F146,$E146)-$I146&lt;=ABS($E146-$F146)*0.5,ABS($E146-$F146)&gt;0),"上ヒゲ陰線▼",IF(AND($E146&lt;$F146,ABS($E146-$F146)&gt;=($H146-$I146)*0.7),"大陰線▼",IF(AND(MIN($F146,$E146)-$I146&gt;=($H146-$I146)*0.5,$H146-MAX($F146,$E146)&lt;=($H146-$I146)*0.2),"長い下ヒゲ(反発警戒)","通常"))))</f>
        <v>通常</v>
      </c>
      <c r="AP146" s="377">
        <f>IF($AO146="上ヒゲ陰線▼",2,IF($AO146="大陰線▼",2,IF($AO146="長い下ヒゲ(反発警戒)",-2,0)))</f>
        <v>0</v>
      </c>
      <c r="AQ146">
        <f>IF(C146&lt;&gt;"",始値!F111,"")</f>
        <v>866</v>
      </c>
      <c r="AR146">
        <f>IF(C146&lt;&gt;"",高値!F111,"")</f>
        <v>898</v>
      </c>
      <c r="AS146">
        <f>IF(C146&lt;&gt;"",安値!F111,"")</f>
        <v>865</v>
      </c>
      <c r="AT146" t="str">
        <f>IF(OR(C146="",AQ146="",AR146="",AS146="",AR146-AS146&lt;=0),"-",IF(AND(AR146-MAX(G146,AQ146)&gt;=ABS(G146-AQ146)*2,MIN(G146,AQ146)-AS146&lt;=ABS(G146-AQ146)*0.5,ABS(G146-AQ146)&gt;0),"上ヒゲ陰線▼",IF(AND(G146&lt;AQ146,ABS(G146-AQ146)&gt;=(AR146-AS146)*0.7),"大陰線▼",IF(AND(MIN(G146,AQ146)-AS146&gt;=(AR146-AS146)*0.5,AR146-MAX(G146,AQ146)&lt;=(AR146-AS146)*0.2),"長い下ヒゲ(反発)","通常"))))</f>
        <v>通常</v>
      </c>
      <c r="AU146">
        <f>IF(AT146="上ヒゲ陰線▼",2,IF(AT146="大陰線▼",2,IF(AT146="長い下ヒゲ(反発)",-2,0)))</f>
        <v>0</v>
      </c>
      <c r="BA146">
        <f>IFERROR((SUM(OFFSET(高値!$E$6,IFERROR(MATCH($C146,銘柄管理!$B$6:$B$305,0),MATCH(TEXT($C146,"0"),銘柄管理!$B$6:$B$305,0))-1,0,1,14))-SUM(OFFSET(安値!$E$6,IFERROR(MATCH($C146,銘柄管理!$B$6:$B$305,0),MATCH(TEXT($C146,"0"),銘柄管理!$B$6:$B$305,0))-1,0,1,14)))/SUM(OFFSET(終値!$E$6,IFERROR(MATCH($C146,銘柄管理!$B$6:$B$305,0),MATCH(TEXT($C146,"0"),銘柄管理!$B$6:$B$305,0))-1,0,1,14))*100,"")</f>
      </c>
      <c r="BB146">
        <f>IFERROR((MAX(OFFSET(高値!$E$6,IFERROR(MATCH($C146,銘柄管理!$B$6:$B$305,0),MATCH(TEXT($C146,"0"),銘柄管理!$B$6:$B$305,0))-1,0,1,25))-MIN(OFFSET(安値!$E$6,IFERROR(MATCH($C146,銘柄管理!$B$6:$B$305,0),MATCH(TEXT($C146,"0"),銘柄管理!$B$6:$B$305,0))-1,0,1,25)))/$E146*100,"")</f>
      </c>
      <c r="BC146">
        <f>IFERROR(($F146-$G146)/$G146*100,"")</f>
      </c>
      <c r="BD146">
        <f>IFERROR(($E146-MAX(OFFSET(高値!$E$6,IFERROR(MATCH($C146,銘柄管理!$B$6:$B$305,0),MATCH(TEXT($C146,"0"),銘柄管理!$B$6:$B$305,0))-1,0,1,25)))/MAX(OFFSET(高値!$E$6,IFERROR(MATCH($C146,銘柄管理!$B$6:$B$305,0),MATCH(TEXT($C146,"0"),銘柄管理!$B$6:$B$305,0))-1,0,1,25))*100,"")</f>
      </c>
      <c r="BE146">
        <f>IFERROR(($H146-$I146)/$F146*100,"")</f>
      </c>
      <c r="BF146">
        <f>IFERROR(-(($BA146-AVERAGE($BA$3:$BA$206))/STDEV($BA$3:$BA$206))-(($BE146-AVERAGE($BE$3:$BE$206))/STDEV($BE$3:$BE$206))-(($BB146-AVERAGE($BB$3:$BB$206))/STDEV($BB$3:$BB$206))-(($Z146-AVERAGE($Z$3:$Z$206))/STDEV($Z$3:$Z$206))-(($BC146-AVERAGE($BC$3:$BC$206))/STDEV($BC$3:$BC$206)),"")</f>
      </c>
      <c r="BG146">
        <f>IF(OR($C146="",$C146="TOPX",$BA146="",$BF146=""),0,IF(AND($BK$10=1,$BA146&lt;=$BK$2,$BB146&lt;=$BK$3,$BC146&lt;=$BK$4,$Z146&lt;=$BK$5,$Z146&gt;=$BK$6,$BD146&gt;=$BK$7,$BE146&lt;=$BK$8),1,0))</f>
      </c>
      <c r="BH146">
        <f>IF($C146="","",IF($BG146=1,"○ゲート通過",IF($BK$10&lt;&gt;1,"― この方向は停止中",IF($BA146&gt;$BK$2,"×値動きが荒い",IF($BB146&gt;$BK$3,"×レンジが広い",IF($BC146&gt;$BK$4,"×窓を開けて上昇",IF($Z146&gt;$BK$5,"×前日に急騰",IF($Z146&lt;$BK$6,"×前日に急落",IF($BD146&lt;$BK$7,"×高値から離れすぎ",IF($BE146&gt;$BK$8,"×当日の値幅が大きい","×")))))))))</f>
      </c>
    </row>
    <row r="147" spans="1:60"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IF(AND(E147&lt;&gt;"",K147&lt;&gt;"",K147&lt;&gt;0),(E147-K147)/K147*100,"")</f>
        <v>-40.753461414618442</v>
      </c>
      <c r="M147" s="326">
        <f>IF(C147&lt;&gt;"",IFERROR(AVERAGE(出来高!E117:I117),""),"")</f>
        <v>1057000</v>
      </c>
      <c r="N147" s="326">
        <f>IF(C147&lt;&gt;"",IFERROR(AVERAGE(出来高!E117:AC117),""),"")</f>
        <v>1103732</v>
      </c>
      <c r="O147" s="328">
        <f>IF(AND(J147&lt;&gt;"",M147&lt;&gt;"",M147&lt;&gt;0),J147/M147,"")</f>
        <v>1.1195837275307474</v>
      </c>
      <c r="P147" s="325" t="str">
        <f>IF(O147="","",IF(O147&gt;=2,"急増↑↑",IF(O147&gt;=1.5,"増加↑",IF(O147&gt;=1,"普通→","減少↓"))))</f>
        <v>普通→</v>
      </c>
      <c r="Q147" s="325" t="str">
        <f>IF(E147="","",IF(AND(E147&lt;G147,O147&gt;=1.5),"売り▼",IF(E147&gt;G147,"様子見▲","中立→")))</f>
        <v>中立→</v>
      </c>
      <c r="R147" s="326">
        <f>IF(E147&lt;&gt;"",ROUND(E147*0.92,0),"")</f>
        <v>5078</v>
      </c>
      <c r="S147" s="326">
        <f>IF(E147&lt;&gt;"",ROUND(E147*1.04,0),"")</f>
        <v>5741</v>
      </c>
      <c r="T147" s="325">
        <f>IF(C147="","",IFERROR(IF(W147&gt;=70,3,IF(W147&gt;=60,2,IF(W147&gt;=50,1,0)))+IF(X147&lt;0,2,0)+IF(AD147="下降トレンド▼",3,IF(AD147="もみ合い→",1,0))+IF(V147="年初来安値圏●",3,IF(V147="安値圏",2,0))+IF(Q147="売り▼",2,0)+IF(P147="急増↑↑",2,IF(P147="増加↑",1,0))+IF(Z147&lt;0,1,0)+IF(L147&lt;=-30,2,IF(L147&lt;=-15,1,0))+IF(AE147="25日戻り売り★",2,IF(AE147="5日戻り売り○",1,0))+N(AL147)+N(AP147)+N(AU147),0))</f>
        <v>6</v>
      </c>
      <c r="U147" s="325" t="str">
        <f>IF(T147="","",IF(AND(T147&gt;=3,O147&gt;=1.5),"有効",IF(T147&gt;=3,"要確認","除外")))</f>
        <v>要確認</v>
      </c>
      <c r="V147" s="325" t="str">
        <f>IF(AND(I147&lt;&gt;"",K147&lt;&gt;""),IF(I147&lt;=K147*0.6,"年初来安値圏●",IF(I147&lt;=K147*0.75,"安値圏","通常")),"")</f>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IF(AF147="","",AF147&amp;" | "&amp;AD147&amp;IF(AE147&lt;&gt;"なし"," "&amp;AE147,"")&amp;IF(X147&lt;0," MACD-"," MACD+")&amp;" RSI:"&amp;TEXT(W147,"0.0")&amp;IF(W147&gt;=70," [過熱]",IF(W147&lt;=30," [売られ過ぎ]",""))&amp;" 前日比:"&amp;TEXT(Z147,"+0.0;-0.0;0.0")&amp;"%"&amp;IF(V147="年初来安値圏●"," [年初来安値圏]",IF(V147="安値圏"," [安値圏]",""))&amp;IF(OR(AO147="通常",AO147="-"),""," ["&amp;AO147&amp;"]")&amp;IF(OR(AT147="通常",AT147="-"),"","前日["&amp;AT147&amp;"]")&amp;" ["&amp;T147&amp;"点]")</f>
        <v>相場上昇・見送り | 上昇トレンド▲ MACD- RSI:46.9 前日比:-0.6% [年初来安値圏] [6点]</v>
      </c>
      <c r="Z147" s="331">
        <f>IF(AND(E147&lt;&gt;"",G147&lt;&gt;"",G147&lt;&gt;0),(E147-G147)/G147*100,"")</f>
        <v>-0.57636887608069165</v>
      </c>
      <c r="AA147" s="325" t="str">
        <f>IF(OR(C147="",E147="",E147=0),"",IF(E147&gt;G147,"上昇▲",IF(E147&lt;G147,"下落▼","横ばい→")))</f>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IF(OR(C147="",AB147="",AC147="",AB147=0,AC147=0),"",IF(AND(E147&gt;AB147,AB147&gt;AC147),"パーフェクト▲",IF(E147&gt;AC147,"上昇トレンド▲",IF(AND(E147&lt;AB147,AB147&lt;AC147),"下降トレンド▼","もみ合い→"))))</f>
        <v>上昇トレンド▲</v>
      </c>
      <c r="AE147" s="325" t="str">
        <f>IF(OR(C147="",AB147="",AC147=""),"",IF(AND(ABS(E147-AC147)/AC147&lt;=0.02,E147&lt;AC147),"25日戻り売り★",IF(AND(ABS(E147-AB147)/AB147&lt;=0.01,E147&lt;AB147),"5日戻り売り○","なし")))</f>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IF(AND(T147&gt;=7,C147&lt;&gt;""),T147,0)</f>
        <v>0</v>
      </c>
      <c r="AH147">
        <f>IF(AG147&gt;0,AG147*10000-ROW(A147),0)</f>
        <v>0</v>
      </c>
      <c r="AI147" s="373">
        <f t="array" ref="AI147">IF(C147="","",IFERROR((INDEX(終値!$E:$E,MATCH(TEXT(C147,"0"),終値!$A:$A,0))-INDEX(終値!$E:$CZ,MATCH(TEXT(C147,"0"),終値!$A:$A,0),$AN$2))/INDEX(終値!$E:$CZ,MATCH(TEXT(C147,"0"),終値!$A:$A,0),$AN$2)*100,""))</f>
        <v>7.7493656060901817</v>
      </c>
      <c r="AJ147" s="373">
        <f t="array" ref="AJ147">IFERROR((終値!$E$5-INDEX(終値!$E$5:$IT$5,1,$AN$2))/INDEX(終値!$E$5:$IT$5,1,$AN$2)*100,"")</f>
        <v>1.0179378228534113</v>
      </c>
      <c r="AK147" s="374">
        <f>IF(OR(AI147="",AJ147=""),"",AI147-AJ147)</f>
        <v>6.7314277832367706</v>
      </c>
      <c r="AL147" s="372">
        <f>IF(AK147="","",IF(AK147&lt;-5,3,IF(AK147&lt;0,1,IF(AK147&lt;3,-1,-2))))</f>
        <v>-2</v>
      </c>
      <c r="AO147" s="376" t="str">
        <f>IF(OR($C147="",$E147="",$F147="",$H147="",$I147="",$H147-$I147&lt;=0),"-",IF(AND($H147-MAX($F147,$E147)&gt;=ABS($E147-$F147)*2,MIN($F147,$E147)-$I147&lt;=ABS($E147-$F147)*0.5,ABS($E147-$F147)&gt;0),"上ヒゲ陰線▼",IF(AND($E147&lt;$F147,ABS($E147-$F147)&gt;=($H147-$I147)*0.7),"大陰線▼",IF(AND(MIN($F147,$E147)-$I147&gt;=($H147-$I147)*0.5,$H147-MAX($F147,$E147)&lt;=($H147-$I147)*0.2),"長い下ヒゲ(反発警戒)","通常"))))</f>
        <v>通常</v>
      </c>
      <c r="AP147" s="377">
        <f>IF($AO147="上ヒゲ陰線▼",2,IF($AO147="大陰線▼",2,IF($AO147="長い下ヒゲ(反発警戒)",-2,0)))</f>
        <v>0</v>
      </c>
      <c r="AQ147">
        <f>IF(C147&lt;&gt;"",始値!F117,"")</f>
        <v>5355</v>
      </c>
      <c r="AR147">
        <f>IF(C147&lt;&gt;"",高値!F117,"")</f>
        <v>5602</v>
      </c>
      <c r="AS147">
        <f>IF(C147&lt;&gt;"",安値!F117,"")</f>
        <v>5291</v>
      </c>
      <c r="AT147" t="str">
        <f>IF(OR(C147="",AQ147="",AR147="",AS147="",AR147-AS147&lt;=0),"-",IF(AND(AR147-MAX(G147,AQ147)&gt;=ABS(G147-AQ147)*2,MIN(G147,AQ147)-AS147&lt;=ABS(G147-AQ147)*0.5,ABS(G147-AQ147)&gt;0),"上ヒゲ陰線▼",IF(AND(G147&lt;AQ147,ABS(G147-AQ147)&gt;=(AR147-AS147)*0.7),"大陰線▼",IF(AND(MIN(G147,AQ147)-AS147&gt;=(AR147-AS147)*0.5,AR147-MAX(G147,AQ147)&lt;=(AR147-AS147)*0.2),"長い下ヒゲ(反発)","通常"))))</f>
        <v>通常</v>
      </c>
      <c r="AU147">
        <f>IF(AT147="上ヒゲ陰線▼",2,IF(AT147="大陰線▼",2,IF(AT147="長い下ヒゲ(反発)",-2,0)))</f>
        <v>0</v>
      </c>
      <c r="BA147">
        <f>IFERROR((SUM(OFFSET(高値!$E$6,IFERROR(MATCH($C147,銘柄管理!$B$6:$B$305,0),MATCH(TEXT($C147,"0"),銘柄管理!$B$6:$B$305,0))-1,0,1,14))-SUM(OFFSET(安値!$E$6,IFERROR(MATCH($C147,銘柄管理!$B$6:$B$305,0),MATCH(TEXT($C147,"0"),銘柄管理!$B$6:$B$305,0))-1,0,1,14)))/SUM(OFFSET(終値!$E$6,IFERROR(MATCH($C147,銘柄管理!$B$6:$B$305,0),MATCH(TEXT($C147,"0"),銘柄管理!$B$6:$B$305,0))-1,0,1,14))*100,"")</f>
      </c>
      <c r="BB147">
        <f>IFERROR((MAX(OFFSET(高値!$E$6,IFERROR(MATCH($C147,銘柄管理!$B$6:$B$305,0),MATCH(TEXT($C147,"0"),銘柄管理!$B$6:$B$305,0))-1,0,1,25))-MIN(OFFSET(安値!$E$6,IFERROR(MATCH($C147,銘柄管理!$B$6:$B$305,0),MATCH(TEXT($C147,"0"),銘柄管理!$B$6:$B$305,0))-1,0,1,25)))/$E147*100,"")</f>
      </c>
      <c r="BC147">
        <f>IFERROR(($F147-$G147)/$G147*100,"")</f>
      </c>
      <c r="BD147">
        <f>IFERROR(($E147-MAX(OFFSET(高値!$E$6,IFERROR(MATCH($C147,銘柄管理!$B$6:$B$305,0),MATCH(TEXT($C147,"0"),銘柄管理!$B$6:$B$305,0))-1,0,1,25)))/MAX(OFFSET(高値!$E$6,IFERROR(MATCH($C147,銘柄管理!$B$6:$B$305,0),MATCH(TEXT($C147,"0"),銘柄管理!$B$6:$B$305,0))-1,0,1,25))*100,"")</f>
      </c>
      <c r="BE147">
        <f>IFERROR(($H147-$I147)/$F147*100,"")</f>
      </c>
      <c r="BF147">
        <f>IFERROR(-(($BA147-AVERAGE($BA$3:$BA$206))/STDEV($BA$3:$BA$206))-(($BE147-AVERAGE($BE$3:$BE$206))/STDEV($BE$3:$BE$206))-(($BB147-AVERAGE($BB$3:$BB$206))/STDEV($BB$3:$BB$206))-(($Z147-AVERAGE($Z$3:$Z$206))/STDEV($Z$3:$Z$206))-(($BC147-AVERAGE($BC$3:$BC$206))/STDEV($BC$3:$BC$206)),"")</f>
      </c>
      <c r="BG147">
        <f>IF(OR($C147="",$C147="TOPX",$BA147="",$BF147=""),0,IF(AND($BK$10=1,$BA147&lt;=$BK$2,$BB147&lt;=$BK$3,$BC147&lt;=$BK$4,$Z147&lt;=$BK$5,$Z147&gt;=$BK$6,$BD147&gt;=$BK$7,$BE147&lt;=$BK$8),1,0))</f>
      </c>
      <c r="BH147">
        <f>IF($C147="","",IF($BG147=1,"○ゲート通過",IF($BK$10&lt;&gt;1,"― この方向は停止中",IF($BA147&gt;$BK$2,"×値動きが荒い",IF($BB147&gt;$BK$3,"×レンジが広い",IF($BC147&gt;$BK$4,"×窓を開けて上昇",IF($Z147&gt;$BK$5,"×前日に急騰",IF($Z147&lt;$BK$6,"×前日に急落",IF($BD147&lt;$BK$7,"×高値から離れすぎ",IF($BE147&gt;$BK$8,"×当日の値幅が大きい","×")))))))))</f>
      </c>
    </row>
    <row r="148" spans="1:60"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IF(AND(E148&lt;&gt;"",K148&lt;&gt;"",K148&lt;&gt;0),(E148-K148)/K148*100,"")</f>
        <v>-25.391095066185322</v>
      </c>
      <c r="M148" s="333">
        <f>IF(C148&lt;&gt;"",IFERROR(AVERAGE(出来高!E121:I121),""),"")</f>
        <v>296600</v>
      </c>
      <c r="N148" s="333">
        <f>IF(C148&lt;&gt;"",IFERROR(AVERAGE(出来高!E121:AC121),""),"")</f>
        <v>340300</v>
      </c>
      <c r="O148" s="335">
        <f>IF(AND(J148&lt;&gt;"",M148&lt;&gt;"",M148&lt;&gt;0),J148/M148,"")</f>
        <v>1.1641942009440325</v>
      </c>
      <c r="P148" s="212" t="str">
        <f>IF(O148="","",IF(O148&gt;=2,"急増↑↑",IF(O148&gt;=1.5,"増加↑",IF(O148&gt;=1,"普通→","減少↓"))))</f>
        <v>普通→</v>
      </c>
      <c r="Q148" s="212" t="str">
        <f>IF(E148="","",IF(AND(E148&lt;G148,O148&gt;=1.5),"売り▼",IF(E148&gt;G148,"様子見▲","中立→")))</f>
        <v>中立→</v>
      </c>
      <c r="R148" s="333">
        <f>IF(E148&lt;&gt;"",ROUND(E148*0.92,0),"")</f>
        <v>2852</v>
      </c>
      <c r="S148" s="333">
        <f>IF(E148&lt;&gt;"",ROUND(E148*1.04,0),"")</f>
        <v>3224</v>
      </c>
      <c r="T148" s="325">
        <f>IF(C148="","",IFERROR(IF(W148&gt;=70,3,IF(W148&gt;=60,2,IF(W148&gt;=50,1,0)))+IF(X148&lt;0,2,0)+IF(AD148="下降トレンド▼",3,IF(AD148="もみ合い→",1,0))+IF(V148="年初来安値圏●",3,IF(V148="安値圏",2,0))+IF(Q148="売り▼",2,0)+IF(P148="急増↑↑",2,IF(P148="増加↑",1,0))+IF(Z148&lt;0,1,0)+IF(L148&lt;=-30,2,IF(L148&lt;=-15,1,0))+IF(AE148="25日戻り売り★",2,IF(AE148="5日戻り売り○",1,0))+N(AL148)+N(AP148)+N(AU148),0))</f>
        <v>9</v>
      </c>
      <c r="U148" s="212" t="str">
        <f>IF(T148="","",IF(AND(T148&gt;=3,O148&gt;=1.5),"有効",IF(T148&gt;=3,"要確認","除外")))</f>
        <v>要確認</v>
      </c>
      <c r="V148" s="212" t="str">
        <f>IF(AND(I148&lt;&gt;"",K148&lt;&gt;""),IF(I148&lt;=K148*0.6,"年初来安値圏●",IF(I148&lt;=K148*0.75,"安値圏","通常")),"")</f>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IF(AF148="","",AF148&amp;" | "&amp;AD148&amp;IF(AE148&lt;&gt;"なし"," "&amp;AE148,"")&amp;IF(X148&lt;0," MACD-"," MACD+")&amp;" RSI:"&amp;TEXT(W148,"0.0")&amp;IF(W148&gt;=70," [過熱]",IF(W148&lt;=30," [売られ過ぎ]",""))&amp;" 前日比:"&amp;TEXT(Z148,"+0.0;-0.0;0.0")&amp;"%"&amp;IF(V148="年初来安値圏●"," [年初来安値圏]",IF(V148="安値圏"," [安値圏]",""))&amp;IF(OR(AO148="通常",AO148="-"),""," ["&amp;AO148&amp;"]")&amp;IF(OR(AT148="通常",AT148="-"),"","前日["&amp;AT148&amp;"]")&amp;" ["&amp;T148&amp;"点]")</f>
        <v>相場上昇・見送り | パーフェクト▲ MACD- RSI:46.8 前日比:-1.0% [安値圏] [9点]</v>
      </c>
      <c r="Z148" s="338">
        <f>IF(AND(E148&lt;&gt;"",G148&lt;&gt;"",G148&lt;&gt;0),(E148-G148)/G148*100,"")</f>
        <v>-0.95846645367412142</v>
      </c>
      <c r="AA148" s="212" t="str">
        <f>IF(OR(C148="",E148="",E148=0),"",IF(E148&gt;G148,"上昇▲",IF(E148&lt;G148,"下落▼","横ばい→")))</f>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IF(OR(C148="",AB148="",AC148="",AB148=0,AC148=0),"",IF(AND(E148&gt;AB148,AB148&gt;AC148),"パーフェクト▲",IF(E148&gt;AC148,"上昇トレンド▲",IF(AND(E148&lt;AB148,AB148&lt;AC148),"下降トレンド▼","もみ合い→"))))</f>
        <v>パーフェクト▲</v>
      </c>
      <c r="AE148" s="212" t="str">
        <f>IF(OR(C148="",AB148="",AC148=""),"",IF(AND(ABS(E148-AC148)/AC148&lt;=0.02,E148&lt;AC148),"25日戻り売り★",IF(AND(ABS(E148-AB148)/AB148&lt;=0.01,E148&lt;AB148),"5日戻り売り○","なし")))</f>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IF(AND(T148&gt;=7,C148&lt;&gt;""),T148,0)</f>
        <v>9</v>
      </c>
      <c r="AH148">
        <f>IF(AG148&gt;0,AG148*10000-ROW(A148),0)</f>
        <v>89852</v>
      </c>
      <c r="AI148" s="373">
        <f t="array" ref="AI148">IF(C148="","",IFERROR((INDEX(終値!$E:$E,MATCH(TEXT(C148,"0"),終値!$A:$A,0))-INDEX(終値!$E:$CZ,MATCH(TEXT(C148,"0"),終値!$A:$A,0),$AN$2))/INDEX(終値!$E:$CZ,MATCH(TEXT(C148,"0"),終値!$A:$A,0),$AN$2)*100,""))</f>
        <v>-5.6316590563165905</v>
      </c>
      <c r="AJ148" s="373">
        <f t="array" ref="AJ148">IFERROR((終値!$E$5-INDEX(終値!$E$5:$IT$5,1,$AN$2))/INDEX(終値!$E$5:$IT$5,1,$AN$2)*100,"")</f>
        <v>1.0179378228534113</v>
      </c>
      <c r="AK148" s="374">
        <f>IF(OR(AI148="",AJ148=""),"",AI148-AJ148)</f>
        <v>-6.6495968791700015</v>
      </c>
      <c r="AL148" s="372">
        <f>IF(AK148="","",IF(AK148&lt;-5,3,IF(AK148&lt;0,1,IF(AK148&lt;3,-1,-2))))</f>
        <v>3</v>
      </c>
      <c r="AO148" s="376" t="str">
        <f>IF(OR($C148="",$E148="",$F148="",$H148="",$I148="",$H148-$I148&lt;=0),"-",IF(AND($H148-MAX($F148,$E148)&gt;=ABS($E148-$F148)*2,MIN($F148,$E148)-$I148&lt;=ABS($E148-$F148)*0.5,ABS($E148-$F148)&gt;0),"上ヒゲ陰線▼",IF(AND($E148&lt;$F148,ABS($E148-$F148)&gt;=($H148-$I148)*0.7),"大陰線▼",IF(AND(MIN($F148,$E148)-$I148&gt;=($H148-$I148)*0.5,$H148-MAX($F148,$E148)&lt;=($H148-$I148)*0.2),"長い下ヒゲ(反発警戒)","通常"))))</f>
        <v>通常</v>
      </c>
      <c r="AP148" s="377">
        <f>IF($AO148="上ヒゲ陰線▼",2,IF($AO148="大陰線▼",2,IF($AO148="長い下ヒゲ(反発警戒)",-2,0)))</f>
        <v>0</v>
      </c>
      <c r="AQ148">
        <f>IF(C148&lt;&gt;"",始値!F121,"")</f>
        <v>2980</v>
      </c>
      <c r="AR148">
        <f>IF(C148&lt;&gt;"",高値!F121,"")</f>
        <v>3145</v>
      </c>
      <c r="AS148">
        <f>IF(C148&lt;&gt;"",安値!F121,"")</f>
        <v>2972</v>
      </c>
      <c r="AT148" t="str">
        <f>IF(OR(C148="",AQ148="",AR148="",AS148="",AR148-AS148&lt;=0),"-",IF(AND(AR148-MAX(G148,AQ148)&gt;=ABS(G148-AQ148)*2,MIN(G148,AQ148)-AS148&lt;=ABS(G148-AQ148)*0.5,ABS(G148-AQ148)&gt;0),"上ヒゲ陰線▼",IF(AND(G148&lt;AQ148,ABS(G148-AQ148)&gt;=(AR148-AS148)*0.7),"大陰線▼",IF(AND(MIN(G148,AQ148)-AS148&gt;=(AR148-AS148)*0.5,AR148-MAX(G148,AQ148)&lt;=(AR148-AS148)*0.2),"長い下ヒゲ(反発)","通常"))))</f>
        <v>通常</v>
      </c>
      <c r="AU148">
        <f>IF(AT148="上ヒゲ陰線▼",2,IF(AT148="大陰線▼",2,IF(AT148="長い下ヒゲ(反発)",-2,0)))</f>
        <v>0</v>
      </c>
      <c r="BA148">
        <f>IFERROR((SUM(OFFSET(高値!$E$6,IFERROR(MATCH($C148,銘柄管理!$B$6:$B$305,0),MATCH(TEXT($C148,"0"),銘柄管理!$B$6:$B$305,0))-1,0,1,14))-SUM(OFFSET(安値!$E$6,IFERROR(MATCH($C148,銘柄管理!$B$6:$B$305,0),MATCH(TEXT($C148,"0"),銘柄管理!$B$6:$B$305,0))-1,0,1,14)))/SUM(OFFSET(終値!$E$6,IFERROR(MATCH($C148,銘柄管理!$B$6:$B$305,0),MATCH(TEXT($C148,"0"),銘柄管理!$B$6:$B$305,0))-1,0,1,14))*100,"")</f>
      </c>
      <c r="BB148">
        <f>IFERROR((MAX(OFFSET(高値!$E$6,IFERROR(MATCH($C148,銘柄管理!$B$6:$B$305,0),MATCH(TEXT($C148,"0"),銘柄管理!$B$6:$B$305,0))-1,0,1,25))-MIN(OFFSET(安値!$E$6,IFERROR(MATCH($C148,銘柄管理!$B$6:$B$305,0),MATCH(TEXT($C148,"0"),銘柄管理!$B$6:$B$305,0))-1,0,1,25)))/$E148*100,"")</f>
      </c>
      <c r="BC148">
        <f>IFERROR(($F148-$G148)/$G148*100,"")</f>
      </c>
      <c r="BD148">
        <f>IFERROR(($E148-MAX(OFFSET(高値!$E$6,IFERROR(MATCH($C148,銘柄管理!$B$6:$B$305,0),MATCH(TEXT($C148,"0"),銘柄管理!$B$6:$B$305,0))-1,0,1,25)))/MAX(OFFSET(高値!$E$6,IFERROR(MATCH($C148,銘柄管理!$B$6:$B$305,0),MATCH(TEXT($C148,"0"),銘柄管理!$B$6:$B$305,0))-1,0,1,25))*100,"")</f>
      </c>
      <c r="BE148">
        <f>IFERROR(($H148-$I148)/$F148*100,"")</f>
      </c>
      <c r="BF148">
        <f>IFERROR(-(($BA148-AVERAGE($BA$3:$BA$206))/STDEV($BA$3:$BA$206))-(($BE148-AVERAGE($BE$3:$BE$206))/STDEV($BE$3:$BE$206))-(($BB148-AVERAGE($BB$3:$BB$206))/STDEV($BB$3:$BB$206))-(($Z148-AVERAGE($Z$3:$Z$206))/STDEV($Z$3:$Z$206))-(($BC148-AVERAGE($BC$3:$BC$206))/STDEV($BC$3:$BC$206)),"")</f>
      </c>
      <c r="BG148">
        <f>IF(OR($C148="",$C148="TOPX",$BA148="",$BF148=""),0,IF(AND($BK$10=1,$BA148&lt;=$BK$2,$BB148&lt;=$BK$3,$BC148&lt;=$BK$4,$Z148&lt;=$BK$5,$Z148&gt;=$BK$6,$BD148&gt;=$BK$7,$BE148&lt;=$BK$8),1,0))</f>
      </c>
      <c r="BH148">
        <f>IF($C148="","",IF($BG148=1,"○ゲート通過",IF($BK$10&lt;&gt;1,"― この方向は停止中",IF($BA148&gt;$BK$2,"×値動きが荒い",IF($BB148&gt;$BK$3,"×レンジが広い",IF($BC148&gt;$BK$4,"×窓を開けて上昇",IF($Z148&gt;$BK$5,"×前日に急騰",IF($Z148&lt;$BK$6,"×前日に急落",IF($BD148&lt;$BK$7,"×高値から離れすぎ",IF($BE148&gt;$BK$8,"×当日の値幅が大きい","×")))))))))</f>
      </c>
    </row>
    <row r="149" spans="1:60"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IF(AND(E149&lt;&gt;"",K149&lt;&gt;"",K149&lt;&gt;0),(E149-K149)/K149*100,"")</f>
        <v>-15.147313691507799</v>
      </c>
      <c r="M149" s="326">
        <f>IF(C149&lt;&gt;"",IFERROR(AVERAGE(出来高!E125:I125),""),"")</f>
        <v>106800</v>
      </c>
      <c r="N149" s="326">
        <f>IF(C149&lt;&gt;"",IFERROR(AVERAGE(出来高!E125:AC125),""),"")</f>
        <v>115548</v>
      </c>
      <c r="O149" s="328">
        <f>IF(AND(J149&lt;&gt;"",M149&lt;&gt;"",M149&lt;&gt;0),J149/M149,"")</f>
        <v>1.1132958801498127</v>
      </c>
      <c r="P149" s="325" t="str">
        <f>IF(O149="","",IF(O149&gt;=2,"急増↑↑",IF(O149&gt;=1.5,"増加↑",IF(O149&gt;=1,"普通→","減少↓"))))</f>
        <v>普通→</v>
      </c>
      <c r="Q149" s="325" t="str">
        <f>IF(E149="","",IF(AND(E149&lt;G149,O149&gt;=1.5),"売り▼",IF(E149&gt;G149,"様子見▲","中立→")))</f>
        <v>様子見▲</v>
      </c>
      <c r="R149" s="326">
        <f>IF(E149&lt;&gt;"",ROUND(E149*0.92,0),"")</f>
        <v>2252</v>
      </c>
      <c r="S149" s="326">
        <f>IF(E149&lt;&gt;"",ROUND(E149*1.04,0),"")</f>
        <v>2546</v>
      </c>
      <c r="T149" s="325">
        <f>IF(C149="","",IFERROR(IF(W149&gt;=70,3,IF(W149&gt;=60,2,IF(W149&gt;=50,1,0)))+IF(X149&lt;0,2,0)+IF(AD149="下降トレンド▼",3,IF(AD149="もみ合い→",1,0))+IF(V149="年初来安値圏●",3,IF(V149="安値圏",2,0))+IF(Q149="売り▼",2,0)+IF(P149="急増↑↑",2,IF(P149="増加↑",1,0))+IF(Z149&lt;0,1,0)+IF(L149&lt;=-30,2,IF(L149&lt;=-15,1,0))+IF(AE149="25日戻り売り★",2,IF(AE149="5日戻り売り○",1,0))+N(AL149)+N(AP149)+N(AU149),0))</f>
        <v>5</v>
      </c>
      <c r="U149" s="325" t="str">
        <f>IF(T149="","",IF(AND(T149&gt;=3,O149&gt;=1.5),"有効",IF(T149&gt;=3,"要確認","除外")))</f>
        <v>要確認</v>
      </c>
      <c r="V149" s="325" t="str">
        <f>IF(AND(I149&lt;&gt;"",K149&lt;&gt;""),IF(I149&lt;=K149*0.6,"年初来安値圏●",IF(I149&lt;=K149*0.75,"安値圏","通常")),"")</f>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IF(AF149="","",AF149&amp;" | "&amp;AD149&amp;IF(AE149&lt;&gt;"なし"," "&amp;AE149,"")&amp;IF(X149&lt;0," MACD-"," MACD+")&amp;" RSI:"&amp;TEXT(W149,"0.0")&amp;IF(W149&gt;=70," [過熱]",IF(W149&lt;=30," [売られ過ぎ]",""))&amp;" 前日比:"&amp;TEXT(Z149,"+0.0;-0.0;0.0")&amp;"%"&amp;IF(V149="年初来安値圏●"," [年初来安値圏]",IF(V149="安値圏"," [安値圏]",""))&amp;IF(OR(AO149="通常",AO149="-"),""," ["&amp;AO149&amp;"]")&amp;IF(OR(AT149="通常",AT149="-"),"","前日["&amp;AT149&amp;"]")&amp;" ["&amp;T149&amp;"点]")</f>
        <v>○逆張り売り | もみ合い→ 25日戻り売り★ MACD- RSI:39.0 前日比:+0.6% [5点]</v>
      </c>
      <c r="Z149" s="331">
        <f>IF(AND(E149&lt;&gt;"",G149&lt;&gt;"",G149&lt;&gt;0),(E149-G149)/G149*100,"")</f>
        <v>0.57518488085456043</v>
      </c>
      <c r="AA149" s="325" t="str">
        <f>IF(OR(C149="",E149="",E149=0),"",IF(E149&gt;G149,"上昇▲",IF(E149&lt;G149,"下落▼","横ばい→")))</f>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IF(OR(C149="",AB149="",AC149="",AB149=0,AC149=0),"",IF(AND(E149&gt;AB149,AB149&gt;AC149),"パーフェクト▲",IF(E149&gt;AC149,"上昇トレンド▲",IF(AND(E149&lt;AB149,AB149&lt;AC149),"下降トレンド▼","もみ合い→"))))</f>
        <v>もみ合い→</v>
      </c>
      <c r="AE149" s="325" t="str">
        <f>IF(OR(C149="",AB149="",AC149=""),"",IF(AND(ABS(E149-AC149)/AC149&lt;=0.02,E149&lt;AC149),"25日戻り売り★",IF(AND(ABS(E149-AB149)/AB149&lt;=0.01,E149&lt;AB149),"5日戻り売り○","なし")))</f>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IF(AND(T149&gt;=7,C149&lt;&gt;""),T149,0)</f>
        <v>0</v>
      </c>
      <c r="AH149">
        <f>IF(AG149&gt;0,AG149*10000-ROW(A149),0)</f>
        <v>0</v>
      </c>
      <c r="AI149" s="373">
        <f t="array" ref="AI149">IF(C149="","",IFERROR((INDEX(終値!$E:$E,MATCH(TEXT(C149,"0"),終値!$A:$A,0))-INDEX(終値!$E:$CZ,MATCH(TEXT(C149,"0"),終値!$A:$A,0),$AN$2))/INDEX(終値!$E:$CZ,MATCH(TEXT(C149,"0"),終値!$A:$A,0),$AN$2)*100,""))</f>
        <v>2.5555090071219104</v>
      </c>
      <c r="AJ149" s="373">
        <f t="array" ref="AJ149">IFERROR((終値!$E$5-INDEX(終値!$E$5:$IT$5,1,$AN$2))/INDEX(終値!$E$5:$IT$5,1,$AN$2)*100,"")</f>
        <v>1.0179378228534113</v>
      </c>
      <c r="AK149" s="374">
        <f>IF(OR(AI149="",AJ149=""),"",AI149-AJ149)</f>
        <v>1.5375711842684991</v>
      </c>
      <c r="AL149" s="372">
        <f>IF(AK149="","",IF(AK149&lt;-5,3,IF(AK149&lt;0,1,IF(AK149&lt;3,-1,-2))))</f>
        <v>-1</v>
      </c>
      <c r="AO149" s="376" t="str">
        <f>IF(OR($C149="",$E149="",$F149="",$H149="",$I149="",$H149-$I149&lt;=0),"-",IF(AND($H149-MAX($F149,$E149)&gt;=ABS($E149-$F149)*2,MIN($F149,$E149)-$I149&lt;=ABS($E149-$F149)*0.5,ABS($E149-$F149)&gt;0),"上ヒゲ陰線▼",IF(AND($E149&lt;$F149,ABS($E149-$F149)&gt;=($H149-$I149)*0.7),"大陰線▼",IF(AND(MIN($F149,$E149)-$I149&gt;=($H149-$I149)*0.5,$H149-MAX($F149,$E149)&lt;=($H149-$I149)*0.2),"長い下ヒゲ(反発警戒)","通常"))))</f>
        <v>通常</v>
      </c>
      <c r="AP149" s="377">
        <f>IF($AO149="上ヒゲ陰線▼",2,IF($AO149="大陰線▼",2,IF($AO149="長い下ヒゲ(反発警戒)",-2,0)))</f>
        <v>0</v>
      </c>
      <c r="AQ149">
        <f>IF(C149&lt;&gt;"",始値!F125,"")</f>
        <v>2425</v>
      </c>
      <c r="AR149">
        <f>IF(C149&lt;&gt;"",高値!F125,"")</f>
        <v>2445</v>
      </c>
      <c r="AS149">
        <f>IF(C149&lt;&gt;"",安値!F125,"")</f>
        <v>2414</v>
      </c>
      <c r="AT149" t="str">
        <f>IF(OR(C149="",AQ149="",AR149="",AS149="",AR149-AS149&lt;=0),"-",IF(AND(AR149-MAX(G149,AQ149)&gt;=ABS(G149-AQ149)*2,MIN(G149,AQ149)-AS149&lt;=ABS(G149-AQ149)*0.5,ABS(G149-AQ149)&gt;0),"上ヒゲ陰線▼",IF(AND(G149&lt;AQ149,ABS(G149-AQ149)&gt;=(AR149-AS149)*0.7),"大陰線▼",IF(AND(MIN(G149,AQ149)-AS149&gt;=(AR149-AS149)*0.5,AR149-MAX(G149,AQ149)&lt;=(AR149-AS149)*0.2),"長い下ヒゲ(反発)","通常"))))</f>
        <v>通常</v>
      </c>
      <c r="AU149">
        <f>IF(AT149="上ヒゲ陰線▼",2,IF(AT149="大陰線▼",2,IF(AT149="長い下ヒゲ(反発)",-2,0)))</f>
        <v>0</v>
      </c>
      <c r="BA149">
        <f>IFERROR((SUM(OFFSET(高値!$E$6,IFERROR(MATCH($C149,銘柄管理!$B$6:$B$305,0),MATCH(TEXT($C149,"0"),銘柄管理!$B$6:$B$305,0))-1,0,1,14))-SUM(OFFSET(安値!$E$6,IFERROR(MATCH($C149,銘柄管理!$B$6:$B$305,0),MATCH(TEXT($C149,"0"),銘柄管理!$B$6:$B$305,0))-1,0,1,14)))/SUM(OFFSET(終値!$E$6,IFERROR(MATCH($C149,銘柄管理!$B$6:$B$305,0),MATCH(TEXT($C149,"0"),銘柄管理!$B$6:$B$305,0))-1,0,1,14))*100,"")</f>
      </c>
      <c r="BB149">
        <f>IFERROR((MAX(OFFSET(高値!$E$6,IFERROR(MATCH($C149,銘柄管理!$B$6:$B$305,0),MATCH(TEXT($C149,"0"),銘柄管理!$B$6:$B$305,0))-1,0,1,25))-MIN(OFFSET(安値!$E$6,IFERROR(MATCH($C149,銘柄管理!$B$6:$B$305,0),MATCH(TEXT($C149,"0"),銘柄管理!$B$6:$B$305,0))-1,0,1,25)))/$E149*100,"")</f>
      </c>
      <c r="BC149">
        <f>IFERROR(($F149-$G149)/$G149*100,"")</f>
      </c>
      <c r="BD149">
        <f>IFERROR(($E149-MAX(OFFSET(高値!$E$6,IFERROR(MATCH($C149,銘柄管理!$B$6:$B$305,0),MATCH(TEXT($C149,"0"),銘柄管理!$B$6:$B$305,0))-1,0,1,25)))/MAX(OFFSET(高値!$E$6,IFERROR(MATCH($C149,銘柄管理!$B$6:$B$305,0),MATCH(TEXT($C149,"0"),銘柄管理!$B$6:$B$305,0))-1,0,1,25))*100,"")</f>
      </c>
      <c r="BE149">
        <f>IFERROR(($H149-$I149)/$F149*100,"")</f>
      </c>
      <c r="BF149">
        <f>IFERROR(-(($BA149-AVERAGE($BA$3:$BA$206))/STDEV($BA$3:$BA$206))-(($BE149-AVERAGE($BE$3:$BE$206))/STDEV($BE$3:$BE$206))-(($BB149-AVERAGE($BB$3:$BB$206))/STDEV($BB$3:$BB$206))-(($Z149-AVERAGE($Z$3:$Z$206))/STDEV($Z$3:$Z$206))-(($BC149-AVERAGE($BC$3:$BC$206))/STDEV($BC$3:$BC$206)),"")</f>
      </c>
      <c r="BG149">
        <f>IF(OR($C149="",$C149="TOPX",$BA149="",$BF149=""),0,IF(AND($BK$10=1,$BA149&lt;=$BK$2,$BB149&lt;=$BK$3,$BC149&lt;=$BK$4,$Z149&lt;=$BK$5,$Z149&gt;=$BK$6,$BD149&gt;=$BK$7,$BE149&lt;=$BK$8),1,0))</f>
      </c>
      <c r="BH149">
        <f>IF($C149="","",IF($BG149=1,"○ゲート通過",IF($BK$10&lt;&gt;1,"― この方向は停止中",IF($BA149&gt;$BK$2,"×値動きが荒い",IF($BB149&gt;$BK$3,"×レンジが広い",IF($BC149&gt;$BK$4,"×窓を開けて上昇",IF($Z149&gt;$BK$5,"×前日に急騰",IF($Z149&lt;$BK$6,"×前日に急落",IF($BD149&lt;$BK$7,"×高値から離れすぎ",IF($BE149&gt;$BK$8,"×当日の値幅が大きい","×")))))))))</f>
      </c>
    </row>
    <row r="150" spans="1:60"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IF(AND(E150&lt;&gt;"",K150&lt;&gt;"",K150&lt;&gt;0),(E150-K150)/K150*100,"")</f>
        <v>-89.444444444444443</v>
      </c>
      <c r="M150" s="333">
        <f>IF(C150&lt;&gt;"",IFERROR(AVERAGE(出来高!E137:I137),""),"")</f>
        <v>3800860</v>
      </c>
      <c r="N150" s="333">
        <f>IF(C150&lt;&gt;"",IFERROR(AVERAGE(出来高!E137:AC137),""),"")</f>
        <v>3863145.8333333335</v>
      </c>
      <c r="O150" s="335">
        <f>IF(AND(J150&lt;&gt;"",M150&lt;&gt;"",M150&lt;&gt;0),J150/M150,"")</f>
        <v>0.35981330540982831</v>
      </c>
      <c r="P150" s="212" t="str">
        <f>IF(O150="","",IF(O150&gt;=2,"急増↑↑",IF(O150&gt;=1.5,"増加↑",IF(O150&gt;=1,"普通→","減少↓"))))</f>
        <v>減少↓</v>
      </c>
      <c r="Q150" s="212" t="str">
        <f>IF(E150="","",IF(AND(E150&lt;G150,O150&gt;=1.5),"売り▼",IF(E150&gt;G150,"様子見▲","中立→")))</f>
        <v>中立→</v>
      </c>
      <c r="R150" s="333">
        <f>IF(E150&lt;&gt;"",ROUND(E150*0.92,0),"")</f>
        <v>70</v>
      </c>
      <c r="S150" s="333">
        <f>IF(E150&lt;&gt;"",ROUND(E150*1.04,0),"")</f>
        <v>79</v>
      </c>
      <c r="T150" s="325">
        <f>IF(C150="","",IFERROR(IF(W150&gt;=70,3,IF(W150&gt;=60,2,IF(W150&gt;=50,1,0)))+IF(X150&lt;0,2,0)+IF(AD150="下降トレンド▼",3,IF(AD150="もみ合い→",1,0))+IF(V150="年初来安値圏●",3,IF(V150="安値圏",2,0))+IF(Q150="売り▼",2,0)+IF(P150="急増↑↑",2,IF(P150="増加↑",1,0))+IF(Z150&lt;0,1,0)+IF(L150&lt;=-30,2,IF(L150&lt;=-15,1,0))+IF(AE150="25日戻り売り★",2,IF(AE150="5日戻り売り○",1,0))+N(AL150)+N(AP150)+N(AU150),0))</f>
        <v>14</v>
      </c>
      <c r="U150" s="212" t="str">
        <f>IF(T150="","",IF(AND(T150&gt;=3,O150&gt;=1.5),"有効",IF(T150&gt;=3,"要確認","除外")))</f>
        <v>要確認</v>
      </c>
      <c r="V150" s="212" t="str">
        <f>IF(AND(I150&lt;&gt;"",K150&lt;&gt;""),IF(I150&lt;=K150*0.6,"年初来安値圏●",IF(I150&lt;=K150*0.75,"安値圏","通常")),"")</f>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IF(AF150="","",AF150&amp;" | "&amp;AD150&amp;IF(AE150&lt;&gt;"なし"," "&amp;AE150,"")&amp;IF(X150&lt;0," MACD-"," MACD+")&amp;" RSI:"&amp;TEXT(W150,"0.0")&amp;IF(W150&gt;=70," [過熱]",IF(W150&lt;=30," [売られ過ぎ]",""))&amp;" 前日比:"&amp;TEXT(Z150,"+0.0;-0.0;0.0")&amp;"%"&amp;IF(V150="年初来安値圏●"," [年初来安値圏]",IF(V150="安値圏"," [安値圏]",""))&amp;IF(OR(AO150="通常",AO150="-"),""," ["&amp;AO150&amp;"]")&amp;IF(OR(AT150="通常",AT150="-"),"","前日["&amp;AT150&amp;"]")&amp;" ["&amp;T150&amp;"点]")</f>
        <v>相場上昇・見送り | 下降トレンド▼ MACD- RSI:34.5 前日比:-2.6% [年初来安値圏] [14点]</v>
      </c>
      <c r="Z150" s="338">
        <f>IF(AND(E150&lt;&gt;"",G150&lt;&gt;"",G150&lt;&gt;0),(E150-G150)/G150*100,"")</f>
        <v>-2.5641025641025639</v>
      </c>
      <c r="AA150" s="212" t="str">
        <f>IF(OR(C150="",E150="",E150=0),"",IF(E150&gt;G150,"上昇▲",IF(E150&lt;G150,"下落▼","横ばい→")))</f>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IF(OR(C150="",AB150="",AC150="",AB150=0,AC150=0),"",IF(AND(E150&gt;AB150,AB150&gt;AC150),"パーフェクト▲",IF(E150&gt;AC150,"上昇トレンド▲",IF(AND(E150&lt;AB150,AB150&lt;AC150),"下降トレンド▼","もみ合い→"))))</f>
        <v>下降トレンド▼</v>
      </c>
      <c r="AE150" s="212" t="str">
        <f>IF(OR(C150="",AB150="",AC150=""),"",IF(AND(ABS(E150-AC150)/AC150&lt;=0.02,E150&lt;AC150),"25日戻り売り★",IF(AND(ABS(E150-AB150)/AB150&lt;=0.01,E150&lt;AB150),"5日戻り売り○","なし")))</f>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IF(AND(T150&gt;=7,C150&lt;&gt;""),T150,0)</f>
        <v>14</v>
      </c>
      <c r="AH150">
        <f>IF(AG150&gt;0,AG150*10000-ROW(A150),0)</f>
        <v>139850</v>
      </c>
      <c r="AI150" s="373">
        <f t="array" ref="AI150">IF(C150="","",IFERROR((INDEX(終値!$E:$E,MATCH(TEXT(C150,"0"),終値!$A:$A,0))-INDEX(終値!$E:$CZ,MATCH(TEXT(C150,"0"),終値!$A:$A,0),$AN$2))/INDEX(終値!$E:$CZ,MATCH(TEXT(C150,"0"),終値!$A:$A,0),$AN$2)*100,""))</f>
        <v>-69.721115537848604</v>
      </c>
      <c r="AJ150" s="373">
        <f t="array" ref="AJ150">IFERROR((終値!$E$5-INDEX(終値!$E$5:$IT$5,1,$AN$2))/INDEX(終値!$E$5:$IT$5,1,$AN$2)*100,"")</f>
        <v>1.0179378228534113</v>
      </c>
      <c r="AK150" s="374">
        <f>IF(OR(AI150="",AJ150=""),"",AI150-AJ150)</f>
        <v>-70.739053360702016</v>
      </c>
      <c r="AL150" s="372">
        <f>IF(AK150="","",IF(AK150&lt;-5,3,IF(AK150&lt;0,1,IF(AK150&lt;3,-1,-2))))</f>
        <v>3</v>
      </c>
      <c r="AO150" s="376" t="str">
        <f>IF(OR($C150="",$E150="",$F150="",$H150="",$I150="",$H150-$I150&lt;=0),"-",IF(AND($H150-MAX($F150,$E150)&gt;=ABS($E150-$F150)*2,MIN($F150,$E150)-$I150&lt;=ABS($E150-$F150)*0.5,ABS($E150-$F150)&gt;0),"上ヒゲ陰線▼",IF(AND($E150&lt;$F150,ABS($E150-$F150)&gt;=($H150-$I150)*0.7),"大陰線▼",IF(AND(MIN($F150,$E150)-$I150&gt;=($H150-$I150)*0.5,$H150-MAX($F150,$E150)&lt;=($H150-$I150)*0.2),"長い下ヒゲ(反発警戒)","通常"))))</f>
        <v>通常</v>
      </c>
      <c r="AP150" s="377">
        <f>IF($AO150="上ヒゲ陰線▼",2,IF($AO150="大陰線▼",2,IF($AO150="長い下ヒゲ(反発警戒)",-2,0)))</f>
        <v>0</v>
      </c>
      <c r="AQ150">
        <f>IF(C150&lt;&gt;"",始値!F137,"")</f>
        <v>78</v>
      </c>
      <c r="AR150">
        <f>IF(C150&lt;&gt;"",高値!F137,"")</f>
        <v>81</v>
      </c>
      <c r="AS150">
        <f>IF(C150&lt;&gt;"",安値!F137,"")</f>
        <v>74</v>
      </c>
      <c r="AT150" t="str">
        <f>IF(OR(C150="",AQ150="",AR150="",AS150="",AR150-AS150&lt;=0),"-",IF(AND(AR150-MAX(G150,AQ150)&gt;=ABS(G150-AQ150)*2,MIN(G150,AQ150)-AS150&lt;=ABS(G150-AQ150)*0.5,ABS(G150-AQ150)&gt;0),"上ヒゲ陰線▼",IF(AND(G150&lt;AQ150,ABS(G150-AQ150)&gt;=(AR150-AS150)*0.7),"大陰線▼",IF(AND(MIN(G150,AQ150)-AS150&gt;=(AR150-AS150)*0.5,AR150-MAX(G150,AQ150)&lt;=(AR150-AS150)*0.2),"長い下ヒゲ(反発)","通常"))))</f>
        <v>通常</v>
      </c>
      <c r="AU150">
        <f>IF(AT150="上ヒゲ陰線▼",2,IF(AT150="大陰線▼",2,IF(AT150="長い下ヒゲ(反発)",-2,0)))</f>
        <v>0</v>
      </c>
      <c r="BA150">
        <f>IFERROR((SUM(OFFSET(高値!$E$6,IFERROR(MATCH($C150,銘柄管理!$B$6:$B$305,0),MATCH(TEXT($C150,"0"),銘柄管理!$B$6:$B$305,0))-1,0,1,14))-SUM(OFFSET(安値!$E$6,IFERROR(MATCH($C150,銘柄管理!$B$6:$B$305,0),MATCH(TEXT($C150,"0"),銘柄管理!$B$6:$B$305,0))-1,0,1,14)))/SUM(OFFSET(終値!$E$6,IFERROR(MATCH($C150,銘柄管理!$B$6:$B$305,0),MATCH(TEXT($C150,"0"),銘柄管理!$B$6:$B$305,0))-1,0,1,14))*100,"")</f>
      </c>
      <c r="BB150">
        <f>IFERROR((MAX(OFFSET(高値!$E$6,IFERROR(MATCH($C150,銘柄管理!$B$6:$B$305,0),MATCH(TEXT($C150,"0"),銘柄管理!$B$6:$B$305,0))-1,0,1,25))-MIN(OFFSET(安値!$E$6,IFERROR(MATCH($C150,銘柄管理!$B$6:$B$305,0),MATCH(TEXT($C150,"0"),銘柄管理!$B$6:$B$305,0))-1,0,1,25)))/$E150*100,"")</f>
      </c>
      <c r="BC150">
        <f>IFERROR(($F150-$G150)/$G150*100,"")</f>
      </c>
      <c r="BD150">
        <f>IFERROR(($E150-MAX(OFFSET(高値!$E$6,IFERROR(MATCH($C150,銘柄管理!$B$6:$B$305,0),MATCH(TEXT($C150,"0"),銘柄管理!$B$6:$B$305,0))-1,0,1,25)))/MAX(OFFSET(高値!$E$6,IFERROR(MATCH($C150,銘柄管理!$B$6:$B$305,0),MATCH(TEXT($C150,"0"),銘柄管理!$B$6:$B$305,0))-1,0,1,25))*100,"")</f>
      </c>
      <c r="BE150">
        <f>IFERROR(($H150-$I150)/$F150*100,"")</f>
      </c>
      <c r="BF150">
        <f>IFERROR(-(($BA150-AVERAGE($BA$3:$BA$206))/STDEV($BA$3:$BA$206))-(($BE150-AVERAGE($BE$3:$BE$206))/STDEV($BE$3:$BE$206))-(($BB150-AVERAGE($BB$3:$BB$206))/STDEV($BB$3:$BB$206))-(($Z150-AVERAGE($Z$3:$Z$206))/STDEV($Z$3:$Z$206))-(($BC150-AVERAGE($BC$3:$BC$206))/STDEV($BC$3:$BC$206)),"")</f>
      </c>
      <c r="BG150">
        <f>IF(OR($C150="",$C150="TOPX",$BA150="",$BF150=""),0,IF(AND($BK$10=1,$BA150&lt;=$BK$2,$BB150&lt;=$BK$3,$BC150&lt;=$BK$4,$Z150&lt;=$BK$5,$Z150&gt;=$BK$6,$BD150&gt;=$BK$7,$BE150&lt;=$BK$8),1,0))</f>
      </c>
      <c r="BH150">
        <f>IF($C150="","",IF($BG150=1,"○ゲート通過",IF($BK$10&lt;&gt;1,"― この方向は停止中",IF($BA150&gt;$BK$2,"×値動きが荒い",IF($BB150&gt;$BK$3,"×レンジが広い",IF($BC150&gt;$BK$4,"×窓を開けて上昇",IF($Z150&gt;$BK$5,"×前日に急騰",IF($Z150&lt;$BK$6,"×前日に急落",IF($BD150&lt;$BK$7,"×高値から離れすぎ",IF($BE150&gt;$BK$8,"×当日の値幅が大きい","×")))))))))</f>
      </c>
    </row>
    <row r="151" spans="1:60"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IF(AND(E151&lt;&gt;"",K151&lt;&gt;"",K151&lt;&gt;0),(E151-K151)/K151*100,"")</f>
        <v>-24.793650793650794</v>
      </c>
      <c r="M151" s="326">
        <f>IF(C151&lt;&gt;"",IFERROR(AVERAGE(出来高!E150:I150),""),"")</f>
        <v>4527780</v>
      </c>
      <c r="N151" s="326">
        <f>IF(C151&lt;&gt;"",IFERROR(AVERAGE(出来高!E150:AC150),""),"")</f>
        <v>3053824</v>
      </c>
      <c r="O151" s="328">
        <f>IF(AND(J151&lt;&gt;"",M151&lt;&gt;"",M151&lt;&gt;0),J151/M151,"")</f>
        <v>0.69064751379263123</v>
      </c>
      <c r="P151" s="325" t="str">
        <f>IF(O151="","",IF(O151&gt;=2,"急増↑↑",IF(O151&gt;=1.5,"増加↑",IF(O151&gt;=1,"普通→","減少↓"))))</f>
        <v>減少↓</v>
      </c>
      <c r="Q151" s="325" t="str">
        <f>IF(E151="","",IF(AND(E151&lt;G151,O151&gt;=1.5),"売り▼",IF(E151&gt;G151,"様子見▲","中立→")))</f>
        <v>様子見▲</v>
      </c>
      <c r="R151" s="326">
        <f>IF(E151&lt;&gt;"",ROUND(E151*0.92,0),"")</f>
        <v>4359</v>
      </c>
      <c r="S151" s="326">
        <f>IF(E151&lt;&gt;"",ROUND(E151*1.04,0),"")</f>
        <v>4928</v>
      </c>
      <c r="T151" s="325">
        <f>IF(C151="","",IFERROR(IF(W151&gt;=70,3,IF(W151&gt;=60,2,IF(W151&gt;=50,1,0)))+IF(X151&lt;0,2,0)+IF(AD151="下降トレンド▼",3,IF(AD151="もみ合い→",1,0))+IF(V151="年初来安値圏●",3,IF(V151="安値圏",2,0))+IF(Q151="売り▼",2,0)+IF(P151="急増↑↑",2,IF(P151="増加↑",1,0))+IF(Z151&lt;0,1,0)+IF(L151&lt;=-30,2,IF(L151&lt;=-15,1,0))+IF(AE151="25日戻り売り★",2,IF(AE151="5日戻り売り○",1,0))+N(AL151)+N(AP151)+N(AU151),0))</f>
        <v>4</v>
      </c>
      <c r="U151" s="325" t="str">
        <f>IF(T151="","",IF(AND(T151&gt;=3,O151&gt;=1.5),"有効",IF(T151&gt;=3,"要確認","除外")))</f>
        <v>要確認</v>
      </c>
      <c r="V151" s="325" t="str">
        <f>IF(AND(I151&lt;&gt;"",K151&lt;&gt;""),IF(I151&lt;=K151*0.6,"年初来安値圏●",IF(I151&lt;=K151*0.75,"安値圏","通常")),"")</f>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IF(AF151="","",AF151&amp;" | "&amp;AD151&amp;IF(AE151&lt;&gt;"なし"," "&amp;AE151,"")&amp;IF(X151&lt;0," MACD-"," MACD+")&amp;" RSI:"&amp;TEXT(W151,"0.0")&amp;IF(W151&gt;=70," [過熱]",IF(W151&lt;=30," [売られ過ぎ]",""))&amp;" 前日比:"&amp;TEXT(Z151,"+0.0;-0.0;0.0")&amp;"%"&amp;IF(V151="年初来安値圏●"," [年初来安値圏]",IF(V151="安値圏"," [安値圏]",""))&amp;IF(OR(AO151="通常",AO151="-"),""," ["&amp;AO151&amp;"]")&amp;IF(OR(AT151="通常",AT151="-"),"","前日["&amp;AT151&amp;"]")&amp;" ["&amp;T151&amp;"点]")</f>
        <v>相場上昇・見送り | もみ合い→ MACD- RSI:41.1 前日比:+3.7% [安値圏] [4点]</v>
      </c>
      <c r="Z151" s="331">
        <f>IF(AND(E151&lt;&gt;"",G151&lt;&gt;"",G151&lt;&gt;0),(E151-G151)/G151*100,"")</f>
        <v>3.6761487964989055</v>
      </c>
      <c r="AA151" s="325" t="str">
        <f>IF(OR(C151="",E151="",E151=0),"",IF(E151&gt;G151,"上昇▲",IF(E151&lt;G151,"下落▼","横ばい→")))</f>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IF(OR(C151="",AB151="",AC151="",AB151=0,AC151=0),"",IF(AND(E151&gt;AB151,AB151&gt;AC151),"パーフェクト▲",IF(E151&gt;AC151,"上昇トレンド▲",IF(AND(E151&lt;AB151,AB151&lt;AC151),"下降トレンド▼","もみ合い→"))))</f>
        <v>もみ合い→</v>
      </c>
      <c r="AE151" s="325" t="str">
        <f>IF(OR(C151="",AB151="",AC151=""),"",IF(AND(ABS(E151-AC151)/AC151&lt;=0.02,E151&lt;AC151),"25日戻り売り★",IF(AND(ABS(E151-AB151)/AB151&lt;=0.01,E151&lt;AB151),"5日戻り売り○","なし")))</f>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IF(AND(T151&gt;=7,C151&lt;&gt;""),T151,0)</f>
        <v>0</v>
      </c>
      <c r="AH151">
        <f>IF(AG151&gt;0,AG151*10000-ROW(A151),0)</f>
        <v>0</v>
      </c>
      <c r="AI151" s="373">
        <f t="array" ref="AI151">IF(C151="","",IFERROR((INDEX(終値!$E:$E,MATCH(TEXT(C151,"0"),終値!$A:$A,0))-INDEX(終値!$E:$CZ,MATCH(TEXT(C151,"0"),終値!$A:$A,0),$AN$2))/INDEX(終値!$E:$CZ,MATCH(TEXT(C151,"0"),終値!$A:$A,0),$AN$2)*100,""))</f>
        <v>4.1089870358163045</v>
      </c>
      <c r="AJ151" s="373">
        <f t="array" ref="AJ151">IFERROR((終値!$E$5-INDEX(終値!$E$5:$IT$5,1,$AN$2))/INDEX(終値!$E$5:$IT$5,1,$AN$2)*100,"")</f>
        <v>1.0179378228534113</v>
      </c>
      <c r="AK151" s="374">
        <f>IF(OR(AI151="",AJ151=""),"",AI151-AJ151)</f>
        <v>3.0910492129628935</v>
      </c>
      <c r="AL151" s="372">
        <f>IF(AK151="","",IF(AK151&lt;-5,3,IF(AK151&lt;0,1,IF(AK151&lt;3,-1,-2))))</f>
        <v>-2</v>
      </c>
      <c r="AO151" s="376" t="str">
        <f>IF(OR($C151="",$E151="",$F151="",$H151="",$I151="",$H151-$I151&lt;=0),"-",IF(AND($H151-MAX($F151,$E151)&gt;=ABS($E151-$F151)*2,MIN($F151,$E151)-$I151&lt;=ABS($E151-$F151)*0.5,ABS($E151-$F151)&gt;0),"上ヒゲ陰線▼",IF(AND($E151&lt;$F151,ABS($E151-$F151)&gt;=($H151-$I151)*0.7),"大陰線▼",IF(AND(MIN($F151,$E151)-$I151&gt;=($H151-$I151)*0.5,$H151-MAX($F151,$E151)&lt;=($H151-$I151)*0.2),"長い下ヒゲ(反発警戒)","通常"))))</f>
        <v>通常</v>
      </c>
      <c r="AP151" s="377">
        <f>IF($AO151="上ヒゲ陰線▼",2,IF($AO151="大陰線▼",2,IF($AO151="長い下ヒゲ(反発警戒)",-2,0)))</f>
        <v>0</v>
      </c>
      <c r="AQ151">
        <f>IF(C151&lt;&gt;"",始値!F150,"")</f>
        <v>4589</v>
      </c>
      <c r="AR151">
        <f>IF(C151&lt;&gt;"",高値!F150,"")</f>
        <v>4660</v>
      </c>
      <c r="AS151">
        <f>IF(C151&lt;&gt;"",安値!F150,"")</f>
        <v>4486</v>
      </c>
      <c r="AT151" t="str">
        <f>IF(OR(C151="",AQ151="",AR151="",AS151="",AR151-AS151&lt;=0),"-",IF(AND(AR151-MAX(G151,AQ151)&gt;=ABS(G151-AQ151)*2,MIN(G151,AQ151)-AS151&lt;=ABS(G151-AQ151)*0.5,ABS(G151-AQ151)&gt;0),"上ヒゲ陰線▼",IF(AND(G151&lt;AQ151,ABS(G151-AQ151)&gt;=(AR151-AS151)*0.7),"大陰線▼",IF(AND(MIN(G151,AQ151)-AS151&gt;=(AR151-AS151)*0.5,AR151-MAX(G151,AQ151)&lt;=(AR151-AS151)*0.2),"長い下ヒゲ(反発)","通常"))))</f>
        <v>通常</v>
      </c>
      <c r="AU151">
        <f>IF(AT151="上ヒゲ陰線▼",2,IF(AT151="大陰線▼",2,IF(AT151="長い下ヒゲ(反発)",-2,0)))</f>
        <v>0</v>
      </c>
      <c r="BA151">
        <f>IFERROR((SUM(OFFSET(高値!$E$6,IFERROR(MATCH($C151,銘柄管理!$B$6:$B$305,0),MATCH(TEXT($C151,"0"),銘柄管理!$B$6:$B$305,0))-1,0,1,14))-SUM(OFFSET(安値!$E$6,IFERROR(MATCH($C151,銘柄管理!$B$6:$B$305,0),MATCH(TEXT($C151,"0"),銘柄管理!$B$6:$B$305,0))-1,0,1,14)))/SUM(OFFSET(終値!$E$6,IFERROR(MATCH($C151,銘柄管理!$B$6:$B$305,0),MATCH(TEXT($C151,"0"),銘柄管理!$B$6:$B$305,0))-1,0,1,14))*100,"")</f>
      </c>
      <c r="BB151">
        <f>IFERROR((MAX(OFFSET(高値!$E$6,IFERROR(MATCH($C151,銘柄管理!$B$6:$B$305,0),MATCH(TEXT($C151,"0"),銘柄管理!$B$6:$B$305,0))-1,0,1,25))-MIN(OFFSET(安値!$E$6,IFERROR(MATCH($C151,銘柄管理!$B$6:$B$305,0),MATCH(TEXT($C151,"0"),銘柄管理!$B$6:$B$305,0))-1,0,1,25)))/$E151*100,"")</f>
      </c>
      <c r="BC151">
        <f>IFERROR(($F151-$G151)/$G151*100,"")</f>
      </c>
      <c r="BD151">
        <f>IFERROR(($E151-MAX(OFFSET(高値!$E$6,IFERROR(MATCH($C151,銘柄管理!$B$6:$B$305,0),MATCH(TEXT($C151,"0"),銘柄管理!$B$6:$B$305,0))-1,0,1,25)))/MAX(OFFSET(高値!$E$6,IFERROR(MATCH($C151,銘柄管理!$B$6:$B$305,0),MATCH(TEXT($C151,"0"),銘柄管理!$B$6:$B$305,0))-1,0,1,25))*100,"")</f>
      </c>
      <c r="BE151">
        <f>IFERROR(($H151-$I151)/$F151*100,"")</f>
      </c>
      <c r="BF151">
        <f>IFERROR(-(($BA151-AVERAGE($BA$3:$BA$206))/STDEV($BA$3:$BA$206))-(($BE151-AVERAGE($BE$3:$BE$206))/STDEV($BE$3:$BE$206))-(($BB151-AVERAGE($BB$3:$BB$206))/STDEV($BB$3:$BB$206))-(($Z151-AVERAGE($Z$3:$Z$206))/STDEV($Z$3:$Z$206))-(($BC151-AVERAGE($BC$3:$BC$206))/STDEV($BC$3:$BC$206)),"")</f>
      </c>
      <c r="BG151">
        <f>IF(OR($C151="",$C151="TOPX",$BA151="",$BF151=""),0,IF(AND($BK$10=1,$BA151&lt;=$BK$2,$BB151&lt;=$BK$3,$BC151&lt;=$BK$4,$Z151&lt;=$BK$5,$Z151&gt;=$BK$6,$BD151&gt;=$BK$7,$BE151&lt;=$BK$8),1,0))</f>
      </c>
      <c r="BH151">
        <f>IF($C151="","",IF($BG151=1,"○ゲート通過",IF($BK$10&lt;&gt;1,"― この方向は停止中",IF($BA151&gt;$BK$2,"×値動きが荒い",IF($BB151&gt;$BK$3,"×レンジが広い",IF($BC151&gt;$BK$4,"×窓を開けて上昇",IF($Z151&gt;$BK$5,"×前日に急騰",IF($Z151&lt;$BK$6,"×前日に急落",IF($BD151&lt;$BK$7,"×高値から離れすぎ",IF($BE151&gt;$BK$8,"×当日の値幅が大きい","×")))))))))</f>
      </c>
    </row>
    <row r="152" spans="1:60"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IF(AND(E152&lt;&gt;"",K152&lt;&gt;"",K152&lt;&gt;0),(E152-K152)/K152*100,"")</f>
        <v>-7.2975879551390381</v>
      </c>
      <c r="M152" s="333">
        <f>IF(C152&lt;&gt;"",IFERROR(AVERAGE(出来高!E157:I157),""),"")</f>
        <v>570620</v>
      </c>
      <c r="N152" s="333">
        <f>IF(C152&lt;&gt;"",IFERROR(AVERAGE(出来高!E157:AC157),""),"")</f>
        <v>537636</v>
      </c>
      <c r="O152" s="335">
        <f>IF(AND(J152&lt;&gt;"",M152&lt;&gt;"",M152&lt;&gt;0),J152/M152,"")</f>
        <v>0.77249307770495246</v>
      </c>
      <c r="P152" s="212" t="str">
        <f>IF(O152="","",IF(O152&gt;=2,"急増↑↑",IF(O152&gt;=1.5,"増加↑",IF(O152&gt;=1,"普通→","減少↓"))))</f>
        <v>減少↓</v>
      </c>
      <c r="Q152" s="212" t="str">
        <f>IF(E152="","",IF(AND(E152&lt;G152,O152&gt;=1.5),"売り▼",IF(E152&gt;G152,"様子見▲","中立→")))</f>
        <v>様子見▲</v>
      </c>
      <c r="R152" s="333">
        <f>IF(E152&lt;&gt;"",ROUND(E152*0.92,0),"")</f>
        <v>5551</v>
      </c>
      <c r="S152" s="333">
        <f>IF(E152&lt;&gt;"",ROUND(E152*1.04,0),"")</f>
        <v>6275</v>
      </c>
      <c r="T152" s="325">
        <f>IF(C152="","",IFERROR(IF(W152&gt;=70,3,IF(W152&gt;=60,2,IF(W152&gt;=50,1,0)))+IF(X152&lt;0,2,0)+IF(AD152="下降トレンド▼",3,IF(AD152="もみ合い→",1,0))+IF(V152="年初来安値圏●",3,IF(V152="安値圏",2,0))+IF(Q152="売り▼",2,0)+IF(P152="急増↑↑",2,IF(P152="増加↑",1,0))+IF(Z152&lt;0,1,0)+IF(L152&lt;=-30,2,IF(L152&lt;=-15,1,0))+IF(AE152="25日戻り売り★",2,IF(AE152="5日戻り売り○",1,0))+N(AL152)+N(AP152)+N(AU152),0))</f>
        <v>3</v>
      </c>
      <c r="U152" s="212" t="str">
        <f>IF(T152="","",IF(AND(T152&gt;=3,O152&gt;=1.5),"有効",IF(T152&gt;=3,"要確認","除外")))</f>
        <v>要確認</v>
      </c>
      <c r="V152" s="212" t="str">
        <f>IF(AND(I152&lt;&gt;"",K152&lt;&gt;""),IF(I152&lt;=K152*0.6,"年初来安値圏●",IF(I152&lt;=K152*0.75,"安値圏","通常")),"")</f>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IF(AF152="","",AF152&amp;" | "&amp;AD152&amp;IF(AE152&lt;&gt;"なし"," "&amp;AE152,"")&amp;IF(X152&lt;0," MACD-"," MACD+")&amp;" RSI:"&amp;TEXT(W152,"0.0")&amp;IF(W152&gt;=70," [過熱]",IF(W152&lt;=30," [売られ過ぎ]",""))&amp;" 前日比:"&amp;TEXT(Z152,"+0.0;-0.0;0.0")&amp;"%"&amp;IF(V152="年初来安値圏●"," [年初来安値圏]",IF(V152="安値圏"," [安値圏]",""))&amp;IF(OR(AO152="通常",AO152="-"),""," ["&amp;AO152&amp;"]")&amp;IF(OR(AT152="通常",AT152="-"),"","前日["&amp;AT152&amp;"]")&amp;" ["&amp;T152&amp;"点]")</f>
        <v>相場上昇・見送り | 上昇トレンド▲ MACD- RSI:41.1 前日比:+1.7% [3点]</v>
      </c>
      <c r="Z152" s="338">
        <f>IF(AND(E152&lt;&gt;"",G152&lt;&gt;"",G152&lt;&gt;0),(E152-G152)/G152*100,"")</f>
        <v>1.6509433962264151</v>
      </c>
      <c r="AA152" s="212" t="str">
        <f>IF(OR(C152="",E152="",E152=0),"",IF(E152&gt;G152,"上昇▲",IF(E152&lt;G152,"下落▼","横ばい→")))</f>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IF(OR(C152="",AB152="",AC152="",AB152=0,AC152=0),"",IF(AND(E152&gt;AB152,AB152&gt;AC152),"パーフェクト▲",IF(E152&gt;AC152,"上昇トレンド▲",IF(AND(E152&lt;AB152,AB152&lt;AC152),"下降トレンド▼","もみ合い→"))))</f>
        <v>上昇トレンド▲</v>
      </c>
      <c r="AE152" s="212" t="str">
        <f>IF(OR(C152="",AB152="",AC152=""),"",IF(AND(ABS(E152-AC152)/AC152&lt;=0.02,E152&lt;AC152),"25日戻り売り★",IF(AND(ABS(E152-AB152)/AB152&lt;=0.01,E152&lt;AB152),"5日戻り売り○","なし")))</f>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IF(AND(T152&gt;=7,C152&lt;&gt;""),T152,0)</f>
        <v>0</v>
      </c>
      <c r="AH152">
        <f>IF(AG152&gt;0,AG152*10000-ROW(A152),0)</f>
        <v>0</v>
      </c>
      <c r="AI152" s="373">
        <f t="array" ref="AI152">IF(C152="","",IFERROR((INDEX(終値!$E:$E,MATCH(TEXT(C152,"0"),終値!$A:$A,0))-INDEX(終値!$E:$CZ,MATCH(TEXT(C152,"0"),終値!$A:$A,0),$AN$2))/INDEX(終値!$E:$CZ,MATCH(TEXT(C152,"0"),終値!$A:$A,0),$AN$2)*100,""))</f>
        <v>0.23255813953488372</v>
      </c>
      <c r="AJ152" s="373">
        <f t="array" ref="AJ152">IFERROR((終値!$E$5-INDEX(終値!$E$5:$IT$5,1,$AN$2))/INDEX(終値!$E$5:$IT$5,1,$AN$2)*100,"")</f>
        <v>1.0179378228534113</v>
      </c>
      <c r="AK152" s="374">
        <f>IF(OR(AI152="",AJ152=""),"",AI152-AJ152)</f>
        <v>-0.78537968331852759</v>
      </c>
      <c r="AL152" s="372">
        <f>IF(AK152="","",IF(AK152&lt;-5,3,IF(AK152&lt;0,1,IF(AK152&lt;3,-1,-2))))</f>
        <v>1</v>
      </c>
      <c r="AO152" s="376" t="str">
        <f>IF(OR($C152="",$E152="",$F152="",$H152="",$I152="",$H152-$I152&lt;=0),"-",IF(AND($H152-MAX($F152,$E152)&gt;=ABS($E152-$F152)*2,MIN($F152,$E152)-$I152&lt;=ABS($E152-$F152)*0.5,ABS($E152-$F152)&gt;0),"上ヒゲ陰線▼",IF(AND($E152&lt;$F152,ABS($E152-$F152)&gt;=($H152-$I152)*0.7),"大陰線▼",IF(AND(MIN($F152,$E152)-$I152&gt;=($H152-$I152)*0.5,$H152-MAX($F152,$E152)&lt;=($H152-$I152)*0.2),"長い下ヒゲ(反発警戒)","通常"))))</f>
        <v>通常</v>
      </c>
      <c r="AP152" s="377">
        <f>IF($AO152="上ヒゲ陰線▼",2,IF($AO152="大陰線▼",2,IF($AO152="長い下ヒゲ(反発警戒)",-2,0)))</f>
        <v>0</v>
      </c>
      <c r="AQ152">
        <f>IF(C152&lt;&gt;"",始値!F157,"")</f>
        <v>5800</v>
      </c>
      <c r="AR152">
        <f>IF(C152&lt;&gt;"",高値!F157,"")</f>
        <v>5955</v>
      </c>
      <c r="AS152">
        <f>IF(C152&lt;&gt;"",安値!F157,"")</f>
        <v>5800</v>
      </c>
      <c r="AT152" t="str">
        <f>IF(OR(C152="",AQ152="",AR152="",AS152="",AR152-AS152&lt;=0),"-",IF(AND(AR152-MAX(G152,AQ152)&gt;=ABS(G152-AQ152)*2,MIN(G152,AQ152)-AS152&lt;=ABS(G152-AQ152)*0.5,ABS(G152-AQ152)&gt;0),"上ヒゲ陰線▼",IF(AND(G152&lt;AQ152,ABS(G152-AQ152)&gt;=(AR152-AS152)*0.7),"大陰線▼",IF(AND(MIN(G152,AQ152)-AS152&gt;=(AR152-AS152)*0.5,AR152-MAX(G152,AQ152)&lt;=(AR152-AS152)*0.2),"長い下ヒゲ(反発)","通常"))))</f>
        <v>通常</v>
      </c>
      <c r="AU152">
        <f>IF(AT152="上ヒゲ陰線▼",2,IF(AT152="大陰線▼",2,IF(AT152="長い下ヒゲ(反発)",-2,0)))</f>
        <v>0</v>
      </c>
      <c r="BA152">
        <f>IFERROR((SUM(OFFSET(高値!$E$6,IFERROR(MATCH($C152,銘柄管理!$B$6:$B$305,0),MATCH(TEXT($C152,"0"),銘柄管理!$B$6:$B$305,0))-1,0,1,14))-SUM(OFFSET(安値!$E$6,IFERROR(MATCH($C152,銘柄管理!$B$6:$B$305,0),MATCH(TEXT($C152,"0"),銘柄管理!$B$6:$B$305,0))-1,0,1,14)))/SUM(OFFSET(終値!$E$6,IFERROR(MATCH($C152,銘柄管理!$B$6:$B$305,0),MATCH(TEXT($C152,"0"),銘柄管理!$B$6:$B$305,0))-1,0,1,14))*100,"")</f>
      </c>
      <c r="BB152">
        <f>IFERROR((MAX(OFFSET(高値!$E$6,IFERROR(MATCH($C152,銘柄管理!$B$6:$B$305,0),MATCH(TEXT($C152,"0"),銘柄管理!$B$6:$B$305,0))-1,0,1,25))-MIN(OFFSET(安値!$E$6,IFERROR(MATCH($C152,銘柄管理!$B$6:$B$305,0),MATCH(TEXT($C152,"0"),銘柄管理!$B$6:$B$305,0))-1,0,1,25)))/$E152*100,"")</f>
      </c>
      <c r="BC152">
        <f>IFERROR(($F152-$G152)/$G152*100,"")</f>
      </c>
      <c r="BD152">
        <f>IFERROR(($E152-MAX(OFFSET(高値!$E$6,IFERROR(MATCH($C152,銘柄管理!$B$6:$B$305,0),MATCH(TEXT($C152,"0"),銘柄管理!$B$6:$B$305,0))-1,0,1,25)))/MAX(OFFSET(高値!$E$6,IFERROR(MATCH($C152,銘柄管理!$B$6:$B$305,0),MATCH(TEXT($C152,"0"),銘柄管理!$B$6:$B$305,0))-1,0,1,25))*100,"")</f>
      </c>
      <c r="BE152">
        <f>IFERROR(($H152-$I152)/$F152*100,"")</f>
      </c>
      <c r="BF152">
        <f>IFERROR(-(($BA152-AVERAGE($BA$3:$BA$206))/STDEV($BA$3:$BA$206))-(($BE152-AVERAGE($BE$3:$BE$206))/STDEV($BE$3:$BE$206))-(($BB152-AVERAGE($BB$3:$BB$206))/STDEV($BB$3:$BB$206))-(($Z152-AVERAGE($Z$3:$Z$206))/STDEV($Z$3:$Z$206))-(($BC152-AVERAGE($BC$3:$BC$206))/STDEV($BC$3:$BC$206)),"")</f>
      </c>
      <c r="BG152">
        <f>IF(OR($C152="",$C152="TOPX",$BA152="",$BF152=""),0,IF(AND($BK$10=1,$BA152&lt;=$BK$2,$BB152&lt;=$BK$3,$BC152&lt;=$BK$4,$Z152&lt;=$BK$5,$Z152&gt;=$BK$6,$BD152&gt;=$BK$7,$BE152&lt;=$BK$8),1,0))</f>
      </c>
      <c r="BH152">
        <f>IF($C152="","",IF($BG152=1,"○ゲート通過",IF($BK$10&lt;&gt;1,"― この方向は停止中",IF($BA152&gt;$BK$2,"×値動きが荒い",IF($BB152&gt;$BK$3,"×レンジが広い",IF($BC152&gt;$BK$4,"×窓を開けて上昇",IF($Z152&gt;$BK$5,"×前日に急騰",IF($Z152&lt;$BK$6,"×前日に急落",IF($BD152&lt;$BK$7,"×高値から離れすぎ",IF($BE152&gt;$BK$8,"×当日の値幅が大きい","×")))))))))</f>
      </c>
    </row>
    <row r="153" spans="1:60"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IF(AND(E153&lt;&gt;"",K153&lt;&gt;"",K153&lt;&gt;0),(E153-K153)/K153*100,"")</f>
        <v>-20.611748348974626</v>
      </c>
      <c r="M153" s="326">
        <f>IF(C153&lt;&gt;"",IFERROR(AVERAGE(出来高!E166:I166),""),"")</f>
        <v>17620</v>
      </c>
      <c r="N153" s="326">
        <f>IF(C153&lt;&gt;"",IFERROR(AVERAGE(出来高!E166:AC166),""),"")</f>
        <v>25232</v>
      </c>
      <c r="O153" s="328">
        <f>IF(AND(J153&lt;&gt;"",M153&lt;&gt;"",M153&lt;&gt;0),J153/M153,"")</f>
        <v>0.38592508513053347</v>
      </c>
      <c r="P153" s="325" t="str">
        <f>IF(O153="","",IF(O153&gt;=2,"急増↑↑",IF(O153&gt;=1.5,"増加↑",IF(O153&gt;=1,"普通→","減少↓"))))</f>
        <v>減少↓</v>
      </c>
      <c r="Q153" s="325" t="str">
        <f>IF(E153="","",IF(AND(E153&lt;G153,O153&gt;=1.5),"売り▼",IF(E153&gt;G153,"様子見▲","中立→")))</f>
        <v>様子見▲</v>
      </c>
      <c r="R153" s="326">
        <f>IF(E153&lt;&gt;"",ROUND(E153*0.92,0),"")</f>
        <v>2101</v>
      </c>
      <c r="S153" s="326">
        <f>IF(E153&lt;&gt;"",ROUND(E153*1.04,0),"")</f>
        <v>2375</v>
      </c>
      <c r="T153" s="325">
        <f>IF(C153="","",IFERROR(IF(W153&gt;=70,3,IF(W153&gt;=60,2,IF(W153&gt;=50,1,0)))+IF(X153&lt;0,2,0)+IF(AD153="下降トレンド▼",3,IF(AD153="もみ合い→",1,0))+IF(V153="年初来安値圏●",3,IF(V153="安値圏",2,0))+IF(Q153="売り▼",2,0)+IF(P153="急増↑↑",2,IF(P153="増加↑",1,0))+IF(Z153&lt;0,1,0)+IF(L153&lt;=-30,2,IF(L153&lt;=-15,1,0))+IF(AE153="25日戻り売り★",2,IF(AE153="5日戻り売り○",1,0))+N(AL153)+N(AP153)+N(AU153),0))</f>
        <v>11</v>
      </c>
      <c r="U153" s="325" t="str">
        <f>IF(T153="","",IF(AND(T153&gt;=3,O153&gt;=1.5),"有効",IF(T153&gt;=3,"要確認","除外")))</f>
        <v>要確認</v>
      </c>
      <c r="V153" s="325" t="str">
        <f>IF(AND(I153&lt;&gt;"",K153&lt;&gt;""),IF(I153&lt;=K153*0.6,"年初来安値圏●",IF(I153&lt;=K153*0.75,"安値圏","通常")),"")</f>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IF(AF153="","",AF153&amp;" | "&amp;AD153&amp;IF(AE153&lt;&gt;"なし"," "&amp;AE153,"")&amp;IF(X153&lt;0," MACD-"," MACD+")&amp;" RSI:"&amp;TEXT(W153,"0.0")&amp;IF(W153&gt;=70," [過熱]",IF(W153&lt;=30," [売られ過ぎ]",""))&amp;" 前日比:"&amp;TEXT(Z153,"+0.0;-0.0;0.0")&amp;"%"&amp;IF(V153="年初来安値圏●"," [年初来安値圏]",IF(V153="安値圏"," [安値圏]",""))&amp;IF(OR(AO153="通常",AO153="-"),""," ["&amp;AO153&amp;"]")&amp;IF(OR(AT153="通常",AT153="-"),"","前日["&amp;AT153&amp;"]")&amp;" ["&amp;T153&amp;"点]")</f>
        <v>★逆張り売り | 下降トレンド▼ 25日戻り売り★ MACD- RSI:37.5 前日比:+0.1%前日[大陰線▼] [11点]</v>
      </c>
      <c r="Z153" s="331">
        <f>IF(AND(E153&lt;&gt;"",G153&lt;&gt;"",G153&lt;&gt;0),(E153-G153)/G153*100,"")</f>
        <v>8.7642418930762495E-2</v>
      </c>
      <c r="AA153" s="325" t="str">
        <f>IF(OR(C153="",E153="",E153=0),"",IF(E153&gt;G153,"上昇▲",IF(E153&lt;G153,"下落▼","横ばい→")))</f>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IF(OR(C153="",AB153="",AC153="",AB153=0,AC153=0),"",IF(AND(E153&gt;AB153,AB153&gt;AC153),"パーフェクト▲",IF(E153&gt;AC153,"上昇トレンド▲",IF(AND(E153&lt;AB153,AB153&lt;AC153),"下降トレンド▼","もみ合い→"))))</f>
        <v>下降トレンド▼</v>
      </c>
      <c r="AE153" s="325" t="str">
        <f>IF(OR(C153="",AB153="",AC153=""),"",IF(AND(ABS(E153-AC153)/AC153&lt;=0.02,E153&lt;AC153),"25日戻り売り★",IF(AND(ABS(E153-AB153)/AB153&lt;=0.01,E153&lt;AB153),"5日戻り売り○","なし")))</f>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IF(AND(T153&gt;=7,C153&lt;&gt;""),T153,0)</f>
        <v>11</v>
      </c>
      <c r="AH153">
        <f>IF(AG153&gt;0,AG153*10000-ROW(A153),0)</f>
        <v>109847</v>
      </c>
      <c r="AI153" s="373">
        <f t="array" ref="AI153">IF(C153="","",IFERROR((INDEX(終値!$E:$E,MATCH(TEXT(C153,"0"),終値!$A:$A,0))-INDEX(終値!$E:$CZ,MATCH(TEXT(C153,"0"),終値!$A:$A,0),$AN$2))/INDEX(終値!$E:$CZ,MATCH(TEXT(C153,"0"),終値!$A:$A,0),$AN$2)*100,""))</f>
        <v>-1.1255411255411256</v>
      </c>
      <c r="AJ153" s="373">
        <f t="array" ref="AJ153">IFERROR((終値!$E$5-INDEX(終値!$E$5:$IT$5,1,$AN$2))/INDEX(終値!$E$5:$IT$5,1,$AN$2)*100,"")</f>
        <v>1.0179378228534113</v>
      </c>
      <c r="AK153" s="374">
        <f>IF(OR(AI153="",AJ153=""),"",AI153-AJ153)</f>
        <v>-2.1434789483945371</v>
      </c>
      <c r="AL153" s="372">
        <f>IF(AK153="","",IF(AK153&lt;-5,3,IF(AK153&lt;0,1,IF(AK153&lt;3,-1,-2))))</f>
        <v>1</v>
      </c>
      <c r="AO153" s="376" t="str">
        <f>IF(OR($C153="",$E153="",$F153="",$H153="",$I153="",$H153-$I153&lt;=0),"-",IF(AND($H153-MAX($F153,$E153)&gt;=ABS($E153-$F153)*2,MIN($F153,$E153)-$I153&lt;=ABS($E153-$F153)*0.5,ABS($E153-$F153)&gt;0),"上ヒゲ陰線▼",IF(AND($E153&lt;$F153,ABS($E153-$F153)&gt;=($H153-$I153)*0.7),"大陰線▼",IF(AND(MIN($F153,$E153)-$I153&gt;=($H153-$I153)*0.5,$H153-MAX($F153,$E153)&lt;=($H153-$I153)*0.2),"長い下ヒゲ(反発警戒)","通常"))))</f>
        <v>通常</v>
      </c>
      <c r="AP153" s="377">
        <f>IF($AO153="上ヒゲ陰線▼",2,IF($AO153="大陰線▼",2,IF($AO153="長い下ヒゲ(反発警戒)",-2,0)))</f>
        <v>0</v>
      </c>
      <c r="AQ153">
        <f>IF(C153&lt;&gt;"",始値!F166,"")</f>
        <v>2312</v>
      </c>
      <c r="AR153">
        <f>IF(C153&lt;&gt;"",高値!F166,"")</f>
        <v>2312</v>
      </c>
      <c r="AS153">
        <f>IF(C153&lt;&gt;"",安値!F166,"")</f>
        <v>2282</v>
      </c>
      <c r="AT153" t="str">
        <f>IF(OR(C153="",AQ153="",AR153="",AS153="",AR153-AS153&lt;=0),"-",IF(AND(AR153-MAX(G153,AQ153)&gt;=ABS(G153-AQ153)*2,MIN(G153,AQ153)-AS153&lt;=ABS(G153-AQ153)*0.5,ABS(G153-AQ153)&gt;0),"上ヒゲ陰線▼",IF(AND(G153&lt;AQ153,ABS(G153-AQ153)&gt;=(AR153-AS153)*0.7),"大陰線▼",IF(AND(MIN(G153,AQ153)-AS153&gt;=(AR153-AS153)*0.5,AR153-MAX(G153,AQ153)&lt;=(AR153-AS153)*0.2),"長い下ヒゲ(反発)","通常"))))</f>
        <v>大陰線▼</v>
      </c>
      <c r="AU153">
        <f>IF(AT153="上ヒゲ陰線▼",2,IF(AT153="大陰線▼",2,IF(AT153="長い下ヒゲ(反発)",-2,0)))</f>
        <v>2</v>
      </c>
      <c r="BA153">
        <f>IFERROR((SUM(OFFSET(高値!$E$6,IFERROR(MATCH($C153,銘柄管理!$B$6:$B$305,0),MATCH(TEXT($C153,"0"),銘柄管理!$B$6:$B$305,0))-1,0,1,14))-SUM(OFFSET(安値!$E$6,IFERROR(MATCH($C153,銘柄管理!$B$6:$B$305,0),MATCH(TEXT($C153,"0"),銘柄管理!$B$6:$B$305,0))-1,0,1,14)))/SUM(OFFSET(終値!$E$6,IFERROR(MATCH($C153,銘柄管理!$B$6:$B$305,0),MATCH(TEXT($C153,"0"),銘柄管理!$B$6:$B$305,0))-1,0,1,14))*100,"")</f>
      </c>
      <c r="BB153">
        <f>IFERROR((MAX(OFFSET(高値!$E$6,IFERROR(MATCH($C153,銘柄管理!$B$6:$B$305,0),MATCH(TEXT($C153,"0"),銘柄管理!$B$6:$B$305,0))-1,0,1,25))-MIN(OFFSET(安値!$E$6,IFERROR(MATCH($C153,銘柄管理!$B$6:$B$305,0),MATCH(TEXT($C153,"0"),銘柄管理!$B$6:$B$305,0))-1,0,1,25)))/$E153*100,"")</f>
      </c>
      <c r="BC153">
        <f>IFERROR(($F153-$G153)/$G153*100,"")</f>
      </c>
      <c r="BD153">
        <f>IFERROR(($E153-MAX(OFFSET(高値!$E$6,IFERROR(MATCH($C153,銘柄管理!$B$6:$B$305,0),MATCH(TEXT($C153,"0"),銘柄管理!$B$6:$B$305,0))-1,0,1,25)))/MAX(OFFSET(高値!$E$6,IFERROR(MATCH($C153,銘柄管理!$B$6:$B$305,0),MATCH(TEXT($C153,"0"),銘柄管理!$B$6:$B$305,0))-1,0,1,25))*100,"")</f>
      </c>
      <c r="BE153">
        <f>IFERROR(($H153-$I153)/$F153*100,"")</f>
      </c>
      <c r="BF153">
        <f>IFERROR(-(($BA153-AVERAGE($BA$3:$BA$206))/STDEV($BA$3:$BA$206))-(($BE153-AVERAGE($BE$3:$BE$206))/STDEV($BE$3:$BE$206))-(($BB153-AVERAGE($BB$3:$BB$206))/STDEV($BB$3:$BB$206))-(($Z153-AVERAGE($Z$3:$Z$206))/STDEV($Z$3:$Z$206))-(($BC153-AVERAGE($BC$3:$BC$206))/STDEV($BC$3:$BC$206)),"")</f>
      </c>
      <c r="BG153">
        <f>IF(OR($C153="",$C153="TOPX",$BA153="",$BF153=""),0,IF(AND($BK$10=1,$BA153&lt;=$BK$2,$BB153&lt;=$BK$3,$BC153&lt;=$BK$4,$Z153&lt;=$BK$5,$Z153&gt;=$BK$6,$BD153&gt;=$BK$7,$BE153&lt;=$BK$8),1,0))</f>
      </c>
      <c r="BH153">
        <f>IF($C153="","",IF($BG153=1,"○ゲート通過",IF($BK$10&lt;&gt;1,"― この方向は停止中",IF($BA153&gt;$BK$2,"×値動きが荒い",IF($BB153&gt;$BK$3,"×レンジが広い",IF($BC153&gt;$BK$4,"×窓を開けて上昇",IF($Z153&gt;$BK$5,"×前日に急騰",IF($Z153&lt;$BK$6,"×前日に急落",IF($BD153&lt;$BK$7,"×高値から離れすぎ",IF($BE153&gt;$BK$8,"×当日の値幅が大きい","×")))))))))</f>
      </c>
    </row>
    <row r="154" spans="1:60"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IF(AND(E154&lt;&gt;"",K154&lt;&gt;"",K154&lt;&gt;0),(E154-K154)/K154*100,"")</f>
        <v>-19.377013963480131</v>
      </c>
      <c r="M154" s="333">
        <f>IF(C154&lt;&gt;"",IFERROR(AVERAGE(出来高!E174:I174),""),"")</f>
        <v>326140</v>
      </c>
      <c r="N154" s="333">
        <f>IF(C154&lt;&gt;"",IFERROR(AVERAGE(出来高!E174:AC174),""),"")</f>
        <v>291716</v>
      </c>
      <c r="O154" s="335">
        <f>IF(AND(J154&lt;&gt;"",M154&lt;&gt;"",M154&lt;&gt;0),J154/M154,"")</f>
        <v>0.60188875942846631</v>
      </c>
      <c r="P154" s="212" t="str">
        <f>IF(O154="","",IF(O154&gt;=2,"急増↑↑",IF(O154&gt;=1.5,"増加↑",IF(O154&gt;=1,"普通→","減少↓"))))</f>
        <v>減少↓</v>
      </c>
      <c r="Q154" s="212" t="str">
        <f>IF(E154="","",IF(AND(E154&lt;G154,O154&gt;=1.5),"売り▼",IF(E154&gt;G154,"様子見▲","中立→")))</f>
        <v>様子見▲</v>
      </c>
      <c r="R154" s="333">
        <f>IF(E154&lt;&gt;"",ROUND(E154*0.92,0),"")</f>
        <v>3453</v>
      </c>
      <c r="S154" s="333">
        <f>IF(E154&lt;&gt;"",ROUND(E154*1.04,0),"")</f>
        <v>3903</v>
      </c>
      <c r="T154" s="325">
        <f>IF(C154="","",IFERROR(IF(W154&gt;=70,3,IF(W154&gt;=60,2,IF(W154&gt;=50,1,0)))+IF(X154&lt;0,2,0)+IF(AD154="下降トレンド▼",3,IF(AD154="もみ合い→",1,0))+IF(V154="年初来安値圏●",3,IF(V154="安値圏",2,0))+IF(Q154="売り▼",2,0)+IF(P154="急増↑↑",2,IF(P154="増加↑",1,0))+IF(Z154&lt;0,1,0)+IF(L154&lt;=-30,2,IF(L154&lt;=-15,1,0))+IF(AE154="25日戻り売り★",2,IF(AE154="5日戻り売り○",1,0))+N(AL154)+N(AP154)+N(AU154),0))</f>
        <v>2</v>
      </c>
      <c r="U154" s="212" t="str">
        <f>IF(T154="","",IF(AND(T154&gt;=3,O154&gt;=1.5),"有効",IF(T154&gt;=3,"要確認","除外")))</f>
        <v>除外</v>
      </c>
      <c r="V154" s="212" t="str">
        <f>IF(AND(I154&lt;&gt;"",K154&lt;&gt;""),IF(I154&lt;=K154*0.6,"年初来安値圏●",IF(I154&lt;=K154*0.75,"安値圏","通常")),"")</f>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IF(AF154="","",AF154&amp;" | "&amp;AD154&amp;IF(AE154&lt;&gt;"なし"," "&amp;AE154,"")&amp;IF(X154&lt;0," MACD-"," MACD+")&amp;" RSI:"&amp;TEXT(W154,"0.0")&amp;IF(W154&gt;=70," [過熱]",IF(W154&lt;=30," [売られ過ぎ]",""))&amp;" 前日比:"&amp;TEXT(Z154,"+0.0;-0.0;0.0")&amp;"%"&amp;IF(V154="年初来安値圏●"," [年初来安値圏]",IF(V154="安値圏"," [安値圏]",""))&amp;IF(OR(AO154="通常",AO154="-"),""," ["&amp;AO154&amp;"]")&amp;IF(OR(AT154="通常",AT154="-"),"","前日["&amp;AT154&amp;"]")&amp;" ["&amp;T154&amp;"点]")</f>
        <v>○逆張り売り | もみ合い→ 25日戻り売り★ MACD+ RSI:42.6 前日比:+2.5% [2点]</v>
      </c>
      <c r="Z154" s="338">
        <f>IF(AND(E154&lt;&gt;"",G154&lt;&gt;"",G154&lt;&gt;0),(E154-G154)/G154*100,"")</f>
        <v>2.4849808847624248</v>
      </c>
      <c r="AA154" s="212" t="str">
        <f>IF(OR(C154="",E154="",E154=0),"",IF(E154&gt;G154,"上昇▲",IF(E154&lt;G154,"下落▼","横ばい→")))</f>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IF(OR(C154="",AB154="",AC154="",AB154=0,AC154=0),"",IF(AND(E154&gt;AB154,AB154&gt;AC154),"パーフェクト▲",IF(E154&gt;AC154,"上昇トレンド▲",IF(AND(E154&lt;AB154,AB154&lt;AC154),"下降トレンド▼","もみ合い→"))))</f>
        <v>もみ合い→</v>
      </c>
      <c r="AE154" s="212" t="str">
        <f>IF(OR(C154="",AB154="",AC154=""),"",IF(AND(ABS(E154-AC154)/AC154&lt;=0.02,E154&lt;AC154),"25日戻り売り★",IF(AND(ABS(E154-AB154)/AB154&lt;=0.01,E154&lt;AB154),"5日戻り売り○","なし")))</f>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IF(AND(T154&gt;=7,C154&lt;&gt;""),T154,0)</f>
        <v>0</v>
      </c>
      <c r="AH154">
        <f>IF(AG154&gt;0,AG154*10000-ROW(A154),0)</f>
        <v>0</v>
      </c>
      <c r="AI154" s="373">
        <f t="array" ref="AI154">IF(C154="","",IFERROR((INDEX(終値!$E:$E,MATCH(TEXT(C154,"0"),終値!$A:$A,0))-INDEX(終値!$E:$CZ,MATCH(TEXT(C154,"0"),終値!$A:$A,0),$AN$2))/INDEX(終値!$E:$CZ,MATCH(TEXT(C154,"0"),終値!$A:$A,0),$AN$2)*100,""))</f>
        <v>13.07622777945164</v>
      </c>
      <c r="AJ154" s="373">
        <f t="array" ref="AJ154">IFERROR((終値!$E$5-INDEX(終値!$E$5:$IT$5,1,$AN$2))/INDEX(終値!$E$5:$IT$5,1,$AN$2)*100,"")</f>
        <v>1.0179378228534113</v>
      </c>
      <c r="AK154" s="374">
        <f>IF(OR(AI154="",AJ154=""),"",AI154-AJ154)</f>
        <v>12.058289956598228</v>
      </c>
      <c r="AL154" s="372">
        <f>IF(AK154="","",IF(AK154&lt;-5,3,IF(AK154&lt;0,1,IF(AK154&lt;3,-1,-2))))</f>
        <v>-2</v>
      </c>
      <c r="AO154" s="376" t="str">
        <f>IF(OR($C154="",$E154="",$F154="",$H154="",$I154="",$H154-$I154&lt;=0),"-",IF(AND($H154-MAX($F154,$E154)&gt;=ABS($E154-$F154)*2,MIN($F154,$E154)-$I154&lt;=ABS($E154-$F154)*0.5,ABS($E154-$F154)&gt;0),"上ヒゲ陰線▼",IF(AND($E154&lt;$F154,ABS($E154-$F154)&gt;=($H154-$I154)*0.7),"大陰線▼",IF(AND(MIN($F154,$E154)-$I154&gt;=($H154-$I154)*0.5,$H154-MAX($F154,$E154)&lt;=($H154-$I154)*0.2),"長い下ヒゲ(反発警戒)","通常"))))</f>
        <v>通常</v>
      </c>
      <c r="AP154" s="377">
        <f>IF($AO154="上ヒゲ陰線▼",2,IF($AO154="大陰線▼",2,IF($AO154="長い下ヒゲ(反発警戒)",-2,0)))</f>
        <v>0</v>
      </c>
      <c r="AQ154">
        <f>IF(C154&lt;&gt;"",始値!F174,"")</f>
        <v>3710</v>
      </c>
      <c r="AR154">
        <f>IF(C154&lt;&gt;"",高値!F174,"")</f>
        <v>3713</v>
      </c>
      <c r="AS154">
        <f>IF(C154&lt;&gt;"",安値!F174,"")</f>
        <v>3617</v>
      </c>
      <c r="AT154" t="str">
        <f>IF(OR(C154="",AQ154="",AR154="",AS154="",AR154-AS154&lt;=0),"-",IF(AND(AR154-MAX(G154,AQ154)&gt;=ABS(G154-AQ154)*2,MIN(G154,AQ154)-AS154&lt;=ABS(G154-AQ154)*0.5,ABS(G154-AQ154)&gt;0),"上ヒゲ陰線▼",IF(AND(G154&lt;AQ154,ABS(G154-AQ154)&gt;=(AR154-AS154)*0.7),"大陰線▼",IF(AND(MIN(G154,AQ154)-AS154&gt;=(AR154-AS154)*0.5,AR154-MAX(G154,AQ154)&lt;=(AR154-AS154)*0.2),"長い下ヒゲ(反発)","通常"))))</f>
        <v>通常</v>
      </c>
      <c r="AU154">
        <f>IF(AT154="上ヒゲ陰線▼",2,IF(AT154="大陰線▼",2,IF(AT154="長い下ヒゲ(反発)",-2,0)))</f>
        <v>0</v>
      </c>
      <c r="BA154">
        <f>IFERROR((SUM(OFFSET(高値!$E$6,IFERROR(MATCH($C154,銘柄管理!$B$6:$B$305,0),MATCH(TEXT($C154,"0"),銘柄管理!$B$6:$B$305,0))-1,0,1,14))-SUM(OFFSET(安値!$E$6,IFERROR(MATCH($C154,銘柄管理!$B$6:$B$305,0),MATCH(TEXT($C154,"0"),銘柄管理!$B$6:$B$305,0))-1,0,1,14)))/SUM(OFFSET(終値!$E$6,IFERROR(MATCH($C154,銘柄管理!$B$6:$B$305,0),MATCH(TEXT($C154,"0"),銘柄管理!$B$6:$B$305,0))-1,0,1,14))*100,"")</f>
      </c>
      <c r="BB154">
        <f>IFERROR((MAX(OFFSET(高値!$E$6,IFERROR(MATCH($C154,銘柄管理!$B$6:$B$305,0),MATCH(TEXT($C154,"0"),銘柄管理!$B$6:$B$305,0))-1,0,1,25))-MIN(OFFSET(安値!$E$6,IFERROR(MATCH($C154,銘柄管理!$B$6:$B$305,0),MATCH(TEXT($C154,"0"),銘柄管理!$B$6:$B$305,0))-1,0,1,25)))/$E154*100,"")</f>
      </c>
      <c r="BC154">
        <f>IFERROR(($F154-$G154)/$G154*100,"")</f>
      </c>
      <c r="BD154">
        <f>IFERROR(($E154-MAX(OFFSET(高値!$E$6,IFERROR(MATCH($C154,銘柄管理!$B$6:$B$305,0),MATCH(TEXT($C154,"0"),銘柄管理!$B$6:$B$305,0))-1,0,1,25)))/MAX(OFFSET(高値!$E$6,IFERROR(MATCH($C154,銘柄管理!$B$6:$B$305,0),MATCH(TEXT($C154,"0"),銘柄管理!$B$6:$B$305,0))-1,0,1,25))*100,"")</f>
      </c>
      <c r="BE154">
        <f>IFERROR(($H154-$I154)/$F154*100,"")</f>
      </c>
      <c r="BF154">
        <f>IFERROR(-(($BA154-AVERAGE($BA$3:$BA$206))/STDEV($BA$3:$BA$206))-(($BE154-AVERAGE($BE$3:$BE$206))/STDEV($BE$3:$BE$206))-(($BB154-AVERAGE($BB$3:$BB$206))/STDEV($BB$3:$BB$206))-(($Z154-AVERAGE($Z$3:$Z$206))/STDEV($Z$3:$Z$206))-(($BC154-AVERAGE($BC$3:$BC$206))/STDEV($BC$3:$BC$206)),"")</f>
      </c>
      <c r="BG154">
        <f>IF(OR($C154="",$C154="TOPX",$BA154="",$BF154=""),0,IF(AND($BK$10=1,$BA154&lt;=$BK$2,$BB154&lt;=$BK$3,$BC154&lt;=$BK$4,$Z154&lt;=$BK$5,$Z154&gt;=$BK$6,$BD154&gt;=$BK$7,$BE154&lt;=$BK$8),1,0))</f>
      </c>
      <c r="BH154">
        <f>IF($C154="","",IF($BG154=1,"○ゲート通過",IF($BK$10&lt;&gt;1,"― この方向は停止中",IF($BA154&gt;$BK$2,"×値動きが荒い",IF($BB154&gt;$BK$3,"×レンジが広い",IF($BC154&gt;$BK$4,"×窓を開けて上昇",IF($Z154&gt;$BK$5,"×前日に急騰",IF($Z154&lt;$BK$6,"×前日に急落",IF($BD154&lt;$BK$7,"×高値から離れすぎ",IF($BE154&gt;$BK$8,"×当日の値幅が大きい","×")))))))))</f>
      </c>
    </row>
    <row r="155" spans="1:60"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IF(AND(E155&lt;&gt;"",K155&lt;&gt;"",K155&lt;&gt;0),(E155-K155)/K155*100,"")</f>
        <v>-9.6055684454756367</v>
      </c>
      <c r="M155" s="326">
        <f>IF(C155&lt;&gt;"",IFERROR(AVERAGE(出来高!E178:I178),""),"")</f>
        <v>418920</v>
      </c>
      <c r="N155" s="326">
        <f>IF(C155&lt;&gt;"",IFERROR(AVERAGE(出来高!E178:AC178),""),"")</f>
        <v>328625</v>
      </c>
      <c r="O155" s="328">
        <f>IF(AND(J155&lt;&gt;"",M155&lt;&gt;"",M155&lt;&gt;0),J155/M155,"")</f>
        <v>0.47336006874820968</v>
      </c>
      <c r="P155" s="325" t="str">
        <f>IF(O155="","",IF(O155&gt;=2,"急増↑↑",IF(O155&gt;=1.5,"増加↑",IF(O155&gt;=1,"普通→","減少↓"))))</f>
        <v>減少↓</v>
      </c>
      <c r="Q155" s="325" t="str">
        <f>IF(E155="","",IF(AND(E155&lt;G155,O155&gt;=1.5),"売り▼",IF(E155&gt;G155,"様子見▲","中立→")))</f>
        <v>様子見▲</v>
      </c>
      <c r="R155" s="326">
        <f>IF(E155&lt;&gt;"",ROUND(E155*0.92,0),"")</f>
        <v>3584</v>
      </c>
      <c r="S155" s="326">
        <f>IF(E155&lt;&gt;"",ROUND(E155*1.04,0),"")</f>
        <v>4052</v>
      </c>
      <c r="T155" s="325">
        <f>IF(C155="","",IFERROR(IF(W155&gt;=70,3,IF(W155&gt;=60,2,IF(W155&gt;=50,1,0)))+IF(X155&lt;0,2,0)+IF(AD155="下降トレンド▼",3,IF(AD155="もみ合い→",1,0))+IF(V155="年初来安値圏●",3,IF(V155="安値圏",2,0))+IF(Q155="売り▼",2,0)+IF(P155="急増↑↑",2,IF(P155="増加↑",1,0))+IF(Z155&lt;0,1,0)+IF(L155&lt;=-30,2,IF(L155&lt;=-15,1,0))+IF(AE155="25日戻り売り★",2,IF(AE155="5日戻り売り○",1,0))+N(AL155)+N(AP155)+N(AU155),0))</f>
        <v>-3</v>
      </c>
      <c r="U155" s="325" t="str">
        <f>IF(T155="","",IF(AND(T155&gt;=3,O155&gt;=1.5),"有効",IF(T155&gt;=3,"要確認","除外")))</f>
        <v>除外</v>
      </c>
      <c r="V155" s="325" t="str">
        <f>IF(AND(I155&lt;&gt;"",K155&lt;&gt;""),IF(I155&lt;=K155*0.6,"年初来安値圏●",IF(I155&lt;=K155*0.75,"安値圏","通常")),"")</f>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IF(AF155="","",AF155&amp;" | "&amp;AD155&amp;IF(AE155&lt;&gt;"なし"," "&amp;AE155,"")&amp;IF(X155&lt;0," MACD-"," MACD+")&amp;" RSI:"&amp;TEXT(W155,"0.0")&amp;IF(W155&gt;=70," [過熱]",IF(W155&lt;=30," [売られ過ぎ]",""))&amp;" 前日比:"&amp;TEXT(Z155,"+0.0;-0.0;0.0")&amp;"%"&amp;IF(V155="年初来安値圏●"," [年初来安値圏]",IF(V155="安値圏"," [安値圏]",""))&amp;IF(OR(AO155="通常",AO155="-"),""," ["&amp;AO155&amp;"]")&amp;IF(OR(AT155="通常",AT155="-"),"","前日["&amp;AT155&amp;"]")&amp;" ["&amp;T155&amp;"点]")</f>
        <v>相場上昇・見送り | パーフェクト▲ MACD+ RSI:50.6 前日比:+0.4%前日[長い下ヒゲ(反発)] [-3点]</v>
      </c>
      <c r="Z155" s="331">
        <f>IF(AND(E155&lt;&gt;"",G155&lt;&gt;"",G155&lt;&gt;0),(E155-G155)/G155*100,"")</f>
        <v>0.41237113402061859</v>
      </c>
      <c r="AA155" s="325" t="str">
        <f>IF(OR(C155="",E155="",E155=0),"",IF(E155&gt;G155,"上昇▲",IF(E155&lt;G155,"下落▼","横ばい→")))</f>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IF(OR(C155="",AB155="",AC155="",AB155=0,AC155=0),"",IF(AND(E155&gt;AB155,AB155&gt;AC155),"パーフェクト▲",IF(E155&gt;AC155,"上昇トレンド▲",IF(AND(E155&lt;AB155,AB155&lt;AC155),"下降トレンド▼","もみ合い→"))))</f>
        <v>パーフェクト▲</v>
      </c>
      <c r="AE155" s="325" t="str">
        <f>IF(OR(C155="",AB155="",AC155=""),"",IF(AND(ABS(E155-AC155)/AC155&lt;=0.02,E155&lt;AC155),"25日戻り売り★",IF(AND(ABS(E155-AB155)/AB155&lt;=0.01,E155&lt;AB155),"5日戻り売り○","なし")))</f>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IF(AND(T155&gt;=7,C155&lt;&gt;""),T155,0)</f>
        <v>0</v>
      </c>
      <c r="AH155">
        <f>IF(AG155&gt;0,AG155*10000-ROW(A155),0)</f>
        <v>0</v>
      </c>
      <c r="AI155" s="373">
        <f t="array" ref="AI155">IF(C155="","",IFERROR((INDEX(終値!$E:$E,MATCH(TEXT(C155,"0"),終値!$A:$A,0))-INDEX(終値!$E:$CZ,MATCH(TEXT(C155,"0"),終値!$A:$A,0),$AN$2))/INDEX(終値!$E:$CZ,MATCH(TEXT(C155,"0"),終値!$A:$A,0),$AN$2)*100,""))</f>
        <v>6.5354115395132624</v>
      </c>
      <c r="AJ155" s="373">
        <f t="array" ref="AJ155">IFERROR((終値!$E$5-INDEX(終値!$E$5:$IT$5,1,$AN$2))/INDEX(終値!$E$5:$IT$5,1,$AN$2)*100,"")</f>
        <v>1.0179378228534113</v>
      </c>
      <c r="AK155" s="374">
        <f>IF(OR(AI155="",AJ155=""),"",AI155-AJ155)</f>
        <v>5.5174737166598513</v>
      </c>
      <c r="AL155" s="372">
        <f>IF(AK155="","",IF(AK155&lt;-5,3,IF(AK155&lt;0,1,IF(AK155&lt;3,-1,-2))))</f>
        <v>-2</v>
      </c>
      <c r="AO155" s="376" t="str">
        <f>IF(OR($C155="",$E155="",$F155="",$H155="",$I155="",$H155-$I155&lt;=0),"-",IF(AND($H155-MAX($F155,$E155)&gt;=ABS($E155-$F155)*2,MIN($F155,$E155)-$I155&lt;=ABS($E155-$F155)*0.5,ABS($E155-$F155)&gt;0),"上ヒゲ陰線▼",IF(AND($E155&lt;$F155,ABS($E155-$F155)&gt;=($H155-$I155)*0.7),"大陰線▼",IF(AND(MIN($F155,$E155)-$I155&gt;=($H155-$I155)*0.5,$H155-MAX($F155,$E155)&lt;=($H155-$I155)*0.2),"長い下ヒゲ(反発警戒)","通常"))))</f>
        <v>通常</v>
      </c>
      <c r="AP155" s="377">
        <f>IF($AO155="上ヒゲ陰線▼",2,IF($AO155="大陰線▼",2,IF($AO155="長い下ヒゲ(反発警戒)",-2,0)))</f>
        <v>0</v>
      </c>
      <c r="AQ155">
        <f>IF(C155&lt;&gt;"",始値!F178,"")</f>
        <v>3868</v>
      </c>
      <c r="AR155">
        <f>IF(C155&lt;&gt;"",高値!F178,"")</f>
        <v>3884</v>
      </c>
      <c r="AS155">
        <f>IF(C155&lt;&gt;"",安値!F178,"")</f>
        <v>3829</v>
      </c>
      <c r="AT155" t="str">
        <f>IF(OR(C155="",AQ155="",AR155="",AS155="",AR155-AS155&lt;=0),"-",IF(AND(AR155-MAX(G155,AQ155)&gt;=ABS(G155-AQ155)*2,MIN(G155,AQ155)-AS155&lt;=ABS(G155-AQ155)*0.5,ABS(G155-AQ155)&gt;0),"上ヒゲ陰線▼",IF(AND(G155&lt;AQ155,ABS(G155-AQ155)&gt;=(AR155-AS155)*0.7),"大陰線▼",IF(AND(MIN(G155,AQ155)-AS155&gt;=(AR155-AS155)*0.5,AR155-MAX(G155,AQ155)&lt;=(AR155-AS155)*0.2),"長い下ヒゲ(反発)","通常"))))</f>
        <v>長い下ヒゲ(反発)</v>
      </c>
      <c r="AU155">
        <f>IF(AT155="上ヒゲ陰線▼",2,IF(AT155="大陰線▼",2,IF(AT155="長い下ヒゲ(反発)",-2,0)))</f>
        <v>-2</v>
      </c>
      <c r="BA155">
        <f>IFERROR((SUM(OFFSET(高値!$E$6,IFERROR(MATCH($C155,銘柄管理!$B$6:$B$305,0),MATCH(TEXT($C155,"0"),銘柄管理!$B$6:$B$305,0))-1,0,1,14))-SUM(OFFSET(安値!$E$6,IFERROR(MATCH($C155,銘柄管理!$B$6:$B$305,0),MATCH(TEXT($C155,"0"),銘柄管理!$B$6:$B$305,0))-1,0,1,14)))/SUM(OFFSET(終値!$E$6,IFERROR(MATCH($C155,銘柄管理!$B$6:$B$305,0),MATCH(TEXT($C155,"0"),銘柄管理!$B$6:$B$305,0))-1,0,1,14))*100,"")</f>
      </c>
      <c r="BB155">
        <f>IFERROR((MAX(OFFSET(高値!$E$6,IFERROR(MATCH($C155,銘柄管理!$B$6:$B$305,0),MATCH(TEXT($C155,"0"),銘柄管理!$B$6:$B$305,0))-1,0,1,25))-MIN(OFFSET(安値!$E$6,IFERROR(MATCH($C155,銘柄管理!$B$6:$B$305,0),MATCH(TEXT($C155,"0"),銘柄管理!$B$6:$B$305,0))-1,0,1,25)))/$E155*100,"")</f>
      </c>
      <c r="BC155">
        <f>IFERROR(($F155-$G155)/$G155*100,"")</f>
      </c>
      <c r="BD155">
        <f>IFERROR(($E155-MAX(OFFSET(高値!$E$6,IFERROR(MATCH($C155,銘柄管理!$B$6:$B$305,0),MATCH(TEXT($C155,"0"),銘柄管理!$B$6:$B$305,0))-1,0,1,25)))/MAX(OFFSET(高値!$E$6,IFERROR(MATCH($C155,銘柄管理!$B$6:$B$305,0),MATCH(TEXT($C155,"0"),銘柄管理!$B$6:$B$305,0))-1,0,1,25))*100,"")</f>
      </c>
      <c r="BE155">
        <f>IFERROR(($H155-$I155)/$F155*100,"")</f>
      </c>
      <c r="BF155">
        <f>IFERROR(-(($BA155-AVERAGE($BA$3:$BA$206))/STDEV($BA$3:$BA$206))-(($BE155-AVERAGE($BE$3:$BE$206))/STDEV($BE$3:$BE$206))-(($BB155-AVERAGE($BB$3:$BB$206))/STDEV($BB$3:$BB$206))-(($Z155-AVERAGE($Z$3:$Z$206))/STDEV($Z$3:$Z$206))-(($BC155-AVERAGE($BC$3:$BC$206))/STDEV($BC$3:$BC$206)),"")</f>
      </c>
      <c r="BG155">
        <f>IF(OR($C155="",$C155="TOPX",$BA155="",$BF155=""),0,IF(AND($BK$10=1,$BA155&lt;=$BK$2,$BB155&lt;=$BK$3,$BC155&lt;=$BK$4,$Z155&lt;=$BK$5,$Z155&gt;=$BK$6,$BD155&gt;=$BK$7,$BE155&lt;=$BK$8),1,0))</f>
      </c>
      <c r="BH155">
        <f>IF($C155="","",IF($BG155=1,"○ゲート通過",IF($BK$10&lt;&gt;1,"― この方向は停止中",IF($BA155&gt;$BK$2,"×値動きが荒い",IF($BB155&gt;$BK$3,"×レンジが広い",IF($BC155&gt;$BK$4,"×窓を開けて上昇",IF($Z155&gt;$BK$5,"×前日に急騰",IF($Z155&lt;$BK$6,"×前日に急落",IF($BD155&lt;$BK$7,"×高値から離れすぎ",IF($BE155&gt;$BK$8,"×当日の値幅が大きい","×")))))))))</f>
      </c>
    </row>
    <row r="156" spans="1:60"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IF(AND(E156&lt;&gt;"",K156&lt;&gt;"",K156&lt;&gt;0),(E156-K156)/K156*100,"")</f>
        <v>-29.784866468842729</v>
      </c>
      <c r="M156" s="333">
        <f>IF(C156&lt;&gt;"",IFERROR(AVERAGE(出来高!E180:I180),""),"")</f>
        <v>167920</v>
      </c>
      <c r="N156" s="333">
        <f>IF(C156&lt;&gt;"",IFERROR(AVERAGE(出来高!E180:AC180),""),"")</f>
        <v>125712.5</v>
      </c>
      <c r="O156" s="335">
        <f>IF(AND(J156&lt;&gt;"",M156&lt;&gt;"",M156&lt;&gt;0),J156/M156,"")</f>
        <v>0.79085278704144835</v>
      </c>
      <c r="P156" s="212" t="str">
        <f>IF(O156="","",IF(O156&gt;=2,"急増↑↑",IF(O156&gt;=1.5,"増加↑",IF(O156&gt;=1,"普通→","減少↓"))))</f>
        <v>減少↓</v>
      </c>
      <c r="Q156" s="212" t="str">
        <f>IF(E156="","",IF(AND(E156&lt;G156,O156&gt;=1.5),"売り▼",IF(E156&gt;G156,"様子見▲","中立→")))</f>
        <v>様子見▲</v>
      </c>
      <c r="R156" s="333">
        <f>IF(E156&lt;&gt;"",ROUND(E156*0.92,0),"")</f>
        <v>1742</v>
      </c>
      <c r="S156" s="333">
        <f>IF(E156&lt;&gt;"",ROUND(E156*1.04,0),"")</f>
        <v>1969</v>
      </c>
      <c r="T156" s="325">
        <f>IF(C156="","",IFERROR(IF(W156&gt;=70,3,IF(W156&gt;=60,2,IF(W156&gt;=50,1,0)))+IF(X156&lt;0,2,0)+IF(AD156="下降トレンド▼",3,IF(AD156="もみ合い→",1,0))+IF(V156="年初来安値圏●",3,IF(V156="安値圏",2,0))+IF(Q156="売り▼",2,0)+IF(P156="急増↑↑",2,IF(P156="増加↑",1,0))+IF(Z156&lt;0,1,0)+IF(L156&lt;=-30,2,IF(L156&lt;=-15,1,0))+IF(AE156="25日戻り売り★",2,IF(AE156="5日戻り売り○",1,0))+N(AL156)+N(AP156)+N(AU156),0))</f>
        <v>2</v>
      </c>
      <c r="U156" s="212" t="str">
        <f>IF(T156="","",IF(AND(T156&gt;=3,O156&gt;=1.5),"有効",IF(T156&gt;=3,"要確認","除外")))</f>
        <v>除外</v>
      </c>
      <c r="V156" s="212" t="str">
        <f>IF(AND(I156&lt;&gt;"",K156&lt;&gt;""),IF(I156&lt;=K156*0.6,"年初来安値圏●",IF(I156&lt;=K156*0.75,"安値圏","通常")),"")</f>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IF(AF156="","",AF156&amp;" | "&amp;AD156&amp;IF(AE156&lt;&gt;"なし"," "&amp;AE156,"")&amp;IF(X156&lt;0," MACD-"," MACD+")&amp;" RSI:"&amp;TEXT(W156,"0.0")&amp;IF(W156&gt;=70," [過熱]",IF(W156&lt;=30," [売られ過ぎ]",""))&amp;" 前日比:"&amp;TEXT(Z156,"+0.0;-0.0;0.0")&amp;"%"&amp;IF(V156="年初来安値圏●"," [年初来安値圏]",IF(V156="安値圏"," [安値圏]",""))&amp;IF(OR(AO156="通常",AO156="-"),""," ["&amp;AO156&amp;"]")&amp;IF(OR(AT156="通常",AT156="-"),"","前日["&amp;AT156&amp;"]")&amp;" ["&amp;T156&amp;"点]")</f>
        <v>相場上昇・見送り | パーフェクト▲ MACD+ RSI:50.3 前日比:+1.5% [安値圏] [2点]</v>
      </c>
      <c r="Z156" s="338">
        <f>IF(AND(E156&lt;&gt;"",G156&lt;&gt;"",G156&lt;&gt;0),(E156-G156)/G156*100,"")</f>
        <v>1.5013404825737267</v>
      </c>
      <c r="AA156" s="212" t="str">
        <f>IF(OR(C156="",E156="",E156=0),"",IF(E156&gt;G156,"上昇▲",IF(E156&lt;G156,"下落▼","横ばい→")))</f>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IF(OR(C156="",AB156="",AC156="",AB156=0,AC156=0),"",IF(AND(E156&gt;AB156,AB156&gt;AC156),"パーフェクト▲",IF(E156&gt;AC156,"上昇トレンド▲",IF(AND(E156&lt;AB156,AB156&lt;AC156),"下降トレンド▼","もみ合い→"))))</f>
        <v>パーフェクト▲</v>
      </c>
      <c r="AE156" s="212" t="str">
        <f>IF(OR(C156="",AB156="",AC156=""),"",IF(AND(ABS(E156-AC156)/AC156&lt;=0.02,E156&lt;AC156),"25日戻り売り★",IF(AND(ABS(E156-AB156)/AB156&lt;=0.01,E156&lt;AB156),"5日戻り売り○","なし")))</f>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IF(AND(T156&gt;=7,C156&lt;&gt;""),T156,0)</f>
        <v>0</v>
      </c>
      <c r="AH156">
        <f>IF(AG156&gt;0,AG156*10000-ROW(A156),0)</f>
        <v>0</v>
      </c>
      <c r="AI156" s="373">
        <f t="array" ref="AI156">IF(C156="","",IFERROR((INDEX(終値!$E:$E,MATCH(TEXT(C156,"0"),終値!$A:$A,0))-INDEX(終値!$E:$CZ,MATCH(TEXT(C156,"0"),終値!$A:$A,0),$AN$2))/INDEX(終値!$E:$CZ,MATCH(TEXT(C156,"0"),終値!$A:$A,0),$AN$2)*100,""))</f>
        <v>10.122164048865621</v>
      </c>
      <c r="AJ156" s="373">
        <f t="array" ref="AJ156">IFERROR((終値!$E$5-INDEX(終値!$E$5:$IT$5,1,$AN$2))/INDEX(終値!$E$5:$IT$5,1,$AN$2)*100,"")</f>
        <v>1.0179378228534113</v>
      </c>
      <c r="AK156" s="374">
        <f>IF(OR(AI156="",AJ156=""),"",AI156-AJ156)</f>
        <v>9.1042262260122087</v>
      </c>
      <c r="AL156" s="372">
        <f>IF(AK156="","",IF(AK156&lt;-5,3,IF(AK156&lt;0,1,IF(AK156&lt;3,-1,-2))))</f>
        <v>-2</v>
      </c>
      <c r="AO156" s="376" t="str">
        <f>IF(OR($C156="",$E156="",$F156="",$H156="",$I156="",$H156-$I156&lt;=0),"-",IF(AND($H156-MAX($F156,$E156)&gt;=ABS($E156-$F156)*2,MIN($F156,$E156)-$I156&lt;=ABS($E156-$F156)*0.5,ABS($E156-$F156)&gt;0),"上ヒゲ陰線▼",IF(AND($E156&lt;$F156,ABS($E156-$F156)&gt;=($H156-$I156)*0.7),"大陰線▼",IF(AND(MIN($F156,$E156)-$I156&gt;=($H156-$I156)*0.5,$H156-MAX($F156,$E156)&lt;=($H156-$I156)*0.2),"長い下ヒゲ(反発警戒)","通常"))))</f>
        <v>通常</v>
      </c>
      <c r="AP156" s="377">
        <f>IF($AO156="上ヒゲ陰線▼",2,IF($AO156="大陰線▼",2,IF($AO156="長い下ヒゲ(反発警戒)",-2,0)))</f>
        <v>0</v>
      </c>
      <c r="AQ156">
        <f>IF(C156&lt;&gt;"",始値!F180,"")</f>
        <v>1866</v>
      </c>
      <c r="AR156">
        <f>IF(C156&lt;&gt;"",高値!F180,"")</f>
        <v>1873</v>
      </c>
      <c r="AS156">
        <f>IF(C156&lt;&gt;"",安値!F180,"")</f>
        <v>1852</v>
      </c>
      <c r="AT156" t="str">
        <f>IF(OR(C156="",AQ156="",AR156="",AS156="",AR156-AS156&lt;=0),"-",IF(AND(AR156-MAX(G156,AQ156)&gt;=ABS(G156-AQ156)*2,MIN(G156,AQ156)-AS156&lt;=ABS(G156-AQ156)*0.5,ABS(G156-AQ156)&gt;0),"上ヒゲ陰線▼",IF(AND(G156&lt;AQ156,ABS(G156-AQ156)&gt;=(AR156-AS156)*0.7),"大陰線▼",IF(AND(MIN(G156,AQ156)-AS156&gt;=(AR156-AS156)*0.5,AR156-MAX(G156,AQ156)&lt;=(AR156-AS156)*0.2),"長い下ヒゲ(反発)","通常"))))</f>
        <v>通常</v>
      </c>
      <c r="AU156">
        <f>IF(AT156="上ヒゲ陰線▼",2,IF(AT156="大陰線▼",2,IF(AT156="長い下ヒゲ(反発)",-2,0)))</f>
        <v>0</v>
      </c>
      <c r="BA156">
        <f>IFERROR((SUM(OFFSET(高値!$E$6,IFERROR(MATCH($C156,銘柄管理!$B$6:$B$305,0),MATCH(TEXT($C156,"0"),銘柄管理!$B$6:$B$305,0))-1,0,1,14))-SUM(OFFSET(安値!$E$6,IFERROR(MATCH($C156,銘柄管理!$B$6:$B$305,0),MATCH(TEXT($C156,"0"),銘柄管理!$B$6:$B$305,0))-1,0,1,14)))/SUM(OFFSET(終値!$E$6,IFERROR(MATCH($C156,銘柄管理!$B$6:$B$305,0),MATCH(TEXT($C156,"0"),銘柄管理!$B$6:$B$305,0))-1,0,1,14))*100,"")</f>
      </c>
      <c r="BB156">
        <f>IFERROR((MAX(OFFSET(高値!$E$6,IFERROR(MATCH($C156,銘柄管理!$B$6:$B$305,0),MATCH(TEXT($C156,"0"),銘柄管理!$B$6:$B$305,0))-1,0,1,25))-MIN(OFFSET(安値!$E$6,IFERROR(MATCH($C156,銘柄管理!$B$6:$B$305,0),MATCH(TEXT($C156,"0"),銘柄管理!$B$6:$B$305,0))-1,0,1,25)))/$E156*100,"")</f>
      </c>
      <c r="BC156">
        <f>IFERROR(($F156-$G156)/$G156*100,"")</f>
      </c>
      <c r="BD156">
        <f>IFERROR(($E156-MAX(OFFSET(高値!$E$6,IFERROR(MATCH($C156,銘柄管理!$B$6:$B$305,0),MATCH(TEXT($C156,"0"),銘柄管理!$B$6:$B$305,0))-1,0,1,25)))/MAX(OFFSET(高値!$E$6,IFERROR(MATCH($C156,銘柄管理!$B$6:$B$305,0),MATCH(TEXT($C156,"0"),銘柄管理!$B$6:$B$305,0))-1,0,1,25))*100,"")</f>
      </c>
      <c r="BE156">
        <f>IFERROR(($H156-$I156)/$F156*100,"")</f>
      </c>
      <c r="BF156">
        <f>IFERROR(-(($BA156-AVERAGE($BA$3:$BA$206))/STDEV($BA$3:$BA$206))-(($BE156-AVERAGE($BE$3:$BE$206))/STDEV($BE$3:$BE$206))-(($BB156-AVERAGE($BB$3:$BB$206))/STDEV($BB$3:$BB$206))-(($Z156-AVERAGE($Z$3:$Z$206))/STDEV($Z$3:$Z$206))-(($BC156-AVERAGE($BC$3:$BC$206))/STDEV($BC$3:$BC$206)),"")</f>
      </c>
      <c r="BG156">
        <f>IF(OR($C156="",$C156="TOPX",$BA156="",$BF156=""),0,IF(AND($BK$10=1,$BA156&lt;=$BK$2,$BB156&lt;=$BK$3,$BC156&lt;=$BK$4,$Z156&lt;=$BK$5,$Z156&gt;=$BK$6,$BD156&gt;=$BK$7,$BE156&lt;=$BK$8),1,0))</f>
      </c>
      <c r="BH156">
        <f>IF($C156="","",IF($BG156=1,"○ゲート通過",IF($BK$10&lt;&gt;1,"― この方向は停止中",IF($BA156&gt;$BK$2,"×値動きが荒い",IF($BB156&gt;$BK$3,"×レンジが広い",IF($BC156&gt;$BK$4,"×窓を開けて上昇",IF($Z156&gt;$BK$5,"×前日に急騰",IF($Z156&lt;$BK$6,"×前日に急落",IF($BD156&lt;$BK$7,"×高値から離れすぎ",IF($BE156&gt;$BK$8,"×当日の値幅が大きい","×")))))))))</f>
      </c>
    </row>
    <row r="157" spans="1:60"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IF(AND(E157&lt;&gt;"",K157&lt;&gt;"",K157&lt;&gt;0),(E157-K157)/K157*100,"")</f>
        <v>-19.308231173380037</v>
      </c>
      <c r="M157" s="326">
        <f>IF(C157&lt;&gt;"",IFERROR(AVERAGE(出来高!E181:I181),""),"")</f>
        <v>1023140</v>
      </c>
      <c r="N157" s="326">
        <f>IF(C157&lt;&gt;"",IFERROR(AVERAGE(出来高!E181:AC181),""),"")</f>
        <v>932964</v>
      </c>
      <c r="O157" s="328">
        <f>IF(AND(J157&lt;&gt;"",M157&lt;&gt;"",M157&lt;&gt;0),J157/M157,"")</f>
        <v>0.91101901987997735</v>
      </c>
      <c r="P157" s="325" t="str">
        <f>IF(O157="","",IF(O157&gt;=2,"急増↑↑",IF(O157&gt;=1.5,"増加↑",IF(O157&gt;=1,"普通→","減少↓"))))</f>
        <v>減少↓</v>
      </c>
      <c r="Q157" s="325" t="str">
        <f>IF(E157="","",IF(AND(E157&lt;G157,O157&gt;=1.5),"売り▼",IF(E157&gt;G157,"様子見▲","中立→")))</f>
        <v>様子見▲</v>
      </c>
      <c r="R157" s="326">
        <f>IF(E157&lt;&gt;"",ROUND(E157*0.92,0),"")</f>
        <v>848</v>
      </c>
      <c r="S157" s="326">
        <f>IF(E157&lt;&gt;"",ROUND(E157*1.04,0),"")</f>
        <v>958</v>
      </c>
      <c r="T157" s="325">
        <f>IF(C157="","",IFERROR(IF(W157&gt;=70,3,IF(W157&gt;=60,2,IF(W157&gt;=50,1,0)))+IF(X157&lt;0,2,0)+IF(AD157="下降トレンド▼",3,IF(AD157="もみ合い→",1,0))+IF(V157="年初来安値圏●",3,IF(V157="安値圏",2,0))+IF(Q157="売り▼",2,0)+IF(P157="急増↑↑",2,IF(P157="増加↑",1,0))+IF(Z157&lt;0,1,0)+IF(L157&lt;=-30,2,IF(L157&lt;=-15,1,0))+IF(AE157="25日戻り売り★",2,IF(AE157="5日戻り売り○",1,0))+N(AL157)+N(AP157)+N(AU157),0))</f>
        <v>5</v>
      </c>
      <c r="U157" s="325" t="str">
        <f>IF(T157="","",IF(AND(T157&gt;=3,O157&gt;=1.5),"有効",IF(T157&gt;=3,"要確認","除外")))</f>
        <v>要確認</v>
      </c>
      <c r="V157" s="325" t="str">
        <f>IF(AND(I157&lt;&gt;"",K157&lt;&gt;""),IF(I157&lt;=K157*0.6,"年初来安値圏●",IF(I157&lt;=K157*0.75,"安値圏","通常")),"")</f>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IF(AF157="","",AF157&amp;" | "&amp;AD157&amp;IF(AE157&lt;&gt;"なし"," "&amp;AE157,"")&amp;IF(X157&lt;0," MACD-"," MACD+")&amp;" RSI:"&amp;TEXT(W157,"0.0")&amp;IF(W157&gt;=70," [過熱]",IF(W157&lt;=30," [売られ過ぎ]",""))&amp;" 前日比:"&amp;TEXT(Z157,"+0.0;-0.0;0.0")&amp;"%"&amp;IF(V157="年初来安値圏●"," [年初来安値圏]",IF(V157="安値圏"," [安値圏]",""))&amp;IF(OR(AO157="通常",AO157="-"),""," ["&amp;AO157&amp;"]")&amp;IF(OR(AT157="通常",AT157="-"),"","前日["&amp;AT157&amp;"]")&amp;" ["&amp;T157&amp;"点]")</f>
        <v>★逆張り売り | 下降トレンド▼ 25日戻り売り★ MACD+ RSI:51.3 前日比:+0.6% [5点]</v>
      </c>
      <c r="Z157" s="331">
        <f>IF(AND(E157&lt;&gt;"",G157&lt;&gt;"",G157&lt;&gt;0),(E157-G157)/G157*100,"")</f>
        <v>0.62240663900415438</v>
      </c>
      <c r="AA157" s="325" t="str">
        <f>IF(OR(C157="",E157="",E157=0),"",IF(E157&gt;G157,"上昇▲",IF(E157&lt;G157,"下落▼","横ばい→")))</f>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IF(OR(C157="",AB157="",AC157="",AB157=0,AC157=0),"",IF(AND(E157&gt;AB157,AB157&gt;AC157),"パーフェクト▲",IF(E157&gt;AC157,"上昇トレンド▲",IF(AND(E157&lt;AB157,AB157&lt;AC157),"下降トレンド▼","もみ合い→"))))</f>
        <v>下降トレンド▼</v>
      </c>
      <c r="AE157" s="325" t="str">
        <f>IF(OR(C157="",AB157="",AC157=""),"",IF(AND(ABS(E157-AC157)/AC157&lt;=0.02,E157&lt;AC157),"25日戻り売り★",IF(AND(ABS(E157-AB157)/AB157&lt;=0.01,E157&lt;AB157),"5日戻り売り○","なし")))</f>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IF(AND(T157&gt;=7,C157&lt;&gt;""),T157,0)</f>
        <v>0</v>
      </c>
      <c r="AH157">
        <f>IF(AG157&gt;0,AG157*10000-ROW(A157),0)</f>
        <v>0</v>
      </c>
      <c r="AI157" s="373">
        <f t="array" ref="AI157">IF(C157="","",IFERROR((INDEX(終値!$E:$E,MATCH(TEXT(C157,"0"),終値!$A:$A,0))-INDEX(終値!$E:$CZ,MATCH(TEXT(C157,"0"),終値!$A:$A,0),$AN$2))/INDEX(終値!$E:$CZ,MATCH(TEXT(C157,"0"),終値!$A:$A,0),$AN$2)*100,""))</f>
        <v>5.3142857142857141</v>
      </c>
      <c r="AJ157" s="373">
        <f t="array" ref="AJ157">IFERROR((終値!$E$5-INDEX(終値!$E$5:$IT$5,1,$AN$2))/INDEX(終値!$E$5:$IT$5,1,$AN$2)*100,"")</f>
        <v>1.0179378228534113</v>
      </c>
      <c r="AK157" s="374">
        <f>IF(OR(AI157="",AJ157=""),"",AI157-AJ157)</f>
        <v>4.296347891432303</v>
      </c>
      <c r="AL157" s="372">
        <f>IF(AK157="","",IF(AK157&lt;-5,3,IF(AK157&lt;0,1,IF(AK157&lt;3,-1,-2))))</f>
        <v>-2</v>
      </c>
      <c r="AO157" s="376" t="str">
        <f>IF(OR($C157="",$E157="",$F157="",$H157="",$I157="",$H157-$I157&lt;=0),"-",IF(AND($H157-MAX($F157,$E157)&gt;=ABS($E157-$F157)*2,MIN($F157,$E157)-$I157&lt;=ABS($E157-$F157)*0.5,ABS($E157-$F157)&gt;0),"上ヒゲ陰線▼",IF(AND($E157&lt;$F157,ABS($E157-$F157)&gt;=($H157-$I157)*0.7),"大陰線▼",IF(AND(MIN($F157,$E157)-$I157&gt;=($H157-$I157)*0.5,$H157-MAX($F157,$E157)&lt;=($H157-$I157)*0.2),"長い下ヒゲ(反発警戒)","通常"))))</f>
        <v>通常</v>
      </c>
      <c r="AP157" s="377">
        <f>IF($AO157="上ヒゲ陰線▼",2,IF($AO157="大陰線▼",2,IF($AO157="長い下ヒゲ(反発警戒)",-2,0)))</f>
        <v>0</v>
      </c>
      <c r="AQ157">
        <f>IF(C157&lt;&gt;"",始値!F181,"")</f>
        <v>924.7</v>
      </c>
      <c r="AR157">
        <f>IF(C157&lt;&gt;"",高値!F181,"")</f>
        <v>939.6</v>
      </c>
      <c r="AS157">
        <f>IF(C157&lt;&gt;"",安値!F181,"")</f>
        <v>910.4</v>
      </c>
      <c r="AT157" t="str">
        <f>IF(OR(C157="",AQ157="",AR157="",AS157="",AR157-AS157&lt;=0),"-",IF(AND(AR157-MAX(G157,AQ157)&gt;=ABS(G157-AQ157)*2,MIN(G157,AQ157)-AS157&lt;=ABS(G157-AQ157)*0.5,ABS(G157-AQ157)&gt;0),"上ヒゲ陰線▼",IF(AND(G157&lt;AQ157,ABS(G157-AQ157)&gt;=(AR157-AS157)*0.7),"大陰線▼",IF(AND(MIN(G157,AQ157)-AS157&gt;=(AR157-AS157)*0.5,AR157-MAX(G157,AQ157)&lt;=(AR157-AS157)*0.2),"長い下ヒゲ(反発)","通常"))))</f>
        <v>通常</v>
      </c>
      <c r="AU157">
        <f>IF(AT157="上ヒゲ陰線▼",2,IF(AT157="大陰線▼",2,IF(AT157="長い下ヒゲ(反発)",-2,0)))</f>
        <v>0</v>
      </c>
      <c r="BA157">
        <f>IFERROR((SUM(OFFSET(高値!$E$6,IFERROR(MATCH($C157,銘柄管理!$B$6:$B$305,0),MATCH(TEXT($C157,"0"),銘柄管理!$B$6:$B$305,0))-1,0,1,14))-SUM(OFFSET(安値!$E$6,IFERROR(MATCH($C157,銘柄管理!$B$6:$B$305,0),MATCH(TEXT($C157,"0"),銘柄管理!$B$6:$B$305,0))-1,0,1,14)))/SUM(OFFSET(終値!$E$6,IFERROR(MATCH($C157,銘柄管理!$B$6:$B$305,0),MATCH(TEXT($C157,"0"),銘柄管理!$B$6:$B$305,0))-1,0,1,14))*100,"")</f>
      </c>
      <c r="BB157">
        <f>IFERROR((MAX(OFFSET(高値!$E$6,IFERROR(MATCH($C157,銘柄管理!$B$6:$B$305,0),MATCH(TEXT($C157,"0"),銘柄管理!$B$6:$B$305,0))-1,0,1,25))-MIN(OFFSET(安値!$E$6,IFERROR(MATCH($C157,銘柄管理!$B$6:$B$305,0),MATCH(TEXT($C157,"0"),銘柄管理!$B$6:$B$305,0))-1,0,1,25)))/$E157*100,"")</f>
      </c>
      <c r="BC157">
        <f>IFERROR(($F157-$G157)/$G157*100,"")</f>
      </c>
      <c r="BD157">
        <f>IFERROR(($E157-MAX(OFFSET(高値!$E$6,IFERROR(MATCH($C157,銘柄管理!$B$6:$B$305,0),MATCH(TEXT($C157,"0"),銘柄管理!$B$6:$B$305,0))-1,0,1,25)))/MAX(OFFSET(高値!$E$6,IFERROR(MATCH($C157,銘柄管理!$B$6:$B$305,0),MATCH(TEXT($C157,"0"),銘柄管理!$B$6:$B$305,0))-1,0,1,25))*100,"")</f>
      </c>
      <c r="BE157">
        <f>IFERROR(($H157-$I157)/$F157*100,"")</f>
      </c>
      <c r="BF157">
        <f>IFERROR(-(($BA157-AVERAGE($BA$3:$BA$206))/STDEV($BA$3:$BA$206))-(($BE157-AVERAGE($BE$3:$BE$206))/STDEV($BE$3:$BE$206))-(($BB157-AVERAGE($BB$3:$BB$206))/STDEV($BB$3:$BB$206))-(($Z157-AVERAGE($Z$3:$Z$206))/STDEV($Z$3:$Z$206))-(($BC157-AVERAGE($BC$3:$BC$206))/STDEV($BC$3:$BC$206)),"")</f>
      </c>
      <c r="BG157">
        <f>IF(OR($C157="",$C157="TOPX",$BA157="",$BF157=""),0,IF(AND($BK$10=1,$BA157&lt;=$BK$2,$BB157&lt;=$BK$3,$BC157&lt;=$BK$4,$Z157&lt;=$BK$5,$Z157&gt;=$BK$6,$BD157&gt;=$BK$7,$BE157&lt;=$BK$8),1,0))</f>
      </c>
      <c r="BH157">
        <f>IF($C157="","",IF($BG157=1,"○ゲート通過",IF($BK$10&lt;&gt;1,"― この方向は停止中",IF($BA157&gt;$BK$2,"×値動きが荒い",IF($BB157&gt;$BK$3,"×レンジが広い",IF($BC157&gt;$BK$4,"×窓を開けて上昇",IF($Z157&gt;$BK$5,"×前日に急騰",IF($Z157&lt;$BK$6,"×前日に急落",IF($BD157&lt;$BK$7,"×高値から離れすぎ",IF($BE157&gt;$BK$8,"×当日の値幅が大きい","×")))))))))</f>
      </c>
    </row>
    <row r="158" spans="1:60"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IF(AND(E158&lt;&gt;"",K158&lt;&gt;"",K158&lt;&gt;0),(E158-K158)/K158*100,"")</f>
        <v>-13.36996336996337</v>
      </c>
      <c r="M158" s="333">
        <f>IF(C158&lt;&gt;"",IFERROR(AVERAGE(出来高!E182:I182),""),"")</f>
        <v>11960</v>
      </c>
      <c r="N158" s="333">
        <f>IF(C158&lt;&gt;"",IFERROR(AVERAGE(出来高!E182:AC182),""),"")</f>
        <v>14184</v>
      </c>
      <c r="O158" s="335">
        <f>IF(AND(J158&lt;&gt;"",M158&lt;&gt;"",M158&lt;&gt;0),J158/M158,"")</f>
        <v>0.64381270903010035</v>
      </c>
      <c r="P158" s="212" t="str">
        <f>IF(O158="","",IF(O158&gt;=2,"急増↑↑",IF(O158&gt;=1.5,"増加↑",IF(O158&gt;=1,"普通→","減少↓"))))</f>
        <v>減少↓</v>
      </c>
      <c r="Q158" s="212" t="str">
        <f>IF(E158="","",IF(AND(E158&lt;G158,O158&gt;=1.5),"売り▼",IF(E158&gt;G158,"様子見▲","中立→")))</f>
        <v>様子見▲</v>
      </c>
      <c r="R158" s="333">
        <f>IF(E158&lt;&gt;"",ROUND(E158*0.92,0),"")</f>
        <v>2176</v>
      </c>
      <c r="S158" s="333">
        <f>IF(E158&lt;&gt;"",ROUND(E158*1.04,0),"")</f>
        <v>2460</v>
      </c>
      <c r="T158" s="325">
        <f>IF(C158="","",IFERROR(IF(W158&gt;=70,3,IF(W158&gt;=60,2,IF(W158&gt;=50,1,0)))+IF(X158&lt;0,2,0)+IF(AD158="下降トレンド▼",3,IF(AD158="もみ合い→",1,0))+IF(V158="年初来安値圏●",3,IF(V158="安値圏",2,0))+IF(Q158="売り▼",2,0)+IF(P158="急増↑↑",2,IF(P158="増加↑",1,0))+IF(Z158&lt;0,1,0)+IF(L158&lt;=-30,2,IF(L158&lt;=-15,1,0))+IF(AE158="25日戻り売り★",2,IF(AE158="5日戻り売り○",1,0))+N(AL158)+N(AP158)+N(AU158),0))</f>
        <v>2</v>
      </c>
      <c r="U158" s="212" t="str">
        <f>IF(T158="","",IF(AND(T158&gt;=3,O158&gt;=1.5),"有効",IF(T158&gt;=3,"要確認","除外")))</f>
        <v>除外</v>
      </c>
      <c r="V158" s="212" t="str">
        <f>IF(AND(I158&lt;&gt;"",K158&lt;&gt;""),IF(I158&lt;=K158*0.6,"年初来安値圏●",IF(I158&lt;=K158*0.75,"安値圏","通常")),"")</f>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IF(AF158="","",AF158&amp;" | "&amp;AD158&amp;IF(AE158&lt;&gt;"なし"," "&amp;AE158,"")&amp;IF(X158&lt;0," MACD-"," MACD+")&amp;" RSI:"&amp;TEXT(W158,"0.0")&amp;IF(W158&gt;=70," [過熱]",IF(W158&lt;=30," [売られ過ぎ]",""))&amp;" 前日比:"&amp;TEXT(Z158,"+0.0;-0.0;0.0")&amp;"%"&amp;IF(V158="年初来安値圏●"," [年初来安値圏]",IF(V158="安値圏"," [安値圏]",""))&amp;IF(OR(AO158="通常",AO158="-"),""," ["&amp;AO158&amp;"]")&amp;IF(OR(AT158="通常",AT158="-"),"","前日["&amp;AT158&amp;"]")&amp;" ["&amp;T158&amp;"点]")</f>
        <v>相場上昇・見送り | パーフェクト▲ MACD+ RSI:53.3 前日比:+1.2%前日[大陰線▼] [2点]</v>
      </c>
      <c r="Z158" s="338">
        <f>IF(AND(E158&lt;&gt;"",G158&lt;&gt;"",G158&lt;&gt;0),(E158-G158)/G158*100,"")</f>
        <v>1.2414383561643836</v>
      </c>
      <c r="AA158" s="212" t="str">
        <f>IF(OR(C158="",E158="",E158=0),"",IF(E158&gt;G158,"上昇▲",IF(E158&lt;G158,"下落▼","横ばい→")))</f>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IF(OR(C158="",AB158="",AC158="",AB158=0,AC158=0),"",IF(AND(E158&gt;AB158,AB158&gt;AC158),"パーフェクト▲",IF(E158&gt;AC158,"上昇トレンド▲",IF(AND(E158&lt;AB158,AB158&lt;AC158),"下降トレンド▼","もみ合い→"))))</f>
        <v>パーフェクト▲</v>
      </c>
      <c r="AE158" s="212" t="str">
        <f>IF(OR(C158="",AB158="",AC158=""),"",IF(AND(ABS(E158-AC158)/AC158&lt;=0.02,E158&lt;AC158),"25日戻り売り★",IF(AND(ABS(E158-AB158)/AB158&lt;=0.01,E158&lt;AB158),"5日戻り売り○","なし")))</f>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IF(AND(T158&gt;=7,C158&lt;&gt;""),T158,0)</f>
        <v>0</v>
      </c>
      <c r="AH158">
        <f>IF(AG158&gt;0,AG158*10000-ROW(A158),0)</f>
        <v>0</v>
      </c>
      <c r="AI158" s="373">
        <f t="array" ref="AI158">IF(C158="","",IFERROR((INDEX(終値!$E:$E,MATCH(TEXT(C158,"0"),終値!$A:$A,0))-INDEX(終値!$E:$CZ,MATCH(TEXT(C158,"0"),終値!$A:$A,0),$AN$2))/INDEX(終値!$E:$CZ,MATCH(TEXT(C158,"0"),終値!$A:$A,0),$AN$2)*100,""))</f>
        <v>4.0017590149516273</v>
      </c>
      <c r="AJ158" s="373">
        <f t="array" ref="AJ158">IFERROR((終値!$E$5-INDEX(終値!$E$5:$IT$5,1,$AN$2))/INDEX(終値!$E$5:$IT$5,1,$AN$2)*100,"")</f>
        <v>1.0179378228534113</v>
      </c>
      <c r="AK158" s="374">
        <f>IF(OR(AI158="",AJ158=""),"",AI158-AJ158)</f>
        <v>2.9838211920982163</v>
      </c>
      <c r="AL158" s="372">
        <f>IF(AK158="","",IF(AK158&lt;-5,3,IF(AK158&lt;0,1,IF(AK158&lt;3,-1,-2))))</f>
        <v>-1</v>
      </c>
      <c r="AO158" s="376" t="str">
        <f>IF(OR($C158="",$E158="",$F158="",$H158="",$I158="",$H158-$I158&lt;=0),"-",IF(AND($H158-MAX($F158,$E158)&gt;=ABS($E158-$F158)*2,MIN($F158,$E158)-$I158&lt;=ABS($E158-$F158)*0.5,ABS($E158-$F158)&gt;0),"上ヒゲ陰線▼",IF(AND($E158&lt;$F158,ABS($E158-$F158)&gt;=($H158-$I158)*0.7),"大陰線▼",IF(AND(MIN($F158,$E158)-$I158&gt;=($H158-$I158)*0.5,$H158-MAX($F158,$E158)&lt;=($H158-$I158)*0.2),"長い下ヒゲ(反発警戒)","通常"))))</f>
        <v>通常</v>
      </c>
      <c r="AP158" s="377">
        <f>IF($AO158="上ヒゲ陰線▼",2,IF($AO158="大陰線▼",2,IF($AO158="長い下ヒゲ(反発警戒)",-2,0)))</f>
        <v>0</v>
      </c>
      <c r="AQ158">
        <f>IF(C158&lt;&gt;"",始値!F182,"")</f>
        <v>2357</v>
      </c>
      <c r="AR158">
        <f>IF(C158&lt;&gt;"",高値!F182,"")</f>
        <v>2358</v>
      </c>
      <c r="AS158">
        <f>IF(C158&lt;&gt;"",安値!F182,"")</f>
        <v>2333</v>
      </c>
      <c r="AT158" t="str">
        <f>IF(OR(C158="",AQ158="",AR158="",AS158="",AR158-AS158&lt;=0),"-",IF(AND(AR158-MAX(G158,AQ158)&gt;=ABS(G158-AQ158)*2,MIN(G158,AQ158)-AS158&lt;=ABS(G158-AQ158)*0.5,ABS(G158-AQ158)&gt;0),"上ヒゲ陰線▼",IF(AND(G158&lt;AQ158,ABS(G158-AQ158)&gt;=(AR158-AS158)*0.7),"大陰線▼",IF(AND(MIN(G158,AQ158)-AS158&gt;=(AR158-AS158)*0.5,AR158-MAX(G158,AQ158)&lt;=(AR158-AS158)*0.2),"長い下ヒゲ(反発)","通常"))))</f>
        <v>大陰線▼</v>
      </c>
      <c r="AU158">
        <f>IF(AT158="上ヒゲ陰線▼",2,IF(AT158="大陰線▼",2,IF(AT158="長い下ヒゲ(反発)",-2,0)))</f>
        <v>2</v>
      </c>
      <c r="BA158">
        <f>IFERROR((SUM(OFFSET(高値!$E$6,IFERROR(MATCH($C158,銘柄管理!$B$6:$B$305,0),MATCH(TEXT($C158,"0"),銘柄管理!$B$6:$B$305,0))-1,0,1,14))-SUM(OFFSET(安値!$E$6,IFERROR(MATCH($C158,銘柄管理!$B$6:$B$305,0),MATCH(TEXT($C158,"0"),銘柄管理!$B$6:$B$305,0))-1,0,1,14)))/SUM(OFFSET(終値!$E$6,IFERROR(MATCH($C158,銘柄管理!$B$6:$B$305,0),MATCH(TEXT($C158,"0"),銘柄管理!$B$6:$B$305,0))-1,0,1,14))*100,"")</f>
      </c>
      <c r="BB158">
        <f>IFERROR((MAX(OFFSET(高値!$E$6,IFERROR(MATCH($C158,銘柄管理!$B$6:$B$305,0),MATCH(TEXT($C158,"0"),銘柄管理!$B$6:$B$305,0))-1,0,1,25))-MIN(OFFSET(安値!$E$6,IFERROR(MATCH($C158,銘柄管理!$B$6:$B$305,0),MATCH(TEXT($C158,"0"),銘柄管理!$B$6:$B$305,0))-1,0,1,25)))/$E158*100,"")</f>
      </c>
      <c r="BC158">
        <f>IFERROR(($F158-$G158)/$G158*100,"")</f>
      </c>
      <c r="BD158">
        <f>IFERROR(($E158-MAX(OFFSET(高値!$E$6,IFERROR(MATCH($C158,銘柄管理!$B$6:$B$305,0),MATCH(TEXT($C158,"0"),銘柄管理!$B$6:$B$305,0))-1,0,1,25)))/MAX(OFFSET(高値!$E$6,IFERROR(MATCH($C158,銘柄管理!$B$6:$B$305,0),MATCH(TEXT($C158,"0"),銘柄管理!$B$6:$B$305,0))-1,0,1,25))*100,"")</f>
      </c>
      <c r="BE158">
        <f>IFERROR(($H158-$I158)/$F158*100,"")</f>
      </c>
      <c r="BF158">
        <f>IFERROR(-(($BA158-AVERAGE($BA$3:$BA$206))/STDEV($BA$3:$BA$206))-(($BE158-AVERAGE($BE$3:$BE$206))/STDEV($BE$3:$BE$206))-(($BB158-AVERAGE($BB$3:$BB$206))/STDEV($BB$3:$BB$206))-(($Z158-AVERAGE($Z$3:$Z$206))/STDEV($Z$3:$Z$206))-(($BC158-AVERAGE($BC$3:$BC$206))/STDEV($BC$3:$BC$206)),"")</f>
      </c>
      <c r="BG158">
        <f>IF(OR($C158="",$C158="TOPX",$BA158="",$BF158=""),0,IF(AND($BK$10=1,$BA158&lt;=$BK$2,$BB158&lt;=$BK$3,$BC158&lt;=$BK$4,$Z158&lt;=$BK$5,$Z158&gt;=$BK$6,$BD158&gt;=$BK$7,$BE158&lt;=$BK$8),1,0))</f>
      </c>
      <c r="BH158">
        <f>IF($C158="","",IF($BG158=1,"○ゲート通過",IF($BK$10&lt;&gt;1,"― この方向は停止中",IF($BA158&gt;$BK$2,"×値動きが荒い",IF($BB158&gt;$BK$3,"×レンジが広い",IF($BC158&gt;$BK$4,"×窓を開けて上昇",IF($Z158&gt;$BK$5,"×前日に急騰",IF($Z158&lt;$BK$6,"×前日に急落",IF($BD158&lt;$BK$7,"×高値から離れすぎ",IF($BE158&gt;$BK$8,"×当日の値幅が大きい","×")))))))))</f>
      </c>
    </row>
    <row r="159" spans="1:60"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IF(AND(E159&lt;&gt;"",K159&lt;&gt;"",K159&lt;&gt;0),(E159-K159)/K159*100,"")</f>
        <v>-20.351966873706004</v>
      </c>
      <c r="M159" s="326">
        <f>IF(C159&lt;&gt;"",IFERROR(AVERAGE(出来高!E184:I184),""),"")</f>
        <v>3419500</v>
      </c>
      <c r="N159" s="326">
        <f>IF(C159&lt;&gt;"",IFERROR(AVERAGE(出来高!E184:AC184),""),"")</f>
        <v>3138100</v>
      </c>
      <c r="O159" s="328">
        <f>IF(AND(J159&lt;&gt;"",M159&lt;&gt;"",M159&lt;&gt;0),J159/M159,"")</f>
        <v>0.6305892674367598</v>
      </c>
      <c r="P159" s="325" t="str">
        <f>IF(O159="","",IF(O159&gt;=2,"急増↑↑",IF(O159&gt;=1.5,"増加↑",IF(O159&gt;=1,"普通→","減少↓"))))</f>
        <v>減少↓</v>
      </c>
      <c r="Q159" s="325" t="str">
        <f>IF(E159="","",IF(AND(E159&lt;G159,O159&gt;=1.5),"売り▼",IF(E159&gt;G159,"様子見▲","中立→")))</f>
        <v>様子見▲</v>
      </c>
      <c r="R159" s="326">
        <f>IF(E159&lt;&gt;"",ROUND(E159*0.92,0),"")</f>
        <v>3539</v>
      </c>
      <c r="S159" s="326">
        <f>IF(E159&lt;&gt;"",ROUND(E159*1.04,0),"")</f>
        <v>4001</v>
      </c>
      <c r="T159" s="325">
        <f>IF(C159="","",IFERROR(IF(W159&gt;=70,3,IF(W159&gt;=60,2,IF(W159&gt;=50,1,0)))+IF(X159&lt;0,2,0)+IF(AD159="下降トレンド▼",3,IF(AD159="もみ合い→",1,0))+IF(V159="年初来安値圏●",3,IF(V159="安値圏",2,0))+IF(Q159="売り▼",2,0)+IF(P159="急増↑↑",2,IF(P159="増加↑",1,0))+IF(Z159&lt;0,1,0)+IF(L159&lt;=-30,2,IF(L159&lt;=-15,1,0))+IF(AE159="25日戻り売り★",2,IF(AE159="5日戻り売り○",1,0))+N(AL159)+N(AP159)+N(AU159),0))</f>
        <v>3</v>
      </c>
      <c r="U159" s="325" t="str">
        <f>IF(T159="","",IF(AND(T159&gt;=3,O159&gt;=1.5),"有効",IF(T159&gt;=3,"要確認","除外")))</f>
        <v>要確認</v>
      </c>
      <c r="V159" s="325" t="str">
        <f>IF(AND(I159&lt;&gt;"",K159&lt;&gt;""),IF(I159&lt;=K159*0.6,"年初来安値圏●",IF(I159&lt;=K159*0.75,"安値圏","通常")),"")</f>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IF(AF159="","",AF159&amp;" | "&amp;AD159&amp;IF(AE159&lt;&gt;"なし"," "&amp;AE159,"")&amp;IF(X159&lt;0," MACD-"," MACD+")&amp;" RSI:"&amp;TEXT(W159,"0.0")&amp;IF(W159&gt;=70," [過熱]",IF(W159&lt;=30," [売られ過ぎ]",""))&amp;" 前日比:"&amp;TEXT(Z159,"+0.0;-0.0;0.0")&amp;"%"&amp;IF(V159="年初来安値圏●"," [年初来安値圏]",IF(V159="安値圏"," [安値圏]",""))&amp;IF(OR(AO159="通常",AO159="-"),""," ["&amp;AO159&amp;"]")&amp;IF(OR(AT159="通常",AT159="-"),"","前日["&amp;AT159&amp;"]")&amp;" ["&amp;T159&amp;"点]")</f>
        <v>★逆張り売り | 下降トレンド▼ 25日戻り売り★ MACD+ RSI:56.4 前日比:+0.4%前日[長い下ヒゲ(反発)] [3点]</v>
      </c>
      <c r="Z159" s="331">
        <f>IF(AND(E159&lt;&gt;"",G159&lt;&gt;"",G159&lt;&gt;0),(E159-G159)/G159*100,"")</f>
        <v>0.44386422976501305</v>
      </c>
      <c r="AA159" s="325" t="str">
        <f>IF(OR(C159="",E159="",E159=0),"",IF(E159&gt;G159,"上昇▲",IF(E159&lt;G159,"下落▼","横ばい→")))</f>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IF(OR(C159="",AB159="",AC159="",AB159=0,AC159=0),"",IF(AND(E159&gt;AB159,AB159&gt;AC159),"パーフェクト▲",IF(E159&gt;AC159,"上昇トレンド▲",IF(AND(E159&lt;AB159,AB159&lt;AC159),"下降トレンド▼","もみ合い→"))))</f>
        <v>下降トレンド▼</v>
      </c>
      <c r="AE159" s="325" t="str">
        <f>IF(OR(C159="",AB159="",AC159=""),"",IF(AND(ABS(E159-AC159)/AC159&lt;=0.02,E159&lt;AC159),"25日戻り売り★",IF(AND(ABS(E159-AB159)/AB159&lt;=0.01,E159&lt;AB159),"5日戻り売り○","なし")))</f>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IF(AND(T159&gt;=7,C159&lt;&gt;""),T159,0)</f>
        <v>0</v>
      </c>
      <c r="AH159">
        <f>IF(AG159&gt;0,AG159*10000-ROW(A159),0)</f>
        <v>0</v>
      </c>
      <c r="AI159" s="373">
        <f t="array" ref="AI159">IF(C159="","",IFERROR((INDEX(終値!$E:$E,MATCH(TEXT(C159,"0"),終値!$A:$A,0))-INDEX(終値!$E:$CZ,MATCH(TEXT(C159,"0"),終値!$A:$A,0),$AN$2))/INDEX(終値!$E:$CZ,MATCH(TEXT(C159,"0"),終値!$A:$A,0),$AN$2)*100,""))</f>
        <v>13.682033096926713</v>
      </c>
      <c r="AJ159" s="373">
        <f t="array" ref="AJ159">IFERROR((終値!$E$5-INDEX(終値!$E$5:$IT$5,1,$AN$2))/INDEX(終値!$E$5:$IT$5,1,$AN$2)*100,"")</f>
        <v>1.0179378228534113</v>
      </c>
      <c r="AK159" s="374">
        <f>IF(OR(AI159="",AJ159=""),"",AI159-AJ159)</f>
        <v>12.664095274073301</v>
      </c>
      <c r="AL159" s="372">
        <f>IF(AK159="","",IF(AK159&lt;-5,3,IF(AK159&lt;0,1,IF(AK159&lt;3,-1,-2))))</f>
        <v>-2</v>
      </c>
      <c r="AO159" s="376" t="str">
        <f>IF(OR($C159="",$E159="",$F159="",$H159="",$I159="",$H159-$I159&lt;=0),"-",IF(AND($H159-MAX($F159,$E159)&gt;=ABS($E159-$F159)*2,MIN($F159,$E159)-$I159&lt;=ABS($E159-$F159)*0.5,ABS($E159-$F159)&gt;0),"上ヒゲ陰線▼",IF(AND($E159&lt;$F159,ABS($E159-$F159)&gt;=($H159-$I159)*0.7),"大陰線▼",IF(AND(MIN($F159,$E159)-$I159&gt;=($H159-$I159)*0.5,$H159-MAX($F159,$E159)&lt;=($H159-$I159)*0.2),"長い下ヒゲ(反発警戒)","通常"))))</f>
        <v>通常</v>
      </c>
      <c r="AP159" s="377">
        <f>IF($AO159="上ヒゲ陰線▼",2,IF($AO159="大陰線▼",2,IF($AO159="長い下ヒゲ(反発警戒)",-2,0)))</f>
        <v>0</v>
      </c>
      <c r="AQ159">
        <f>IF(C159&lt;&gt;"",始値!F184,"")</f>
        <v>3840</v>
      </c>
      <c r="AR159">
        <f>IF(C159&lt;&gt;"",高値!F184,"")</f>
        <v>3844</v>
      </c>
      <c r="AS159">
        <f>IF(C159&lt;&gt;"",安値!F184,"")</f>
        <v>3764</v>
      </c>
      <c r="AT159" t="str">
        <f>IF(OR(C159="",AQ159="",AR159="",AS159="",AR159-AS159&lt;=0),"-",IF(AND(AR159-MAX(G159,AQ159)&gt;=ABS(G159-AQ159)*2,MIN(G159,AQ159)-AS159&lt;=ABS(G159-AQ159)*0.5,ABS(G159-AQ159)&gt;0),"上ヒゲ陰線▼",IF(AND(G159&lt;AQ159,ABS(G159-AQ159)&gt;=(AR159-AS159)*0.7),"大陰線▼",IF(AND(MIN(G159,AQ159)-AS159&gt;=(AR159-AS159)*0.5,AR159-MAX(G159,AQ159)&lt;=(AR159-AS159)*0.2),"長い下ヒゲ(反発)","通常"))))</f>
        <v>長い下ヒゲ(反発)</v>
      </c>
      <c r="AU159">
        <f>IF(AT159="上ヒゲ陰線▼",2,IF(AT159="大陰線▼",2,IF(AT159="長い下ヒゲ(反発)",-2,0)))</f>
        <v>-2</v>
      </c>
      <c r="BA159">
        <f>IFERROR((SUM(OFFSET(高値!$E$6,IFERROR(MATCH($C159,銘柄管理!$B$6:$B$305,0),MATCH(TEXT($C159,"0"),銘柄管理!$B$6:$B$305,0))-1,0,1,14))-SUM(OFFSET(安値!$E$6,IFERROR(MATCH($C159,銘柄管理!$B$6:$B$305,0),MATCH(TEXT($C159,"0"),銘柄管理!$B$6:$B$305,0))-1,0,1,14)))/SUM(OFFSET(終値!$E$6,IFERROR(MATCH($C159,銘柄管理!$B$6:$B$305,0),MATCH(TEXT($C159,"0"),銘柄管理!$B$6:$B$305,0))-1,0,1,14))*100,"")</f>
      </c>
      <c r="BB159">
        <f>IFERROR((MAX(OFFSET(高値!$E$6,IFERROR(MATCH($C159,銘柄管理!$B$6:$B$305,0),MATCH(TEXT($C159,"0"),銘柄管理!$B$6:$B$305,0))-1,0,1,25))-MIN(OFFSET(安値!$E$6,IFERROR(MATCH($C159,銘柄管理!$B$6:$B$305,0),MATCH(TEXT($C159,"0"),銘柄管理!$B$6:$B$305,0))-1,0,1,25)))/$E159*100,"")</f>
      </c>
      <c r="BC159">
        <f>IFERROR(($F159-$G159)/$G159*100,"")</f>
      </c>
      <c r="BD159">
        <f>IFERROR(($E159-MAX(OFFSET(高値!$E$6,IFERROR(MATCH($C159,銘柄管理!$B$6:$B$305,0),MATCH(TEXT($C159,"0"),銘柄管理!$B$6:$B$305,0))-1,0,1,25)))/MAX(OFFSET(高値!$E$6,IFERROR(MATCH($C159,銘柄管理!$B$6:$B$305,0),MATCH(TEXT($C159,"0"),銘柄管理!$B$6:$B$305,0))-1,0,1,25))*100,"")</f>
      </c>
      <c r="BE159">
        <f>IFERROR(($H159-$I159)/$F159*100,"")</f>
      </c>
      <c r="BF159">
        <f>IFERROR(-(($BA159-AVERAGE($BA$3:$BA$206))/STDEV($BA$3:$BA$206))-(($BE159-AVERAGE($BE$3:$BE$206))/STDEV($BE$3:$BE$206))-(($BB159-AVERAGE($BB$3:$BB$206))/STDEV($BB$3:$BB$206))-(($Z159-AVERAGE($Z$3:$Z$206))/STDEV($Z$3:$Z$206))-(($BC159-AVERAGE($BC$3:$BC$206))/STDEV($BC$3:$BC$206)),"")</f>
      </c>
      <c r="BG159">
        <f>IF(OR($C159="",$C159="TOPX",$BA159="",$BF159=""),0,IF(AND($BK$10=1,$BA159&lt;=$BK$2,$BB159&lt;=$BK$3,$BC159&lt;=$BK$4,$Z159&lt;=$BK$5,$Z159&gt;=$BK$6,$BD159&gt;=$BK$7,$BE159&lt;=$BK$8),1,0))</f>
      </c>
      <c r="BH159">
        <f>IF($C159="","",IF($BG159=1,"○ゲート通過",IF($BK$10&lt;&gt;1,"― この方向は停止中",IF($BA159&gt;$BK$2,"×値動きが荒い",IF($BB159&gt;$BK$3,"×レンジが広い",IF($BC159&gt;$BK$4,"×窓を開けて上昇",IF($Z159&gt;$BK$5,"×前日に急騰",IF($Z159&lt;$BK$6,"×前日に急落",IF($BD159&lt;$BK$7,"×高値から離れすぎ",IF($BE159&gt;$BK$8,"×当日の値幅が大きい","×")))))))))</f>
      </c>
    </row>
    <row r="160" spans="1:60"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IF(AND(E160&lt;&gt;"",K160&lt;&gt;"",K160&lt;&gt;0),(E160-K160)/K160*100,"")</f>
        <v>-10.44039483675019</v>
      </c>
      <c r="M160" s="333">
        <f>IF(C160&lt;&gt;"",IFERROR(AVERAGE(出来高!E185:I185),""),"")</f>
        <v>86920</v>
      </c>
      <c r="N160" s="333">
        <f>IF(C160&lt;&gt;"",IFERROR(AVERAGE(出来高!E185:AC185),""),"")</f>
        <v>75796</v>
      </c>
      <c r="O160" s="335">
        <f>IF(AND(J160&lt;&gt;"",M160&lt;&gt;"",M160&lt;&gt;0),J160/M160,"")</f>
        <v>0.81914404049700873</v>
      </c>
      <c r="P160" s="212" t="str">
        <f>IF(O160="","",IF(O160&gt;=2,"急増↑↑",IF(O160&gt;=1.5,"増加↑",IF(O160&gt;=1,"普通→","減少↓"))))</f>
        <v>減少↓</v>
      </c>
      <c r="Q160" s="212" t="str">
        <f>IF(E160="","",IF(AND(E160&lt;G160,O160&gt;=1.5),"売り▼",IF(E160&gt;G160,"様子見▲","中立→")))</f>
        <v>様子見▲</v>
      </c>
      <c r="R160" s="333">
        <f>IF(E160&lt;&gt;"",ROUND(E160*0.92,0),"")</f>
        <v>2170</v>
      </c>
      <c r="S160" s="333">
        <f>IF(E160&lt;&gt;"",ROUND(E160*1.04,0),"")</f>
        <v>2453</v>
      </c>
      <c r="T160" s="325">
        <f>IF(C160="","",IFERROR(IF(W160&gt;=70,3,IF(W160&gt;=60,2,IF(W160&gt;=50,1,0)))+IF(X160&lt;0,2,0)+IF(AD160="下降トレンド▼",3,IF(AD160="もみ合い→",1,0))+IF(V160="年初来安値圏●",3,IF(V160="安値圏",2,0))+IF(Q160="売り▼",2,0)+IF(P160="急増↑↑",2,IF(P160="増加↑",1,0))+IF(Z160&lt;0,1,0)+IF(L160&lt;=-30,2,IF(L160&lt;=-15,1,0))+IF(AE160="25日戻り売り★",2,IF(AE160="5日戻り売り○",1,0))+N(AL160)+N(AP160)+N(AU160),0))</f>
        <v>2</v>
      </c>
      <c r="U160" s="212" t="str">
        <f>IF(T160="","",IF(AND(T160&gt;=3,O160&gt;=1.5),"有効",IF(T160&gt;=3,"要確認","除外")))</f>
        <v>除外</v>
      </c>
      <c r="V160" s="212" t="str">
        <f>IF(AND(I160&lt;&gt;"",K160&lt;&gt;""),IF(I160&lt;=K160*0.6,"年初来安値圏●",IF(I160&lt;=K160*0.75,"安値圏","通常")),"")</f>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IF(AF160="","",AF160&amp;" | "&amp;AD160&amp;IF(AE160&lt;&gt;"なし"," "&amp;AE160,"")&amp;IF(X160&lt;0," MACD-"," MACD+")&amp;" RSI:"&amp;TEXT(W160,"0.0")&amp;IF(W160&gt;=70," [過熱]",IF(W160&lt;=30," [売られ過ぎ]",""))&amp;" 前日比:"&amp;TEXT(Z160,"+0.0;-0.0;0.0")&amp;"%"&amp;IF(V160="年初来安値圏●"," [年初来安値圏]",IF(V160="安値圏"," [安値圏]",""))&amp;IF(OR(AO160="通常",AO160="-"),""," ["&amp;AO160&amp;"]")&amp;IF(OR(AT160="通常",AT160="-"),"","前日["&amp;AT160&amp;"]")&amp;" ["&amp;T160&amp;"点]")</f>
        <v>相場上昇・見送り | 上昇トレンド▲ 5日戻り売り○ MACD+ RSI:50.0 前日比:+1.1%前日[大陰線▼] [2点]</v>
      </c>
      <c r="Z160" s="338">
        <f>IF(AND(E160&lt;&gt;"",G160&lt;&gt;"",G160&lt;&gt;0),(E160-G160)/G160*100,"")</f>
        <v>1.1144449207029576</v>
      </c>
      <c r="AA160" s="212" t="str">
        <f>IF(OR(C160="",E160="",E160=0),"",IF(E160&gt;G160,"上昇▲",IF(E160&lt;G160,"下落▼","横ばい→")))</f>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IF(OR(C160="",AB160="",AC160="",AB160=0,AC160=0),"",IF(AND(E160&gt;AB160,AB160&gt;AC160),"パーフェクト▲",IF(E160&gt;AC160,"上昇トレンド▲",IF(AND(E160&lt;AB160,AB160&lt;AC160),"下降トレンド▼","もみ合い→"))))</f>
        <v>上昇トレンド▲</v>
      </c>
      <c r="AE160" s="212" t="str">
        <f>IF(OR(C160="",AB160="",AC160=""),"",IF(AND(ABS(E160-AC160)/AC160&lt;=0.02,E160&lt;AC160),"25日戻り売り★",IF(AND(ABS(E160-AB160)/AB160&lt;=0.01,E160&lt;AB160),"5日戻り売り○","なし")))</f>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IF(AND(T160&gt;=7,C160&lt;&gt;""),T160,0)</f>
        <v>0</v>
      </c>
      <c r="AH160">
        <f>IF(AG160&gt;0,AG160*10000-ROW(A160),0)</f>
        <v>0</v>
      </c>
      <c r="AI160" s="373">
        <f t="array" ref="AI160">IF(C160="","",IFERROR((INDEX(終値!$E:$E,MATCH(TEXT(C160,"0"),終値!$A:$A,0))-INDEX(終値!$E:$CZ,MATCH(TEXT(C160,"0"),終値!$A:$A,0),$AN$2))/INDEX(終値!$E:$CZ,MATCH(TEXT(C160,"0"),終値!$A:$A,0),$AN$2)*100,""))</f>
        <v>6.02247191011236</v>
      </c>
      <c r="AJ160" s="373">
        <f t="array" ref="AJ160">IFERROR((終値!$E$5-INDEX(終値!$E$5:$IT$5,1,$AN$2))/INDEX(終値!$E$5:$IT$5,1,$AN$2)*100,"")</f>
        <v>1.0179378228534113</v>
      </c>
      <c r="AK160" s="374">
        <f>IF(OR(AI160="",AJ160=""),"",AI160-AJ160)</f>
        <v>5.004534087258949</v>
      </c>
      <c r="AL160" s="372">
        <f>IF(AK160="","",IF(AK160&lt;-5,3,IF(AK160&lt;0,1,IF(AK160&lt;3,-1,-2))))</f>
        <v>-2</v>
      </c>
      <c r="AO160" s="376" t="str">
        <f>IF(OR($C160="",$E160="",$F160="",$H160="",$I160="",$H160-$I160&lt;=0),"-",IF(AND($H160-MAX($F160,$E160)&gt;=ABS($E160-$F160)*2,MIN($F160,$E160)-$I160&lt;=ABS($E160-$F160)*0.5,ABS($E160-$F160)&gt;0),"上ヒゲ陰線▼",IF(AND($E160&lt;$F160,ABS($E160-$F160)&gt;=($H160-$I160)*0.7),"大陰線▼",IF(AND(MIN($F160,$E160)-$I160&gt;=($H160-$I160)*0.5,$H160-MAX($F160,$E160)&lt;=($H160-$I160)*0.2),"長い下ヒゲ(反発警戒)","通常"))))</f>
        <v>通常</v>
      </c>
      <c r="AP160" s="377">
        <f>IF($AO160="上ヒゲ陰線▼",2,IF($AO160="大陰線▼",2,IF($AO160="長い下ヒゲ(反発警戒)",-2,0)))</f>
        <v>0</v>
      </c>
      <c r="AQ160">
        <f>IF(C160&lt;&gt;"",始値!F185,"")</f>
        <v>2381</v>
      </c>
      <c r="AR160">
        <f>IF(C160&lt;&gt;"",高値!F185,"")</f>
        <v>2397</v>
      </c>
      <c r="AS160">
        <f>IF(C160&lt;&gt;"",安値!F185,"")</f>
        <v>2333</v>
      </c>
      <c r="AT160" t="str">
        <f>IF(OR(C160="",AQ160="",AR160="",AS160="",AR160-AS160&lt;=0),"-",IF(AND(AR160-MAX(G160,AQ160)&gt;=ABS(G160-AQ160)*2,MIN(G160,AQ160)-AS160&lt;=ABS(G160-AQ160)*0.5,ABS(G160-AQ160)&gt;0),"上ヒゲ陰線▼",IF(AND(G160&lt;AQ160,ABS(G160-AQ160)&gt;=(AR160-AS160)*0.7),"大陰線▼",IF(AND(MIN(G160,AQ160)-AS160&gt;=(AR160-AS160)*0.5,AR160-MAX(G160,AQ160)&lt;=(AR160-AS160)*0.2),"長い下ヒゲ(反発)","通常"))))</f>
        <v>大陰線▼</v>
      </c>
      <c r="AU160">
        <f>IF(AT160="上ヒゲ陰線▼",2,IF(AT160="大陰線▼",2,IF(AT160="長い下ヒゲ(反発)",-2,0)))</f>
        <v>2</v>
      </c>
      <c r="BA160">
        <f>IFERROR((SUM(OFFSET(高値!$E$6,IFERROR(MATCH($C160,銘柄管理!$B$6:$B$305,0),MATCH(TEXT($C160,"0"),銘柄管理!$B$6:$B$305,0))-1,0,1,14))-SUM(OFFSET(安値!$E$6,IFERROR(MATCH($C160,銘柄管理!$B$6:$B$305,0),MATCH(TEXT($C160,"0"),銘柄管理!$B$6:$B$305,0))-1,0,1,14)))/SUM(OFFSET(終値!$E$6,IFERROR(MATCH($C160,銘柄管理!$B$6:$B$305,0),MATCH(TEXT($C160,"0"),銘柄管理!$B$6:$B$305,0))-1,0,1,14))*100,"")</f>
      </c>
      <c r="BB160">
        <f>IFERROR((MAX(OFFSET(高値!$E$6,IFERROR(MATCH($C160,銘柄管理!$B$6:$B$305,0),MATCH(TEXT($C160,"0"),銘柄管理!$B$6:$B$305,0))-1,0,1,25))-MIN(OFFSET(安値!$E$6,IFERROR(MATCH($C160,銘柄管理!$B$6:$B$305,0),MATCH(TEXT($C160,"0"),銘柄管理!$B$6:$B$305,0))-1,0,1,25)))/$E160*100,"")</f>
      </c>
      <c r="BC160">
        <f>IFERROR(($F160-$G160)/$G160*100,"")</f>
      </c>
      <c r="BD160">
        <f>IFERROR(($E160-MAX(OFFSET(高値!$E$6,IFERROR(MATCH($C160,銘柄管理!$B$6:$B$305,0),MATCH(TEXT($C160,"0"),銘柄管理!$B$6:$B$305,0))-1,0,1,25)))/MAX(OFFSET(高値!$E$6,IFERROR(MATCH($C160,銘柄管理!$B$6:$B$305,0),MATCH(TEXT($C160,"0"),銘柄管理!$B$6:$B$305,0))-1,0,1,25))*100,"")</f>
      </c>
      <c r="BE160">
        <f>IFERROR(($H160-$I160)/$F160*100,"")</f>
      </c>
      <c r="BF160">
        <f>IFERROR(-(($BA160-AVERAGE($BA$3:$BA$206))/STDEV($BA$3:$BA$206))-(($BE160-AVERAGE($BE$3:$BE$206))/STDEV($BE$3:$BE$206))-(($BB160-AVERAGE($BB$3:$BB$206))/STDEV($BB$3:$BB$206))-(($Z160-AVERAGE($Z$3:$Z$206))/STDEV($Z$3:$Z$206))-(($BC160-AVERAGE($BC$3:$BC$206))/STDEV($BC$3:$BC$206)),"")</f>
      </c>
      <c r="BG160">
        <f>IF(OR($C160="",$C160="TOPX",$BA160="",$BF160=""),0,IF(AND($BK$10=1,$BA160&lt;=$BK$2,$BB160&lt;=$BK$3,$BC160&lt;=$BK$4,$Z160&lt;=$BK$5,$Z160&gt;=$BK$6,$BD160&gt;=$BK$7,$BE160&lt;=$BK$8),1,0))</f>
      </c>
      <c r="BH160">
        <f>IF($C160="","",IF($BG160=1,"○ゲート通過",IF($BK$10&lt;&gt;1,"― この方向は停止中",IF($BA160&gt;$BK$2,"×値動きが荒い",IF($BB160&gt;$BK$3,"×レンジが広い",IF($BC160&gt;$BK$4,"×窓を開けて上昇",IF($Z160&gt;$BK$5,"×前日に急騰",IF($Z160&lt;$BK$6,"×前日に急落",IF($BD160&lt;$BK$7,"×高値から離れすぎ",IF($BE160&gt;$BK$8,"×当日の値幅が大きい","×")))))))))</f>
      </c>
    </row>
    <row r="161" spans="1:60"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IF(AND(E161&lt;&gt;"",K161&lt;&gt;"",K161&lt;&gt;0),(E161-K161)/K161*100,"")</f>
        <v>-16.328401204661521</v>
      </c>
      <c r="M161" s="326">
        <f>IF(C161&lt;&gt;"",IFERROR(AVERAGE(出来高!E187:I187),""),"")</f>
        <v>3836180</v>
      </c>
      <c r="N161" s="326">
        <f>IF(C161&lt;&gt;"",IFERROR(AVERAGE(出来高!E187:AC187),""),"")</f>
        <v>2134460</v>
      </c>
      <c r="O161" s="328">
        <f>IF(AND(J161&lt;&gt;"",M161&lt;&gt;"",M161&lt;&gt;0),J161/M161,"")</f>
        <v>0.38321976549588394</v>
      </c>
      <c r="P161" s="325" t="str">
        <f>IF(O161="","",IF(O161&gt;=2,"急増↑↑",IF(O161&gt;=1.5,"増加↑",IF(O161&gt;=1,"普通→","減少↓"))))</f>
        <v>減少↓</v>
      </c>
      <c r="Q161" s="325" t="str">
        <f>IF(E161="","",IF(AND(E161&lt;G161,O161&gt;=1.5),"売り▼",IF(E161&gt;G161,"様子見▲","中立→")))</f>
        <v>様子見▲</v>
      </c>
      <c r="R161" s="326">
        <f>IF(E161&lt;&gt;"",ROUND(E161*0.92,0),"")</f>
        <v>588</v>
      </c>
      <c r="S161" s="326">
        <f>IF(E161&lt;&gt;"",ROUND(E161*1.04,0),"")</f>
        <v>665</v>
      </c>
      <c r="T161" s="325">
        <f>IF(C161="","",IFERROR(IF(W161&gt;=70,3,IF(W161&gt;=60,2,IF(W161&gt;=50,1,0)))+IF(X161&lt;0,2,0)+IF(AD161="下降トレンド▼",3,IF(AD161="もみ合い→",1,0))+IF(V161="年初来安値圏●",3,IF(V161="安値圏",2,0))+IF(Q161="売り▼",2,0)+IF(P161="急増↑↑",2,IF(P161="増加↑",1,0))+IF(Z161&lt;0,1,0)+IF(L161&lt;=-30,2,IF(L161&lt;=-15,1,0))+IF(AE161="25日戻り売り★",2,IF(AE161="5日戻り売り○",1,0))+N(AL161)+N(AP161)+N(AU161),0))</f>
        <v>3</v>
      </c>
      <c r="U161" s="325" t="str">
        <f>IF(T161="","",IF(AND(T161&gt;=3,O161&gt;=1.5),"有効",IF(T161&gt;=3,"要確認","除外")))</f>
        <v>要確認</v>
      </c>
      <c r="V161" s="325" t="str">
        <f>IF(AND(I161&lt;&gt;"",K161&lt;&gt;""),IF(I161&lt;=K161*0.6,"年初来安値圏●",IF(I161&lt;=K161*0.75,"安値圏","通常")),"")</f>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IF(AF161="","",AF161&amp;" | "&amp;AD161&amp;IF(AE161&lt;&gt;"なし"," "&amp;AE161,"")&amp;IF(X161&lt;0," MACD-"," MACD+")&amp;" RSI:"&amp;TEXT(W161,"0.0")&amp;IF(W161&gt;=70," [過熱]",IF(W161&lt;=30," [売られ過ぎ]",""))&amp;" 前日比:"&amp;TEXT(Z161,"+0.0;-0.0;0.0")&amp;"%"&amp;IF(V161="年初来安値圏●"," [年初来安値圏]",IF(V161="安値圏"," [安値圏]",""))&amp;IF(OR(AO161="通常",AO161="-"),""," ["&amp;AO161&amp;"]")&amp;IF(OR(AT161="通常",AT161="-"),"","前日["&amp;AT161&amp;"]")&amp;" ["&amp;T161&amp;"点]")</f>
        <v>相場上昇・見送り | もみ合い→ MACD- RSI:34.7 前日比:+0.6%前日[長い下ヒゲ(反発)] [3点]</v>
      </c>
      <c r="Z161" s="331">
        <f>IF(AND(E161&lt;&gt;"",G161&lt;&gt;"",G161&lt;&gt;0),(E161-G161)/G161*100,"")</f>
        <v>0.55074744295830058</v>
      </c>
      <c r="AA161" s="325" t="str">
        <f>IF(OR(C161="",E161="",E161=0),"",IF(E161&gt;G161,"上昇▲",IF(E161&lt;G161,"下落▼","横ばい→")))</f>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IF(OR(C161="",AB161="",AC161="",AB161=0,AC161=0),"",IF(AND(E161&gt;AB161,AB161&gt;AC161),"パーフェクト▲",IF(E161&gt;AC161,"上昇トレンド▲",IF(AND(E161&lt;AB161,AB161&lt;AC161),"下降トレンド▼","もみ合い→"))))</f>
        <v>もみ合い→</v>
      </c>
      <c r="AE161" s="325" t="str">
        <f>IF(OR(C161="",AB161="",AC161=""),"",IF(AND(ABS(E161-AC161)/AC161&lt;=0.02,E161&lt;AC161),"25日戻り売り★",IF(AND(ABS(E161-AB161)/AB161&lt;=0.01,E161&lt;AB161),"5日戻り売り○","なし")))</f>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IF(AND(T161&gt;=7,C161&lt;&gt;""),T161,0)</f>
        <v>0</v>
      </c>
      <c r="AH161">
        <f>IF(AG161&gt;0,AG161*10000-ROW(A161),0)</f>
        <v>0</v>
      </c>
      <c r="AI161" s="373">
        <f t="array" ref="AI161">IF(C161="","",IFERROR((INDEX(終値!$E:$E,MATCH(TEXT(C161,"0"),終値!$A:$A,0))-INDEX(終値!$E:$CZ,MATCH(TEXT(C161,"0"),終値!$A:$A,0),$AN$2))/INDEX(終値!$E:$CZ,MATCH(TEXT(C161,"0"),終値!$A:$A,0),$AN$2)*100,""))</f>
        <v>0.58240201479616649</v>
      </c>
      <c r="AJ161" s="373">
        <f t="array" ref="AJ161">IFERROR((終値!$E$5-INDEX(終値!$E$5:$IT$5,1,$AN$2))/INDEX(終値!$E$5:$IT$5,1,$AN$2)*100,"")</f>
        <v>1.0179378228534113</v>
      </c>
      <c r="AK161" s="374">
        <f>IF(OR(AI161="",AJ161=""),"",AI161-AJ161)</f>
        <v>-0.43553580805724479</v>
      </c>
      <c r="AL161" s="372">
        <f>IF(AK161="","",IF(AK161&lt;-5,3,IF(AK161&lt;0,1,IF(AK161&lt;3,-1,-2))))</f>
        <v>1</v>
      </c>
      <c r="AO161" s="376" t="str">
        <f>IF(OR($C161="",$E161="",$F161="",$H161="",$I161="",$H161-$I161&lt;=0),"-",IF(AND($H161-MAX($F161,$E161)&gt;=ABS($E161-$F161)*2,MIN($F161,$E161)-$I161&lt;=ABS($E161-$F161)*0.5,ABS($E161-$F161)&gt;0),"上ヒゲ陰線▼",IF(AND($E161&lt;$F161,ABS($E161-$F161)&gt;=($H161-$I161)*0.7),"大陰線▼",IF(AND(MIN($F161,$E161)-$I161&gt;=($H161-$I161)*0.5,$H161-MAX($F161,$E161)&lt;=($H161-$I161)*0.2),"長い下ヒゲ(反発警戒)","通常"))))</f>
        <v>通常</v>
      </c>
      <c r="AP161" s="377">
        <f>IF($AO161="上ヒゲ陰線▼",2,IF($AO161="大陰線▼",2,IF($AO161="長い下ヒゲ(反発警戒)",-2,0)))</f>
        <v>0</v>
      </c>
      <c r="AQ161">
        <f>IF(C161&lt;&gt;"",始値!F187,"")</f>
        <v>637</v>
      </c>
      <c r="AR161">
        <f>IF(C161&lt;&gt;"",高値!F187,"")</f>
        <v>637</v>
      </c>
      <c r="AS161">
        <f>IF(C161&lt;&gt;"",安値!F187,"")</f>
        <v>629.29999999999995</v>
      </c>
      <c r="AT161" t="str">
        <f>IF(OR(C161="",AQ161="",AR161="",AS161="",AR161-AS161&lt;=0),"-",IF(AND(AR161-MAX(G161,AQ161)&gt;=ABS(G161-AQ161)*2,MIN(G161,AQ161)-AS161&lt;=ABS(G161-AQ161)*0.5,ABS(G161-AQ161)&gt;0),"上ヒゲ陰線▼",IF(AND(G161&lt;AQ161,ABS(G161-AQ161)&gt;=(AR161-AS161)*0.7),"大陰線▼",IF(AND(MIN(G161,AQ161)-AS161&gt;=(AR161-AS161)*0.5,AR161-MAX(G161,AQ161)&lt;=(AR161-AS161)*0.2),"長い下ヒゲ(反発)","通常"))))</f>
        <v>長い下ヒゲ(反発)</v>
      </c>
      <c r="AU161">
        <f>IF(AT161="上ヒゲ陰線▼",2,IF(AT161="大陰線▼",2,IF(AT161="長い下ヒゲ(反発)",-2,0)))</f>
        <v>-2</v>
      </c>
      <c r="BA161">
        <f>IFERROR((SUM(OFFSET(高値!$E$6,IFERROR(MATCH($C161,銘柄管理!$B$6:$B$305,0),MATCH(TEXT($C161,"0"),銘柄管理!$B$6:$B$305,0))-1,0,1,14))-SUM(OFFSET(安値!$E$6,IFERROR(MATCH($C161,銘柄管理!$B$6:$B$305,0),MATCH(TEXT($C161,"0"),銘柄管理!$B$6:$B$305,0))-1,0,1,14)))/SUM(OFFSET(終値!$E$6,IFERROR(MATCH($C161,銘柄管理!$B$6:$B$305,0),MATCH(TEXT($C161,"0"),銘柄管理!$B$6:$B$305,0))-1,0,1,14))*100,"")</f>
      </c>
      <c r="BB161">
        <f>IFERROR((MAX(OFFSET(高値!$E$6,IFERROR(MATCH($C161,銘柄管理!$B$6:$B$305,0),MATCH(TEXT($C161,"0"),銘柄管理!$B$6:$B$305,0))-1,0,1,25))-MIN(OFFSET(安値!$E$6,IFERROR(MATCH($C161,銘柄管理!$B$6:$B$305,0),MATCH(TEXT($C161,"0"),銘柄管理!$B$6:$B$305,0))-1,0,1,25)))/$E161*100,"")</f>
      </c>
      <c r="BC161">
        <f>IFERROR(($F161-$G161)/$G161*100,"")</f>
      </c>
      <c r="BD161">
        <f>IFERROR(($E161-MAX(OFFSET(高値!$E$6,IFERROR(MATCH($C161,銘柄管理!$B$6:$B$305,0),MATCH(TEXT($C161,"0"),銘柄管理!$B$6:$B$305,0))-1,0,1,25)))/MAX(OFFSET(高値!$E$6,IFERROR(MATCH($C161,銘柄管理!$B$6:$B$305,0),MATCH(TEXT($C161,"0"),銘柄管理!$B$6:$B$305,0))-1,0,1,25))*100,"")</f>
      </c>
      <c r="BE161">
        <f>IFERROR(($H161-$I161)/$F161*100,"")</f>
      </c>
      <c r="BF161">
        <f>IFERROR(-(($BA161-AVERAGE($BA$3:$BA$206))/STDEV($BA$3:$BA$206))-(($BE161-AVERAGE($BE$3:$BE$206))/STDEV($BE$3:$BE$206))-(($BB161-AVERAGE($BB$3:$BB$206))/STDEV($BB$3:$BB$206))-(($Z161-AVERAGE($Z$3:$Z$206))/STDEV($Z$3:$Z$206))-(($BC161-AVERAGE($BC$3:$BC$206))/STDEV($BC$3:$BC$206)),"")</f>
      </c>
      <c r="BG161">
        <f>IF(OR($C161="",$C161="TOPX",$BA161="",$BF161=""),0,IF(AND($BK$10=1,$BA161&lt;=$BK$2,$BB161&lt;=$BK$3,$BC161&lt;=$BK$4,$Z161&lt;=$BK$5,$Z161&gt;=$BK$6,$BD161&gt;=$BK$7,$BE161&lt;=$BK$8),1,0))</f>
      </c>
      <c r="BH161">
        <f>IF($C161="","",IF($BG161=1,"○ゲート通過",IF($BK$10&lt;&gt;1,"― この方向は停止中",IF($BA161&gt;$BK$2,"×値動きが荒い",IF($BB161&gt;$BK$3,"×レンジが広い",IF($BC161&gt;$BK$4,"×窓を開けて上昇",IF($Z161&gt;$BK$5,"×前日に急騰",IF($Z161&lt;$BK$6,"×前日に急落",IF($BD161&lt;$BK$7,"×高値から離れすぎ",IF($BE161&gt;$BK$8,"×当日の値幅が大きい","×")))))))))</f>
      </c>
    </row>
    <row r="162" spans="1:60"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IF(AND(E162&lt;&gt;"",K162&lt;&gt;"",K162&lt;&gt;0),(E162-K162)/K162*100,"")</f>
        <v>-23.552077062010842</v>
      </c>
      <c r="M162" s="333">
        <f>IF(C162&lt;&gt;"",IFERROR(AVERAGE(出来高!E188:I188),""),"")</f>
        <v>3302160</v>
      </c>
      <c r="N162" s="333">
        <f>IF(C162&lt;&gt;"",IFERROR(AVERAGE(出来高!E188:AC188),""),"")</f>
        <v>3311376</v>
      </c>
      <c r="O162" s="335">
        <f>IF(AND(J162&lt;&gt;"",M162&lt;&gt;"",M162&lt;&gt;0),J162/M162,"")</f>
        <v>0.95831213508733681</v>
      </c>
      <c r="P162" s="212" t="str">
        <f>IF(O162="","",IF(O162&gt;=2,"急増↑↑",IF(O162&gt;=1.5,"増加↑",IF(O162&gt;=1,"普通→","減少↓"))))</f>
        <v>減少↓</v>
      </c>
      <c r="Q162" s="212" t="str">
        <f>IF(E162="","",IF(AND(E162&lt;G162,O162&gt;=1.5),"売り▼",IF(E162&gt;G162,"様子見▲","中立→")))</f>
        <v>様子見▲</v>
      </c>
      <c r="R162" s="333">
        <f>IF(E162&lt;&gt;"",ROUND(E162*0.92,0),"")</f>
        <v>584</v>
      </c>
      <c r="S162" s="333">
        <f>IF(E162&lt;&gt;"",ROUND(E162*1.04,0),"")</f>
        <v>660</v>
      </c>
      <c r="T162" s="325">
        <f>IF(C162="","",IFERROR(IF(W162&gt;=70,3,IF(W162&gt;=60,2,IF(W162&gt;=50,1,0)))+IF(X162&lt;0,2,0)+IF(AD162="下降トレンド▼",3,IF(AD162="もみ合い→",1,0))+IF(V162="年初来安値圏●",3,IF(V162="安値圏",2,0))+IF(Q162="売り▼",2,0)+IF(P162="急増↑↑",2,IF(P162="増加↑",1,0))+IF(Z162&lt;0,1,0)+IF(L162&lt;=-30,2,IF(L162&lt;=-15,1,0))+IF(AE162="25日戻り売り★",2,IF(AE162="5日戻り売り○",1,0))+N(AL162)+N(AP162)+N(AU162),0))</f>
        <v>6</v>
      </c>
      <c r="U162" s="212" t="str">
        <f>IF(T162="","",IF(AND(T162&gt;=3,O162&gt;=1.5),"有効",IF(T162&gt;=3,"要確認","除外")))</f>
        <v>要確認</v>
      </c>
      <c r="V162" s="212" t="str">
        <f>IF(AND(I162&lt;&gt;"",K162&lt;&gt;""),IF(I162&lt;=K162*0.6,"年初来安値圏●",IF(I162&lt;=K162*0.75,"安値圏","通常")),"")</f>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IF(AF162="","",AF162&amp;" | "&amp;AD162&amp;IF(AE162&lt;&gt;"なし"," "&amp;AE162,"")&amp;IF(X162&lt;0," MACD-"," MACD+")&amp;" RSI:"&amp;TEXT(W162,"0.0")&amp;IF(W162&gt;=70," [過熱]",IF(W162&lt;=30," [売られ過ぎ]",""))&amp;" 前日比:"&amp;TEXT(Z162,"+0.0;-0.0;0.0")&amp;"%"&amp;IF(V162="年初来安値圏●"," [年初来安値圏]",IF(V162="安値圏"," [安値圏]",""))&amp;IF(OR(AO162="通常",AO162="-"),""," ["&amp;AO162&amp;"]")&amp;IF(OR(AT162="通常",AT162="-"),"","前日["&amp;AT162&amp;"]")&amp;" ["&amp;T162&amp;"点]")</f>
        <v>相場上昇・見送り | パーフェクト▲ MACD- RSI:44.1 前日比:+2.1% [安値圏] [6点]</v>
      </c>
      <c r="Z162" s="338">
        <f>IF(AND(E162&lt;&gt;"",G162&lt;&gt;"",G162&lt;&gt;0),(E162-G162)/G162*100,"")</f>
        <v>2.1396396396396322</v>
      </c>
      <c r="AA162" s="212" t="str">
        <f>IF(OR(C162="",E162="",E162=0),"",IF(E162&gt;G162,"上昇▲",IF(E162&lt;G162,"下落▼","横ばい→")))</f>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IF(OR(C162="",AB162="",AC162="",AB162=0,AC162=0),"",IF(AND(E162&gt;AB162,AB162&gt;AC162),"パーフェクト▲",IF(E162&gt;AC162,"上昇トレンド▲",IF(AND(E162&lt;AB162,AB162&lt;AC162),"下降トレンド▼","もみ合い→"))))</f>
        <v>パーフェクト▲</v>
      </c>
      <c r="AE162" s="212" t="str">
        <f>IF(OR(C162="",AB162="",AC162=""),"",IF(AND(ABS(E162-AC162)/AC162&lt;=0.02,E162&lt;AC162),"25日戻り売り★",IF(AND(ABS(E162-AB162)/AB162&lt;=0.01,E162&lt;AB162),"5日戻り売り○","なし")))</f>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IF(AND(T162&gt;=7,C162&lt;&gt;""),T162,0)</f>
        <v>0</v>
      </c>
      <c r="AH162">
        <f>IF(AG162&gt;0,AG162*10000-ROW(A162),0)</f>
        <v>0</v>
      </c>
      <c r="AI162" s="373">
        <f t="array" ref="AI162">IF(C162="","",IFERROR((INDEX(終値!$E:$E,MATCH(TEXT(C162,"0"),終値!$A:$A,0))-INDEX(終値!$E:$CZ,MATCH(TEXT(C162,"0"),終値!$A:$A,0),$AN$2))/INDEX(終値!$E:$CZ,MATCH(TEXT(C162,"0"),終値!$A:$A,0),$AN$2)*100,""))</f>
        <v>-0.20433825840931596</v>
      </c>
      <c r="AJ162" s="373">
        <f t="array" ref="AJ162">IFERROR((終値!$E$5-INDEX(終値!$E$5:$IT$5,1,$AN$2))/INDEX(終値!$E$5:$IT$5,1,$AN$2)*100,"")</f>
        <v>1.0179378228534113</v>
      </c>
      <c r="AK162" s="374">
        <f>IF(OR(AI162="",AJ162=""),"",AI162-AJ162)</f>
        <v>-1.2222760812627271</v>
      </c>
      <c r="AL162" s="372">
        <f>IF(AK162="","",IF(AK162&lt;-5,3,IF(AK162&lt;0,1,IF(AK162&lt;3,-1,-2))))</f>
        <v>1</v>
      </c>
      <c r="AO162" s="376" t="str">
        <f>IF(OR($C162="",$E162="",$F162="",$H162="",$I162="",$H162-$I162&lt;=0),"-",IF(AND($H162-MAX($F162,$E162)&gt;=ABS($E162-$F162)*2,MIN($F162,$E162)-$I162&lt;=ABS($E162-$F162)*0.5,ABS($E162-$F162)&gt;0),"上ヒゲ陰線▼",IF(AND($E162&lt;$F162,ABS($E162-$F162)&gt;=($H162-$I162)*0.7),"大陰線▼",IF(AND(MIN($F162,$E162)-$I162&gt;=($H162-$I162)*0.5,$H162-MAX($F162,$E162)&lt;=($H162-$I162)*0.2),"長い下ヒゲ(反発警戒)","通常"))))</f>
        <v>通常</v>
      </c>
      <c r="AP162" s="377">
        <f>IF($AO162="上ヒゲ陰線▼",2,IF($AO162="大陰線▼",2,IF($AO162="長い下ヒゲ(反発警戒)",-2,0)))</f>
        <v>0</v>
      </c>
      <c r="AQ162">
        <f>IF(C162&lt;&gt;"",始値!F188,"")</f>
        <v>617</v>
      </c>
      <c r="AR162">
        <f>IF(C162&lt;&gt;"",高値!F188,"")</f>
        <v>632.9</v>
      </c>
      <c r="AS162">
        <f>IF(C162&lt;&gt;"",安値!F188,"")</f>
        <v>612.5</v>
      </c>
      <c r="AT162" t="str">
        <f>IF(OR(C162="",AQ162="",AR162="",AS162="",AR162-AS162&lt;=0),"-",IF(AND(AR162-MAX(G162,AQ162)&gt;=ABS(G162-AQ162)*2,MIN(G162,AQ162)-AS162&lt;=ABS(G162-AQ162)*0.5,ABS(G162-AQ162)&gt;0),"上ヒゲ陰線▼",IF(AND(G162&lt;AQ162,ABS(G162-AQ162)&gt;=(AR162-AS162)*0.7),"大陰線▼",IF(AND(MIN(G162,AQ162)-AS162&gt;=(AR162-AS162)*0.5,AR162-MAX(G162,AQ162)&lt;=(AR162-AS162)*0.2),"長い下ヒゲ(反発)","通常"))))</f>
        <v>通常</v>
      </c>
      <c r="AU162">
        <f>IF(AT162="上ヒゲ陰線▼",2,IF(AT162="大陰線▼",2,IF(AT162="長い下ヒゲ(反発)",-2,0)))</f>
        <v>0</v>
      </c>
      <c r="BA162">
        <f>IFERROR((SUM(OFFSET(高値!$E$6,IFERROR(MATCH($C162,銘柄管理!$B$6:$B$305,0),MATCH(TEXT($C162,"0"),銘柄管理!$B$6:$B$305,0))-1,0,1,14))-SUM(OFFSET(安値!$E$6,IFERROR(MATCH($C162,銘柄管理!$B$6:$B$305,0),MATCH(TEXT($C162,"0"),銘柄管理!$B$6:$B$305,0))-1,0,1,14)))/SUM(OFFSET(終値!$E$6,IFERROR(MATCH($C162,銘柄管理!$B$6:$B$305,0),MATCH(TEXT($C162,"0"),銘柄管理!$B$6:$B$305,0))-1,0,1,14))*100,"")</f>
      </c>
      <c r="BB162">
        <f>IFERROR((MAX(OFFSET(高値!$E$6,IFERROR(MATCH($C162,銘柄管理!$B$6:$B$305,0),MATCH(TEXT($C162,"0"),銘柄管理!$B$6:$B$305,0))-1,0,1,25))-MIN(OFFSET(安値!$E$6,IFERROR(MATCH($C162,銘柄管理!$B$6:$B$305,0),MATCH(TEXT($C162,"0"),銘柄管理!$B$6:$B$305,0))-1,0,1,25)))/$E162*100,"")</f>
      </c>
      <c r="BC162">
        <f>IFERROR(($F162-$G162)/$G162*100,"")</f>
      </c>
      <c r="BD162">
        <f>IFERROR(($E162-MAX(OFFSET(高値!$E$6,IFERROR(MATCH($C162,銘柄管理!$B$6:$B$305,0),MATCH(TEXT($C162,"0"),銘柄管理!$B$6:$B$305,0))-1,0,1,25)))/MAX(OFFSET(高値!$E$6,IFERROR(MATCH($C162,銘柄管理!$B$6:$B$305,0),MATCH(TEXT($C162,"0"),銘柄管理!$B$6:$B$305,0))-1,0,1,25))*100,"")</f>
      </c>
      <c r="BE162">
        <f>IFERROR(($H162-$I162)/$F162*100,"")</f>
      </c>
      <c r="BF162">
        <f>IFERROR(-(($BA162-AVERAGE($BA$3:$BA$206))/STDEV($BA$3:$BA$206))-(($BE162-AVERAGE($BE$3:$BE$206))/STDEV($BE$3:$BE$206))-(($BB162-AVERAGE($BB$3:$BB$206))/STDEV($BB$3:$BB$206))-(($Z162-AVERAGE($Z$3:$Z$206))/STDEV($Z$3:$Z$206))-(($BC162-AVERAGE($BC$3:$BC$206))/STDEV($BC$3:$BC$206)),"")</f>
      </c>
      <c r="BG162">
        <f>IF(OR($C162="",$C162="TOPX",$BA162="",$BF162=""),0,IF(AND($BK$10=1,$BA162&lt;=$BK$2,$BB162&lt;=$BK$3,$BC162&lt;=$BK$4,$Z162&lt;=$BK$5,$Z162&gt;=$BK$6,$BD162&gt;=$BK$7,$BE162&lt;=$BK$8),1,0))</f>
      </c>
      <c r="BH162">
        <f>IF($C162="","",IF($BG162=1,"○ゲート通過",IF($BK$10&lt;&gt;1,"― この方向は停止中",IF($BA162&gt;$BK$2,"×値動きが荒い",IF($BB162&gt;$BK$3,"×レンジが広い",IF($BC162&gt;$BK$4,"×窓を開けて上昇",IF($Z162&gt;$BK$5,"×前日に急騰",IF($Z162&lt;$BK$6,"×前日に急落",IF($BD162&lt;$BK$7,"×高値から離れすぎ",IF($BE162&gt;$BK$8,"×当日の値幅が大きい","×")))))))))</f>
      </c>
    </row>
    <row r="163" spans="1:60"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IF(AND(E163&lt;&gt;"",K163&lt;&gt;"",K163&lt;&gt;0),(E163-K163)/K163*100,"")</f>
        <v>-16.813186813186814</v>
      </c>
      <c r="M163" s="326">
        <f>IF(C163&lt;&gt;"",IFERROR(AVERAGE(出来高!E189:I189),""),"")</f>
        <v>2093260</v>
      </c>
      <c r="N163" s="326">
        <f>IF(C163&lt;&gt;"",IFERROR(AVERAGE(出来高!E189:AC189),""),"")</f>
        <v>1468836</v>
      </c>
      <c r="O163" s="328">
        <f>IF(AND(J163&lt;&gt;"",M163&lt;&gt;"",M163&lt;&gt;0),J163/M163,"")</f>
        <v>1.1747704537420101</v>
      </c>
      <c r="P163" s="325" t="str">
        <f>IF(O163="","",IF(O163&gt;=2,"急増↑↑",IF(O163&gt;=1.5,"増加↑",IF(O163&gt;=1,"普通→","減少↓"))))</f>
        <v>普通→</v>
      </c>
      <c r="Q163" s="325" t="str">
        <f>IF(E163="","",IF(AND(E163&lt;G163,O163&gt;=1.5),"売り▼",IF(E163&gt;G163,"様子見▲","中立→")))</f>
        <v>様子見▲</v>
      </c>
      <c r="R163" s="326">
        <f>IF(E163&lt;&gt;"",ROUND(E163*0.92,0),"")</f>
        <v>1741</v>
      </c>
      <c r="S163" s="326">
        <f>IF(E163&lt;&gt;"",ROUND(E163*1.04,0),"")</f>
        <v>1968</v>
      </c>
      <c r="T163" s="325">
        <f>IF(C163="","",IFERROR(IF(W163&gt;=70,3,IF(W163&gt;=60,2,IF(W163&gt;=50,1,0)))+IF(X163&lt;0,2,0)+IF(AD163="下降トレンド▼",3,IF(AD163="もみ合い→",1,0))+IF(V163="年初来安値圏●",3,IF(V163="安値圏",2,0))+IF(Q163="売り▼",2,0)+IF(P163="急増↑↑",2,IF(P163="増加↑",1,0))+IF(Z163&lt;0,1,0)+IF(L163&lt;=-30,2,IF(L163&lt;=-15,1,0))+IF(AE163="25日戻り売り★",2,IF(AE163="5日戻り売り○",1,0))+N(AL163)+N(AP163)+N(AU163),0))</f>
        <v>1</v>
      </c>
      <c r="U163" s="325" t="str">
        <f>IF(T163="","",IF(AND(T163&gt;=3,O163&gt;=1.5),"有効",IF(T163&gt;=3,"要確認","除外")))</f>
        <v>除外</v>
      </c>
      <c r="V163" s="325" t="str">
        <f>IF(AND(I163&lt;&gt;"",K163&lt;&gt;""),IF(I163&lt;=K163*0.6,"年初来安値圏●",IF(I163&lt;=K163*0.75,"安値圏","通常")),"")</f>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IF(AF163="","",AF163&amp;" | "&amp;AD163&amp;IF(AE163&lt;&gt;"なし"," "&amp;AE163,"")&amp;IF(X163&lt;0," MACD-"," MACD+")&amp;" RSI:"&amp;TEXT(W163,"0.0")&amp;IF(W163&gt;=70," [過熱]",IF(W163&lt;=30," [売られ過ぎ]",""))&amp;" 前日比:"&amp;TEXT(Z163,"+0.0;-0.0;0.0")&amp;"%"&amp;IF(V163="年初来安値圏●"," [年初来安値圏]",IF(V163="安値圏"," [安値圏]",""))&amp;IF(OR(AO163="通常",AO163="-"),""," ["&amp;AO163&amp;"]")&amp;IF(OR(AT163="通常",AT163="-"),"","前日["&amp;AT163&amp;"]")&amp;" ["&amp;T163&amp;"点]")</f>
        <v>相場上昇・見送り | 下降トレンド▼ MACD+ RSI:41.3 前日比:+0.7% [長い下ヒゲ(反発警戒)] [1点]</v>
      </c>
      <c r="Z163" s="331">
        <f>IF(AND(E163&lt;&gt;"",G163&lt;&gt;"",G163&lt;&gt;0),(E163-G163)/G163*100,"")</f>
        <v>0.66489361702127658</v>
      </c>
      <c r="AA163" s="325" t="str">
        <f>IF(OR(C163="",E163="",E163=0),"",IF(E163&gt;G163,"上昇▲",IF(E163&lt;G163,"下落▼","横ばい→")))</f>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IF(OR(C163="",AB163="",AC163="",AB163=0,AC163=0),"",IF(AND(E163&gt;AB163,AB163&gt;AC163),"パーフェクト▲",IF(E163&gt;AC163,"上昇トレンド▲",IF(AND(E163&lt;AB163,AB163&lt;AC163),"下降トレンド▼","もみ合い→"))))</f>
        <v>下降トレンド▼</v>
      </c>
      <c r="AE163" s="325" t="str">
        <f>IF(OR(C163="",AB163="",AC163=""),"",IF(AND(ABS(E163-AC163)/AC163&lt;=0.02,E163&lt;AC163),"25日戻り売り★",IF(AND(ABS(E163-AB163)/AB163&lt;=0.01,E163&lt;AB163),"5日戻り売り○","なし")))</f>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IF(AND(T163&gt;=7,C163&lt;&gt;""),T163,0)</f>
        <v>0</v>
      </c>
      <c r="AH163">
        <f>IF(AG163&gt;0,AG163*10000-ROW(A163),0)</f>
        <v>0</v>
      </c>
      <c r="AI163" s="373">
        <f t="array" ref="AI163">IF(C163="","",IFERROR((INDEX(終値!$E:$E,MATCH(TEXT(C163,"0"),終値!$A:$A,0))-INDEX(終値!$E:$CZ,MATCH(TEXT(C163,"0"),終値!$A:$A,0),$AN$2))/INDEX(終値!$E:$CZ,MATCH(TEXT(C163,"0"),終値!$A:$A,0),$AN$2)*100,""))</f>
        <v>2.8812177222071211</v>
      </c>
      <c r="AJ163" s="373">
        <f t="array" ref="AJ163">IFERROR((終値!$E$5-INDEX(終値!$E$5:$IT$5,1,$AN$2))/INDEX(終値!$E$5:$IT$5,1,$AN$2)*100,"")</f>
        <v>1.0179378228534113</v>
      </c>
      <c r="AK163" s="374">
        <f>IF(OR(AI163="",AJ163=""),"",AI163-AJ163)</f>
        <v>1.8632798993537099</v>
      </c>
      <c r="AL163" s="372">
        <f>IF(AK163="","",IF(AK163&lt;-5,3,IF(AK163&lt;0,1,IF(AK163&lt;3,-1,-2))))</f>
        <v>-1</v>
      </c>
      <c r="AO163" s="376" t="str">
        <f>IF(OR($C163="",$E163="",$F163="",$H163="",$I163="",$H163-$I163&lt;=0),"-",IF(AND($H163-MAX($F163,$E163)&gt;=ABS($E163-$F163)*2,MIN($F163,$E163)-$I163&lt;=ABS($E163-$F163)*0.5,ABS($E163-$F163)&gt;0),"上ヒゲ陰線▼",IF(AND($E163&lt;$F163,ABS($E163-$F163)&gt;=($H163-$I163)*0.7),"大陰線▼",IF(AND(MIN($F163,$E163)-$I163&gt;=($H163-$I163)*0.5,$H163-MAX($F163,$E163)&lt;=($H163-$I163)*0.2),"長い下ヒゲ(反発警戒)","通常"))))</f>
        <v>長い下ヒゲ(反発警戒)</v>
      </c>
      <c r="AP163" s="377">
        <f>IF($AO163="上ヒゲ陰線▼",2,IF($AO163="大陰線▼",2,IF($AO163="長い下ヒゲ(反発警戒)",-2,0)))</f>
        <v>-2</v>
      </c>
      <c r="AQ163">
        <f>IF(C163&lt;&gt;"",始値!F189,"")</f>
        <v>1910</v>
      </c>
      <c r="AR163">
        <f>IF(C163&lt;&gt;"",高値!F189,"")</f>
        <v>1961.5</v>
      </c>
      <c r="AS163">
        <f>IF(C163&lt;&gt;"",安値!F189,"")</f>
        <v>1876</v>
      </c>
      <c r="AT163" t="str">
        <f>IF(OR(C163="",AQ163="",AR163="",AS163="",AR163-AS163&lt;=0),"-",IF(AND(AR163-MAX(G163,AQ163)&gt;=ABS(G163-AQ163)*2,MIN(G163,AQ163)-AS163&lt;=ABS(G163-AQ163)*0.5,ABS(G163-AQ163)&gt;0),"上ヒゲ陰線▼",IF(AND(G163&lt;AQ163,ABS(G163-AQ163)&gt;=(AR163-AS163)*0.7),"大陰線▼",IF(AND(MIN(G163,AQ163)-AS163&gt;=(AR163-AS163)*0.5,AR163-MAX(G163,AQ163)&lt;=(AR163-AS163)*0.2),"長い下ヒゲ(反発)","通常"))))</f>
        <v>通常</v>
      </c>
      <c r="AU163">
        <f>IF(AT163="上ヒゲ陰線▼",2,IF(AT163="大陰線▼",2,IF(AT163="長い下ヒゲ(反発)",-2,0)))</f>
        <v>0</v>
      </c>
      <c r="BA163">
        <f>IFERROR((SUM(OFFSET(高値!$E$6,IFERROR(MATCH($C163,銘柄管理!$B$6:$B$305,0),MATCH(TEXT($C163,"0"),銘柄管理!$B$6:$B$305,0))-1,0,1,14))-SUM(OFFSET(安値!$E$6,IFERROR(MATCH($C163,銘柄管理!$B$6:$B$305,0),MATCH(TEXT($C163,"0"),銘柄管理!$B$6:$B$305,0))-1,0,1,14)))/SUM(OFFSET(終値!$E$6,IFERROR(MATCH($C163,銘柄管理!$B$6:$B$305,0),MATCH(TEXT($C163,"0"),銘柄管理!$B$6:$B$305,0))-1,0,1,14))*100,"")</f>
      </c>
      <c r="BB163">
        <f>IFERROR((MAX(OFFSET(高値!$E$6,IFERROR(MATCH($C163,銘柄管理!$B$6:$B$305,0),MATCH(TEXT($C163,"0"),銘柄管理!$B$6:$B$305,0))-1,0,1,25))-MIN(OFFSET(安値!$E$6,IFERROR(MATCH($C163,銘柄管理!$B$6:$B$305,0),MATCH(TEXT($C163,"0"),銘柄管理!$B$6:$B$305,0))-1,0,1,25)))/$E163*100,"")</f>
      </c>
      <c r="BC163">
        <f>IFERROR(($F163-$G163)/$G163*100,"")</f>
      </c>
      <c r="BD163">
        <f>IFERROR(($E163-MAX(OFFSET(高値!$E$6,IFERROR(MATCH($C163,銘柄管理!$B$6:$B$305,0),MATCH(TEXT($C163,"0"),銘柄管理!$B$6:$B$305,0))-1,0,1,25)))/MAX(OFFSET(高値!$E$6,IFERROR(MATCH($C163,銘柄管理!$B$6:$B$305,0),MATCH(TEXT($C163,"0"),銘柄管理!$B$6:$B$305,0))-1,0,1,25))*100,"")</f>
      </c>
      <c r="BE163">
        <f>IFERROR(($H163-$I163)/$F163*100,"")</f>
      </c>
      <c r="BF163">
        <f>IFERROR(-(($BA163-AVERAGE($BA$3:$BA$206))/STDEV($BA$3:$BA$206))-(($BE163-AVERAGE($BE$3:$BE$206))/STDEV($BE$3:$BE$206))-(($BB163-AVERAGE($BB$3:$BB$206))/STDEV($BB$3:$BB$206))-(($Z163-AVERAGE($Z$3:$Z$206))/STDEV($Z$3:$Z$206))-(($BC163-AVERAGE($BC$3:$BC$206))/STDEV($BC$3:$BC$206)),"")</f>
      </c>
      <c r="BG163">
        <f>IF(OR($C163="",$C163="TOPX",$BA163="",$BF163=""),0,IF(AND($BK$10=1,$BA163&lt;=$BK$2,$BB163&lt;=$BK$3,$BC163&lt;=$BK$4,$Z163&lt;=$BK$5,$Z163&gt;=$BK$6,$BD163&gt;=$BK$7,$BE163&lt;=$BK$8),1,0))</f>
      </c>
      <c r="BH163">
        <f>IF($C163="","",IF($BG163=1,"○ゲート通過",IF($BK$10&lt;&gt;1,"― この方向は停止中",IF($BA163&gt;$BK$2,"×値動きが荒い",IF($BB163&gt;$BK$3,"×レンジが広い",IF($BC163&gt;$BK$4,"×窓を開けて上昇",IF($Z163&gt;$BK$5,"×前日に急騰",IF($Z163&lt;$BK$6,"×前日に急落",IF($BD163&lt;$BK$7,"×高値から離れすぎ",IF($BE163&gt;$BK$8,"×当日の値幅が大きい","×")))))))))</f>
      </c>
    </row>
    <row r="164" spans="1:60"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IF(AND(E164&lt;&gt;"",K164&lt;&gt;"",K164&lt;&gt;0),(E164-K164)/K164*100,"")</f>
        <v>-7.2411635908664369</v>
      </c>
      <c r="M164" s="333">
        <f>IF(C164&lt;&gt;"",IFERROR(AVERAGE(出来高!E206:I206),""),"")</f>
        <v>4034420</v>
      </c>
      <c r="N164" s="333">
        <f>IF(C164&lt;&gt;"",IFERROR(AVERAGE(出来高!E206:AC206),""),"")</f>
        <v>2991568</v>
      </c>
      <c r="O164" s="335">
        <f>IF(AND(J164&lt;&gt;"",M164&lt;&gt;"",M164&lt;&gt;0),J164/M164,"")</f>
        <v>0.81062457552758516</v>
      </c>
      <c r="P164" s="212" t="str">
        <f>IF(O164="","",IF(O164&gt;=2,"急増↑↑",IF(O164&gt;=1.5,"増加↑",IF(O164&gt;=1,"普通→","減少↓"))))</f>
        <v>減少↓</v>
      </c>
      <c r="Q164" s="212" t="str">
        <f>IF(E164="","",IF(AND(E164&lt;G164,O164&gt;=1.5),"売り▼",IF(E164&gt;G164,"様子見▲","中立→")))</f>
        <v>様子見▲</v>
      </c>
      <c r="R164" s="333">
        <f>IF(E164&lt;&gt;"",ROUND(E164*0.92,0),"")</f>
        <v>5457</v>
      </c>
      <c r="S164" s="333">
        <f>IF(E164&lt;&gt;"",ROUND(E164*1.04,0),"")</f>
        <v>6168</v>
      </c>
      <c r="T164" s="325">
        <f>IF(C164="","",IFERROR(IF(W164&gt;=70,3,IF(W164&gt;=60,2,IF(W164&gt;=50,1,0)))+IF(X164&lt;0,2,0)+IF(AD164="下降トレンド▼",3,IF(AD164="もみ合い→",1,0))+IF(V164="年初来安値圏●",3,IF(V164="安値圏",2,0))+IF(Q164="売り▼",2,0)+IF(P164="急増↑↑",2,IF(P164="増加↑",1,0))+IF(Z164&lt;0,1,0)+IF(L164&lt;=-30,2,IF(L164&lt;=-15,1,0))+IF(AE164="25日戻り売り★",2,IF(AE164="5日戻り売り○",1,0))+N(AL164)+N(AP164)+N(AU164),0))</f>
        <v>2</v>
      </c>
      <c r="U164" s="212" t="str">
        <f>IF(T164="","",IF(AND(T164&gt;=3,O164&gt;=1.5),"有効",IF(T164&gt;=3,"要確認","除外")))</f>
        <v>除外</v>
      </c>
      <c r="V164" s="212" t="str">
        <f>IF(AND(I164&lt;&gt;"",K164&lt;&gt;""),IF(I164&lt;=K164*0.6,"年初来安値圏●",IF(I164&lt;=K164*0.75,"安値圏","通常")),"")</f>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IF(AF164="","",AF164&amp;" | "&amp;AD164&amp;IF(AE164&lt;&gt;"なし"," "&amp;AE164,"")&amp;IF(X164&lt;0," MACD-"," MACD+")&amp;" RSI:"&amp;TEXT(W164,"0.0")&amp;IF(W164&gt;=70," [過熱]",IF(W164&lt;=30," [売られ過ぎ]",""))&amp;" 前日比:"&amp;TEXT(Z164,"+0.0;-0.0;0.0")&amp;"%"&amp;IF(V164="年初来安値圏●"," [年初来安値圏]",IF(V164="安値圏"," [安値圏]",""))&amp;IF(OR(AO164="通常",AO164="-"),""," ["&amp;AO164&amp;"]")&amp;IF(OR(AT164="通常",AT164="-"),"","前日["&amp;AT164&amp;"]")&amp;" ["&amp;T164&amp;"点]")</f>
        <v>相場上昇・見送り | 上昇トレンド▲ 5日戻り売り○ MACD+ RSI:59.2 前日比:+2.3%前日[大陰線▼] [2点]</v>
      </c>
      <c r="Z164" s="338">
        <f>IF(AND(E164&lt;&gt;"",G164&lt;&gt;"",G164&lt;&gt;0),(E164-G164)/G164*100,"")</f>
        <v>2.293894446360814</v>
      </c>
      <c r="AA164" s="212" t="str">
        <f>IF(OR(C164="",E164="",E164=0),"",IF(E164&gt;G164,"上昇▲",IF(E164&lt;G164,"下落▼","横ばい→")))</f>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IF(OR(C164="",AB164="",AC164="",AB164=0,AC164=0),"",IF(AND(E164&gt;AB164,AB164&gt;AC164),"パーフェクト▲",IF(E164&gt;AC164,"上昇トレンド▲",IF(AND(E164&lt;AB164,AB164&lt;AC164),"下降トレンド▼","もみ合い→"))))</f>
        <v>上昇トレンド▲</v>
      </c>
      <c r="AE164" s="212" t="str">
        <f>IF(OR(C164="",AB164="",AC164=""),"",IF(AND(ABS(E164-AC164)/AC164&lt;=0.02,E164&lt;AC164),"25日戻り売り★",IF(AND(ABS(E164-AB164)/AB164&lt;=0.01,E164&lt;AB164),"5日戻り売り○","なし")))</f>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IF(AND(T164&gt;=7,C164&lt;&gt;""),T164,0)</f>
        <v>0</v>
      </c>
      <c r="AH164">
        <f>IF(AG164&gt;0,AG164*10000-ROW(A164),0)</f>
        <v>0</v>
      </c>
      <c r="AI164" s="373">
        <f t="array" ref="AI164">IF(C164="","",IFERROR((INDEX(終値!$E:$E,MATCH(TEXT(C164,"0"),終値!$A:$A,0))-INDEX(終値!$E:$CZ,MATCH(TEXT(C164,"0"),終値!$A:$A,0),$AN$2))/INDEX(終値!$E:$CZ,MATCH(TEXT(C164,"0"),終値!$A:$A,0),$AN$2)*100,""))</f>
        <v>16.751968503937007</v>
      </c>
      <c r="AJ164" s="373">
        <f t="array" ref="AJ164">IFERROR((終値!$E$5-INDEX(終値!$E$5:$IT$5,1,$AN$2))/INDEX(終値!$E$5:$IT$5,1,$AN$2)*100,"")</f>
        <v>1.0179378228534113</v>
      </c>
      <c r="AK164" s="374">
        <f>IF(OR(AI164="",AJ164=""),"",AI164-AJ164)</f>
        <v>15.734030681083595</v>
      </c>
      <c r="AL164" s="372">
        <f>IF(AK164="","",IF(AK164&lt;-5,3,IF(AK164&lt;0,1,IF(AK164&lt;3,-1,-2))))</f>
        <v>-2</v>
      </c>
      <c r="AO164" s="376" t="str">
        <f>IF(OR($C164="",$E164="",$F164="",$H164="",$I164="",$H164-$I164&lt;=0),"-",IF(AND($H164-MAX($F164,$E164)&gt;=ABS($E164-$F164)*2,MIN($F164,$E164)-$I164&lt;=ABS($E164-$F164)*0.5,ABS($E164-$F164)&gt;0),"上ヒゲ陰線▼",IF(AND($E164&lt;$F164,ABS($E164-$F164)&gt;=($H164-$I164)*0.7),"大陰線▼",IF(AND(MIN($F164,$E164)-$I164&gt;=($H164-$I164)*0.5,$H164-MAX($F164,$E164)&lt;=($H164-$I164)*0.2),"長い下ヒゲ(反発警戒)","通常"))))</f>
        <v>通常</v>
      </c>
      <c r="AP164" s="377">
        <f>IF($AO164="上ヒゲ陰線▼",2,IF($AO164="大陰線▼",2,IF($AO164="長い下ヒゲ(反発警戒)",-2,0)))</f>
        <v>0</v>
      </c>
      <c r="AQ164">
        <f>IF(C164&lt;&gt;"",始値!F206,"")</f>
        <v>5994</v>
      </c>
      <c r="AR164">
        <f>IF(C164&lt;&gt;"",高値!F206,"")</f>
        <v>6005</v>
      </c>
      <c r="AS164">
        <f>IF(C164&lt;&gt;"",安値!F206,"")</f>
        <v>5737</v>
      </c>
      <c r="AT164" t="str">
        <f>IF(OR(C164="",AQ164="",AR164="",AS164="",AR164-AS164&lt;=0),"-",IF(AND(AR164-MAX(G164,AQ164)&gt;=ABS(G164-AQ164)*2,MIN(G164,AQ164)-AS164&lt;=ABS(G164-AQ164)*0.5,ABS(G164-AQ164)&gt;0),"上ヒゲ陰線▼",IF(AND(G164&lt;AQ164,ABS(G164-AQ164)&gt;=(AR164-AS164)*0.7),"大陰線▼",IF(AND(MIN(G164,AQ164)-AS164&gt;=(AR164-AS164)*0.5,AR164-MAX(G164,AQ164)&lt;=(AR164-AS164)*0.2),"長い下ヒゲ(反発)","通常"))))</f>
        <v>大陰線▼</v>
      </c>
      <c r="AU164">
        <f>IF(AT164="上ヒゲ陰線▼",2,IF(AT164="大陰線▼",2,IF(AT164="長い下ヒゲ(反発)",-2,0)))</f>
        <v>2</v>
      </c>
      <c r="BA164">
        <f>IFERROR((SUM(OFFSET(高値!$E$6,IFERROR(MATCH($C164,銘柄管理!$B$6:$B$305,0),MATCH(TEXT($C164,"0"),銘柄管理!$B$6:$B$305,0))-1,0,1,14))-SUM(OFFSET(安値!$E$6,IFERROR(MATCH($C164,銘柄管理!$B$6:$B$305,0),MATCH(TEXT($C164,"0"),銘柄管理!$B$6:$B$305,0))-1,0,1,14)))/SUM(OFFSET(終値!$E$6,IFERROR(MATCH($C164,銘柄管理!$B$6:$B$305,0),MATCH(TEXT($C164,"0"),銘柄管理!$B$6:$B$305,0))-1,0,1,14))*100,"")</f>
      </c>
      <c r="BB164">
        <f>IFERROR((MAX(OFFSET(高値!$E$6,IFERROR(MATCH($C164,銘柄管理!$B$6:$B$305,0),MATCH(TEXT($C164,"0"),銘柄管理!$B$6:$B$305,0))-1,0,1,25))-MIN(OFFSET(安値!$E$6,IFERROR(MATCH($C164,銘柄管理!$B$6:$B$305,0),MATCH(TEXT($C164,"0"),銘柄管理!$B$6:$B$305,0))-1,0,1,25)))/$E164*100,"")</f>
      </c>
      <c r="BC164">
        <f>IFERROR(($F164-$G164)/$G164*100,"")</f>
      </c>
      <c r="BD164">
        <f>IFERROR(($E164-MAX(OFFSET(高値!$E$6,IFERROR(MATCH($C164,銘柄管理!$B$6:$B$305,0),MATCH(TEXT($C164,"0"),銘柄管理!$B$6:$B$305,0))-1,0,1,25)))/MAX(OFFSET(高値!$E$6,IFERROR(MATCH($C164,銘柄管理!$B$6:$B$305,0),MATCH(TEXT($C164,"0"),銘柄管理!$B$6:$B$305,0))-1,0,1,25))*100,"")</f>
      </c>
      <c r="BE164">
        <f>IFERROR(($H164-$I164)/$F164*100,"")</f>
      </c>
      <c r="BF164">
        <f>IFERROR(-(($BA164-AVERAGE($BA$3:$BA$206))/STDEV($BA$3:$BA$206))-(($BE164-AVERAGE($BE$3:$BE$206))/STDEV($BE$3:$BE$206))-(($BB164-AVERAGE($BB$3:$BB$206))/STDEV($BB$3:$BB$206))-(($Z164-AVERAGE($Z$3:$Z$206))/STDEV($Z$3:$Z$206))-(($BC164-AVERAGE($BC$3:$BC$206))/STDEV($BC$3:$BC$206)),"")</f>
      </c>
      <c r="BG164">
        <f>IF(OR($C164="",$C164="TOPX",$BA164="",$BF164=""),0,IF(AND($BK$10=1,$BA164&lt;=$BK$2,$BB164&lt;=$BK$3,$BC164&lt;=$BK$4,$Z164&lt;=$BK$5,$Z164&gt;=$BK$6,$BD164&gt;=$BK$7,$BE164&lt;=$BK$8),1,0))</f>
      </c>
      <c r="BH164">
        <f>IF($C164="","",IF($BG164=1,"○ゲート通過",IF($BK$10&lt;&gt;1,"― この方向は停止中",IF($BA164&gt;$BK$2,"×値動きが荒い",IF($BB164&gt;$BK$3,"×レンジが広い",IF($BC164&gt;$BK$4,"×窓を開けて上昇",IF($Z164&gt;$BK$5,"×前日に急騰",IF($Z164&lt;$BK$6,"×前日に急落",IF($BD164&lt;$BK$7,"×高値から離れすぎ",IF($BE164&gt;$BK$8,"×当日の値幅が大きい","×")))))))))</f>
      </c>
    </row>
    <row r="165" spans="1:60"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IF(AND(E165&lt;&gt;"",K165&lt;&gt;"",K165&lt;&gt;0),(E165-K165)/K165*100,"")</f>
        <v>-11.201216421692854</v>
      </c>
      <c r="M165" s="326">
        <f>IF(C165&lt;&gt;"",IFERROR(AVERAGE(出来高!E7:I7),""),"")</f>
        <v>388500</v>
      </c>
      <c r="N165" s="326">
        <f>IF(C165&lt;&gt;"",IFERROR(AVERAGE(出来高!E7:AC7),""),"")</f>
        <v>396324</v>
      </c>
      <c r="O165" s="328">
        <f>IF(AND(J165&lt;&gt;"",M165&lt;&gt;"",M165&lt;&gt;0),J165/M165,"")</f>
        <v>1.045045045045045</v>
      </c>
      <c r="P165" s="325" t="str">
        <f>IF(O165="","",IF(O165&gt;=2,"急増↑↑",IF(O165&gt;=1.5,"増加↑",IF(O165&gt;=1,"普通→","減少↓"))))</f>
        <v>普通→</v>
      </c>
      <c r="Q165" s="325" t="str">
        <f>IF(E165="","",IF(AND(E165&lt;G165,O165&gt;=1.5),"売り▼",IF(E165&gt;G165,"様子見▲","中立→")))</f>
        <v>様子見▲</v>
      </c>
      <c r="R165" s="326">
        <f>IF(E165&lt;&gt;"",ROUND(E165*0.92,0),"")</f>
        <v>1612</v>
      </c>
      <c r="S165" s="326">
        <f>IF(E165&lt;&gt;"",ROUND(E165*1.04,0),"")</f>
        <v>1822</v>
      </c>
      <c r="T165" s="325">
        <f>IF(C165="","",IFERROR(IF(W165&gt;=70,3,IF(W165&gt;=60,2,IF(W165&gt;=50,1,0)))+IF(X165&lt;0,2,0)+IF(AD165="下降トレンド▼",3,IF(AD165="もみ合い→",1,0))+IF(V165="年初来安値圏●",3,IF(V165="安値圏",2,0))+IF(Q165="売り▼",2,0)+IF(P165="急増↑↑",2,IF(P165="増加↑",1,0))+IF(Z165&lt;0,1,0)+IF(L165&lt;=-30,2,IF(L165&lt;=-15,1,0))+IF(AE165="25日戻り売り★",2,IF(AE165="5日戻り売り○",1,0))+N(AL165)+N(AP165)+N(AU165),0))</f>
        <v>1</v>
      </c>
      <c r="U165" s="325" t="str">
        <f>IF(T165="","",IF(AND(T165&gt;=3,O165&gt;=1.5),"有効",IF(T165&gt;=3,"要確認","除外")))</f>
        <v>除外</v>
      </c>
      <c r="V165" s="325" t="str">
        <f>IF(AND(I165&lt;&gt;"",K165&lt;&gt;""),IF(I165&lt;=K165*0.6,"年初来安値圏●",IF(I165&lt;=K165*0.75,"安値圏","通常")),"")</f>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IF(AF165="","",AF165&amp;" | "&amp;AD165&amp;IF(AE165&lt;&gt;"なし"," "&amp;AE165,"")&amp;IF(X165&lt;0," MACD-"," MACD+")&amp;" RSI:"&amp;TEXT(W165,"0.0")&amp;IF(W165&gt;=70," [過熱]",IF(W165&lt;=30," [売られ過ぎ]",""))&amp;" 前日比:"&amp;TEXT(Z165,"+0.0;-0.0;0.0")&amp;"%"&amp;IF(V165="年初来安値圏●"," [年初来安値圏]",IF(V165="安値圏"," [安値圏]",""))&amp;IF(OR(AO165="通常",AO165="-"),""," ["&amp;AO165&amp;"]")&amp;IF(OR(AT165="通常",AT165="-"),"","前日["&amp;AT165&amp;"]")&amp;" ["&amp;T165&amp;"点]")</f>
        <v>相場上昇・見送り | 上昇トレンド▲ MACD- RSI:43.6 前日比:+1.7% [1点]</v>
      </c>
      <c r="Z165" s="331">
        <f>IF(AND(E165&lt;&gt;"",G165&lt;&gt;"",G165&lt;&gt;0),(E165-G165)/G165*100,"")</f>
        <v>1.6831108531630876</v>
      </c>
      <c r="AA165" s="325" t="str">
        <f>IF(OR(C165="",E165="",E165=0),"",IF(E165&gt;G165,"上昇▲",IF(E165&lt;G165,"下落▼","横ばい→")))</f>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IF(OR(C165="",AB165="",AC165="",AB165=0,AC165=0),"",IF(AND(E165&gt;AB165,AB165&gt;AC165),"パーフェクト▲",IF(E165&gt;AC165,"上昇トレンド▲",IF(AND(E165&lt;AB165,AB165&lt;AC165),"下降トレンド▼","もみ合い→"))))</f>
        <v>上昇トレンド▲</v>
      </c>
      <c r="AE165" s="325" t="str">
        <f>IF(OR(C165="",AB165="",AC165=""),"",IF(AND(ABS(E165-AC165)/AC165&lt;=0.02,E165&lt;AC165),"25日戻り売り★",IF(AND(ABS(E165-AB165)/AB165&lt;=0.01,E165&lt;AB165),"5日戻り売り○","なし")))</f>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IF(AND(T165&gt;=7,C165&lt;&gt;""),T165,0)</f>
        <v>0</v>
      </c>
      <c r="AH165">
        <f>IF(AG165&gt;0,AG165*10000-ROW(A165),0)</f>
        <v>0</v>
      </c>
      <c r="AI165" s="373">
        <f t="array" ref="AI165">IF(C165="","",IFERROR((INDEX(終値!$E:$E,MATCH(TEXT(C165,"0"),終値!$A:$A,0))-INDEX(終値!$E:$CZ,MATCH(TEXT(C165,"0"),終値!$A:$A,0),$AN$2))/INDEX(終値!$E:$CZ,MATCH(TEXT(C165,"0"),終値!$A:$A,0),$AN$2)*100,""))</f>
        <v>2.756598240469208</v>
      </c>
      <c r="AJ165" s="373">
        <f t="array" ref="AJ165">IFERROR((終値!$E$5-INDEX(終値!$E$5:$IT$5,1,$AN$2))/INDEX(終値!$E$5:$IT$5,1,$AN$2)*100,"")</f>
        <v>1.0179378228534113</v>
      </c>
      <c r="AK165" s="374">
        <f>IF(OR(AI165="",AJ165=""),"",AI165-AJ165)</f>
        <v>1.7386604176157967</v>
      </c>
      <c r="AL165" s="372">
        <f>IF(AK165="","",IF(AK165&lt;-5,3,IF(AK165&lt;0,1,IF(AK165&lt;3,-1,-2))))</f>
        <v>-1</v>
      </c>
      <c r="AO165" s="376" t="str">
        <f>IF(OR($C165="",$E165="",$F165="",$H165="",$I165="",$H165-$I165&lt;=0),"-",IF(AND($H165-MAX($F165,$E165)&gt;=ABS($E165-$F165)*2,MIN($F165,$E165)-$I165&lt;=ABS($E165-$F165)*0.5,ABS($E165-$F165)&gt;0),"上ヒゲ陰線▼",IF(AND($E165&lt;$F165,ABS($E165-$F165)&gt;=($H165-$I165)*0.7),"大陰線▼",IF(AND(MIN($F165,$E165)-$I165&gt;=($H165-$I165)*0.5,$H165-MAX($F165,$E165)&lt;=($H165-$I165)*0.2),"長い下ヒゲ(反発警戒)","通常"))))</f>
        <v>通常</v>
      </c>
      <c r="AP165" s="377">
        <f>IF($AO165="上ヒゲ陰線▼",2,IF($AO165="大陰線▼",2,IF($AO165="長い下ヒゲ(反発警戒)",-2,0)))</f>
        <v>0</v>
      </c>
      <c r="AQ165">
        <f>IF(C165&lt;&gt;"",始値!F7,"")</f>
        <v>1697</v>
      </c>
      <c r="AR165">
        <f>IF(C165&lt;&gt;"",高値!F7,"")</f>
        <v>1723</v>
      </c>
      <c r="AS165">
        <f>IF(C165&lt;&gt;"",安値!F7,"")</f>
        <v>1689</v>
      </c>
      <c r="AT165" t="str">
        <f>IF(OR(C165="",AQ165="",AR165="",AS165="",AR165-AS165&lt;=0),"-",IF(AND(AR165-MAX(G165,AQ165)&gt;=ABS(G165-AQ165)*2,MIN(G165,AQ165)-AS165&lt;=ABS(G165-AQ165)*0.5,ABS(G165-AQ165)&gt;0),"上ヒゲ陰線▼",IF(AND(G165&lt;AQ165,ABS(G165-AQ165)&gt;=(AR165-AS165)*0.7),"大陰線▼",IF(AND(MIN(G165,AQ165)-AS165&gt;=(AR165-AS165)*0.5,AR165-MAX(G165,AQ165)&lt;=(AR165-AS165)*0.2),"長い下ヒゲ(反発)","通常"))))</f>
        <v>通常</v>
      </c>
      <c r="AU165">
        <f>IF(AT165="上ヒゲ陰線▼",2,IF(AT165="大陰線▼",2,IF(AT165="長い下ヒゲ(反発)",-2,0)))</f>
        <v>0</v>
      </c>
      <c r="BA165">
        <f>IFERROR((SUM(OFFSET(高値!$E$6,IFERROR(MATCH($C165,銘柄管理!$B$6:$B$305,0),MATCH(TEXT($C165,"0"),銘柄管理!$B$6:$B$305,0))-1,0,1,14))-SUM(OFFSET(安値!$E$6,IFERROR(MATCH($C165,銘柄管理!$B$6:$B$305,0),MATCH(TEXT($C165,"0"),銘柄管理!$B$6:$B$305,0))-1,0,1,14)))/SUM(OFFSET(終値!$E$6,IFERROR(MATCH($C165,銘柄管理!$B$6:$B$305,0),MATCH(TEXT($C165,"0"),銘柄管理!$B$6:$B$305,0))-1,0,1,14))*100,"")</f>
      </c>
      <c r="BB165">
        <f>IFERROR((MAX(OFFSET(高値!$E$6,IFERROR(MATCH($C165,銘柄管理!$B$6:$B$305,0),MATCH(TEXT($C165,"0"),銘柄管理!$B$6:$B$305,0))-1,0,1,25))-MIN(OFFSET(安値!$E$6,IFERROR(MATCH($C165,銘柄管理!$B$6:$B$305,0),MATCH(TEXT($C165,"0"),銘柄管理!$B$6:$B$305,0))-1,0,1,25)))/$E165*100,"")</f>
      </c>
      <c r="BC165">
        <f>IFERROR(($F165-$G165)/$G165*100,"")</f>
      </c>
      <c r="BD165">
        <f>IFERROR(($E165-MAX(OFFSET(高値!$E$6,IFERROR(MATCH($C165,銘柄管理!$B$6:$B$305,0),MATCH(TEXT($C165,"0"),銘柄管理!$B$6:$B$305,0))-1,0,1,25)))/MAX(OFFSET(高値!$E$6,IFERROR(MATCH($C165,銘柄管理!$B$6:$B$305,0),MATCH(TEXT($C165,"0"),銘柄管理!$B$6:$B$305,0))-1,0,1,25))*100,"")</f>
      </c>
      <c r="BE165">
        <f>IFERROR(($H165-$I165)/$F165*100,"")</f>
      </c>
      <c r="BF165">
        <f>IFERROR(-(($BA165-AVERAGE($BA$3:$BA$206))/STDEV($BA$3:$BA$206))-(($BE165-AVERAGE($BE$3:$BE$206))/STDEV($BE$3:$BE$206))-(($BB165-AVERAGE($BB$3:$BB$206))/STDEV($BB$3:$BB$206))-(($Z165-AVERAGE($Z$3:$Z$206))/STDEV($Z$3:$Z$206))-(($BC165-AVERAGE($BC$3:$BC$206))/STDEV($BC$3:$BC$206)),"")</f>
      </c>
      <c r="BG165">
        <f>IF(OR($C165="",$C165="TOPX",$BA165="",$BF165=""),0,IF(AND($BK$10=1,$BA165&lt;=$BK$2,$BB165&lt;=$BK$3,$BC165&lt;=$BK$4,$Z165&lt;=$BK$5,$Z165&gt;=$BK$6,$BD165&gt;=$BK$7,$BE165&lt;=$BK$8),1,0))</f>
      </c>
      <c r="BH165">
        <f>IF($C165="","",IF($BG165=1,"○ゲート通過",IF($BK$10&lt;&gt;1,"― この方向は停止中",IF($BA165&gt;$BK$2,"×値動きが荒い",IF($BB165&gt;$BK$3,"×レンジが広い",IF($BC165&gt;$BK$4,"×窓を開けて上昇",IF($Z165&gt;$BK$5,"×前日に急騰",IF($Z165&lt;$BK$6,"×前日に急落",IF($BD165&lt;$BK$7,"×高値から離れすぎ",IF($BE165&gt;$BK$8,"×当日の値幅が大きい","×")))))))))</f>
      </c>
    </row>
    <row r="166" spans="1:60"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IF(AND(E166&lt;&gt;"",K166&lt;&gt;"",K166&lt;&gt;0),(E166-K166)/K166*100,"")</f>
        <v>-30.171543895055496</v>
      </c>
      <c r="M166" s="333">
        <f>IF(C166&lt;&gt;"",IFERROR(AVERAGE(出来高!E12:I12),""),"")</f>
        <v>3763060</v>
      </c>
      <c r="N166" s="333">
        <f>IF(C166&lt;&gt;"",IFERROR(AVERAGE(出来高!E12:AC12),""),"")</f>
        <v>4475644</v>
      </c>
      <c r="O166" s="335">
        <f>IF(AND(J166&lt;&gt;"",M166&lt;&gt;"",M166&lt;&gt;0),J166/M166,"")</f>
        <v>0.9477659139104877</v>
      </c>
      <c r="P166" s="212" t="str">
        <f>IF(O166="","",IF(O166&gt;=2,"急増↑↑",IF(O166&gt;=1.5,"増加↑",IF(O166&gt;=1,"普通→","減少↓"))))</f>
        <v>減少↓</v>
      </c>
      <c r="Q166" s="212" t="str">
        <f>IF(E166="","",IF(AND(E166&lt;G166,O166&gt;=1.5),"売り▼",IF(E166&gt;G166,"様子見▲","中立→")))</f>
        <v>様子見▲</v>
      </c>
      <c r="R166" s="333">
        <f>IF(E166&lt;&gt;"",ROUND(E166*0.92,0),"")</f>
        <v>3183</v>
      </c>
      <c r="S166" s="333">
        <f>IF(E166&lt;&gt;"",ROUND(E166*1.04,0),"")</f>
        <v>3598</v>
      </c>
      <c r="T166" s="325">
        <f>IF(C166="","",IFERROR(IF(W166&gt;=70,3,IF(W166&gt;=60,2,IF(W166&gt;=50,1,0)))+IF(X166&lt;0,2,0)+IF(AD166="下降トレンド▼",3,IF(AD166="もみ合い→",1,0))+IF(V166="年初来安値圏●",3,IF(V166="安値圏",2,0))+IF(Q166="売り▼",2,0)+IF(P166="急増↑↑",2,IF(P166="増加↑",1,0))+IF(Z166&lt;0,1,0)+IF(L166&lt;=-30,2,IF(L166&lt;=-15,1,0))+IF(AE166="25日戻り売り★",2,IF(AE166="5日戻り売り○",1,0))+N(AL166)+N(AP166)+N(AU166),0))</f>
        <v>7</v>
      </c>
      <c r="U166" s="212" t="str">
        <f>IF(T166="","",IF(AND(T166&gt;=3,O166&gt;=1.5),"有効",IF(T166&gt;=3,"要確認","除外")))</f>
        <v>要確認</v>
      </c>
      <c r="V166" s="212" t="str">
        <f>IF(AND(I166&lt;&gt;"",K166&lt;&gt;""),IF(I166&lt;=K166*0.6,"年初来安値圏●",IF(I166&lt;=K166*0.75,"安値圏","通常")),"")</f>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IF(AF166="","",AF166&amp;" | "&amp;AD166&amp;IF(AE166&lt;&gt;"なし"," "&amp;AE166,"")&amp;IF(X166&lt;0," MACD-"," MACD+")&amp;" RSI:"&amp;TEXT(W166,"0.0")&amp;IF(W166&gt;=70," [過熱]",IF(W166&lt;=30," [売られ過ぎ]",""))&amp;" 前日比:"&amp;TEXT(Z166,"+0.0;-0.0;0.0")&amp;"%"&amp;IF(V166="年初来安値圏●"," [年初来安値圏]",IF(V166="安値圏"," [安値圏]",""))&amp;IF(OR(AO166="通常",AO166="-"),""," ["&amp;AO166&amp;"]")&amp;IF(OR(AT166="通常",AT166="-"),"","前日["&amp;AT166&amp;"]")&amp;" ["&amp;T166&amp;"点]")</f>
        <v>★逆張り売り | 下降トレンド▼ 25日戻り売り★ MACD+ RSI:46.9 前日比:+1.9% [安値圏] [7点]</v>
      </c>
      <c r="Z166" s="338">
        <f>IF(AND(E166&lt;&gt;"",G166&lt;&gt;"",G166&lt;&gt;0),(E166-G166)/G166*100,"")</f>
        <v>1.9446081319976427</v>
      </c>
      <c r="AA166" s="212" t="str">
        <f>IF(OR(C166="",E166="",E166=0),"",IF(E166&gt;G166,"上昇▲",IF(E166&lt;G166,"下落▼","横ばい→")))</f>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IF(OR(C166="",AB166="",AC166="",AB166=0,AC166=0),"",IF(AND(E166&gt;AB166,AB166&gt;AC166),"パーフェクト▲",IF(E166&gt;AC166,"上昇トレンド▲",IF(AND(E166&lt;AB166,AB166&lt;AC166),"下降トレンド▼","もみ合い→"))))</f>
        <v>下降トレンド▼</v>
      </c>
      <c r="AE166" s="212" t="str">
        <f>IF(OR(C166="",AB166="",AC166=""),"",IF(AND(ABS(E166-AC166)/AC166&lt;=0.02,E166&lt;AC166),"25日戻り売り★",IF(AND(ABS(E166-AB166)/AB166&lt;=0.01,E166&lt;AB166),"5日戻り売り○","なし")))</f>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IF(AND(T166&gt;=7,C166&lt;&gt;""),T166,0)</f>
        <v>7</v>
      </c>
      <c r="AH166">
        <f>IF(AG166&gt;0,AG166*10000-ROW(A166),0)</f>
        <v>69834</v>
      </c>
      <c r="AI166" s="373">
        <f t="array" ref="AI166">IF(C166="","",IFERROR((INDEX(終値!$E:$E,MATCH(TEXT(C166,"0"),終値!$A:$A,0))-INDEX(終値!$E:$CZ,MATCH(TEXT(C166,"0"),終値!$A:$A,0),$AN$2))/INDEX(終値!$E:$CZ,MATCH(TEXT(C166,"0"),終値!$A:$A,0),$AN$2)*100,""))</f>
        <v>7.9563182527301084</v>
      </c>
      <c r="AJ166" s="373">
        <f t="array" ref="AJ166">IFERROR((終値!$E$5-INDEX(終値!$E$5:$IT$5,1,$AN$2))/INDEX(終値!$E$5:$IT$5,1,$AN$2)*100,"")</f>
        <v>1.0179378228534113</v>
      </c>
      <c r="AK166" s="374">
        <f>IF(OR(AI166="",AJ166=""),"",AI166-AJ166)</f>
        <v>6.9383804298766973</v>
      </c>
      <c r="AL166" s="372">
        <f>IF(AK166="","",IF(AK166&lt;-5,3,IF(AK166&lt;0,1,IF(AK166&lt;3,-1,-2))))</f>
        <v>-2</v>
      </c>
      <c r="AO166" s="376" t="str">
        <f>IF(OR($C166="",$E166="",$F166="",$H166="",$I166="",$H166-$I166&lt;=0),"-",IF(AND($H166-MAX($F166,$E166)&gt;=ABS($E166-$F166)*2,MIN($F166,$E166)-$I166&lt;=ABS($E166-$F166)*0.5,ABS($E166-$F166)&gt;0),"上ヒゲ陰線▼",IF(AND($E166&lt;$F166,ABS($E166-$F166)&gt;=($H166-$I166)*0.7),"大陰線▼",IF(AND(MIN($F166,$E166)-$I166&gt;=($H166-$I166)*0.5,$H166-MAX($F166,$E166)&lt;=($H166-$I166)*0.2),"長い下ヒゲ(反発警戒)","通常"))))</f>
        <v>通常</v>
      </c>
      <c r="AP166" s="377">
        <f>IF($AO166="上ヒゲ陰線▼",2,IF($AO166="大陰線▼",2,IF($AO166="長い下ヒゲ(反発警戒)",-2,0)))</f>
        <v>0</v>
      </c>
      <c r="AQ166">
        <f>IF(C166&lt;&gt;"",始値!F12,"")</f>
        <v>3451</v>
      </c>
      <c r="AR166">
        <f>IF(C166&lt;&gt;"",高値!F12,"")</f>
        <v>3472</v>
      </c>
      <c r="AS166">
        <f>IF(C166&lt;&gt;"",安値!F12,"")</f>
        <v>3385</v>
      </c>
      <c r="AT166" t="str">
        <f>IF(OR(C166="",AQ166="",AR166="",AS166="",AR166-AS166&lt;=0),"-",IF(AND(AR166-MAX(G166,AQ166)&gt;=ABS(G166-AQ166)*2,MIN(G166,AQ166)-AS166&lt;=ABS(G166-AQ166)*0.5,ABS(G166-AQ166)&gt;0),"上ヒゲ陰線▼",IF(AND(G166&lt;AQ166,ABS(G166-AQ166)&gt;=(AR166-AS166)*0.7),"大陰線▼",IF(AND(MIN(G166,AQ166)-AS166&gt;=(AR166-AS166)*0.5,AR166-MAX(G166,AQ166)&lt;=(AR166-AS166)*0.2),"長い下ヒゲ(反発)","通常"))))</f>
        <v>通常</v>
      </c>
      <c r="AU166">
        <f>IF(AT166="上ヒゲ陰線▼",2,IF(AT166="大陰線▼",2,IF(AT166="長い下ヒゲ(反発)",-2,0)))</f>
        <v>0</v>
      </c>
      <c r="BA166">
        <f>IFERROR((SUM(OFFSET(高値!$E$6,IFERROR(MATCH($C166,銘柄管理!$B$6:$B$305,0),MATCH(TEXT($C166,"0"),銘柄管理!$B$6:$B$305,0))-1,0,1,14))-SUM(OFFSET(安値!$E$6,IFERROR(MATCH($C166,銘柄管理!$B$6:$B$305,0),MATCH(TEXT($C166,"0"),銘柄管理!$B$6:$B$305,0))-1,0,1,14)))/SUM(OFFSET(終値!$E$6,IFERROR(MATCH($C166,銘柄管理!$B$6:$B$305,0),MATCH(TEXT($C166,"0"),銘柄管理!$B$6:$B$305,0))-1,0,1,14))*100,"")</f>
      </c>
      <c r="BB166">
        <f>IFERROR((MAX(OFFSET(高値!$E$6,IFERROR(MATCH($C166,銘柄管理!$B$6:$B$305,0),MATCH(TEXT($C166,"0"),銘柄管理!$B$6:$B$305,0))-1,0,1,25))-MIN(OFFSET(安値!$E$6,IFERROR(MATCH($C166,銘柄管理!$B$6:$B$305,0),MATCH(TEXT($C166,"0"),銘柄管理!$B$6:$B$305,0))-1,0,1,25)))/$E166*100,"")</f>
      </c>
      <c r="BC166">
        <f>IFERROR(($F166-$G166)/$G166*100,"")</f>
      </c>
      <c r="BD166">
        <f>IFERROR(($E166-MAX(OFFSET(高値!$E$6,IFERROR(MATCH($C166,銘柄管理!$B$6:$B$305,0),MATCH(TEXT($C166,"0"),銘柄管理!$B$6:$B$305,0))-1,0,1,25)))/MAX(OFFSET(高値!$E$6,IFERROR(MATCH($C166,銘柄管理!$B$6:$B$305,0),MATCH(TEXT($C166,"0"),銘柄管理!$B$6:$B$305,0))-1,0,1,25))*100,"")</f>
      </c>
      <c r="BE166">
        <f>IFERROR(($H166-$I166)/$F166*100,"")</f>
      </c>
      <c r="BF166">
        <f>IFERROR(-(($BA166-AVERAGE($BA$3:$BA$206))/STDEV($BA$3:$BA$206))-(($BE166-AVERAGE($BE$3:$BE$206))/STDEV($BE$3:$BE$206))-(($BB166-AVERAGE($BB$3:$BB$206))/STDEV($BB$3:$BB$206))-(($Z166-AVERAGE($Z$3:$Z$206))/STDEV($Z$3:$Z$206))-(($BC166-AVERAGE($BC$3:$BC$206))/STDEV($BC$3:$BC$206)),"")</f>
      </c>
      <c r="BG166">
        <f>IF(OR($C166="",$C166="TOPX",$BA166="",$BF166=""),0,IF(AND($BK$10=1,$BA166&lt;=$BK$2,$BB166&lt;=$BK$3,$BC166&lt;=$BK$4,$Z166&lt;=$BK$5,$Z166&gt;=$BK$6,$BD166&gt;=$BK$7,$BE166&lt;=$BK$8),1,0))</f>
      </c>
      <c r="BH166">
        <f>IF($C166="","",IF($BG166=1,"○ゲート通過",IF($BK$10&lt;&gt;1,"― この方向は停止中",IF($BA166&gt;$BK$2,"×値動きが荒い",IF($BB166&gt;$BK$3,"×レンジが広い",IF($BC166&gt;$BK$4,"×窓を開けて上昇",IF($Z166&gt;$BK$5,"×前日に急騰",IF($Z166&lt;$BK$6,"×前日に急落",IF($BD166&lt;$BK$7,"×高値から離れすぎ",IF($BE166&gt;$BK$8,"×当日の値幅が大きい","×")))))))))</f>
      </c>
    </row>
    <row r="167" spans="1:60"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IF(AND(E167&lt;&gt;"",K167&lt;&gt;"",K167&lt;&gt;0),(E167-K167)/K167*100,"")</f>
        <v>-21.997471554993677</v>
      </c>
      <c r="M167" s="326">
        <f>IF(C167&lt;&gt;"",IFERROR(AVERAGE(出来高!E14:I14),""),"")</f>
        <v>8010600</v>
      </c>
      <c r="N167" s="326">
        <f>IF(C167&lt;&gt;"",IFERROR(AVERAGE(出来高!E14:AC14),""),"")</f>
        <v>5130076</v>
      </c>
      <c r="O167" s="328">
        <f>IF(AND(J167&lt;&gt;"",M167&lt;&gt;"",M167&lt;&gt;0),J167/M167,"")</f>
        <v>0.70353032232292212</v>
      </c>
      <c r="P167" s="325" t="str">
        <f>IF(O167="","",IF(O167&gt;=2,"急増↑↑",IF(O167&gt;=1.5,"増加↑",IF(O167&gt;=1,"普通→","減少↓"))))</f>
        <v>減少↓</v>
      </c>
      <c r="Q167" s="325" t="str">
        <f>IF(E167="","",IF(AND(E167&lt;G167,O167&gt;=1.5),"売り▼",IF(E167&gt;G167,"様子見▲","中立→")))</f>
        <v>様子見▲</v>
      </c>
      <c r="R167" s="326">
        <f>IF(E167&lt;&gt;"",ROUND(E167*0.92,0),"")</f>
        <v>4541</v>
      </c>
      <c r="S167" s="326">
        <f>IF(E167&lt;&gt;"",ROUND(E167*1.04,0),"")</f>
        <v>5133</v>
      </c>
      <c r="T167" s="325">
        <f>IF(C167="","",IFERROR(IF(W167&gt;=70,3,IF(W167&gt;=60,2,IF(W167&gt;=50,1,0)))+IF(X167&lt;0,2,0)+IF(AD167="下降トレンド▼",3,IF(AD167="もみ合い→",1,0))+IF(V167="年初来安値圏●",3,IF(V167="安値圏",2,0))+IF(Q167="売り▼",2,0)+IF(P167="急増↑↑",2,IF(P167="増加↑",1,0))+IF(Z167&lt;0,1,0)+IF(L167&lt;=-30,2,IF(L167&lt;=-15,1,0))+IF(AE167="25日戻り売り★",2,IF(AE167="5日戻り売り○",1,0))+N(AL167)+N(AP167)+N(AU167),0))</f>
        <v>1</v>
      </c>
      <c r="U167" s="325" t="str">
        <f>IF(T167="","",IF(AND(T167&gt;=3,O167&gt;=1.5),"有効",IF(T167&gt;=3,"要確認","除外")))</f>
        <v>除外</v>
      </c>
      <c r="V167" s="325" t="str">
        <f>IF(AND(I167&lt;&gt;"",K167&lt;&gt;""),IF(I167&lt;=K167*0.6,"年初来安値圏●",IF(I167&lt;=K167*0.75,"安値圏","通常")),"")</f>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IF(AF167="","",AF167&amp;" | "&amp;AD167&amp;IF(AE167&lt;&gt;"なし"," "&amp;AE167,"")&amp;IF(X167&lt;0," MACD-"," MACD+")&amp;" RSI:"&amp;TEXT(W167,"0.0")&amp;IF(W167&gt;=70," [過熱]",IF(W167&lt;=30," [売られ過ぎ]",""))&amp;" 前日比:"&amp;TEXT(Z167,"+0.0;-0.0;0.0")&amp;"%"&amp;IF(V167="年初来安値圏●"," [年初来安値圏]",IF(V167="安値圏"," [安値圏]",""))&amp;IF(OR(AO167="通常",AO167="-"),""," ["&amp;AO167&amp;"]")&amp;IF(OR(AT167="通常",AT167="-"),"","前日["&amp;AT167&amp;"]")&amp;" ["&amp;T167&amp;"点]")</f>
        <v>★逆張り売り | 下降トレンド▼ 5日戻り売り○ MACD+ RSI:39.8 前日比:+1.5%前日[長い下ヒゲ(反発)] [1点]</v>
      </c>
      <c r="Z167" s="331">
        <f>IF(AND(E167&lt;&gt;"",G167&lt;&gt;"",G167&lt;&gt;0),(E167-G167)/G167*100,"")</f>
        <v>1.5220074043603455</v>
      </c>
      <c r="AA167" s="325" t="str">
        <f>IF(OR(C167="",E167="",E167=0),"",IF(E167&gt;G167,"上昇▲",IF(E167&lt;G167,"下落▼","横ばい→")))</f>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IF(OR(C167="",AB167="",AC167="",AB167=0,AC167=0),"",IF(AND(E167&gt;AB167,AB167&gt;AC167),"パーフェクト▲",IF(E167&gt;AC167,"上昇トレンド▲",IF(AND(E167&lt;AB167,AB167&lt;AC167),"下降トレンド▼","もみ合い→"))))</f>
        <v>下降トレンド▼</v>
      </c>
      <c r="AE167" s="325" t="str">
        <f>IF(OR(C167="",AB167="",AC167=""),"",IF(AND(ABS(E167-AC167)/AC167&lt;=0.02,E167&lt;AC167),"25日戻り売り★",IF(AND(ABS(E167-AB167)/AB167&lt;=0.01,E167&lt;AB167),"5日戻り売り○","なし")))</f>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IF(AND(T167&gt;=7,C167&lt;&gt;""),T167,0)</f>
        <v>0</v>
      </c>
      <c r="AH167">
        <f>IF(AG167&gt;0,AG167*10000-ROW(A167),0)</f>
        <v>0</v>
      </c>
      <c r="AI167" s="373">
        <f t="array" ref="AI167">IF(C167="","",IFERROR((INDEX(終値!$E:$E,MATCH(TEXT(C167,"0"),終値!$A:$A,0))-INDEX(終値!$E:$CZ,MATCH(TEXT(C167,"0"),終値!$A:$A,0),$AN$2))/INDEX(終値!$E:$CZ,MATCH(TEXT(C167,"0"),終値!$A:$A,0),$AN$2)*100,""))</f>
        <v>5.7412167952013711</v>
      </c>
      <c r="AJ167" s="373">
        <f t="array" ref="AJ167">IFERROR((終値!$E$5-INDEX(終値!$E$5:$IT$5,1,$AN$2))/INDEX(終値!$E$5:$IT$5,1,$AN$2)*100,"")</f>
        <v>1.0179378228534113</v>
      </c>
      <c r="AK167" s="374">
        <f>IF(OR(AI167="",AJ167=""),"",AI167-AJ167)</f>
        <v>4.72327897234796</v>
      </c>
      <c r="AL167" s="372">
        <f>IF(AK167="","",IF(AK167&lt;-5,3,IF(AK167&lt;0,1,IF(AK167&lt;3,-1,-2))))</f>
        <v>-2</v>
      </c>
      <c r="AO167" s="376" t="str">
        <f>IF(OR($C167="",$E167="",$F167="",$H167="",$I167="",$H167-$I167&lt;=0),"-",IF(AND($H167-MAX($F167,$E167)&gt;=ABS($E167-$F167)*2,MIN($F167,$E167)-$I167&lt;=ABS($E167-$F167)*0.5,ABS($E167-$F167)&gt;0),"上ヒゲ陰線▼",IF(AND($E167&lt;$F167,ABS($E167-$F167)&gt;=($H167-$I167)*0.7),"大陰線▼",IF(AND(MIN($F167,$E167)-$I167&gt;=($H167-$I167)*0.5,$H167-MAX($F167,$E167)&lt;=($H167-$I167)*0.2),"長い下ヒゲ(反発警戒)","通常"))))</f>
        <v>通常</v>
      </c>
      <c r="AP167" s="377">
        <f>IF($AO167="上ヒゲ陰線▼",2,IF($AO167="大陰線▼",2,IF($AO167="長い下ヒゲ(反発警戒)",-2,0)))</f>
        <v>0</v>
      </c>
      <c r="AQ167">
        <f>IF(C167&lt;&gt;"",始値!F14,"")</f>
        <v>4901</v>
      </c>
      <c r="AR167">
        <f>IF(C167&lt;&gt;"",高値!F14,"")</f>
        <v>4922</v>
      </c>
      <c r="AS167">
        <f>IF(C167&lt;&gt;"",安値!F14,"")</f>
        <v>4788</v>
      </c>
      <c r="AT167" t="str">
        <f>IF(OR(C167="",AQ167="",AR167="",AS167="",AR167-AS167&lt;=0),"-",IF(AND(AR167-MAX(G167,AQ167)&gt;=ABS(G167-AQ167)*2,MIN(G167,AQ167)-AS167&lt;=ABS(G167-AQ167)*0.5,ABS(G167-AQ167)&gt;0),"上ヒゲ陰線▼",IF(AND(G167&lt;AQ167,ABS(G167-AQ167)&gt;=(AR167-AS167)*0.7),"大陰線▼",IF(AND(MIN(G167,AQ167)-AS167&gt;=(AR167-AS167)*0.5,AR167-MAX(G167,AQ167)&lt;=(AR167-AS167)*0.2),"長い下ヒゲ(反発)","通常"))))</f>
        <v>長い下ヒゲ(反発)</v>
      </c>
      <c r="AU167">
        <f>IF(AT167="上ヒゲ陰線▼",2,IF(AT167="大陰線▼",2,IF(AT167="長い下ヒゲ(反発)",-2,0)))</f>
        <v>-2</v>
      </c>
      <c r="BA167">
        <f>IFERROR((SUM(OFFSET(高値!$E$6,IFERROR(MATCH($C167,銘柄管理!$B$6:$B$305,0),MATCH(TEXT($C167,"0"),銘柄管理!$B$6:$B$305,0))-1,0,1,14))-SUM(OFFSET(安値!$E$6,IFERROR(MATCH($C167,銘柄管理!$B$6:$B$305,0),MATCH(TEXT($C167,"0"),銘柄管理!$B$6:$B$305,0))-1,0,1,14)))/SUM(OFFSET(終値!$E$6,IFERROR(MATCH($C167,銘柄管理!$B$6:$B$305,0),MATCH(TEXT($C167,"0"),銘柄管理!$B$6:$B$305,0))-1,0,1,14))*100,"")</f>
      </c>
      <c r="BB167">
        <f>IFERROR((MAX(OFFSET(高値!$E$6,IFERROR(MATCH($C167,銘柄管理!$B$6:$B$305,0),MATCH(TEXT($C167,"0"),銘柄管理!$B$6:$B$305,0))-1,0,1,25))-MIN(OFFSET(安値!$E$6,IFERROR(MATCH($C167,銘柄管理!$B$6:$B$305,0),MATCH(TEXT($C167,"0"),銘柄管理!$B$6:$B$305,0))-1,0,1,25)))/$E167*100,"")</f>
      </c>
      <c r="BC167">
        <f>IFERROR(($F167-$G167)/$G167*100,"")</f>
      </c>
      <c r="BD167">
        <f>IFERROR(($E167-MAX(OFFSET(高値!$E$6,IFERROR(MATCH($C167,銘柄管理!$B$6:$B$305,0),MATCH(TEXT($C167,"0"),銘柄管理!$B$6:$B$305,0))-1,0,1,25)))/MAX(OFFSET(高値!$E$6,IFERROR(MATCH($C167,銘柄管理!$B$6:$B$305,0),MATCH(TEXT($C167,"0"),銘柄管理!$B$6:$B$305,0))-1,0,1,25))*100,"")</f>
      </c>
      <c r="BE167">
        <f>IFERROR(($H167-$I167)/$F167*100,"")</f>
      </c>
      <c r="BF167">
        <f>IFERROR(-(($BA167-AVERAGE($BA$3:$BA$206))/STDEV($BA$3:$BA$206))-(($BE167-AVERAGE($BE$3:$BE$206))/STDEV($BE$3:$BE$206))-(($BB167-AVERAGE($BB$3:$BB$206))/STDEV($BB$3:$BB$206))-(($Z167-AVERAGE($Z$3:$Z$206))/STDEV($Z$3:$Z$206))-(($BC167-AVERAGE($BC$3:$BC$206))/STDEV($BC$3:$BC$206)),"")</f>
      </c>
      <c r="BG167">
        <f>IF(OR($C167="",$C167="TOPX",$BA167="",$BF167=""),0,IF(AND($BK$10=1,$BA167&lt;=$BK$2,$BB167&lt;=$BK$3,$BC167&lt;=$BK$4,$Z167&lt;=$BK$5,$Z167&gt;=$BK$6,$BD167&gt;=$BK$7,$BE167&lt;=$BK$8),1,0))</f>
      </c>
      <c r="BH167">
        <f>IF($C167="","",IF($BG167=1,"○ゲート通過",IF($BK$10&lt;&gt;1,"― この方向は停止中",IF($BA167&gt;$BK$2,"×値動きが荒い",IF($BB167&gt;$BK$3,"×レンジが広い",IF($BC167&gt;$BK$4,"×窓を開けて上昇",IF($Z167&gt;$BK$5,"×前日に急騰",IF($Z167&lt;$BK$6,"×前日に急落",IF($BD167&lt;$BK$7,"×高値から離れすぎ",IF($BE167&gt;$BK$8,"×当日の値幅が大きい","×")))))))))</f>
      </c>
    </row>
    <row r="168" spans="1:60"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IF(AND(E168&lt;&gt;"",K168&lt;&gt;"",K168&lt;&gt;0),(E168-K168)/K168*100,"")</f>
        <v>-4.849201655824956</v>
      </c>
      <c r="M168" s="333">
        <f>IF(C168&lt;&gt;"",IFERROR(AVERAGE(出来高!E22:I22),""),"")</f>
        <v>4114620</v>
      </c>
      <c r="N168" s="333">
        <f>IF(C168&lt;&gt;"",IFERROR(AVERAGE(出来高!E22:AC22),""),"")</f>
        <v>4694064</v>
      </c>
      <c r="O168" s="335">
        <f>IF(AND(J168&lt;&gt;"",M168&lt;&gt;"",M168&lt;&gt;0),J168/M168,"")</f>
        <v>0.79803238209117733</v>
      </c>
      <c r="P168" s="212" t="str">
        <f>IF(O168="","",IF(O168&gt;=2,"急増↑↑",IF(O168&gt;=1.5,"増加↑",IF(O168&gt;=1,"普通→","減少↓"))))</f>
        <v>減少↓</v>
      </c>
      <c r="Q168" s="212" t="str">
        <f>IF(E168="","",IF(AND(E168&lt;G168,O168&gt;=1.5),"売り▼",IF(E168&gt;G168,"様子見▲","中立→")))</f>
        <v>様子見▲</v>
      </c>
      <c r="R168" s="333">
        <f>IF(E168&lt;&gt;"",ROUND(E168*0.92,0),"")</f>
        <v>4441</v>
      </c>
      <c r="S168" s="333">
        <f>IF(E168&lt;&gt;"",ROUND(E168*1.04,0),"")</f>
        <v>5020</v>
      </c>
      <c r="T168" s="325">
        <f>IF(C168="","",IFERROR(IF(W168&gt;=70,3,IF(W168&gt;=60,2,IF(W168&gt;=50,1,0)))+IF(X168&lt;0,2,0)+IF(AD168="下降トレンド▼",3,IF(AD168="もみ合い→",1,0))+IF(V168="年初来安値圏●",3,IF(V168="安値圏",2,0))+IF(Q168="売り▼",2,0)+IF(P168="急増↑↑",2,IF(P168="増加↑",1,0))+IF(Z168&lt;0,1,0)+IF(L168&lt;=-30,2,IF(L168&lt;=-15,1,0))+IF(AE168="25日戻り売り★",2,IF(AE168="5日戻り売り○",1,0))+N(AL168)+N(AP168)+N(AU168),0))</f>
        <v>-2</v>
      </c>
      <c r="U168" s="212" t="str">
        <f>IF(T168="","",IF(AND(T168&gt;=3,O168&gt;=1.5),"有効",IF(T168&gt;=3,"要確認","除外")))</f>
        <v>除外</v>
      </c>
      <c r="V168" s="212" t="str">
        <f>IF(AND(I168&lt;&gt;"",K168&lt;&gt;""),IF(I168&lt;=K168*0.6,"年初来安値圏●",IF(I168&lt;=K168*0.75,"安値圏","通常")),"")</f>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IF(AF168="","",AF168&amp;" | "&amp;AD168&amp;IF(AE168&lt;&gt;"なし"," "&amp;AE168,"")&amp;IF(X168&lt;0," MACD-"," MACD+")&amp;" RSI:"&amp;TEXT(W168,"0.0")&amp;IF(W168&gt;=70," [過熱]",IF(W168&lt;=30," [売られ過ぎ]",""))&amp;" 前日比:"&amp;TEXT(Z168,"+0.0;-0.0;0.0")&amp;"%"&amp;IF(V168="年初来安値圏●"," [年初来安値圏]",IF(V168="安値圏"," [安値圏]",""))&amp;IF(OR(AO168="通常",AO168="-"),""," ["&amp;AO168&amp;"]")&amp;IF(OR(AT168="通常",AT168="-"),"","前日["&amp;AT168&amp;"]")&amp;" ["&amp;T168&amp;"点]")</f>
        <v>相場上昇・見送り | パーフェクト▲ MACD+ RSI:60.2 前日比:+1.0%前日[長い下ヒゲ(反発)] [-2点]</v>
      </c>
      <c r="Z168" s="338">
        <f>IF(AND(E168&lt;&gt;"",G168&lt;&gt;"",G168&lt;&gt;0),(E168-G168)/G168*100,"")</f>
        <v>1.0043942247332078</v>
      </c>
      <c r="AA168" s="212" t="str">
        <f>IF(OR(C168="",E168="",E168=0),"",IF(E168&gt;G168,"上昇▲",IF(E168&lt;G168,"下落▼","横ばい→")))</f>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IF(OR(C168="",AB168="",AC168="",AB168=0,AC168=0),"",IF(AND(E168&gt;AB168,AB168&gt;AC168),"パーフェクト▲",IF(E168&gt;AC168,"上昇トレンド▲",IF(AND(E168&lt;AB168,AB168&lt;AC168),"下降トレンド▼","もみ合い→"))))</f>
        <v>パーフェクト▲</v>
      </c>
      <c r="AE168" s="212" t="str">
        <f>IF(OR(C168="",AB168="",AC168=""),"",IF(AND(ABS(E168-AC168)/AC168&lt;=0.02,E168&lt;AC168),"25日戻り売り★",IF(AND(ABS(E168-AB168)/AB168&lt;=0.01,E168&lt;AB168),"5日戻り売り○","なし")))</f>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IF(AND(T168&gt;=7,C168&lt;&gt;""),T168,0)</f>
        <v>0</v>
      </c>
      <c r="AH168">
        <f>IF(AG168&gt;0,AG168*10000-ROW(A168),0)</f>
        <v>0</v>
      </c>
      <c r="AI168" s="373">
        <f t="array" ref="AI168">IF(C168="","",IFERROR((INDEX(終値!$E:$E,MATCH(TEXT(C168,"0"),終値!$A:$A,0))-INDEX(終値!$E:$CZ,MATCH(TEXT(C168,"0"),終値!$A:$A,0),$AN$2))/INDEX(終値!$E:$CZ,MATCH(TEXT(C168,"0"),終値!$A:$A,0),$AN$2)*100,""))</f>
        <v>12.754029432375614</v>
      </c>
      <c r="AJ168" s="373">
        <f t="array" ref="AJ168">IFERROR((終値!$E$5-INDEX(終値!$E$5:$IT$5,1,$AN$2))/INDEX(終値!$E$5:$IT$5,1,$AN$2)*100,"")</f>
        <v>1.0179378228534113</v>
      </c>
      <c r="AK168" s="374">
        <f>IF(OR(AI168="",AJ168=""),"",AI168-AJ168)</f>
        <v>11.736091609522202</v>
      </c>
      <c r="AL168" s="372">
        <f>IF(AK168="","",IF(AK168&lt;-5,3,IF(AK168&lt;0,1,IF(AK168&lt;3,-1,-2))))</f>
        <v>-2</v>
      </c>
      <c r="AO168" s="376" t="str">
        <f>IF(OR($C168="",$E168="",$F168="",$H168="",$I168="",$H168-$I168&lt;=0),"-",IF(AND($H168-MAX($F168,$E168)&gt;=ABS($E168-$F168)*2,MIN($F168,$E168)-$I168&lt;=ABS($E168-$F168)*0.5,ABS($E168-$F168)&gt;0),"上ヒゲ陰線▼",IF(AND($E168&lt;$F168,ABS($E168-$F168)&gt;=($H168-$I168)*0.7),"大陰線▼",IF(AND(MIN($F168,$E168)-$I168&gt;=($H168-$I168)*0.5,$H168-MAX($F168,$E168)&lt;=($H168-$I168)*0.2),"長い下ヒゲ(反発警戒)","通常"))))</f>
        <v>通常</v>
      </c>
      <c r="AP168" s="377">
        <f>IF($AO168="上ヒゲ陰線▼",2,IF($AO168="大陰線▼",2,IF($AO168="長い下ヒゲ(反発警戒)",-2,0)))</f>
        <v>0</v>
      </c>
      <c r="AQ168">
        <f>IF(C168&lt;&gt;"",始値!F22,"")</f>
        <v>4809</v>
      </c>
      <c r="AR168">
        <f>IF(C168&lt;&gt;"",高値!F22,"")</f>
        <v>4822</v>
      </c>
      <c r="AS168">
        <f>IF(C168&lt;&gt;"",安値!F22,"")</f>
        <v>4731</v>
      </c>
      <c r="AT168" t="str">
        <f>IF(OR(C168="",AQ168="",AR168="",AS168="",AR168-AS168&lt;=0),"-",IF(AND(AR168-MAX(G168,AQ168)&gt;=ABS(G168-AQ168)*2,MIN(G168,AQ168)-AS168&lt;=ABS(G168-AQ168)*0.5,ABS(G168-AQ168)&gt;0),"上ヒゲ陰線▼",IF(AND(G168&lt;AQ168,ABS(G168-AQ168)&gt;=(AR168-AS168)*0.7),"大陰線▼",IF(AND(MIN(G168,AQ168)-AS168&gt;=(AR168-AS168)*0.5,AR168-MAX(G168,AQ168)&lt;=(AR168-AS168)*0.2),"長い下ヒゲ(反発)","通常"))))</f>
        <v>長い下ヒゲ(反発)</v>
      </c>
      <c r="AU168">
        <f>IF(AT168="上ヒゲ陰線▼",2,IF(AT168="大陰線▼",2,IF(AT168="長い下ヒゲ(反発)",-2,0)))</f>
        <v>-2</v>
      </c>
      <c r="BA168">
        <f>IFERROR((SUM(OFFSET(高値!$E$6,IFERROR(MATCH($C168,銘柄管理!$B$6:$B$305,0),MATCH(TEXT($C168,"0"),銘柄管理!$B$6:$B$305,0))-1,0,1,14))-SUM(OFFSET(安値!$E$6,IFERROR(MATCH($C168,銘柄管理!$B$6:$B$305,0),MATCH(TEXT($C168,"0"),銘柄管理!$B$6:$B$305,0))-1,0,1,14)))/SUM(OFFSET(終値!$E$6,IFERROR(MATCH($C168,銘柄管理!$B$6:$B$305,0),MATCH(TEXT($C168,"0"),銘柄管理!$B$6:$B$305,0))-1,0,1,14))*100,"")</f>
      </c>
      <c r="BB168">
        <f>IFERROR((MAX(OFFSET(高値!$E$6,IFERROR(MATCH($C168,銘柄管理!$B$6:$B$305,0),MATCH(TEXT($C168,"0"),銘柄管理!$B$6:$B$305,0))-1,0,1,25))-MIN(OFFSET(安値!$E$6,IFERROR(MATCH($C168,銘柄管理!$B$6:$B$305,0),MATCH(TEXT($C168,"0"),銘柄管理!$B$6:$B$305,0))-1,0,1,25)))/$E168*100,"")</f>
      </c>
      <c r="BC168">
        <f>IFERROR(($F168-$G168)/$G168*100,"")</f>
      </c>
      <c r="BD168">
        <f>IFERROR(($E168-MAX(OFFSET(高値!$E$6,IFERROR(MATCH($C168,銘柄管理!$B$6:$B$305,0),MATCH(TEXT($C168,"0"),銘柄管理!$B$6:$B$305,0))-1,0,1,25)))/MAX(OFFSET(高値!$E$6,IFERROR(MATCH($C168,銘柄管理!$B$6:$B$305,0),MATCH(TEXT($C168,"0"),銘柄管理!$B$6:$B$305,0))-1,0,1,25))*100,"")</f>
      </c>
      <c r="BE168">
        <f>IFERROR(($H168-$I168)/$F168*100,"")</f>
      </c>
      <c r="BF168">
        <f>IFERROR(-(($BA168-AVERAGE($BA$3:$BA$206))/STDEV($BA$3:$BA$206))-(($BE168-AVERAGE($BE$3:$BE$206))/STDEV($BE$3:$BE$206))-(($BB168-AVERAGE($BB$3:$BB$206))/STDEV($BB$3:$BB$206))-(($Z168-AVERAGE($Z$3:$Z$206))/STDEV($Z$3:$Z$206))-(($BC168-AVERAGE($BC$3:$BC$206))/STDEV($BC$3:$BC$206)),"")</f>
      </c>
      <c r="BG168">
        <f>IF(OR($C168="",$C168="TOPX",$BA168="",$BF168=""),0,IF(AND($BK$10=1,$BA168&lt;=$BK$2,$BB168&lt;=$BK$3,$BC168&lt;=$BK$4,$Z168&lt;=$BK$5,$Z168&gt;=$BK$6,$BD168&gt;=$BK$7,$BE168&lt;=$BK$8),1,0))</f>
      </c>
      <c r="BH168">
        <f>IF($C168="","",IF($BG168=1,"○ゲート通過",IF($BK$10&lt;&gt;1,"― この方向は停止中",IF($BA168&gt;$BK$2,"×値動きが荒い",IF($BB168&gt;$BK$3,"×レンジが広い",IF($BC168&gt;$BK$4,"×窓を開けて上昇",IF($Z168&gt;$BK$5,"×前日に急騰",IF($Z168&lt;$BK$6,"×前日に急落",IF($BD168&lt;$BK$7,"×高値から離れすぎ",IF($BE168&gt;$BK$8,"×当日の値幅が大きい","×")))))))))</f>
      </c>
    </row>
    <row r="169" spans="1:60"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IF(AND(E169&lt;&gt;"",K169&lt;&gt;"",K169&lt;&gt;0),(E169-K169)/K169*100,"")</f>
        <v>-5.1043429216018055</v>
      </c>
      <c r="M169" s="326">
        <f>IF(C169&lt;&gt;"",IFERROR(AVERAGE(出来高!E27:I27),""),"")</f>
        <v>1261260</v>
      </c>
      <c r="N169" s="326">
        <f>IF(C169&lt;&gt;"",IFERROR(AVERAGE(出来高!E27:AC27),""),"")</f>
        <v>848964</v>
      </c>
      <c r="O169" s="328">
        <f>IF(AND(J169&lt;&gt;"",M169&lt;&gt;"",M169&lt;&gt;0),J169/M169,"")</f>
        <v>0.95816881531167242</v>
      </c>
      <c r="P169" s="325" t="str">
        <f>IF(O169="","",IF(O169&gt;=2,"急増↑↑",IF(O169&gt;=1.5,"増加↑",IF(O169&gt;=1,"普通→","減少↓"))))</f>
        <v>減少↓</v>
      </c>
      <c r="Q169" s="325" t="str">
        <f>IF(E169="","",IF(AND(E169&lt;G169,O169&gt;=1.5),"売り▼",IF(E169&gt;G169,"様子見▲","中立→")))</f>
        <v>様子見▲</v>
      </c>
      <c r="R169" s="326">
        <f>IF(E169&lt;&gt;"",ROUND(E169*0.92,0),"")</f>
        <v>1548</v>
      </c>
      <c r="S169" s="326">
        <f>IF(E169&lt;&gt;"",ROUND(E169*1.04,0),"")</f>
        <v>1750</v>
      </c>
      <c r="T169" s="325">
        <f>IF(C169="","",IFERROR(IF(W169&gt;=70,3,IF(W169&gt;=60,2,IF(W169&gt;=50,1,0)))+IF(X169&lt;0,2,0)+IF(AD169="下降トレンド▼",3,IF(AD169="もみ合い→",1,0))+IF(V169="年初来安値圏●",3,IF(V169="安値圏",2,0))+IF(Q169="売り▼",2,0)+IF(P169="急増↑↑",2,IF(P169="増加↑",1,0))+IF(Z169&lt;0,1,0)+IF(L169&lt;=-30,2,IF(L169&lt;=-15,1,0))+IF(AE169="25日戻り売り★",2,IF(AE169="5日戻り売り○",1,0))+N(AL169)+N(AP169)+N(AU169),0))</f>
        <v>1</v>
      </c>
      <c r="U169" s="325" t="str">
        <f>IF(T169="","",IF(AND(T169&gt;=3,O169&gt;=1.5),"有効",IF(T169&gt;=3,"要確認","除外")))</f>
        <v>除外</v>
      </c>
      <c r="V169" s="325" t="str">
        <f>IF(AND(I169&lt;&gt;"",K169&lt;&gt;""),IF(I169&lt;=K169*0.6,"年初来安値圏●",IF(I169&lt;=K169*0.75,"安値圏","通常")),"")</f>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IF(AF169="","",AF169&amp;" | "&amp;AD169&amp;IF(AE169&lt;&gt;"なし"," "&amp;AE169,"")&amp;IF(X169&lt;0," MACD-"," MACD+")&amp;" RSI:"&amp;TEXT(W169,"0.0")&amp;IF(W169&gt;=70," [過熱]",IF(W169&lt;=30," [売られ過ぎ]",""))&amp;" 前日比:"&amp;TEXT(Z169,"+0.0;-0.0;0.0")&amp;"%"&amp;IF(V169="年初来安値圏●"," [年初来安値圏]",IF(V169="安値圏"," [安値圏]",""))&amp;IF(OR(AO169="通常",AO169="-"),""," ["&amp;AO169&amp;"]")&amp;IF(OR(AT169="通常",AT169="-"),"","前日["&amp;AT169&amp;"]")&amp;" ["&amp;T169&amp;"点]")</f>
        <v>相場上昇・見送り | 上昇トレンド▲ MACD- RSI:31.9 前日比:+3.2% [1点]</v>
      </c>
      <c r="Z169" s="331">
        <f>IF(AND(E169&lt;&gt;"",G169&lt;&gt;"",G169&lt;&gt;0),(E169-G169)/G169*100,"")</f>
        <v>3.1575720416922128</v>
      </c>
      <c r="AA169" s="325" t="str">
        <f>IF(OR(C169="",E169="",E169=0),"",IF(E169&gt;G169,"上昇▲",IF(E169&lt;G169,"下落▼","横ばい→")))</f>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IF(OR(C169="",AB169="",AC169="",AB169=0,AC169=0),"",IF(AND(E169&gt;AB169,AB169&gt;AC169),"パーフェクト▲",IF(E169&gt;AC169,"上昇トレンド▲",IF(AND(E169&lt;AB169,AB169&lt;AC169),"下降トレンド▼","もみ合い→"))))</f>
        <v>上昇トレンド▲</v>
      </c>
      <c r="AE169" s="325" t="str">
        <f>IF(OR(C169="",AB169="",AC169=""),"",IF(AND(ABS(E169-AC169)/AC169&lt;=0.02,E169&lt;AC169),"25日戻り売り★",IF(AND(ABS(E169-AB169)/AB169&lt;=0.01,E169&lt;AB169),"5日戻り売り○","なし")))</f>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IF(AND(T169&gt;=7,C169&lt;&gt;""),T169,0)</f>
        <v>0</v>
      </c>
      <c r="AH169">
        <f>IF(AG169&gt;0,AG169*10000-ROW(A169),0)</f>
        <v>0</v>
      </c>
      <c r="AI169" s="373">
        <f t="array" ref="AI169">IF(C169="","",IFERROR((INDEX(終値!$E:$E,MATCH(TEXT(C169,"0"),終値!$A:$A,0))-INDEX(終値!$E:$CZ,MATCH(TEXT(C169,"0"),終値!$A:$A,0),$AN$2))/INDEX(終値!$E:$CZ,MATCH(TEXT(C169,"0"),終値!$A:$A,0),$AN$2)*100,""))</f>
        <v>3.6979969183359018</v>
      </c>
      <c r="AJ169" s="373">
        <f t="array" ref="AJ169">IFERROR((終値!$E$5-INDEX(終値!$E$5:$IT$5,1,$AN$2))/INDEX(終値!$E$5:$IT$5,1,$AN$2)*100,"")</f>
        <v>1.0179378228534113</v>
      </c>
      <c r="AK169" s="374">
        <f>IF(OR(AI169="",AJ169=""),"",AI169-AJ169)</f>
        <v>2.6800590954824903</v>
      </c>
      <c r="AL169" s="372">
        <f>IF(AK169="","",IF(AK169&lt;-5,3,IF(AK169&lt;0,1,IF(AK169&lt;3,-1,-2))))</f>
        <v>-1</v>
      </c>
      <c r="AO169" s="376" t="str">
        <f>IF(OR($C169="",$E169="",$F169="",$H169="",$I169="",$H169-$I169&lt;=0),"-",IF(AND($H169-MAX($F169,$E169)&gt;=ABS($E169-$F169)*2,MIN($F169,$E169)-$I169&lt;=ABS($E169-$F169)*0.5,ABS($E169-$F169)&gt;0),"上ヒゲ陰線▼",IF(AND($E169&lt;$F169,ABS($E169-$F169)&gt;=($H169-$I169)*0.7),"大陰線▼",IF(AND(MIN($F169,$E169)-$I169&gt;=($H169-$I169)*0.5,$H169-MAX($F169,$E169)&lt;=($H169-$I169)*0.2),"長い下ヒゲ(反発警戒)","通常"))))</f>
        <v>通常</v>
      </c>
      <c r="AP169" s="377">
        <f>IF($AO169="上ヒゲ陰線▼",2,IF($AO169="大陰線▼",2,IF($AO169="長い下ヒゲ(反発警戒)",-2,0)))</f>
        <v>0</v>
      </c>
      <c r="AQ169">
        <f>IF(C169&lt;&gt;"",始値!F27,"")</f>
        <v>1628.5</v>
      </c>
      <c r="AR169">
        <f>IF(C169&lt;&gt;"",高値!F27,"")</f>
        <v>1659</v>
      </c>
      <c r="AS169">
        <f>IF(C169&lt;&gt;"",安値!F27,"")</f>
        <v>1612</v>
      </c>
      <c r="AT169" t="str">
        <f>IF(OR(C169="",AQ169="",AR169="",AS169="",AR169-AS169&lt;=0),"-",IF(AND(AR169-MAX(G169,AQ169)&gt;=ABS(G169-AQ169)*2,MIN(G169,AQ169)-AS169&lt;=ABS(G169-AQ169)*0.5,ABS(G169-AQ169)&gt;0),"上ヒゲ陰線▼",IF(AND(G169&lt;AQ169,ABS(G169-AQ169)&gt;=(AR169-AS169)*0.7),"大陰線▼",IF(AND(MIN(G169,AQ169)-AS169&gt;=(AR169-AS169)*0.5,AR169-MAX(G169,AQ169)&lt;=(AR169-AS169)*0.2),"長い下ヒゲ(反発)","通常"))))</f>
        <v>通常</v>
      </c>
      <c r="AU169">
        <f>IF(AT169="上ヒゲ陰線▼",2,IF(AT169="大陰線▼",2,IF(AT169="長い下ヒゲ(反発)",-2,0)))</f>
        <v>0</v>
      </c>
      <c r="BA169">
        <f>IFERROR((SUM(OFFSET(高値!$E$6,IFERROR(MATCH($C169,銘柄管理!$B$6:$B$305,0),MATCH(TEXT($C169,"0"),銘柄管理!$B$6:$B$305,0))-1,0,1,14))-SUM(OFFSET(安値!$E$6,IFERROR(MATCH($C169,銘柄管理!$B$6:$B$305,0),MATCH(TEXT($C169,"0"),銘柄管理!$B$6:$B$305,0))-1,0,1,14)))/SUM(OFFSET(終値!$E$6,IFERROR(MATCH($C169,銘柄管理!$B$6:$B$305,0),MATCH(TEXT($C169,"0"),銘柄管理!$B$6:$B$305,0))-1,0,1,14))*100,"")</f>
      </c>
      <c r="BB169">
        <f>IFERROR((MAX(OFFSET(高値!$E$6,IFERROR(MATCH($C169,銘柄管理!$B$6:$B$305,0),MATCH(TEXT($C169,"0"),銘柄管理!$B$6:$B$305,0))-1,0,1,25))-MIN(OFFSET(安値!$E$6,IFERROR(MATCH($C169,銘柄管理!$B$6:$B$305,0),MATCH(TEXT($C169,"0"),銘柄管理!$B$6:$B$305,0))-1,0,1,25)))/$E169*100,"")</f>
      </c>
      <c r="BC169">
        <f>IFERROR(($F169-$G169)/$G169*100,"")</f>
      </c>
      <c r="BD169">
        <f>IFERROR(($E169-MAX(OFFSET(高値!$E$6,IFERROR(MATCH($C169,銘柄管理!$B$6:$B$305,0),MATCH(TEXT($C169,"0"),銘柄管理!$B$6:$B$305,0))-1,0,1,25)))/MAX(OFFSET(高値!$E$6,IFERROR(MATCH($C169,銘柄管理!$B$6:$B$305,0),MATCH(TEXT($C169,"0"),銘柄管理!$B$6:$B$305,0))-1,0,1,25))*100,"")</f>
      </c>
      <c r="BE169">
        <f>IFERROR(($H169-$I169)/$F169*100,"")</f>
      </c>
      <c r="BF169">
        <f>IFERROR(-(($BA169-AVERAGE($BA$3:$BA$206))/STDEV($BA$3:$BA$206))-(($BE169-AVERAGE($BE$3:$BE$206))/STDEV($BE$3:$BE$206))-(($BB169-AVERAGE($BB$3:$BB$206))/STDEV($BB$3:$BB$206))-(($Z169-AVERAGE($Z$3:$Z$206))/STDEV($Z$3:$Z$206))-(($BC169-AVERAGE($BC$3:$BC$206))/STDEV($BC$3:$BC$206)),"")</f>
      </c>
      <c r="BG169">
        <f>IF(OR($C169="",$C169="TOPX",$BA169="",$BF169=""),0,IF(AND($BK$10=1,$BA169&lt;=$BK$2,$BB169&lt;=$BK$3,$BC169&lt;=$BK$4,$Z169&lt;=$BK$5,$Z169&gt;=$BK$6,$BD169&gt;=$BK$7,$BE169&lt;=$BK$8),1,0))</f>
      </c>
      <c r="BH169">
        <f>IF($C169="","",IF($BG169=1,"○ゲート通過",IF($BK$10&lt;&gt;1,"― この方向は停止中",IF($BA169&gt;$BK$2,"×値動きが荒い",IF($BB169&gt;$BK$3,"×レンジが広い",IF($BC169&gt;$BK$4,"×窓を開けて上昇",IF($Z169&gt;$BK$5,"×前日に急騰",IF($Z169&lt;$BK$6,"×前日に急落",IF($BD169&lt;$BK$7,"×高値から離れすぎ",IF($BE169&gt;$BK$8,"×当日の値幅が大きい","×")))))))))</f>
      </c>
    </row>
    <row r="170" spans="1:60"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IF(AND(E170&lt;&gt;"",K170&lt;&gt;"",K170&lt;&gt;0),(E170-K170)/K170*100,"")</f>
        <v>-12.78180354267311</v>
      </c>
      <c r="M170" s="333">
        <f>IF(C170&lt;&gt;"",IFERROR(AVERAGE(出来高!E34:I34),""),"")</f>
        <v>705860</v>
      </c>
      <c r="N170" s="333">
        <f>IF(C170&lt;&gt;"",IFERROR(AVERAGE(出来高!E34:AC34),""),"")</f>
        <v>607492</v>
      </c>
      <c r="O170" s="335">
        <f>IF(AND(J170&lt;&gt;"",M170&lt;&gt;"",M170&lt;&gt;0),J170/M170,"")</f>
        <v>1.6370101719887797</v>
      </c>
      <c r="P170" s="212" t="str">
        <f>IF(O170="","",IF(O170&gt;=2,"急増↑↑",IF(O170&gt;=1.5,"増加↑",IF(O170&gt;=1,"普通→","減少↓"))))</f>
        <v>増加↑</v>
      </c>
      <c r="Q170" s="212" t="str">
        <f>IF(E170="","",IF(AND(E170&lt;G170,O170&gt;=1.5),"売り▼",IF(E170&gt;G170,"様子見▲","中立→")))</f>
        <v>様子見▲</v>
      </c>
      <c r="R170" s="333">
        <f>IF(E170&lt;&gt;"",ROUND(E170*0.92,0),"")</f>
        <v>3986</v>
      </c>
      <c r="S170" s="333">
        <f>IF(E170&lt;&gt;"",ROUND(E170*1.04,0),"")</f>
        <v>4506</v>
      </c>
      <c r="T170" s="325">
        <f>IF(C170="","",IFERROR(IF(W170&gt;=70,3,IF(W170&gt;=60,2,IF(W170&gt;=50,1,0)))+IF(X170&lt;0,2,0)+IF(AD170="下降トレンド▼",3,IF(AD170="もみ合い→",1,0))+IF(V170="年初来安値圏●",3,IF(V170="安値圏",2,0))+IF(Q170="売り▼",2,0)+IF(P170="急増↑↑",2,IF(P170="増加↑",1,0))+IF(Z170&lt;0,1,0)+IF(L170&lt;=-30,2,IF(L170&lt;=-15,1,0))+IF(AE170="25日戻り売り★",2,IF(AE170="5日戻り売り○",1,0))+N(AL170)+N(AP170)+N(AU170),0))</f>
        <v>0</v>
      </c>
      <c r="U170" s="212" t="str">
        <f>IF(T170="","",IF(AND(T170&gt;=3,O170&gt;=1.5),"有効",IF(T170&gt;=3,"要確認","除外")))</f>
        <v>除外</v>
      </c>
      <c r="V170" s="212" t="str">
        <f>IF(AND(I170&lt;&gt;"",K170&lt;&gt;""),IF(I170&lt;=K170*0.6,"年初来安値圏●",IF(I170&lt;=K170*0.75,"安値圏","通常")),"")</f>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IF(AF170="","",AF170&amp;" | "&amp;AD170&amp;IF(AE170&lt;&gt;"なし"," "&amp;AE170,"")&amp;IF(X170&lt;0," MACD-"," MACD+")&amp;" RSI:"&amp;TEXT(W170,"0.0")&amp;IF(W170&gt;=70," [過熱]",IF(W170&lt;=30," [売られ過ぎ]",""))&amp;" 前日比:"&amp;TEXT(Z170,"+0.0;-0.0;0.0")&amp;"%"&amp;IF(V170="年初来安値圏●"," [年初来安値圏]",IF(V170="安値圏"," [安値圏]",""))&amp;IF(OR(AO170="通常",AO170="-"),""," ["&amp;AO170&amp;"]")&amp;IF(OR(AT170="通常",AT170="-"),"","前日["&amp;AT170&amp;"]")&amp;" ["&amp;T170&amp;"点]")</f>
        <v>相場上昇・見送り | パーフェクト▲ MACD+ RSI:55.7 前日比:+5.9% [0点]</v>
      </c>
      <c r="Z170" s="338">
        <f>IF(AND(E170&lt;&gt;"",G170&lt;&gt;"",G170&lt;&gt;0),(E170-G170)/G170*100,"")</f>
        <v>5.9413202933985332</v>
      </c>
      <c r="AA170" s="212" t="str">
        <f>IF(OR(C170="",E170="",E170=0),"",IF(E170&gt;G170,"上昇▲",IF(E170&lt;G170,"下落▼","横ばい→")))</f>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IF(OR(C170="",AB170="",AC170="",AB170=0,AC170=0),"",IF(AND(E170&gt;AB170,AB170&gt;AC170),"パーフェクト▲",IF(E170&gt;AC170,"上昇トレンド▲",IF(AND(E170&lt;AB170,AB170&lt;AC170),"下降トレンド▼","もみ合い→"))))</f>
        <v>パーフェクト▲</v>
      </c>
      <c r="AE170" s="212" t="str">
        <f>IF(OR(C170="",AB170="",AC170=""),"",IF(AND(ABS(E170-AC170)/AC170&lt;=0.02,E170&lt;AC170),"25日戻り売り★",IF(AND(ABS(E170-AB170)/AB170&lt;=0.01,E170&lt;AB170),"5日戻り売り○","なし")))</f>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IF(AND(T170&gt;=7,C170&lt;&gt;""),T170,0)</f>
        <v>0</v>
      </c>
      <c r="AH170">
        <f>IF(AG170&gt;0,AG170*10000-ROW(A170),0)</f>
        <v>0</v>
      </c>
      <c r="AI170" s="373">
        <f t="array" ref="AI170">IF(C170="","",IFERROR((INDEX(終値!$E:$E,MATCH(TEXT(C170,"0"),終値!$A:$A,0))-INDEX(終値!$E:$CZ,MATCH(TEXT(C170,"0"),終値!$A:$A,0),$AN$2))/INDEX(終値!$E:$CZ,MATCH(TEXT(C170,"0"),終値!$A:$A,0),$AN$2)*100,""))</f>
        <v>11.359547674119764</v>
      </c>
      <c r="AJ170" s="373">
        <f t="array" ref="AJ170">IFERROR((終値!$E$5-INDEX(終値!$E$5:$IT$5,1,$AN$2))/INDEX(終値!$E$5:$IT$5,1,$AN$2)*100,"")</f>
        <v>1.0179378228534113</v>
      </c>
      <c r="AK170" s="374">
        <f>IF(OR(AI170="",AJ170=""),"",AI170-AJ170)</f>
        <v>10.341609851266352</v>
      </c>
      <c r="AL170" s="372">
        <f>IF(AK170="","",IF(AK170&lt;-5,3,IF(AK170&lt;0,1,IF(AK170&lt;3,-1,-2))))</f>
        <v>-2</v>
      </c>
      <c r="AO170" s="376" t="str">
        <f>IF(OR($C170="",$E170="",$F170="",$H170="",$I170="",$H170-$I170&lt;=0),"-",IF(AND($H170-MAX($F170,$E170)&gt;=ABS($E170-$F170)*2,MIN($F170,$E170)-$I170&lt;=ABS($E170-$F170)*0.5,ABS($E170-$F170)&gt;0),"上ヒゲ陰線▼",IF(AND($E170&lt;$F170,ABS($E170-$F170)&gt;=($H170-$I170)*0.7),"大陰線▼",IF(AND(MIN($F170,$E170)-$I170&gt;=($H170-$I170)*0.5,$H170-MAX($F170,$E170)&lt;=($H170-$I170)*0.2),"長い下ヒゲ(反発警戒)","通常"))))</f>
        <v>通常</v>
      </c>
      <c r="AP170" s="377">
        <f>IF($AO170="上ヒゲ陰線▼",2,IF($AO170="大陰線▼",2,IF($AO170="長い下ヒゲ(反発警戒)",-2,0)))</f>
        <v>0</v>
      </c>
      <c r="AQ170">
        <f>IF(C170&lt;&gt;"",始値!F34,"")</f>
        <v>4058</v>
      </c>
      <c r="AR170">
        <f>IF(C170&lt;&gt;"",高値!F34,"")</f>
        <v>4126</v>
      </c>
      <c r="AS170">
        <f>IF(C170&lt;&gt;"",安値!F34,"")</f>
        <v>4026</v>
      </c>
      <c r="AT170" t="str">
        <f>IF(OR(C170="",AQ170="",AR170="",AS170="",AR170-AS170&lt;=0),"-",IF(AND(AR170-MAX(G170,AQ170)&gt;=ABS(G170-AQ170)*2,MIN(G170,AQ170)-AS170&lt;=ABS(G170-AQ170)*0.5,ABS(G170-AQ170)&gt;0),"上ヒゲ陰線▼",IF(AND(G170&lt;AQ170,ABS(G170-AQ170)&gt;=(AR170-AS170)*0.7),"大陰線▼",IF(AND(MIN(G170,AQ170)-AS170&gt;=(AR170-AS170)*0.5,AR170-MAX(G170,AQ170)&lt;=(AR170-AS170)*0.2),"長い下ヒゲ(反発)","通常"))))</f>
        <v>通常</v>
      </c>
      <c r="AU170">
        <f>IF(AT170="上ヒゲ陰線▼",2,IF(AT170="大陰線▼",2,IF(AT170="長い下ヒゲ(反発)",-2,0)))</f>
        <v>0</v>
      </c>
      <c r="BA170">
        <f>IFERROR((SUM(OFFSET(高値!$E$6,IFERROR(MATCH($C170,銘柄管理!$B$6:$B$305,0),MATCH(TEXT($C170,"0"),銘柄管理!$B$6:$B$305,0))-1,0,1,14))-SUM(OFFSET(安値!$E$6,IFERROR(MATCH($C170,銘柄管理!$B$6:$B$305,0),MATCH(TEXT($C170,"0"),銘柄管理!$B$6:$B$305,0))-1,0,1,14)))/SUM(OFFSET(終値!$E$6,IFERROR(MATCH($C170,銘柄管理!$B$6:$B$305,0),MATCH(TEXT($C170,"0"),銘柄管理!$B$6:$B$305,0))-1,0,1,14))*100,"")</f>
      </c>
      <c r="BB170">
        <f>IFERROR((MAX(OFFSET(高値!$E$6,IFERROR(MATCH($C170,銘柄管理!$B$6:$B$305,0),MATCH(TEXT($C170,"0"),銘柄管理!$B$6:$B$305,0))-1,0,1,25))-MIN(OFFSET(安値!$E$6,IFERROR(MATCH($C170,銘柄管理!$B$6:$B$305,0),MATCH(TEXT($C170,"0"),銘柄管理!$B$6:$B$305,0))-1,0,1,25)))/$E170*100,"")</f>
      </c>
      <c r="BC170">
        <f>IFERROR(($F170-$G170)/$G170*100,"")</f>
      </c>
      <c r="BD170">
        <f>IFERROR(($E170-MAX(OFFSET(高値!$E$6,IFERROR(MATCH($C170,銘柄管理!$B$6:$B$305,0),MATCH(TEXT($C170,"0"),銘柄管理!$B$6:$B$305,0))-1,0,1,25)))/MAX(OFFSET(高値!$E$6,IFERROR(MATCH($C170,銘柄管理!$B$6:$B$305,0),MATCH(TEXT($C170,"0"),銘柄管理!$B$6:$B$305,0))-1,0,1,25))*100,"")</f>
      </c>
      <c r="BE170">
        <f>IFERROR(($H170-$I170)/$F170*100,"")</f>
      </c>
      <c r="BF170">
        <f>IFERROR(-(($BA170-AVERAGE($BA$3:$BA$206))/STDEV($BA$3:$BA$206))-(($BE170-AVERAGE($BE$3:$BE$206))/STDEV($BE$3:$BE$206))-(($BB170-AVERAGE($BB$3:$BB$206))/STDEV($BB$3:$BB$206))-(($Z170-AVERAGE($Z$3:$Z$206))/STDEV($Z$3:$Z$206))-(($BC170-AVERAGE($BC$3:$BC$206))/STDEV($BC$3:$BC$206)),"")</f>
      </c>
      <c r="BG170">
        <f>IF(OR($C170="",$C170="TOPX",$BA170="",$BF170=""),0,IF(AND($BK$10=1,$BA170&lt;=$BK$2,$BB170&lt;=$BK$3,$BC170&lt;=$BK$4,$Z170&lt;=$BK$5,$Z170&gt;=$BK$6,$BD170&gt;=$BK$7,$BE170&lt;=$BK$8),1,0))</f>
      </c>
      <c r="BH170">
        <f>IF($C170="","",IF($BG170=1,"○ゲート通過",IF($BK$10&lt;&gt;1,"― この方向は停止中",IF($BA170&gt;$BK$2,"×値動きが荒い",IF($BB170&gt;$BK$3,"×レンジが広い",IF($BC170&gt;$BK$4,"×窓を開けて上昇",IF($Z170&gt;$BK$5,"×前日に急騰",IF($Z170&lt;$BK$6,"×前日に急落",IF($BD170&lt;$BK$7,"×高値から離れすぎ",IF($BE170&gt;$BK$8,"×当日の値幅が大きい","×")))))))))</f>
      </c>
    </row>
    <row r="171" spans="1:60"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IF(AND(E171&lt;&gt;"",K171&lt;&gt;"",K171&lt;&gt;0),(E171-K171)/K171*100,"")</f>
        <v>-7.3953940966590981</v>
      </c>
      <c r="M171" s="326">
        <f>IF(C171&lt;&gt;"",IFERROR(AVERAGE(出来高!E39:I39),""),"")</f>
        <v>5093880</v>
      </c>
      <c r="N171" s="326">
        <f>IF(C171&lt;&gt;"",IFERROR(AVERAGE(出来高!E39:AC39),""),"")</f>
        <v>4330540</v>
      </c>
      <c r="O171" s="328">
        <f>IF(AND(J171&lt;&gt;"",M171&lt;&gt;"",M171&lt;&gt;0),J171/M171,"")</f>
        <v>0.74640549051018079</v>
      </c>
      <c r="P171" s="325" t="str">
        <f>IF(O171="","",IF(O171&gt;=2,"急増↑↑",IF(O171&gt;=1.5,"増加↑",IF(O171&gt;=1,"普通→","減少↓"))))</f>
        <v>減少↓</v>
      </c>
      <c r="Q171" s="325" t="str">
        <f>IF(E171="","",IF(AND(E171&lt;G171,O171&gt;=1.5),"売り▼",IF(E171&gt;G171,"様子見▲","中立→")))</f>
        <v>様子見▲</v>
      </c>
      <c r="R171" s="326">
        <f>IF(E171&lt;&gt;"",ROUND(E171*0.92,0),"")</f>
        <v>1313</v>
      </c>
      <c r="S171" s="326">
        <f>IF(E171&lt;&gt;"",ROUND(E171*1.04,0),"")</f>
        <v>1485</v>
      </c>
      <c r="T171" s="325">
        <f>IF(C171="","",IFERROR(IF(W171&gt;=70,3,IF(W171&gt;=60,2,IF(W171&gt;=50,1,0)))+IF(X171&lt;0,2,0)+IF(AD171="下降トレンド▼",3,IF(AD171="もみ合い→",1,0))+IF(V171="年初来安値圏●",3,IF(V171="安値圏",2,0))+IF(Q171="売り▼",2,0)+IF(P171="急増↑↑",2,IF(P171="増加↑",1,0))+IF(Z171&lt;0,1,0)+IF(L171&lt;=-30,2,IF(L171&lt;=-15,1,0))+IF(AE171="25日戻り売り★",2,IF(AE171="5日戻り売り○",1,0))+N(AL171)+N(AP171)+N(AU171),0))</f>
        <v>2</v>
      </c>
      <c r="U171" s="325" t="str">
        <f>IF(T171="","",IF(AND(T171&gt;=3,O171&gt;=1.5),"有効",IF(T171&gt;=3,"要確認","除外")))</f>
        <v>除外</v>
      </c>
      <c r="V171" s="325" t="str">
        <f>IF(AND(I171&lt;&gt;"",K171&lt;&gt;""),IF(I171&lt;=K171*0.6,"年初来安値圏●",IF(I171&lt;=K171*0.75,"安値圏","通常")),"")</f>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IF(AF171="","",AF171&amp;" | "&amp;AD171&amp;IF(AE171&lt;&gt;"なし"," "&amp;AE171,"")&amp;IF(X171&lt;0," MACD-"," MACD+")&amp;" RSI:"&amp;TEXT(W171,"0.0")&amp;IF(W171&gt;=70," [過熱]",IF(W171&lt;=30," [売られ過ぎ]",""))&amp;" 前日比:"&amp;TEXT(Z171,"+0.0;-0.0;0.0")&amp;"%"&amp;IF(V171="年初来安値圏●"," [年初来安値圏]",IF(V171="安値圏"," [安値圏]",""))&amp;IF(OR(AO171="通常",AO171="-"),""," ["&amp;AO171&amp;"]")&amp;IF(OR(AT171="通常",AT171="-"),"","前日["&amp;AT171&amp;"]")&amp;" ["&amp;T171&amp;"点]")</f>
        <v>○逆張り売り | もみ合い→ 25日戻り売り★ MACD+ RSI:50.4 前日比:+0.8% [2点]</v>
      </c>
      <c r="Z171" s="331">
        <f>IF(AND(E171&lt;&gt;"",G171&lt;&gt;"",G171&lt;&gt;0),(E171-G171)/G171*100,"")</f>
        <v>0.7765619484645252</v>
      </c>
      <c r="AA171" s="325" t="str">
        <f>IF(OR(C171="",E171="",E171=0),"",IF(E171&gt;G171,"上昇▲",IF(E171&lt;G171,"下落▼","横ばい→")))</f>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IF(OR(C171="",AB171="",AC171="",AB171=0,AC171=0),"",IF(AND(E171&gt;AB171,AB171&gt;AC171),"パーフェクト▲",IF(E171&gt;AC171,"上昇トレンド▲",IF(AND(E171&lt;AB171,AB171&lt;AC171),"下降トレンド▼","もみ合い→"))))</f>
        <v>もみ合い→</v>
      </c>
      <c r="AE171" s="325" t="str">
        <f>IF(OR(C171="",AB171="",AC171=""),"",IF(AND(ABS(E171-AC171)/AC171&lt;=0.02,E171&lt;AC171),"25日戻り売り★",IF(AND(ABS(E171-AB171)/AB171&lt;=0.01,E171&lt;AB171),"5日戻り売り○","なし")))</f>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IF(AND(T171&gt;=7,C171&lt;&gt;""),T171,0)</f>
        <v>0</v>
      </c>
      <c r="AH171">
        <f>IF(AG171&gt;0,AG171*10000-ROW(A171),0)</f>
        <v>0</v>
      </c>
      <c r="AI171" s="373">
        <f t="array" ref="AI171">IF(C171="","",IFERROR((INDEX(終値!$E:$E,MATCH(TEXT(C171,"0"),終値!$A:$A,0))-INDEX(終値!$E:$CZ,MATCH(TEXT(C171,"0"),終値!$A:$A,0),$AN$2))/INDEX(終値!$E:$CZ,MATCH(TEXT(C171,"0"),終値!$A:$A,0),$AN$2)*100,""))</f>
        <v>9.1360856269113153</v>
      </c>
      <c r="AJ171" s="373">
        <f t="array" ref="AJ171">IFERROR((終値!$E$5-INDEX(終値!$E$5:$IT$5,1,$AN$2))/INDEX(終値!$E$5:$IT$5,1,$AN$2)*100,"")</f>
        <v>1.0179378228534113</v>
      </c>
      <c r="AK171" s="374">
        <f>IF(OR(AI171="",AJ171=""),"",AI171-AJ171)</f>
        <v>8.1181478040579034</v>
      </c>
      <c r="AL171" s="372">
        <f>IF(AK171="","",IF(AK171&lt;-5,3,IF(AK171&lt;0,1,IF(AK171&lt;3,-1,-2))))</f>
        <v>-2</v>
      </c>
      <c r="AO171" s="376" t="str">
        <f>IF(OR($C171="",$E171="",$F171="",$H171="",$I171="",$H171-$I171&lt;=0),"-",IF(AND($H171-MAX($F171,$E171)&gt;=ABS($E171-$F171)*2,MIN($F171,$E171)-$I171&lt;=ABS($E171-$F171)*0.5,ABS($E171-$F171)&gt;0),"上ヒゲ陰線▼",IF(AND($E171&lt;$F171,ABS($E171-$F171)&gt;=($H171-$I171)*0.7),"大陰線▼",IF(AND(MIN($F171,$E171)-$I171&gt;=($H171-$I171)*0.5,$H171-MAX($F171,$E171)&lt;=($H171-$I171)*0.2),"長い下ヒゲ(反発警戒)","通常"))))</f>
        <v>通常</v>
      </c>
      <c r="AP171" s="377">
        <f>IF($AO171="上ヒゲ陰線▼",2,IF($AO171="大陰線▼",2,IF($AO171="長い下ヒゲ(反発警戒)",-2,0)))</f>
        <v>0</v>
      </c>
      <c r="AQ171">
        <f>IF(C171&lt;&gt;"",始値!F39,"")</f>
        <v>1414.5</v>
      </c>
      <c r="AR171">
        <f>IF(C171&lt;&gt;"",高値!F39,"")</f>
        <v>1422</v>
      </c>
      <c r="AS171">
        <f>IF(C171&lt;&gt;"",安値!F39,"")</f>
        <v>1405</v>
      </c>
      <c r="AT171" t="str">
        <f>IF(OR(C171="",AQ171="",AR171="",AS171="",AR171-AS171&lt;=0),"-",IF(AND(AR171-MAX(G171,AQ171)&gt;=ABS(G171-AQ171)*2,MIN(G171,AQ171)-AS171&lt;=ABS(G171-AQ171)*0.5,ABS(G171-AQ171)&gt;0),"上ヒゲ陰線▼",IF(AND(G171&lt;AQ171,ABS(G171-AQ171)&gt;=(AR171-AS171)*0.7),"大陰線▼",IF(AND(MIN(G171,AQ171)-AS171&gt;=(AR171-AS171)*0.5,AR171-MAX(G171,AQ171)&lt;=(AR171-AS171)*0.2),"長い下ヒゲ(反発)","通常"))))</f>
        <v>通常</v>
      </c>
      <c r="AU171">
        <f>IF(AT171="上ヒゲ陰線▼",2,IF(AT171="大陰線▼",2,IF(AT171="長い下ヒゲ(反発)",-2,0)))</f>
        <v>0</v>
      </c>
      <c r="BA171">
        <f>IFERROR((SUM(OFFSET(高値!$E$6,IFERROR(MATCH($C171,銘柄管理!$B$6:$B$305,0),MATCH(TEXT($C171,"0"),銘柄管理!$B$6:$B$305,0))-1,0,1,14))-SUM(OFFSET(安値!$E$6,IFERROR(MATCH($C171,銘柄管理!$B$6:$B$305,0),MATCH(TEXT($C171,"0"),銘柄管理!$B$6:$B$305,0))-1,0,1,14)))/SUM(OFFSET(終値!$E$6,IFERROR(MATCH($C171,銘柄管理!$B$6:$B$305,0),MATCH(TEXT($C171,"0"),銘柄管理!$B$6:$B$305,0))-1,0,1,14))*100,"")</f>
      </c>
      <c r="BB171">
        <f>IFERROR((MAX(OFFSET(高値!$E$6,IFERROR(MATCH($C171,銘柄管理!$B$6:$B$305,0),MATCH(TEXT($C171,"0"),銘柄管理!$B$6:$B$305,0))-1,0,1,25))-MIN(OFFSET(安値!$E$6,IFERROR(MATCH($C171,銘柄管理!$B$6:$B$305,0),MATCH(TEXT($C171,"0"),銘柄管理!$B$6:$B$305,0))-1,0,1,25)))/$E171*100,"")</f>
      </c>
      <c r="BC171">
        <f>IFERROR(($F171-$G171)/$G171*100,"")</f>
      </c>
      <c r="BD171">
        <f>IFERROR(($E171-MAX(OFFSET(高値!$E$6,IFERROR(MATCH($C171,銘柄管理!$B$6:$B$305,0),MATCH(TEXT($C171,"0"),銘柄管理!$B$6:$B$305,0))-1,0,1,25)))/MAX(OFFSET(高値!$E$6,IFERROR(MATCH($C171,銘柄管理!$B$6:$B$305,0),MATCH(TEXT($C171,"0"),銘柄管理!$B$6:$B$305,0))-1,0,1,25))*100,"")</f>
      </c>
      <c r="BE171">
        <f>IFERROR(($H171-$I171)/$F171*100,"")</f>
      </c>
      <c r="BF171">
        <f>IFERROR(-(($BA171-AVERAGE($BA$3:$BA$206))/STDEV($BA$3:$BA$206))-(($BE171-AVERAGE($BE$3:$BE$206))/STDEV($BE$3:$BE$206))-(($BB171-AVERAGE($BB$3:$BB$206))/STDEV($BB$3:$BB$206))-(($Z171-AVERAGE($Z$3:$Z$206))/STDEV($Z$3:$Z$206))-(($BC171-AVERAGE($BC$3:$BC$206))/STDEV($BC$3:$BC$206)),"")</f>
      </c>
      <c r="BG171">
        <f>IF(OR($C171="",$C171="TOPX",$BA171="",$BF171=""),0,IF(AND($BK$10=1,$BA171&lt;=$BK$2,$BB171&lt;=$BK$3,$BC171&lt;=$BK$4,$Z171&lt;=$BK$5,$Z171&gt;=$BK$6,$BD171&gt;=$BK$7,$BE171&lt;=$BK$8),1,0))</f>
      </c>
      <c r="BH171">
        <f>IF($C171="","",IF($BG171=1,"○ゲート通過",IF($BK$10&lt;&gt;1,"― この方向は停止中",IF($BA171&gt;$BK$2,"×値動きが荒い",IF($BB171&gt;$BK$3,"×レンジが広い",IF($BC171&gt;$BK$4,"×窓を開けて上昇",IF($Z171&gt;$BK$5,"×前日に急騰",IF($Z171&lt;$BK$6,"×前日に急落",IF($BD171&lt;$BK$7,"×高値から離れすぎ",IF($BE171&gt;$BK$8,"×当日の値幅が大きい","×")))))))))</f>
      </c>
    </row>
    <row r="172" spans="1:60"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IF(AND(E172&lt;&gt;"",K172&lt;&gt;"",K172&lt;&gt;0),(E172-K172)/K172*100,"")</f>
        <v>-3.989656446250462</v>
      </c>
      <c r="M172" s="333">
        <f>IF(C172&lt;&gt;"",IFERROR(AVERAGE(出来高!E44:I44),""),"")</f>
        <v>7492260</v>
      </c>
      <c r="N172" s="333">
        <f>IF(C172&lt;&gt;"",IFERROR(AVERAGE(出来高!E44:AC44),""),"")</f>
        <v>4926844</v>
      </c>
      <c r="O172" s="335">
        <f>IF(AND(J172&lt;&gt;"",M172&lt;&gt;"",M172&lt;&gt;0),J172/M172,"")</f>
        <v>2.4110482017442001</v>
      </c>
      <c r="P172" s="212" t="str">
        <f>IF(O172="","",IF(O172&gt;=2,"急増↑↑",IF(O172&gt;=1.5,"増加↑",IF(O172&gt;=1,"普通→","減少↓"))))</f>
        <v>急増↑↑</v>
      </c>
      <c r="Q172" s="212" t="str">
        <f>IF(E172="","",IF(AND(E172&lt;G172,O172&gt;=1.5),"売り▼",IF(E172&gt;G172,"様子見▲","中立→")))</f>
        <v>様子見▲</v>
      </c>
      <c r="R172" s="333">
        <f>IF(E172&lt;&gt;"",ROUND(E172*0.92,0),"")</f>
        <v>1196</v>
      </c>
      <c r="S172" s="333">
        <f>IF(E172&lt;&gt;"",ROUND(E172*1.04,0),"")</f>
        <v>1351</v>
      </c>
      <c r="T172" s="325">
        <f>IF(C172="","",IFERROR(IF(W172&gt;=70,3,IF(W172&gt;=60,2,IF(W172&gt;=50,1,0)))+IF(X172&lt;0,2,0)+IF(AD172="下降トレンド▼",3,IF(AD172="もみ合い→",1,0))+IF(V172="年初来安値圏●",3,IF(V172="安値圏",2,0))+IF(Q172="売り▼",2,0)+IF(P172="急増↑↑",2,IF(P172="増加↑",1,0))+IF(Z172&lt;0,1,0)+IF(L172&lt;=-30,2,IF(L172&lt;=-15,1,0))+IF(AE172="25日戻り売り★",2,IF(AE172="5日戻り売り○",1,0))+N(AL172)+N(AP172)+N(AU172),0))</f>
        <v>1</v>
      </c>
      <c r="U172" s="212" t="str">
        <f>IF(T172="","",IF(AND(T172&gt;=3,O172&gt;=1.5),"有効",IF(T172&gt;=3,"要確認","除外")))</f>
        <v>除外</v>
      </c>
      <c r="V172" s="212" t="str">
        <f>IF(AND(I172&lt;&gt;"",K172&lt;&gt;""),IF(I172&lt;=K172*0.6,"年初来安値圏●",IF(I172&lt;=K172*0.75,"安値圏","通常")),"")</f>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IF(AF172="","",AF172&amp;" | "&amp;AD172&amp;IF(AE172&lt;&gt;"なし"," "&amp;AE172,"")&amp;IF(X172&lt;0," MACD-"," MACD+")&amp;" RSI:"&amp;TEXT(W172,"0.0")&amp;IF(W172&gt;=70," [過熱]",IF(W172&lt;=30," [売られ過ぎ]",""))&amp;" 前日比:"&amp;TEXT(Z172,"+0.0;-0.0;0.0")&amp;"%"&amp;IF(V172="年初来安値圏●"," [年初来安値圏]",IF(V172="安値圏"," [安値圏]",""))&amp;IF(OR(AO172="通常",AO172="-"),""," ["&amp;AO172&amp;"]")&amp;IF(OR(AT172="通常",AT172="-"),"","前日["&amp;AT172&amp;"]")&amp;" ["&amp;T172&amp;"点]")</f>
        <v>相場上昇・見送り | パーフェクト▲ MACD+ RSI:53.4 前日比:+9.3% [1点]</v>
      </c>
      <c r="Z172" s="338">
        <f>IF(AND(E172&lt;&gt;"",G172&lt;&gt;"",G172&lt;&gt;0),(E172-G172)/G172*100,"")</f>
        <v>9.3395035759360532</v>
      </c>
      <c r="AA172" s="212" t="str">
        <f>IF(OR(C172="",E172="",E172=0),"",IF(E172&gt;G172,"上昇▲",IF(E172&lt;G172,"下落▼","横ばい→")))</f>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IF(OR(C172="",AB172="",AC172="",AB172=0,AC172=0),"",IF(AND(E172&gt;AB172,AB172&gt;AC172),"パーフェクト▲",IF(E172&gt;AC172,"上昇トレンド▲",IF(AND(E172&lt;AB172,AB172&lt;AC172),"下降トレンド▼","もみ合い→"))))</f>
        <v>パーフェクト▲</v>
      </c>
      <c r="AE172" s="212" t="str">
        <f>IF(OR(C172="",AB172="",AC172=""),"",IF(AND(ABS(E172-AC172)/AC172&lt;=0.02,E172&lt;AC172),"25日戻り売り★",IF(AND(ABS(E172-AB172)/AB172&lt;=0.01,E172&lt;AB172),"5日戻り売り○","なし")))</f>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IF(AND(T172&gt;=7,C172&lt;&gt;""),T172,0)</f>
        <v>0</v>
      </c>
      <c r="AH172">
        <f>IF(AG172&gt;0,AG172*10000-ROW(A172),0)</f>
        <v>0</v>
      </c>
      <c r="AI172" s="373">
        <f t="array" ref="AI172">IF(C172="","",IFERROR((INDEX(終値!$E:$E,MATCH(TEXT(C172,"0"),終値!$A:$A,0))-INDEX(終値!$E:$CZ,MATCH(TEXT(C172,"0"),終値!$A:$A,0),$AN$2))/INDEX(終値!$E:$CZ,MATCH(TEXT(C172,"0"),終値!$A:$A,0),$AN$2)*100,""))</f>
        <v>15.511111111111111</v>
      </c>
      <c r="AJ172" s="373">
        <f t="array" ref="AJ172">IFERROR((終値!$E$5-INDEX(終値!$E$5:$IT$5,1,$AN$2))/INDEX(終値!$E$5:$IT$5,1,$AN$2)*100,"")</f>
        <v>1.0179378228534113</v>
      </c>
      <c r="AK172" s="374">
        <f>IF(OR(AI172="",AJ172=""),"",AI172-AJ172)</f>
        <v>14.493173288257699</v>
      </c>
      <c r="AL172" s="372">
        <f>IF(AK172="","",IF(AK172&lt;-5,3,IF(AK172&lt;0,1,IF(AK172&lt;3,-1,-2))))</f>
        <v>-2</v>
      </c>
      <c r="AO172" s="376" t="str">
        <f>IF(OR($C172="",$E172="",$F172="",$H172="",$I172="",$H172-$I172&lt;=0),"-",IF(AND($H172-MAX($F172,$E172)&gt;=ABS($E172-$F172)*2,MIN($F172,$E172)-$I172&lt;=ABS($E172-$F172)*0.5,ABS($E172-$F172)&gt;0),"上ヒゲ陰線▼",IF(AND($E172&lt;$F172,ABS($E172-$F172)&gt;=($H172-$I172)*0.7),"大陰線▼",IF(AND(MIN($F172,$E172)-$I172&gt;=($H172-$I172)*0.5,$H172-MAX($F172,$E172)&lt;=($H172-$I172)*0.2),"長い下ヒゲ(反発警戒)","通常"))))</f>
        <v>通常</v>
      </c>
      <c r="AP172" s="377">
        <f>IF($AO172="上ヒゲ陰線▼",2,IF($AO172="大陰線▼",2,IF($AO172="長い下ヒゲ(反発警戒)",-2,0)))</f>
        <v>0</v>
      </c>
      <c r="AQ172">
        <f>IF(C172&lt;&gt;"",始値!F44,"")</f>
        <v>1151</v>
      </c>
      <c r="AR172">
        <f>IF(C172&lt;&gt;"",高値!F44,"")</f>
        <v>1188.5</v>
      </c>
      <c r="AS172">
        <f>IF(C172&lt;&gt;"",安値!F44,"")</f>
        <v>1150.5</v>
      </c>
      <c r="AT172" t="str">
        <f>IF(OR(C172="",AQ172="",AR172="",AS172="",AR172-AS172&lt;=0),"-",IF(AND(AR172-MAX(G172,AQ172)&gt;=ABS(G172-AQ172)*2,MIN(G172,AQ172)-AS172&lt;=ABS(G172-AQ172)*0.5,ABS(G172-AQ172)&gt;0),"上ヒゲ陰線▼",IF(AND(G172&lt;AQ172,ABS(G172-AQ172)&gt;=(AR172-AS172)*0.7),"大陰線▼",IF(AND(MIN(G172,AQ172)-AS172&gt;=(AR172-AS172)*0.5,AR172-MAX(G172,AQ172)&lt;=(AR172-AS172)*0.2),"長い下ヒゲ(反発)","通常"))))</f>
        <v>通常</v>
      </c>
      <c r="AU172">
        <f>IF(AT172="上ヒゲ陰線▼",2,IF(AT172="大陰線▼",2,IF(AT172="長い下ヒゲ(反発)",-2,0)))</f>
        <v>0</v>
      </c>
      <c r="BA172">
        <f>IFERROR((SUM(OFFSET(高値!$E$6,IFERROR(MATCH($C172,銘柄管理!$B$6:$B$305,0),MATCH(TEXT($C172,"0"),銘柄管理!$B$6:$B$305,0))-1,0,1,14))-SUM(OFFSET(安値!$E$6,IFERROR(MATCH($C172,銘柄管理!$B$6:$B$305,0),MATCH(TEXT($C172,"0"),銘柄管理!$B$6:$B$305,0))-1,0,1,14)))/SUM(OFFSET(終値!$E$6,IFERROR(MATCH($C172,銘柄管理!$B$6:$B$305,0),MATCH(TEXT($C172,"0"),銘柄管理!$B$6:$B$305,0))-1,0,1,14))*100,"")</f>
      </c>
      <c r="BB172">
        <f>IFERROR((MAX(OFFSET(高値!$E$6,IFERROR(MATCH($C172,銘柄管理!$B$6:$B$305,0),MATCH(TEXT($C172,"0"),銘柄管理!$B$6:$B$305,0))-1,0,1,25))-MIN(OFFSET(安値!$E$6,IFERROR(MATCH($C172,銘柄管理!$B$6:$B$305,0),MATCH(TEXT($C172,"0"),銘柄管理!$B$6:$B$305,0))-1,0,1,25)))/$E172*100,"")</f>
      </c>
      <c r="BC172">
        <f>IFERROR(($F172-$G172)/$G172*100,"")</f>
      </c>
      <c r="BD172">
        <f>IFERROR(($E172-MAX(OFFSET(高値!$E$6,IFERROR(MATCH($C172,銘柄管理!$B$6:$B$305,0),MATCH(TEXT($C172,"0"),銘柄管理!$B$6:$B$305,0))-1,0,1,25)))/MAX(OFFSET(高値!$E$6,IFERROR(MATCH($C172,銘柄管理!$B$6:$B$305,0),MATCH(TEXT($C172,"0"),銘柄管理!$B$6:$B$305,0))-1,0,1,25))*100,"")</f>
      </c>
      <c r="BE172">
        <f>IFERROR(($H172-$I172)/$F172*100,"")</f>
      </c>
      <c r="BF172">
        <f>IFERROR(-(($BA172-AVERAGE($BA$3:$BA$206))/STDEV($BA$3:$BA$206))-(($BE172-AVERAGE($BE$3:$BE$206))/STDEV($BE$3:$BE$206))-(($BB172-AVERAGE($BB$3:$BB$206))/STDEV($BB$3:$BB$206))-(($Z172-AVERAGE($Z$3:$Z$206))/STDEV($Z$3:$Z$206))-(($BC172-AVERAGE($BC$3:$BC$206))/STDEV($BC$3:$BC$206)),"")</f>
      </c>
      <c r="BG172">
        <f>IF(OR($C172="",$C172="TOPX",$BA172="",$BF172=""),0,IF(AND($BK$10=1,$BA172&lt;=$BK$2,$BB172&lt;=$BK$3,$BC172&lt;=$BK$4,$Z172&lt;=$BK$5,$Z172&gt;=$BK$6,$BD172&gt;=$BK$7,$BE172&lt;=$BK$8),1,0))</f>
      </c>
      <c r="BH172">
        <f>IF($C172="","",IF($BG172=1,"○ゲート通過",IF($BK$10&lt;&gt;1,"― この方向は停止中",IF($BA172&gt;$BK$2,"×値動きが荒い",IF($BB172&gt;$BK$3,"×レンジが広い",IF($BC172&gt;$BK$4,"×窓を開けて上昇",IF($Z172&gt;$BK$5,"×前日に急騰",IF($Z172&lt;$BK$6,"×前日に急落",IF($BD172&lt;$BK$7,"×高値から離れすぎ",IF($BE172&gt;$BK$8,"×当日の値幅が大きい","×")))))))))</f>
      </c>
    </row>
    <row r="173" spans="1:60"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IF(AND(E173&lt;&gt;"",K173&lt;&gt;"",K173&lt;&gt;0),(E173-K173)/K173*100,"")</f>
        <v>-2.3292369248356608</v>
      </c>
      <c r="M173" s="326">
        <f>IF(C173&lt;&gt;"",IFERROR(AVERAGE(出来高!E46:I46),""),"")</f>
        <v>53198400</v>
      </c>
      <c r="N173" s="326">
        <f>IF(C173&lt;&gt;"",IFERROR(AVERAGE(出来高!E46:AC46),""),"")</f>
        <v>42637258.333333336</v>
      </c>
      <c r="O173" s="328">
        <f>IF(AND(J173&lt;&gt;"",M173&lt;&gt;"",M173&lt;&gt;0),J173/M173,"")</f>
        <v>0.99883643117086229</v>
      </c>
      <c r="P173" s="325" t="str">
        <f>IF(O173="","",IF(O173&gt;=2,"急増↑↑",IF(O173&gt;=1.5,"増加↑",IF(O173&gt;=1,"普通→","減少↓"))))</f>
        <v>減少↓</v>
      </c>
      <c r="Q173" s="325" t="str">
        <f>IF(E173="","",IF(AND(E173&lt;G173,O173&gt;=1.5),"売り▼",IF(E173&gt;G173,"様子見▲","中立→")))</f>
        <v>様子見▲</v>
      </c>
      <c r="R173" s="326">
        <f>IF(E173&lt;&gt;"",ROUND(E173*0.92,0),"")</f>
        <v>629</v>
      </c>
      <c r="S173" s="326">
        <f>IF(E173&lt;&gt;"",ROUND(E173*1.04,0),"")</f>
        <v>711</v>
      </c>
      <c r="T173" s="325">
        <f>IF(C173="","",IFERROR(IF(W173&gt;=70,3,IF(W173&gt;=60,2,IF(W173&gt;=50,1,0)))+IF(X173&lt;0,2,0)+IF(AD173="下降トレンド▼",3,IF(AD173="もみ合い→",1,0))+IF(V173="年初来安値圏●",3,IF(V173="安値圏",2,0))+IF(Q173="売り▼",2,0)+IF(P173="急増↑↑",2,IF(P173="増加↑",1,0))+IF(Z173&lt;0,1,0)+IF(L173&lt;=-30,2,IF(L173&lt;=-15,1,0))+IF(AE173="25日戻り売り★",2,IF(AE173="5日戻り売り○",1,0))+N(AL173)+N(AP173)+N(AU173),0))</f>
        <v>-1</v>
      </c>
      <c r="U173" s="325" t="str">
        <f>IF(T173="","",IF(AND(T173&gt;=3,O173&gt;=1.5),"有効",IF(T173&gt;=3,"要確認","除外")))</f>
        <v>除外</v>
      </c>
      <c r="V173" s="325" t="str">
        <f>IF(AND(I173&lt;&gt;"",K173&lt;&gt;""),IF(I173&lt;=K173*0.6,"年初来安値圏●",IF(I173&lt;=K173*0.75,"安値圏","通常")),"")</f>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IF(AF173="","",AF173&amp;" | "&amp;AD173&amp;IF(AE173&lt;&gt;"なし"," "&amp;AE173,"")&amp;IF(X173&lt;0," MACD-"," MACD+")&amp;" RSI:"&amp;TEXT(W173,"0.0")&amp;IF(W173&gt;=70," [過熱]",IF(W173&lt;=30," [売られ過ぎ]",""))&amp;" 前日比:"&amp;TEXT(Z173,"+0.0;-0.0;0.0")&amp;"%"&amp;IF(V173="年初来安値圏●"," [年初来安値圏]",IF(V173="安値圏"," [安値圏]",""))&amp;IF(OR(AO173="通常",AO173="-"),""," ["&amp;AO173&amp;"]")&amp;IF(OR(AT173="通常",AT173="-"),"","前日["&amp;AT173&amp;"]")&amp;" ["&amp;T173&amp;"点]")</f>
        <v>相場上昇・見送り | パーフェクト▲ MACD+ RSI:53.6 前日比:+1.7% [-1点]</v>
      </c>
      <c r="Z173" s="331">
        <f>IF(AND(E173&lt;&gt;"",G173&lt;&gt;"",G173&lt;&gt;0),(E173-G173)/G173*100,"")</f>
        <v>1.7113095238095239</v>
      </c>
      <c r="AA173" s="325" t="str">
        <f>IF(OR(C173="",E173="",E173=0),"",IF(E173&gt;G173,"上昇▲",IF(E173&lt;G173,"下落▼","横ばい→")))</f>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IF(OR(C173="",AB173="",AC173="",AB173=0,AC173=0),"",IF(AND(E173&gt;AB173,AB173&gt;AC173),"パーフェクト▲",IF(E173&gt;AC173,"上昇トレンド▲",IF(AND(E173&lt;AB173,AB173&lt;AC173),"下降トレンド▼","もみ合い→"))))</f>
        <v>パーフェクト▲</v>
      </c>
      <c r="AE173" s="325" t="str">
        <f>IF(OR(C173="",AB173="",AC173=""),"",IF(AND(ABS(E173-AC173)/AC173&lt;=0.02,E173&lt;AC173),"25日戻り売り★",IF(AND(ABS(E173-AB173)/AB173&lt;=0.01,E173&lt;AB173),"5日戻り売り○","なし")))</f>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IF(AND(T173&gt;=7,C173&lt;&gt;""),T173,0)</f>
        <v>0</v>
      </c>
      <c r="AH173">
        <f>IF(AG173&gt;0,AG173*10000-ROW(A173),0)</f>
        <v>0</v>
      </c>
      <c r="AI173" s="373">
        <f t="array" ref="AI173">IF(C173="","",IFERROR((INDEX(終値!$E:$E,MATCH(TEXT(C173,"0"),終値!$A:$A,0))-INDEX(終値!$E:$CZ,MATCH(TEXT(C173,"0"),終値!$A:$A,0),$AN$2))/INDEX(終値!$E:$CZ,MATCH(TEXT(C173,"0"),終値!$A:$A,0),$AN$2)*100,""))</f>
        <v>28.719397363465159</v>
      </c>
      <c r="AJ173" s="373">
        <f t="array" ref="AJ173">IFERROR((終値!$E$5-INDEX(終値!$E$5:$IT$5,1,$AN$2))/INDEX(終値!$E$5:$IT$5,1,$AN$2)*100,"")</f>
        <v>1.0179378228534113</v>
      </c>
      <c r="AK173" s="374">
        <f>IF(OR(AI173="",AJ173=""),"",AI173-AJ173)</f>
        <v>27.701459540611747</v>
      </c>
      <c r="AL173" s="372">
        <f>IF(AK173="","",IF(AK173&lt;-5,3,IF(AK173&lt;0,1,IF(AK173&lt;3,-1,-2))))</f>
        <v>-2</v>
      </c>
      <c r="AO173" s="376" t="str">
        <f>IF(OR($C173="",$E173="",$F173="",$H173="",$I173="",$H173-$I173&lt;=0),"-",IF(AND($H173-MAX($F173,$E173)&gt;=ABS($E173-$F173)*2,MIN($F173,$E173)-$I173&lt;=ABS($E173-$F173)*0.5,ABS($E173-$F173)&gt;0),"上ヒゲ陰線▼",IF(AND($E173&lt;$F173,ABS($E173-$F173)&gt;=($H173-$I173)*0.7),"大陰線▼",IF(AND(MIN($F173,$E173)-$I173&gt;=($H173-$I173)*0.5,$H173-MAX($F173,$E173)&lt;=($H173-$I173)*0.2),"長い下ヒゲ(反発警戒)","通常"))))</f>
        <v>通常</v>
      </c>
      <c r="AP173" s="377">
        <f>IF($AO173="上ヒゲ陰線▼",2,IF($AO173="大陰線▼",2,IF($AO173="長い下ヒゲ(反発警戒)",-2,0)))</f>
        <v>0</v>
      </c>
      <c r="AQ173">
        <f>IF(C173&lt;&gt;"",始値!F46,"")</f>
        <v>658</v>
      </c>
      <c r="AR173">
        <f>IF(C173&lt;&gt;"",高値!F46,"")</f>
        <v>675.7</v>
      </c>
      <c r="AS173">
        <f>IF(C173&lt;&gt;"",安値!F46,"")</f>
        <v>655.9</v>
      </c>
      <c r="AT173" t="str">
        <f>IF(OR(C173="",AQ173="",AR173="",AS173="",AR173-AS173&lt;=0),"-",IF(AND(AR173-MAX(G173,AQ173)&gt;=ABS(G173-AQ173)*2,MIN(G173,AQ173)-AS173&lt;=ABS(G173-AQ173)*0.5,ABS(G173-AQ173)&gt;0),"上ヒゲ陰線▼",IF(AND(G173&lt;AQ173,ABS(G173-AQ173)&gt;=(AR173-AS173)*0.7),"大陰線▼",IF(AND(MIN(G173,AQ173)-AS173&gt;=(AR173-AS173)*0.5,AR173-MAX(G173,AQ173)&lt;=(AR173-AS173)*0.2),"長い下ヒゲ(反発)","通常"))))</f>
        <v>通常</v>
      </c>
      <c r="AU173">
        <f>IF(AT173="上ヒゲ陰線▼",2,IF(AT173="大陰線▼",2,IF(AT173="長い下ヒゲ(反発)",-2,0)))</f>
        <v>0</v>
      </c>
      <c r="BA173">
        <f>IFERROR((SUM(OFFSET(高値!$E$6,IFERROR(MATCH($C173,銘柄管理!$B$6:$B$305,0),MATCH(TEXT($C173,"0"),銘柄管理!$B$6:$B$305,0))-1,0,1,14))-SUM(OFFSET(安値!$E$6,IFERROR(MATCH($C173,銘柄管理!$B$6:$B$305,0),MATCH(TEXT($C173,"0"),銘柄管理!$B$6:$B$305,0))-1,0,1,14)))/SUM(OFFSET(終値!$E$6,IFERROR(MATCH($C173,銘柄管理!$B$6:$B$305,0),MATCH(TEXT($C173,"0"),銘柄管理!$B$6:$B$305,0))-1,0,1,14))*100,"")</f>
      </c>
      <c r="BB173">
        <f>IFERROR((MAX(OFFSET(高値!$E$6,IFERROR(MATCH($C173,銘柄管理!$B$6:$B$305,0),MATCH(TEXT($C173,"0"),銘柄管理!$B$6:$B$305,0))-1,0,1,25))-MIN(OFFSET(安値!$E$6,IFERROR(MATCH($C173,銘柄管理!$B$6:$B$305,0),MATCH(TEXT($C173,"0"),銘柄管理!$B$6:$B$305,0))-1,0,1,25)))/$E173*100,"")</f>
      </c>
      <c r="BC173">
        <f>IFERROR(($F173-$G173)/$G173*100,"")</f>
      </c>
      <c r="BD173">
        <f>IFERROR(($E173-MAX(OFFSET(高値!$E$6,IFERROR(MATCH($C173,銘柄管理!$B$6:$B$305,0),MATCH(TEXT($C173,"0"),銘柄管理!$B$6:$B$305,0))-1,0,1,25)))/MAX(OFFSET(高値!$E$6,IFERROR(MATCH($C173,銘柄管理!$B$6:$B$305,0),MATCH(TEXT($C173,"0"),銘柄管理!$B$6:$B$305,0))-1,0,1,25))*100,"")</f>
      </c>
      <c r="BE173">
        <f>IFERROR(($H173-$I173)/$F173*100,"")</f>
      </c>
      <c r="BF173">
        <f>IFERROR(-(($BA173-AVERAGE($BA$3:$BA$206))/STDEV($BA$3:$BA$206))-(($BE173-AVERAGE($BE$3:$BE$206))/STDEV($BE$3:$BE$206))-(($BB173-AVERAGE($BB$3:$BB$206))/STDEV($BB$3:$BB$206))-(($Z173-AVERAGE($Z$3:$Z$206))/STDEV($Z$3:$Z$206))-(($BC173-AVERAGE($BC$3:$BC$206))/STDEV($BC$3:$BC$206)),"")</f>
      </c>
      <c r="BG173">
        <f>IF(OR($C173="",$C173="TOPX",$BA173="",$BF173=""),0,IF(AND($BK$10=1,$BA173&lt;=$BK$2,$BB173&lt;=$BK$3,$BC173&lt;=$BK$4,$Z173&lt;=$BK$5,$Z173&gt;=$BK$6,$BD173&gt;=$BK$7,$BE173&lt;=$BK$8),1,0))</f>
      </c>
      <c r="BH173">
        <f>IF($C173="","",IF($BG173=1,"○ゲート通過",IF($BK$10&lt;&gt;1,"― この方向は停止中",IF($BA173&gt;$BK$2,"×値動きが荒い",IF($BB173&gt;$BK$3,"×レンジが広い",IF($BC173&gt;$BK$4,"×窓を開けて上昇",IF($Z173&gt;$BK$5,"×前日に急騰",IF($Z173&lt;$BK$6,"×前日に急落",IF($BD173&lt;$BK$7,"×高値から離れすぎ",IF($BE173&gt;$BK$8,"×当日の値幅が大きい","×")))))))))</f>
      </c>
    </row>
    <row r="174" spans="1:60"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IF(AND(E174&lt;&gt;"",K174&lt;&gt;"",K174&lt;&gt;0),(E174-K174)/K174*100,"")</f>
        <v>-7.687765706188002</v>
      </c>
      <c r="M174" s="333">
        <f>IF(C174&lt;&gt;"",IFERROR(AVERAGE(出来高!E52:I52),""),"")</f>
        <v>4208460</v>
      </c>
      <c r="N174" s="333">
        <f>IF(C174&lt;&gt;"",IFERROR(AVERAGE(出来高!E52:AC52),""),"")</f>
        <v>5066816</v>
      </c>
      <c r="O174" s="335">
        <f>IF(AND(J174&lt;&gt;"",M174&lt;&gt;"",M174&lt;&gt;0),J174/M174,"")</f>
        <v>0.85777220170798818</v>
      </c>
      <c r="P174" s="212" t="str">
        <f>IF(O174="","",IF(O174&gt;=2,"急増↑↑",IF(O174&gt;=1.5,"増加↑",IF(O174&gt;=1,"普通→","減少↓"))))</f>
        <v>減少↓</v>
      </c>
      <c r="Q174" s="212" t="str">
        <f>IF(E174="","",IF(AND(E174&lt;G174,O174&gt;=1.5),"売り▼",IF(E174&gt;G174,"様子見▲","中立→")))</f>
        <v>様子見▲</v>
      </c>
      <c r="R174" s="333">
        <f>IF(E174&lt;&gt;"",ROUND(E174*0.92,0),"")</f>
        <v>7192</v>
      </c>
      <c r="S174" s="333">
        <f>IF(E174&lt;&gt;"",ROUND(E174*1.04,0),"")</f>
        <v>8130</v>
      </c>
      <c r="T174" s="325">
        <f>IF(C174="","",IFERROR(IF(W174&gt;=70,3,IF(W174&gt;=60,2,IF(W174&gt;=50,1,0)))+IF(X174&lt;0,2,0)+IF(AD174="下降トレンド▼",3,IF(AD174="もみ合い→",1,0))+IF(V174="年初来安値圏●",3,IF(V174="安値圏",2,0))+IF(Q174="売り▼",2,0)+IF(P174="急増↑↑",2,IF(P174="増加↑",1,0))+IF(Z174&lt;0,1,0)+IF(L174&lt;=-30,2,IF(L174&lt;=-15,1,0))+IF(AE174="25日戻り売り★",2,IF(AE174="5日戻り売り○",1,0))+N(AL174)+N(AP174)+N(AU174),0))</f>
        <v>1</v>
      </c>
      <c r="U174" s="212" t="str">
        <f>IF(T174="","",IF(AND(T174&gt;=3,O174&gt;=1.5),"有効",IF(T174&gt;=3,"要確認","除外")))</f>
        <v>除外</v>
      </c>
      <c r="V174" s="212" t="str">
        <f>IF(AND(I174&lt;&gt;"",K174&lt;&gt;""),IF(I174&lt;=K174*0.6,"年初来安値圏●",IF(I174&lt;=K174*0.75,"安値圏","通常")),"")</f>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IF(AF174="","",AF174&amp;" | "&amp;AD174&amp;IF(AE174&lt;&gt;"なし"," "&amp;AE174,"")&amp;IF(X174&lt;0," MACD-"," MACD+")&amp;" RSI:"&amp;TEXT(W174,"0.0")&amp;IF(W174&gt;=70," [過熱]",IF(W174&lt;=30," [売られ過ぎ]",""))&amp;" 前日比:"&amp;TEXT(Z174,"+0.0;-0.0;0.0")&amp;"%"&amp;IF(V174="年初来安値圏●"," [年初来安値圏]",IF(V174="安値圏"," [安値圏]",""))&amp;IF(OR(AO174="通常",AO174="-"),""," ["&amp;AO174&amp;"]")&amp;IF(OR(AT174="通常",AT174="-"),"","前日["&amp;AT174&amp;"]")&amp;" ["&amp;T174&amp;"点]")</f>
        <v>○逆張り売り | もみ合い→ 25日戻り売り★ MACD+ RSI:49.2 前日比:+1.0% [1点]</v>
      </c>
      <c r="Z174" s="338">
        <f>IF(AND(E174&lt;&gt;"",G174&lt;&gt;"",G174&lt;&gt;0),(E174-G174)/G174*100,"")</f>
        <v>0.96874192715060703</v>
      </c>
      <c r="AA174" s="212" t="str">
        <f>IF(OR(C174="",E174="",E174=0),"",IF(E174&gt;G174,"上昇▲",IF(E174&lt;G174,"下落▼","横ばい→")))</f>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IF(OR(C174="",AB174="",AC174="",AB174=0,AC174=0),"",IF(AND(E174&gt;AB174,AB174&gt;AC174),"パーフェクト▲",IF(E174&gt;AC174,"上昇トレンド▲",IF(AND(E174&lt;AB174,AB174&lt;AC174),"下降トレンド▼","もみ合い→"))))</f>
        <v>もみ合い→</v>
      </c>
      <c r="AE174" s="212" t="str">
        <f>IF(OR(C174="",AB174="",AC174=""),"",IF(AND(ABS(E174-AC174)/AC174&lt;=0.02,E174&lt;AC174),"25日戻り売り★",IF(AND(ABS(E174-AB174)/AB174&lt;=0.01,E174&lt;AB174),"5日戻り売り○","なし")))</f>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IF(AND(T174&gt;=7,C174&lt;&gt;""),T174,0)</f>
        <v>0</v>
      </c>
      <c r="AH174">
        <f>IF(AG174&gt;0,AG174*10000-ROW(A174),0)</f>
        <v>0</v>
      </c>
      <c r="AI174" s="373">
        <f t="array" ref="AI174">IF(C174="","",IFERROR((INDEX(終値!$E:$E,MATCH(TEXT(C174,"0"),終値!$A:$A,0))-INDEX(終値!$E:$CZ,MATCH(TEXT(C174,"0"),終値!$A:$A,0),$AN$2))/INDEX(終値!$E:$CZ,MATCH(TEXT(C174,"0"),終値!$A:$A,0),$AN$2)*100,""))</f>
        <v>9.9128233970753659</v>
      </c>
      <c r="AJ174" s="373">
        <f t="array" ref="AJ174">IFERROR((終値!$E$5-INDEX(終値!$E$5:$IT$5,1,$AN$2))/INDEX(終値!$E$5:$IT$5,1,$AN$2)*100,"")</f>
        <v>1.0179378228534113</v>
      </c>
      <c r="AK174" s="374">
        <f>IF(OR(AI174="",AJ174=""),"",AI174-AJ174)</f>
        <v>8.8948855742219539</v>
      </c>
      <c r="AL174" s="372">
        <f>IF(AK174="","",IF(AK174&lt;-5,3,IF(AK174&lt;0,1,IF(AK174&lt;3,-1,-2))))</f>
        <v>-2</v>
      </c>
      <c r="AO174" s="376" t="str">
        <f>IF(OR($C174="",$E174="",$F174="",$H174="",$I174="",$H174-$I174&lt;=0),"-",IF(AND($H174-MAX($F174,$E174)&gt;=ABS($E174-$F174)*2,MIN($F174,$E174)-$I174&lt;=ABS($E174-$F174)*0.5,ABS($E174-$F174)&gt;0),"上ヒゲ陰線▼",IF(AND($E174&lt;$F174,ABS($E174-$F174)&gt;=($H174-$I174)*0.7),"大陰線▼",IF(AND(MIN($F174,$E174)-$I174&gt;=($H174-$I174)*0.5,$H174-MAX($F174,$E174)&lt;=($H174-$I174)*0.2),"長い下ヒゲ(反発警戒)","通常"))))</f>
        <v>通常</v>
      </c>
      <c r="AP174" s="377">
        <f>IF($AO174="上ヒゲ陰線▼",2,IF($AO174="大陰線▼",2,IF($AO174="長い下ヒゲ(反発警戒)",-2,0)))</f>
        <v>0</v>
      </c>
      <c r="AQ174">
        <f>IF(C174&lt;&gt;"",始値!F52,"")</f>
        <v>7717</v>
      </c>
      <c r="AR174">
        <f>IF(C174&lt;&gt;"",高値!F52,"")</f>
        <v>7819</v>
      </c>
      <c r="AS174">
        <f>IF(C174&lt;&gt;"",安値!F52,"")</f>
        <v>7682</v>
      </c>
      <c r="AT174" t="str">
        <f>IF(OR(C174="",AQ174="",AR174="",AS174="",AR174-AS174&lt;=0),"-",IF(AND(AR174-MAX(G174,AQ174)&gt;=ABS(G174-AQ174)*2,MIN(G174,AQ174)-AS174&lt;=ABS(G174-AQ174)*0.5,ABS(G174-AQ174)&gt;0),"上ヒゲ陰線▼",IF(AND(G174&lt;AQ174,ABS(G174-AQ174)&gt;=(AR174-AS174)*0.7),"大陰線▼",IF(AND(MIN(G174,AQ174)-AS174&gt;=(AR174-AS174)*0.5,AR174-MAX(G174,AQ174)&lt;=(AR174-AS174)*0.2),"長い下ヒゲ(反発)","通常"))))</f>
        <v>通常</v>
      </c>
      <c r="AU174">
        <f>IF(AT174="上ヒゲ陰線▼",2,IF(AT174="大陰線▼",2,IF(AT174="長い下ヒゲ(反発)",-2,0)))</f>
        <v>0</v>
      </c>
      <c r="BA174">
        <f>IFERROR((SUM(OFFSET(高値!$E$6,IFERROR(MATCH($C174,銘柄管理!$B$6:$B$305,0),MATCH(TEXT($C174,"0"),銘柄管理!$B$6:$B$305,0))-1,0,1,14))-SUM(OFFSET(安値!$E$6,IFERROR(MATCH($C174,銘柄管理!$B$6:$B$305,0),MATCH(TEXT($C174,"0"),銘柄管理!$B$6:$B$305,0))-1,0,1,14)))/SUM(OFFSET(終値!$E$6,IFERROR(MATCH($C174,銘柄管理!$B$6:$B$305,0),MATCH(TEXT($C174,"0"),銘柄管理!$B$6:$B$305,0))-1,0,1,14))*100,"")</f>
      </c>
      <c r="BB174">
        <f>IFERROR((MAX(OFFSET(高値!$E$6,IFERROR(MATCH($C174,銘柄管理!$B$6:$B$305,0),MATCH(TEXT($C174,"0"),銘柄管理!$B$6:$B$305,0))-1,0,1,25))-MIN(OFFSET(安値!$E$6,IFERROR(MATCH($C174,銘柄管理!$B$6:$B$305,0),MATCH(TEXT($C174,"0"),銘柄管理!$B$6:$B$305,0))-1,0,1,25)))/$E174*100,"")</f>
      </c>
      <c r="BC174">
        <f>IFERROR(($F174-$G174)/$G174*100,"")</f>
      </c>
      <c r="BD174">
        <f>IFERROR(($E174-MAX(OFFSET(高値!$E$6,IFERROR(MATCH($C174,銘柄管理!$B$6:$B$305,0),MATCH(TEXT($C174,"0"),銘柄管理!$B$6:$B$305,0))-1,0,1,25)))/MAX(OFFSET(高値!$E$6,IFERROR(MATCH($C174,銘柄管理!$B$6:$B$305,0),MATCH(TEXT($C174,"0"),銘柄管理!$B$6:$B$305,0))-1,0,1,25))*100,"")</f>
      </c>
      <c r="BE174">
        <f>IFERROR(($H174-$I174)/$F174*100,"")</f>
      </c>
      <c r="BF174">
        <f>IFERROR(-(($BA174-AVERAGE($BA$3:$BA$206))/STDEV($BA$3:$BA$206))-(($BE174-AVERAGE($BE$3:$BE$206))/STDEV($BE$3:$BE$206))-(($BB174-AVERAGE($BB$3:$BB$206))/STDEV($BB$3:$BB$206))-(($Z174-AVERAGE($Z$3:$Z$206))/STDEV($Z$3:$Z$206))-(($BC174-AVERAGE($BC$3:$BC$206))/STDEV($BC$3:$BC$206)),"")</f>
      </c>
      <c r="BG174">
        <f>IF(OR($C174="",$C174="TOPX",$BA174="",$BF174=""),0,IF(AND($BK$10=1,$BA174&lt;=$BK$2,$BB174&lt;=$BK$3,$BC174&lt;=$BK$4,$Z174&lt;=$BK$5,$Z174&gt;=$BK$6,$BD174&gt;=$BK$7,$BE174&lt;=$BK$8),1,0))</f>
      </c>
      <c r="BH174">
        <f>IF($C174="","",IF($BG174=1,"○ゲート通過",IF($BK$10&lt;&gt;1,"― この方向は停止中",IF($BA174&gt;$BK$2,"×値動きが荒い",IF($BB174&gt;$BK$3,"×レンジが広い",IF($BC174&gt;$BK$4,"×窓を開けて上昇",IF($Z174&gt;$BK$5,"×前日に急騰",IF($Z174&lt;$BK$6,"×前日に急落",IF($BD174&lt;$BK$7,"×高値から離れすぎ",IF($BE174&gt;$BK$8,"×当日の値幅が大きい","×")))))))))</f>
      </c>
    </row>
    <row r="175" spans="1:60"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IF(AND(E175&lt;&gt;"",K175&lt;&gt;"",K175&lt;&gt;0),(E175-K175)/K175*100,"")</f>
        <v>-30.414912808177991</v>
      </c>
      <c r="M175" s="326">
        <f>IF(C175&lt;&gt;"",IFERROR(AVERAGE(出来高!E53:I53),""),"")</f>
        <v>2739840</v>
      </c>
      <c r="N175" s="326">
        <f>IF(C175&lt;&gt;"",IFERROR(AVERAGE(出来高!E53:AC53),""),"")</f>
        <v>1577064</v>
      </c>
      <c r="O175" s="328">
        <f>IF(AND(J175&lt;&gt;"",M175&lt;&gt;"",M175&lt;&gt;0),J175/M175,"")</f>
        <v>0.59350181032469052</v>
      </c>
      <c r="P175" s="325" t="str">
        <f>IF(O175="","",IF(O175&gt;=2,"急増↑↑",IF(O175&gt;=1.5,"増加↑",IF(O175&gt;=1,"普通→","減少↓"))))</f>
        <v>減少↓</v>
      </c>
      <c r="Q175" s="325" t="str">
        <f>IF(E175="","",IF(AND(E175&lt;G175,O175&gt;=1.5),"売り▼",IF(E175&gt;G175,"様子見▲","中立→")))</f>
        <v>様子見▲</v>
      </c>
      <c r="R175" s="326">
        <f>IF(E175&lt;&gt;"",ROUND(E175*0.92,0),"")</f>
        <v>5323</v>
      </c>
      <c r="S175" s="326">
        <f>IF(E175&lt;&gt;"",ROUND(E175*1.04,0),"")</f>
        <v>6017</v>
      </c>
      <c r="T175" s="325">
        <f>IF(C175="","",IFERROR(IF(W175&gt;=70,3,IF(W175&gt;=60,2,IF(W175&gt;=50,1,0)))+IF(X175&lt;0,2,0)+IF(AD175="下降トレンド▼",3,IF(AD175="もみ合い→",1,0))+IF(V175="年初来安値圏●",3,IF(V175="安値圏",2,0))+IF(Q175="売り▼",2,0)+IF(P175="急増↑↑",2,IF(P175="増加↑",1,0))+IF(Z175&lt;0,1,0)+IF(L175&lt;=-30,2,IF(L175&lt;=-15,1,0))+IF(AE175="25日戻り売り★",2,IF(AE175="5日戻り売り○",1,0))+N(AL175)+N(AP175)+N(AU175),0))</f>
        <v>13</v>
      </c>
      <c r="U175" s="325" t="str">
        <f>IF(T175="","",IF(AND(T175&gt;=3,O175&gt;=1.5),"有効",IF(T175&gt;=3,"要確認","除外")))</f>
        <v>要確認</v>
      </c>
      <c r="V175" s="325" t="str">
        <f>IF(AND(I175&lt;&gt;"",K175&lt;&gt;""),IF(I175&lt;=K175*0.6,"年初来安値圏●",IF(I175&lt;=K175*0.75,"安値圏","通常")),"")</f>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IF(AF175="","",AF175&amp;" | "&amp;AD175&amp;IF(AE175&lt;&gt;"なし"," "&amp;AE175,"")&amp;IF(X175&lt;0," MACD-"," MACD+")&amp;" RSI:"&amp;TEXT(W175,"0.0")&amp;IF(W175&gt;=70," [過熱]",IF(W175&lt;=30," [売られ過ぎ]",""))&amp;" 前日比:"&amp;TEXT(Z175,"+0.0;-0.0;0.0")&amp;"%"&amp;IF(V175="年初来安値圏●"," [年初来安値圏]",IF(V175="安値圏"," [安値圏]",""))&amp;IF(OR(AO175="通常",AO175="-"),""," ["&amp;AO175&amp;"]")&amp;IF(OR(AT175="通常",AT175="-"),"","前日["&amp;AT175&amp;"]")&amp;" ["&amp;T175&amp;"点]")</f>
        <v>★逆張り売り | 下降トレンド▼ 5日戻り売り○ MACD- RSI:30.1 前日比:+0.4% [安値圏] [13点]</v>
      </c>
      <c r="Z175" s="331">
        <f>IF(AND(E175&lt;&gt;"",G175&lt;&gt;"",G175&lt;&gt;0),(E175-G175)/G175*100,"")</f>
        <v>0.36426712922810062</v>
      </c>
      <c r="AA175" s="325" t="str">
        <f>IF(OR(C175="",E175="",E175=0),"",IF(E175&gt;G175,"上昇▲",IF(E175&lt;G175,"下落▼","横ばい→")))</f>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IF(OR(C175="",AB175="",AC175="",AB175=0,AC175=0),"",IF(AND(E175&gt;AB175,AB175&gt;AC175),"パーフェクト▲",IF(E175&gt;AC175,"上昇トレンド▲",IF(AND(E175&lt;AB175,AB175&lt;AC175),"下降トレンド▼","もみ合い→"))))</f>
        <v>下降トレンド▼</v>
      </c>
      <c r="AE175" s="325" t="str">
        <f>IF(OR(C175="",AB175="",AC175=""),"",IF(AND(ABS(E175-AC175)/AC175&lt;=0.02,E175&lt;AC175),"25日戻り売り★",IF(AND(ABS(E175-AB175)/AB175&lt;=0.01,E175&lt;AB175),"5日戻り売り○","なし")))</f>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IF(AND(T175&gt;=7,C175&lt;&gt;""),T175,0)</f>
        <v>13</v>
      </c>
      <c r="AH175">
        <f>IF(AG175&gt;0,AG175*10000-ROW(A175),0)</f>
        <v>129825</v>
      </c>
      <c r="AI175" s="373">
        <f t="array" ref="AI175">IF(C175="","",IFERROR((INDEX(終値!$E:$E,MATCH(TEXT(C175,"0"),終値!$A:$A,0))-INDEX(終値!$E:$CZ,MATCH(TEXT(C175,"0"),終値!$A:$A,0),$AN$2))/INDEX(終値!$E:$CZ,MATCH(TEXT(C175,"0"),終値!$A:$A,0),$AN$2)*100,""))</f>
        <v>-16.831967802213597</v>
      </c>
      <c r="AJ175" s="373">
        <f t="array" ref="AJ175">IFERROR((終値!$E$5-INDEX(終値!$E$5:$IT$5,1,$AN$2))/INDEX(終値!$E$5:$IT$5,1,$AN$2)*100,"")</f>
        <v>1.0179378228534113</v>
      </c>
      <c r="AK175" s="374">
        <f>IF(OR(AI175="",AJ175=""),"",AI175-AJ175)</f>
        <v>-17.849905625067009</v>
      </c>
      <c r="AL175" s="372">
        <f>IF(AK175="","",IF(AK175&lt;-5,3,IF(AK175&lt;0,1,IF(AK175&lt;3,-1,-2))))</f>
        <v>3</v>
      </c>
      <c r="AO175" s="376" t="str">
        <f>IF(OR($C175="",$E175="",$F175="",$H175="",$I175="",$H175-$I175&lt;=0),"-",IF(AND($H175-MAX($F175,$E175)&gt;=ABS($E175-$F175)*2,MIN($F175,$E175)-$I175&lt;=ABS($E175-$F175)*0.5,ABS($E175-$F175)&gt;0),"上ヒゲ陰線▼",IF(AND($E175&lt;$F175,ABS($E175-$F175)&gt;=($H175-$I175)*0.7),"大陰線▼",IF(AND(MIN($F175,$E175)-$I175&gt;=($H175-$I175)*0.5,$H175-MAX($F175,$E175)&lt;=($H175-$I175)*0.2),"長い下ヒゲ(反発警戒)","通常"))))</f>
        <v>通常</v>
      </c>
      <c r="AP175" s="377">
        <f>IF($AO175="上ヒゲ陰線▼",2,IF($AO175="大陰線▼",2,IF($AO175="長い下ヒゲ(反発警戒)",-2,0)))</f>
        <v>0</v>
      </c>
      <c r="AQ175">
        <f>IF(C175&lt;&gt;"",始値!F53,"")</f>
        <v>5634</v>
      </c>
      <c r="AR175">
        <f>IF(C175&lt;&gt;"",高値!F53,"")</f>
        <v>5821</v>
      </c>
      <c r="AS175">
        <f>IF(C175&lt;&gt;"",安値!F53,"")</f>
        <v>5611</v>
      </c>
      <c r="AT175" t="str">
        <f>IF(OR(C175="",AQ175="",AR175="",AS175="",AR175-AS175&lt;=0),"-",IF(AND(AR175-MAX(G175,AQ175)&gt;=ABS(G175-AQ175)*2,MIN(G175,AQ175)-AS175&lt;=ABS(G175-AQ175)*0.5,ABS(G175-AQ175)&gt;0),"上ヒゲ陰線▼",IF(AND(G175&lt;AQ175,ABS(G175-AQ175)&gt;=(AR175-AS175)*0.7),"大陰線▼",IF(AND(MIN(G175,AQ175)-AS175&gt;=(AR175-AS175)*0.5,AR175-MAX(G175,AQ175)&lt;=(AR175-AS175)*0.2),"長い下ヒゲ(反発)","通常"))))</f>
        <v>通常</v>
      </c>
      <c r="AU175">
        <f>IF(AT175="上ヒゲ陰線▼",2,IF(AT175="大陰線▼",2,IF(AT175="長い下ヒゲ(反発)",-2,0)))</f>
        <v>0</v>
      </c>
      <c r="BA175">
        <f>IFERROR((SUM(OFFSET(高値!$E$6,IFERROR(MATCH($C175,銘柄管理!$B$6:$B$305,0),MATCH(TEXT($C175,"0"),銘柄管理!$B$6:$B$305,0))-1,0,1,14))-SUM(OFFSET(安値!$E$6,IFERROR(MATCH($C175,銘柄管理!$B$6:$B$305,0),MATCH(TEXT($C175,"0"),銘柄管理!$B$6:$B$305,0))-1,0,1,14)))/SUM(OFFSET(終値!$E$6,IFERROR(MATCH($C175,銘柄管理!$B$6:$B$305,0),MATCH(TEXT($C175,"0"),銘柄管理!$B$6:$B$305,0))-1,0,1,14))*100,"")</f>
      </c>
      <c r="BB175">
        <f>IFERROR((MAX(OFFSET(高値!$E$6,IFERROR(MATCH($C175,銘柄管理!$B$6:$B$305,0),MATCH(TEXT($C175,"0"),銘柄管理!$B$6:$B$305,0))-1,0,1,25))-MIN(OFFSET(安値!$E$6,IFERROR(MATCH($C175,銘柄管理!$B$6:$B$305,0),MATCH(TEXT($C175,"0"),銘柄管理!$B$6:$B$305,0))-1,0,1,25)))/$E175*100,"")</f>
      </c>
      <c r="BC175">
        <f>IFERROR(($F175-$G175)/$G175*100,"")</f>
      </c>
      <c r="BD175">
        <f>IFERROR(($E175-MAX(OFFSET(高値!$E$6,IFERROR(MATCH($C175,銘柄管理!$B$6:$B$305,0),MATCH(TEXT($C175,"0"),銘柄管理!$B$6:$B$305,0))-1,0,1,25)))/MAX(OFFSET(高値!$E$6,IFERROR(MATCH($C175,銘柄管理!$B$6:$B$305,0),MATCH(TEXT($C175,"0"),銘柄管理!$B$6:$B$305,0))-1,0,1,25))*100,"")</f>
      </c>
      <c r="BE175">
        <f>IFERROR(($H175-$I175)/$F175*100,"")</f>
      </c>
      <c r="BF175">
        <f>IFERROR(-(($BA175-AVERAGE($BA$3:$BA$206))/STDEV($BA$3:$BA$206))-(($BE175-AVERAGE($BE$3:$BE$206))/STDEV($BE$3:$BE$206))-(($BB175-AVERAGE($BB$3:$BB$206))/STDEV($BB$3:$BB$206))-(($Z175-AVERAGE($Z$3:$Z$206))/STDEV($Z$3:$Z$206))-(($BC175-AVERAGE($BC$3:$BC$206))/STDEV($BC$3:$BC$206)),"")</f>
      </c>
      <c r="BG175">
        <f>IF(OR($C175="",$C175="TOPX",$BA175="",$BF175=""),0,IF(AND($BK$10=1,$BA175&lt;=$BK$2,$BB175&lt;=$BK$3,$BC175&lt;=$BK$4,$Z175&lt;=$BK$5,$Z175&gt;=$BK$6,$BD175&gt;=$BK$7,$BE175&lt;=$BK$8),1,0))</f>
      </c>
      <c r="BH175">
        <f>IF($C175="","",IF($BG175=1,"○ゲート通過",IF($BK$10&lt;&gt;1,"― この方向は停止中",IF($BA175&gt;$BK$2,"×値動きが荒い",IF($BB175&gt;$BK$3,"×レンジが広い",IF($BC175&gt;$BK$4,"×窓を開けて上昇",IF($Z175&gt;$BK$5,"×前日に急騰",IF($Z175&lt;$BK$6,"×前日に急落",IF($BD175&lt;$BK$7,"×高値から離れすぎ",IF($BE175&gt;$BK$8,"×当日の値幅が大きい","×")))))))))</f>
      </c>
    </row>
    <row r="176" spans="1:60"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IF(AND(E176&lt;&gt;"",K176&lt;&gt;"",K176&lt;&gt;0),(E176-K176)/K176*100,"")</f>
        <v>-5.6117631188452721</v>
      </c>
      <c r="M176" s="333">
        <f>IF(C176&lt;&gt;"",IFERROR(AVERAGE(出来高!E54:I54),""),"")</f>
        <v>2527720</v>
      </c>
      <c r="N176" s="333">
        <f>IF(C176&lt;&gt;"",IFERROR(AVERAGE(出来高!E54:AC54),""),"")</f>
        <v>2598076</v>
      </c>
      <c r="O176" s="335">
        <f>IF(AND(J176&lt;&gt;"",M176&lt;&gt;"",M176&lt;&gt;0),J176/M176,"")</f>
        <v>0.84368521829949517</v>
      </c>
      <c r="P176" s="212" t="str">
        <f>IF(O176="","",IF(O176&gt;=2,"急増↑↑",IF(O176&gt;=1.5,"増加↑",IF(O176&gt;=1,"普通→","減少↓"))))</f>
        <v>減少↓</v>
      </c>
      <c r="Q176" s="212" t="str">
        <f>IF(E176="","",IF(AND(E176&lt;G176,O176&gt;=1.5),"売り▼",IF(E176&gt;G176,"様子見▲","中立→")))</f>
        <v>様子見▲</v>
      </c>
      <c r="R176" s="333">
        <f>IF(E176&lt;&gt;"",ROUND(E176*0.92,0),"")</f>
        <v>6437</v>
      </c>
      <c r="S176" s="333">
        <f>IF(E176&lt;&gt;"",ROUND(E176*1.04,0),"")</f>
        <v>7277</v>
      </c>
      <c r="T176" s="325">
        <f>IF(C176="","",IFERROR(IF(W176&gt;=70,3,IF(W176&gt;=60,2,IF(W176&gt;=50,1,0)))+IF(X176&lt;0,2,0)+IF(AD176="下降トレンド▼",3,IF(AD176="もみ合い→",1,0))+IF(V176="年初来安値圏●",3,IF(V176="安値圏",2,0))+IF(Q176="売り▼",2,0)+IF(P176="急増↑↑",2,IF(P176="増加↑",1,0))+IF(Z176&lt;0,1,0)+IF(L176&lt;=-30,2,IF(L176&lt;=-15,1,0))+IF(AE176="25日戻り売り★",2,IF(AE176="5日戻り売り○",1,0))+N(AL176)+N(AP176)+N(AU176),0))</f>
        <v>0</v>
      </c>
      <c r="U176" s="212" t="str">
        <f>IF(T176="","",IF(AND(T176&gt;=3,O176&gt;=1.5),"有効",IF(T176&gt;=3,"要確認","除外")))</f>
        <v>除外</v>
      </c>
      <c r="V176" s="212" t="str">
        <f>IF(AND(I176&lt;&gt;"",K176&lt;&gt;""),IF(I176&lt;=K176*0.6,"年初来安値圏●",IF(I176&lt;=K176*0.75,"安値圏","通常")),"")</f>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IF(AF176="","",AF176&amp;" | "&amp;AD176&amp;IF(AE176&lt;&gt;"なし"," "&amp;AE176,"")&amp;IF(X176&lt;0," MACD-"," MACD+")&amp;" RSI:"&amp;TEXT(W176,"0.0")&amp;IF(W176&gt;=70," [過熱]",IF(W176&lt;=30," [売られ過ぎ]",""))&amp;" 前日比:"&amp;TEXT(Z176,"+0.0;-0.0;0.0")&amp;"%"&amp;IF(V176="年初来安値圏●"," [年初来安値圏]",IF(V176="安値圏"," [安値圏]",""))&amp;IF(OR(AO176="通常",AO176="-"),""," ["&amp;AO176&amp;"]")&amp;IF(OR(AT176="通常",AT176="-"),"","前日["&amp;AT176&amp;"]")&amp;" ["&amp;T176&amp;"点]")</f>
        <v>相場上昇・見送り | パーフェクト▲ MACD+ RSI:60.7 前日比:+0.5% [0点]</v>
      </c>
      <c r="Z176" s="338">
        <f>IF(AND(E176&lt;&gt;"",G176&lt;&gt;"",G176&lt;&gt;0),(E176-G176)/G176*100,"")</f>
        <v>0.50272910083309397</v>
      </c>
      <c r="AA176" s="212" t="str">
        <f>IF(OR(C176="",E176="",E176=0),"",IF(E176&gt;G176,"上昇▲",IF(E176&lt;G176,"下落▼","横ばい→")))</f>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IF(OR(C176="",AB176="",AC176="",AB176=0,AC176=0),"",IF(AND(E176&gt;AB176,AB176&gt;AC176),"パーフェクト▲",IF(E176&gt;AC176,"上昇トレンド▲",IF(AND(E176&lt;AB176,AB176&lt;AC176),"下降トレンド▼","もみ合い→"))))</f>
        <v>パーフェクト▲</v>
      </c>
      <c r="AE176" s="212" t="str">
        <f>IF(OR(C176="",AB176="",AC176=""),"",IF(AND(ABS(E176-AC176)/AC176&lt;=0.02,E176&lt;AC176),"25日戻り売り★",IF(AND(ABS(E176-AB176)/AB176&lt;=0.01,E176&lt;AB176),"5日戻り売り○","なし")))</f>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IF(AND(T176&gt;=7,C176&lt;&gt;""),T176,0)</f>
        <v>0</v>
      </c>
      <c r="AH176">
        <f>IF(AG176&gt;0,AG176*10000-ROW(A176),0)</f>
        <v>0</v>
      </c>
      <c r="AI176" s="373">
        <f t="array" ref="AI176">IF(C176="","",IFERROR((INDEX(終値!$E:$E,MATCH(TEXT(C176,"0"),終値!$A:$A,0))-INDEX(終値!$E:$CZ,MATCH(TEXT(C176,"0"),終値!$A:$A,0),$AN$2))/INDEX(終値!$E:$CZ,MATCH(TEXT(C176,"0"),終値!$A:$A,0),$AN$2)*100,""))</f>
        <v>11.952</v>
      </c>
      <c r="AJ176" s="373">
        <f t="array" ref="AJ176">IFERROR((終値!$E$5-INDEX(終値!$E$5:$IT$5,1,$AN$2))/INDEX(終値!$E$5:$IT$5,1,$AN$2)*100,"")</f>
        <v>1.0179378228534113</v>
      </c>
      <c r="AK176" s="374">
        <f>IF(OR(AI176="",AJ176=""),"",AI176-AJ176)</f>
        <v>10.934062177146588</v>
      </c>
      <c r="AL176" s="372">
        <f>IF(AK176="","",IF(AK176&lt;-5,3,IF(AK176&lt;0,1,IF(AK176&lt;3,-1,-2))))</f>
        <v>-2</v>
      </c>
      <c r="AO176" s="376" t="str">
        <f>IF(OR($C176="",$E176="",$F176="",$H176="",$I176="",$H176-$I176&lt;=0),"-",IF(AND($H176-MAX($F176,$E176)&gt;=ABS($E176-$F176)*2,MIN($F176,$E176)-$I176&lt;=ABS($E176-$F176)*0.5,ABS($E176-$F176)&gt;0),"上ヒゲ陰線▼",IF(AND($E176&lt;$F176,ABS($E176-$F176)&gt;=($H176-$I176)*0.7),"大陰線▼",IF(AND(MIN($F176,$E176)-$I176&gt;=($H176-$I176)*0.5,$H176-MAX($F176,$E176)&lt;=($H176-$I176)*0.2),"長い下ヒゲ(反発警戒)","通常"))))</f>
        <v>通常</v>
      </c>
      <c r="AP176" s="377">
        <f>IF($AO176="上ヒゲ陰線▼",2,IF($AO176="大陰線▼",2,IF($AO176="長い下ヒゲ(反発警戒)",-2,0)))</f>
        <v>0</v>
      </c>
      <c r="AQ176">
        <f>IF(C176&lt;&gt;"",始値!F54,"")</f>
        <v>6863</v>
      </c>
      <c r="AR176">
        <f>IF(C176&lt;&gt;"",高値!F54,"")</f>
        <v>6963</v>
      </c>
      <c r="AS176">
        <f>IF(C176&lt;&gt;"",安値!F54,"")</f>
        <v>6852</v>
      </c>
      <c r="AT176" t="str">
        <f>IF(OR(C176="",AQ176="",AR176="",AS176="",AR176-AS176&lt;=0),"-",IF(AND(AR176-MAX(G176,AQ176)&gt;=ABS(G176-AQ176)*2,MIN(G176,AQ176)-AS176&lt;=ABS(G176-AQ176)*0.5,ABS(G176-AQ176)&gt;0),"上ヒゲ陰線▼",IF(AND(G176&lt;AQ176,ABS(G176-AQ176)&gt;=(AR176-AS176)*0.7),"大陰線▼",IF(AND(MIN(G176,AQ176)-AS176&gt;=(AR176-AS176)*0.5,AR176-MAX(G176,AQ176)&lt;=(AR176-AS176)*0.2),"長い下ヒゲ(反発)","通常"))))</f>
        <v>通常</v>
      </c>
      <c r="AU176">
        <f>IF(AT176="上ヒゲ陰線▼",2,IF(AT176="大陰線▼",2,IF(AT176="長い下ヒゲ(反発)",-2,0)))</f>
        <v>0</v>
      </c>
      <c r="BA176">
        <f>IFERROR((SUM(OFFSET(高値!$E$6,IFERROR(MATCH($C176,銘柄管理!$B$6:$B$305,0),MATCH(TEXT($C176,"0"),銘柄管理!$B$6:$B$305,0))-1,0,1,14))-SUM(OFFSET(安値!$E$6,IFERROR(MATCH($C176,銘柄管理!$B$6:$B$305,0),MATCH(TEXT($C176,"0"),銘柄管理!$B$6:$B$305,0))-1,0,1,14)))/SUM(OFFSET(終値!$E$6,IFERROR(MATCH($C176,銘柄管理!$B$6:$B$305,0),MATCH(TEXT($C176,"0"),銘柄管理!$B$6:$B$305,0))-1,0,1,14))*100,"")</f>
      </c>
      <c r="BB176">
        <f>IFERROR((MAX(OFFSET(高値!$E$6,IFERROR(MATCH($C176,銘柄管理!$B$6:$B$305,0),MATCH(TEXT($C176,"0"),銘柄管理!$B$6:$B$305,0))-1,0,1,25))-MIN(OFFSET(安値!$E$6,IFERROR(MATCH($C176,銘柄管理!$B$6:$B$305,0),MATCH(TEXT($C176,"0"),銘柄管理!$B$6:$B$305,0))-1,0,1,25)))/$E176*100,"")</f>
      </c>
      <c r="BC176">
        <f>IFERROR(($F176-$G176)/$G176*100,"")</f>
      </c>
      <c r="BD176">
        <f>IFERROR(($E176-MAX(OFFSET(高値!$E$6,IFERROR(MATCH($C176,銘柄管理!$B$6:$B$305,0),MATCH(TEXT($C176,"0"),銘柄管理!$B$6:$B$305,0))-1,0,1,25)))/MAX(OFFSET(高値!$E$6,IFERROR(MATCH($C176,銘柄管理!$B$6:$B$305,0),MATCH(TEXT($C176,"0"),銘柄管理!$B$6:$B$305,0))-1,0,1,25))*100,"")</f>
      </c>
      <c r="BE176">
        <f>IFERROR(($H176-$I176)/$F176*100,"")</f>
      </c>
      <c r="BF176">
        <f>IFERROR(-(($BA176-AVERAGE($BA$3:$BA$206))/STDEV($BA$3:$BA$206))-(($BE176-AVERAGE($BE$3:$BE$206))/STDEV($BE$3:$BE$206))-(($BB176-AVERAGE($BB$3:$BB$206))/STDEV($BB$3:$BB$206))-(($Z176-AVERAGE($Z$3:$Z$206))/STDEV($Z$3:$Z$206))-(($BC176-AVERAGE($BC$3:$BC$206))/STDEV($BC$3:$BC$206)),"")</f>
      </c>
      <c r="BG176">
        <f>IF(OR($C176="",$C176="TOPX",$BA176="",$BF176=""),0,IF(AND($BK$10=1,$BA176&lt;=$BK$2,$BB176&lt;=$BK$3,$BC176&lt;=$BK$4,$Z176&lt;=$BK$5,$Z176&gt;=$BK$6,$BD176&gt;=$BK$7,$BE176&lt;=$BK$8),1,0))</f>
      </c>
      <c r="BH176">
        <f>IF($C176="","",IF($BG176=1,"○ゲート通過",IF($BK$10&lt;&gt;1,"― この方向は停止中",IF($BA176&gt;$BK$2,"×値動きが荒い",IF($BB176&gt;$BK$3,"×レンジが広い",IF($BC176&gt;$BK$4,"×窓を開けて上昇",IF($Z176&gt;$BK$5,"×前日に急騰",IF($Z176&lt;$BK$6,"×前日に急落",IF($BD176&lt;$BK$7,"×高値から離れすぎ",IF($BE176&gt;$BK$8,"×当日の値幅が大きい","×")))))))))</f>
      </c>
    </row>
    <row r="177" spans="1:60"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IF(AND(E177&lt;&gt;"",K177&lt;&gt;"",K177&lt;&gt;0),(E177-K177)/K177*100,"")</f>
        <v>-9.2924317062248107</v>
      </c>
      <c r="M177" s="326">
        <f>IF(C177&lt;&gt;"",IFERROR(AVERAGE(出来高!E58:I58),""),"")</f>
        <v>775400</v>
      </c>
      <c r="N177" s="326">
        <f>IF(C177&lt;&gt;"",IFERROR(AVERAGE(出来高!E58:AC58),""),"")</f>
        <v>580244</v>
      </c>
      <c r="O177" s="328">
        <f>IF(AND(J177&lt;&gt;"",M177&lt;&gt;"",M177&lt;&gt;0),J177/M177,"")</f>
        <v>0.7973948929584731</v>
      </c>
      <c r="P177" s="325" t="str">
        <f>IF(O177="","",IF(O177&gt;=2,"急増↑↑",IF(O177&gt;=1.5,"増加↑",IF(O177&gt;=1,"普通→","減少↓"))))</f>
        <v>減少↓</v>
      </c>
      <c r="Q177" s="325" t="str">
        <f>IF(E177="","",IF(AND(E177&lt;G177,O177&gt;=1.5),"売り▼",IF(E177&gt;G177,"様子見▲","中立→")))</f>
        <v>中立→</v>
      </c>
      <c r="R177" s="326">
        <f>IF(E177&lt;&gt;"",ROUND(E177*0.92,0),"")</f>
        <v>3727</v>
      </c>
      <c r="S177" s="326">
        <f>IF(E177&lt;&gt;"",ROUND(E177*1.04,0),"")</f>
        <v>4213</v>
      </c>
      <c r="T177" s="325">
        <f>IF(C177="","",IFERROR(IF(W177&gt;=70,3,IF(W177&gt;=60,2,IF(W177&gt;=50,1,0)))+IF(X177&lt;0,2,0)+IF(AD177="下降トレンド▼",3,IF(AD177="もみ合い→",1,0))+IF(V177="年初来安値圏●",3,IF(V177="安値圏",2,0))+IF(Q177="売り▼",2,0)+IF(P177="急増↑↑",2,IF(P177="増加↑",1,0))+IF(Z177&lt;0,1,0)+IF(L177&lt;=-30,2,IF(L177&lt;=-15,1,0))+IF(AE177="25日戻り売り★",2,IF(AE177="5日戻り売り○",1,0))+N(AL177)+N(AP177)+N(AU177),0))</f>
        <v>5</v>
      </c>
      <c r="U177" s="325" t="str">
        <f>IF(T177="","",IF(AND(T177&gt;=3,O177&gt;=1.5),"有効",IF(T177&gt;=3,"要確認","除外")))</f>
        <v>要確認</v>
      </c>
      <c r="V177" s="325" t="str">
        <f>IF(AND(I177&lt;&gt;"",K177&lt;&gt;""),IF(I177&lt;=K177*0.6,"年初来安値圏●",IF(I177&lt;=K177*0.75,"安値圏","通常")),"")</f>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IF(AF177="","",AF177&amp;" | "&amp;AD177&amp;IF(AE177&lt;&gt;"なし"," "&amp;AE177,"")&amp;IF(X177&lt;0," MACD-"," MACD+")&amp;" RSI:"&amp;TEXT(W177,"0.0")&amp;IF(W177&gt;=70," [過熱]",IF(W177&lt;=30," [売られ過ぎ]",""))&amp;" 前日比:"&amp;TEXT(Z177,"+0.0;-0.0;0.0")&amp;"%"&amp;IF(V177="年初来安値圏●"," [年初来安値圏]",IF(V177="安値圏"," [安値圏]",""))&amp;IF(OR(AO177="通常",AO177="-"),""," ["&amp;AO177&amp;"]")&amp;IF(OR(AT177="通常",AT177="-"),"","前日["&amp;AT177&amp;"]")&amp;" ["&amp;T177&amp;"点]")</f>
        <v>○逆張り売り | もみ合い→ 25日戻り売り★ MACD- RSI:45.6 前日比:-0.8% [5点]</v>
      </c>
      <c r="Z177" s="331">
        <f>IF(AND(E177&lt;&gt;"",G177&lt;&gt;"",G177&lt;&gt;0),(E177-G177)/G177*100,"")</f>
        <v>-0.8080313418217433</v>
      </c>
      <c r="AA177" s="325" t="str">
        <f>IF(OR(C177="",E177="",E177=0),"",IF(E177&gt;G177,"上昇▲",IF(E177&lt;G177,"下落▼","横ばい→")))</f>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IF(OR(C177="",AB177="",AC177="",AB177=0,AC177=0),"",IF(AND(E177&gt;AB177,AB177&gt;AC177),"パーフェクト▲",IF(E177&gt;AC177,"上昇トレンド▲",IF(AND(E177&lt;AB177,AB177&lt;AC177),"下降トレンド▼","もみ合い→"))))</f>
        <v>もみ合い→</v>
      </c>
      <c r="AE177" s="325" t="str">
        <f>IF(OR(C177="",AB177="",AC177=""),"",IF(AND(ABS(E177-AC177)/AC177&lt;=0.02,E177&lt;AC177),"25日戻り売り★",IF(AND(ABS(E177-AB177)/AB177&lt;=0.01,E177&lt;AB177),"5日戻り売り○","なし")))</f>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IF(AND(T177&gt;=7,C177&lt;&gt;""),T177,0)</f>
        <v>0</v>
      </c>
      <c r="AH177">
        <f>IF(AG177&gt;0,AG177*10000-ROW(A177),0)</f>
        <v>0</v>
      </c>
      <c r="AI177" s="373">
        <f t="array" ref="AI177">IF(C177="","",IFERROR((INDEX(終値!$E:$E,MATCH(TEXT(C177,"0"),終値!$A:$A,0))-INDEX(終値!$E:$CZ,MATCH(TEXT(C177,"0"),終値!$A:$A,0),$AN$2))/INDEX(終値!$E:$CZ,MATCH(TEXT(C177,"0"),終値!$A:$A,0),$AN$2)*100,""))</f>
        <v>3.0002542588354943</v>
      </c>
      <c r="AJ177" s="373">
        <f t="array" ref="AJ177">IFERROR((終値!$E$5-INDEX(終値!$E$5:$IT$5,1,$AN$2))/INDEX(終値!$E$5:$IT$5,1,$AN$2)*100,"")</f>
        <v>1.0179378228534113</v>
      </c>
      <c r="AK177" s="374">
        <f>IF(OR(AI177="",AJ177=""),"",AI177-AJ177)</f>
        <v>1.9823164359820831</v>
      </c>
      <c r="AL177" s="372">
        <f>IF(AK177="","",IF(AK177&lt;-5,3,IF(AK177&lt;0,1,IF(AK177&lt;3,-1,-2))))</f>
        <v>-1</v>
      </c>
      <c r="AO177" s="376" t="str">
        <f>IF(OR($C177="",$E177="",$F177="",$H177="",$I177="",$H177-$I177&lt;=0),"-",IF(AND($H177-MAX($F177,$E177)&gt;=ABS($E177-$F177)*2,MIN($F177,$E177)-$I177&lt;=ABS($E177-$F177)*0.5,ABS($E177-$F177)&gt;0),"上ヒゲ陰線▼",IF(AND($E177&lt;$F177,ABS($E177-$F177)&gt;=($H177-$I177)*0.7),"大陰線▼",IF(AND(MIN($F177,$E177)-$I177&gt;=($H177-$I177)*0.5,$H177-MAX($F177,$E177)&lt;=($H177-$I177)*0.2),"長い下ヒゲ(反発警戒)","通常"))))</f>
        <v>通常</v>
      </c>
      <c r="AP177" s="377">
        <f>IF($AO177="上ヒゲ陰線▼",2,IF($AO177="大陰線▼",2,IF($AO177="長い下ヒゲ(反発警戒)",-2,0)))</f>
        <v>0</v>
      </c>
      <c r="AQ177">
        <f>IF(C177&lt;&gt;"",始値!F58,"")</f>
        <v>4004</v>
      </c>
      <c r="AR177">
        <f>IF(C177&lt;&gt;"",高値!F58,"")</f>
        <v>4103</v>
      </c>
      <c r="AS177">
        <f>IF(C177&lt;&gt;"",安値!F58,"")</f>
        <v>3934</v>
      </c>
      <c r="AT177" t="str">
        <f>IF(OR(C177="",AQ177="",AR177="",AS177="",AR177-AS177&lt;=0),"-",IF(AND(AR177-MAX(G177,AQ177)&gt;=ABS(G177-AQ177)*2,MIN(G177,AQ177)-AS177&lt;=ABS(G177-AQ177)*0.5,ABS(G177-AQ177)&gt;0),"上ヒゲ陰線▼",IF(AND(G177&lt;AQ177,ABS(G177-AQ177)&gt;=(AR177-AS177)*0.7),"大陰線▼",IF(AND(MIN(G177,AQ177)-AS177&gt;=(AR177-AS177)*0.5,AR177-MAX(G177,AQ177)&lt;=(AR177-AS177)*0.2),"長い下ヒゲ(反発)","通常"))))</f>
        <v>通常</v>
      </c>
      <c r="AU177">
        <f>IF(AT177="上ヒゲ陰線▼",2,IF(AT177="大陰線▼",2,IF(AT177="長い下ヒゲ(反発)",-2,0)))</f>
        <v>0</v>
      </c>
      <c r="BA177">
        <f>IFERROR((SUM(OFFSET(高値!$E$6,IFERROR(MATCH($C177,銘柄管理!$B$6:$B$305,0),MATCH(TEXT($C177,"0"),銘柄管理!$B$6:$B$305,0))-1,0,1,14))-SUM(OFFSET(安値!$E$6,IFERROR(MATCH($C177,銘柄管理!$B$6:$B$305,0),MATCH(TEXT($C177,"0"),銘柄管理!$B$6:$B$305,0))-1,0,1,14)))/SUM(OFFSET(終値!$E$6,IFERROR(MATCH($C177,銘柄管理!$B$6:$B$305,0),MATCH(TEXT($C177,"0"),銘柄管理!$B$6:$B$305,0))-1,0,1,14))*100,"")</f>
      </c>
      <c r="BB177">
        <f>IFERROR((MAX(OFFSET(高値!$E$6,IFERROR(MATCH($C177,銘柄管理!$B$6:$B$305,0),MATCH(TEXT($C177,"0"),銘柄管理!$B$6:$B$305,0))-1,0,1,25))-MIN(OFFSET(安値!$E$6,IFERROR(MATCH($C177,銘柄管理!$B$6:$B$305,0),MATCH(TEXT($C177,"0"),銘柄管理!$B$6:$B$305,0))-1,0,1,25)))/$E177*100,"")</f>
      </c>
      <c r="BC177">
        <f>IFERROR(($F177-$G177)/$G177*100,"")</f>
      </c>
      <c r="BD177">
        <f>IFERROR(($E177-MAX(OFFSET(高値!$E$6,IFERROR(MATCH($C177,銘柄管理!$B$6:$B$305,0),MATCH(TEXT($C177,"0"),銘柄管理!$B$6:$B$305,0))-1,0,1,25)))/MAX(OFFSET(高値!$E$6,IFERROR(MATCH($C177,銘柄管理!$B$6:$B$305,0),MATCH(TEXT($C177,"0"),銘柄管理!$B$6:$B$305,0))-1,0,1,25))*100,"")</f>
      </c>
      <c r="BE177">
        <f>IFERROR(($H177-$I177)/$F177*100,"")</f>
      </c>
      <c r="BF177">
        <f>IFERROR(-(($BA177-AVERAGE($BA$3:$BA$206))/STDEV($BA$3:$BA$206))-(($BE177-AVERAGE($BE$3:$BE$206))/STDEV($BE$3:$BE$206))-(($BB177-AVERAGE($BB$3:$BB$206))/STDEV($BB$3:$BB$206))-(($Z177-AVERAGE($Z$3:$Z$206))/STDEV($Z$3:$Z$206))-(($BC177-AVERAGE($BC$3:$BC$206))/STDEV($BC$3:$BC$206)),"")</f>
      </c>
      <c r="BG177">
        <f>IF(OR($C177="",$C177="TOPX",$BA177="",$BF177=""),0,IF(AND($BK$10=1,$BA177&lt;=$BK$2,$BB177&lt;=$BK$3,$BC177&lt;=$BK$4,$Z177&lt;=$BK$5,$Z177&gt;=$BK$6,$BD177&gt;=$BK$7,$BE177&lt;=$BK$8),1,0))</f>
      </c>
      <c r="BH177">
        <f>IF($C177="","",IF($BG177=1,"○ゲート通過",IF($BK$10&lt;&gt;1,"― この方向は停止中",IF($BA177&gt;$BK$2,"×値動きが荒い",IF($BB177&gt;$BK$3,"×レンジが広い",IF($BC177&gt;$BK$4,"×窓を開けて上昇",IF($Z177&gt;$BK$5,"×前日に急騰",IF($Z177&lt;$BK$6,"×前日に急落",IF($BD177&lt;$BK$7,"×高値から離れすぎ",IF($BE177&gt;$BK$8,"×当日の値幅が大きい","×")))))))))</f>
      </c>
    </row>
    <row r="178" spans="1:60"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IF(AND(E178&lt;&gt;"",K178&lt;&gt;"",K178&lt;&gt;0),(E178-K178)/K178*100,"")</f>
        <v>-3.8751625487646297</v>
      </c>
      <c r="M178" s="333">
        <f>IF(C178&lt;&gt;"",IFERROR(AVERAGE(出来高!E61:I61),""),"")</f>
        <v>362800</v>
      </c>
      <c r="N178" s="333">
        <f>IF(C178&lt;&gt;"",IFERROR(AVERAGE(出来高!E61:AC61),""),"")</f>
        <v>316412</v>
      </c>
      <c r="O178" s="335">
        <f>IF(AND(J178&lt;&gt;"",M178&lt;&gt;"",M178&lt;&gt;0),J178/M178,"")</f>
        <v>0.87183020948180812</v>
      </c>
      <c r="P178" s="212" t="str">
        <f>IF(O178="","",IF(O178&gt;=2,"急増↑↑",IF(O178&gt;=1.5,"増加↑",IF(O178&gt;=1,"普通→","減少↓"))))</f>
        <v>減少↓</v>
      </c>
      <c r="Q178" s="212" t="str">
        <f>IF(E178="","",IF(AND(E178&lt;G178,O178&gt;=1.5),"売り▼",IF(E178&gt;G178,"様子見▲","中立→")))</f>
        <v>様子見▲</v>
      </c>
      <c r="R178" s="333">
        <f>IF(E178&lt;&gt;"",ROUND(E178*0.92,0),"")</f>
        <v>1700</v>
      </c>
      <c r="S178" s="333">
        <f>IF(E178&lt;&gt;"",ROUND(E178*1.04,0),"")</f>
        <v>1922</v>
      </c>
      <c r="T178" s="325">
        <f>IF(C178="","",IFERROR(IF(W178&gt;=70,3,IF(W178&gt;=60,2,IF(W178&gt;=50,1,0)))+IF(X178&lt;0,2,0)+IF(AD178="下降トレンド▼",3,IF(AD178="もみ合い→",1,0))+IF(V178="年初来安値圏●",3,IF(V178="安値圏",2,0))+IF(Q178="売り▼",2,0)+IF(P178="急増↑↑",2,IF(P178="増加↑",1,0))+IF(Z178&lt;0,1,0)+IF(L178&lt;=-30,2,IF(L178&lt;=-15,1,0))+IF(AE178="25日戻り売り★",2,IF(AE178="5日戻り売り○",1,0))+N(AL178)+N(AP178)+N(AU178),0))</f>
        <v>1</v>
      </c>
      <c r="U178" s="212" t="str">
        <f>IF(T178="","",IF(AND(T178&gt;=3,O178&gt;=1.5),"有効",IF(T178&gt;=3,"要確認","除外")))</f>
        <v>除外</v>
      </c>
      <c r="V178" s="212" t="str">
        <f>IF(AND(I178&lt;&gt;"",K178&lt;&gt;""),IF(I178&lt;=K178*0.6,"年初来安値圏●",IF(I178&lt;=K178*0.75,"安値圏","通常")),"")</f>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IF(AF178="","",AF178&amp;" | "&amp;AD178&amp;IF(AE178&lt;&gt;"なし"," "&amp;AE178,"")&amp;IF(X178&lt;0," MACD-"," MACD+")&amp;" RSI:"&amp;TEXT(W178,"0.0")&amp;IF(W178&gt;=70," [過熱]",IF(W178&lt;=30," [売られ過ぎ]",""))&amp;" 前日比:"&amp;TEXT(Z178,"+0.0;-0.0;0.0")&amp;"%"&amp;IF(V178="年初来安値圏●"," [年初来安値圏]",IF(V178="安値圏"," [安値圏]",""))&amp;IF(OR(AO178="通常",AO178="-"),""," ["&amp;AO178&amp;"]")&amp;IF(OR(AT178="通常",AT178="-"),"","前日["&amp;AT178&amp;"]")&amp;" ["&amp;T178&amp;"点]")</f>
        <v>△過熱・様子見 | パーフェクト▲ MACD+ RSI:74.4 [過熱] 前日比:+0.4% [1点]</v>
      </c>
      <c r="Z178" s="338">
        <f>IF(AND(E178&lt;&gt;"",G178&lt;&gt;"",G178&lt;&gt;0),(E178-G178)/G178*100,"")</f>
        <v>0.38022813688212925</v>
      </c>
      <c r="AA178" s="212" t="str">
        <f>IF(OR(C178="",E178="",E178=0),"",IF(E178&gt;G178,"上昇▲",IF(E178&lt;G178,"下落▼","横ばい→")))</f>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IF(OR(C178="",AB178="",AC178="",AB178=0,AC178=0),"",IF(AND(E178&gt;AB178,AB178&gt;AC178),"パーフェクト▲",IF(E178&gt;AC178,"上昇トレンド▲",IF(AND(E178&lt;AB178,AB178&lt;AC178),"下降トレンド▼","もみ合い→"))))</f>
        <v>パーフェクト▲</v>
      </c>
      <c r="AE178" s="212" t="str">
        <f>IF(OR(C178="",AB178="",AC178=""),"",IF(AND(ABS(E178-AC178)/AC178&lt;=0.02,E178&lt;AC178),"25日戻り売り★",IF(AND(ABS(E178-AB178)/AB178&lt;=0.01,E178&lt;AB178),"5日戻り売り○","なし")))</f>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IF(AND(T178&gt;=7,C178&lt;&gt;""),T178,0)</f>
        <v>0</v>
      </c>
      <c r="AH178">
        <f>IF(AG178&gt;0,AG178*10000-ROW(A178),0)</f>
        <v>0</v>
      </c>
      <c r="AI178" s="373">
        <f t="array" ref="AI178">IF(C178="","",IFERROR((INDEX(終値!$E:$E,MATCH(TEXT(C178,"0"),終値!$A:$A,0))-INDEX(終値!$E:$CZ,MATCH(TEXT(C178,"0"),終値!$A:$A,0),$AN$2))/INDEX(終値!$E:$CZ,MATCH(TEXT(C178,"0"),終値!$A:$A,0),$AN$2)*100,""))</f>
        <v>6.5436725281060832</v>
      </c>
      <c r="AJ178" s="373">
        <f t="array" ref="AJ178">IFERROR((終値!$E$5-INDEX(終値!$E$5:$IT$5,1,$AN$2))/INDEX(終値!$E$5:$IT$5,1,$AN$2)*100,"")</f>
        <v>1.0179378228534113</v>
      </c>
      <c r="AK178" s="374">
        <f>IF(OR(AI178="",AJ178=""),"",AI178-AJ178)</f>
        <v>5.5257347052526722</v>
      </c>
      <c r="AL178" s="372">
        <f>IF(AK178="","",IF(AK178&lt;-5,3,IF(AK178&lt;0,1,IF(AK178&lt;3,-1,-2))))</f>
        <v>-2</v>
      </c>
      <c r="AO178" s="376" t="str">
        <f>IF(OR($C178="",$E178="",$F178="",$H178="",$I178="",$H178-$I178&lt;=0),"-",IF(AND($H178-MAX($F178,$E178)&gt;=ABS($E178-$F178)*2,MIN($F178,$E178)-$I178&lt;=ABS($E178-$F178)*0.5,ABS($E178-$F178)&gt;0),"上ヒゲ陰線▼",IF(AND($E178&lt;$F178,ABS($E178-$F178)&gt;=($H178-$I178)*0.7),"大陰線▼",IF(AND(MIN($F178,$E178)-$I178&gt;=($H178-$I178)*0.5,$H178-MAX($F178,$E178)&lt;=($H178-$I178)*0.2),"長い下ヒゲ(反発警戒)","通常"))))</f>
        <v>通常</v>
      </c>
      <c r="AP178" s="377">
        <f>IF($AO178="上ヒゲ陰線▼",2,IF($AO178="大陰線▼",2,IF($AO178="長い下ヒゲ(反発警戒)",-2,0)))</f>
        <v>0</v>
      </c>
      <c r="AQ178">
        <f>IF(C178&lt;&gt;"",始値!F61,"")</f>
        <v>1829</v>
      </c>
      <c r="AR178">
        <f>IF(C178&lt;&gt;"",高値!F61,"")</f>
        <v>1845</v>
      </c>
      <c r="AS178">
        <f>IF(C178&lt;&gt;"",安値!F61,"")</f>
        <v>1826.5</v>
      </c>
      <c r="AT178" t="str">
        <f>IF(OR(C178="",AQ178="",AR178="",AS178="",AR178-AS178&lt;=0),"-",IF(AND(AR178-MAX(G178,AQ178)&gt;=ABS(G178-AQ178)*2,MIN(G178,AQ178)-AS178&lt;=ABS(G178-AQ178)*0.5,ABS(G178-AQ178)&gt;0),"上ヒゲ陰線▼",IF(AND(G178&lt;AQ178,ABS(G178-AQ178)&gt;=(AR178-AS178)*0.7),"大陰線▼",IF(AND(MIN(G178,AQ178)-AS178&gt;=(AR178-AS178)*0.5,AR178-MAX(G178,AQ178)&lt;=(AR178-AS178)*0.2),"長い下ヒゲ(反発)","通常"))))</f>
        <v>通常</v>
      </c>
      <c r="AU178">
        <f>IF(AT178="上ヒゲ陰線▼",2,IF(AT178="大陰線▼",2,IF(AT178="長い下ヒゲ(反発)",-2,0)))</f>
        <v>0</v>
      </c>
      <c r="BA178">
        <f>IFERROR((SUM(OFFSET(高値!$E$6,IFERROR(MATCH($C178,銘柄管理!$B$6:$B$305,0),MATCH(TEXT($C178,"0"),銘柄管理!$B$6:$B$305,0))-1,0,1,14))-SUM(OFFSET(安値!$E$6,IFERROR(MATCH($C178,銘柄管理!$B$6:$B$305,0),MATCH(TEXT($C178,"0"),銘柄管理!$B$6:$B$305,0))-1,0,1,14)))/SUM(OFFSET(終値!$E$6,IFERROR(MATCH($C178,銘柄管理!$B$6:$B$305,0),MATCH(TEXT($C178,"0"),銘柄管理!$B$6:$B$305,0))-1,0,1,14))*100,"")</f>
      </c>
      <c r="BB178">
        <f>IFERROR((MAX(OFFSET(高値!$E$6,IFERROR(MATCH($C178,銘柄管理!$B$6:$B$305,0),MATCH(TEXT($C178,"0"),銘柄管理!$B$6:$B$305,0))-1,0,1,25))-MIN(OFFSET(安値!$E$6,IFERROR(MATCH($C178,銘柄管理!$B$6:$B$305,0),MATCH(TEXT($C178,"0"),銘柄管理!$B$6:$B$305,0))-1,0,1,25)))/$E178*100,"")</f>
      </c>
      <c r="BC178">
        <f>IFERROR(($F178-$G178)/$G178*100,"")</f>
      </c>
      <c r="BD178">
        <f>IFERROR(($E178-MAX(OFFSET(高値!$E$6,IFERROR(MATCH($C178,銘柄管理!$B$6:$B$305,0),MATCH(TEXT($C178,"0"),銘柄管理!$B$6:$B$305,0))-1,0,1,25)))/MAX(OFFSET(高値!$E$6,IFERROR(MATCH($C178,銘柄管理!$B$6:$B$305,0),MATCH(TEXT($C178,"0"),銘柄管理!$B$6:$B$305,0))-1,0,1,25))*100,"")</f>
      </c>
      <c r="BE178">
        <f>IFERROR(($H178-$I178)/$F178*100,"")</f>
      </c>
      <c r="BF178">
        <f>IFERROR(-(($BA178-AVERAGE($BA$3:$BA$206))/STDEV($BA$3:$BA$206))-(($BE178-AVERAGE($BE$3:$BE$206))/STDEV($BE$3:$BE$206))-(($BB178-AVERAGE($BB$3:$BB$206))/STDEV($BB$3:$BB$206))-(($Z178-AVERAGE($Z$3:$Z$206))/STDEV($Z$3:$Z$206))-(($BC178-AVERAGE($BC$3:$BC$206))/STDEV($BC$3:$BC$206)),"")</f>
      </c>
      <c r="BG178">
        <f>IF(OR($C178="",$C178="TOPX",$BA178="",$BF178=""),0,IF(AND($BK$10=1,$BA178&lt;=$BK$2,$BB178&lt;=$BK$3,$BC178&lt;=$BK$4,$Z178&lt;=$BK$5,$Z178&gt;=$BK$6,$BD178&gt;=$BK$7,$BE178&lt;=$BK$8),1,0))</f>
      </c>
      <c r="BH178">
        <f>IF($C178="","",IF($BG178=1,"○ゲート通過",IF($BK$10&lt;&gt;1,"― この方向は停止中",IF($BA178&gt;$BK$2,"×値動きが荒い",IF($BB178&gt;$BK$3,"×レンジが広い",IF($BC178&gt;$BK$4,"×窓を開けて上昇",IF($Z178&gt;$BK$5,"×前日に急騰",IF($Z178&lt;$BK$6,"×前日に急落",IF($BD178&lt;$BK$7,"×高値から離れすぎ",IF($BE178&gt;$BK$8,"×当日の値幅が大きい","×")))))))))</f>
      </c>
    </row>
    <row r="179" spans="1:60"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IF(AND(E179&lt;&gt;"",K179&lt;&gt;"",K179&lt;&gt;0),(E179-K179)/K179*100,"")</f>
        <v>-7.1061643835616444</v>
      </c>
      <c r="M179" s="326">
        <f>IF(C179&lt;&gt;"",IFERROR(AVERAGE(出来高!E63:I63),""),"")</f>
        <v>79260</v>
      </c>
      <c r="N179" s="326">
        <f>IF(C179&lt;&gt;"",IFERROR(AVERAGE(出来高!E63:AC63),""),"")</f>
        <v>83300</v>
      </c>
      <c r="O179" s="328">
        <f>IF(AND(J179&lt;&gt;"",M179&lt;&gt;"",M179&lt;&gt;0),J179/M179,"")</f>
        <v>0.7292455210698966</v>
      </c>
      <c r="P179" s="325" t="str">
        <f>IF(O179="","",IF(O179&gt;=2,"急増↑↑",IF(O179&gt;=1.5,"増加↑",IF(O179&gt;=1,"普通→","減少↓"))))</f>
        <v>減少↓</v>
      </c>
      <c r="Q179" s="325" t="str">
        <f>IF(E179="","",IF(AND(E179&lt;G179,O179&gt;=1.5),"売り▼",IF(E179&gt;G179,"様子見▲","中立→")))</f>
        <v>様子見▲</v>
      </c>
      <c r="R179" s="326">
        <f>IF(E179&lt;&gt;"",ROUND(E179*0.92,0),"")</f>
        <v>998</v>
      </c>
      <c r="S179" s="326">
        <f>IF(E179&lt;&gt;"",ROUND(E179*1.04,0),"")</f>
        <v>1128</v>
      </c>
      <c r="T179" s="325">
        <f>IF(C179="","",IFERROR(IF(W179&gt;=70,3,IF(W179&gt;=60,2,IF(W179&gt;=50,1,0)))+IF(X179&lt;0,2,0)+IF(AD179="下降トレンド▼",3,IF(AD179="もみ合い→",1,0))+IF(V179="年初来安値圏●",3,IF(V179="安値圏",2,0))+IF(Q179="売り▼",2,0)+IF(P179="急増↑↑",2,IF(P179="増加↑",1,0))+IF(Z179&lt;0,1,0)+IF(L179&lt;=-30,2,IF(L179&lt;=-15,1,0))+IF(AE179="25日戻り売り★",2,IF(AE179="5日戻り売り○",1,0))+N(AL179)+N(AP179)+N(AU179),0))</f>
        <v>1</v>
      </c>
      <c r="U179" s="325" t="str">
        <f>IF(T179="","",IF(AND(T179&gt;=3,O179&gt;=1.5),"有効",IF(T179&gt;=3,"要確認","除外")))</f>
        <v>除外</v>
      </c>
      <c r="V179" s="325" t="str">
        <f>IF(AND(I179&lt;&gt;"",K179&lt;&gt;""),IF(I179&lt;=K179*0.6,"年初来安値圏●",IF(I179&lt;=K179*0.75,"安値圏","通常")),"")</f>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IF(AF179="","",AF179&amp;" | "&amp;AD179&amp;IF(AE179&lt;&gt;"なし"," "&amp;AE179,"")&amp;IF(X179&lt;0," MACD-"," MACD+")&amp;" RSI:"&amp;TEXT(W179,"0.0")&amp;IF(W179&gt;=70," [過熱]",IF(W179&lt;=30," [売られ過ぎ]",""))&amp;" 前日比:"&amp;TEXT(Z179,"+0.0;-0.0;0.0")&amp;"%"&amp;IF(V179="年初来安値圏●"," [年初来安値圏]",IF(V179="安値圏"," [安値圏]",""))&amp;IF(OR(AO179="通常",AO179="-"),""," ["&amp;AO179&amp;"]")&amp;IF(OR(AT179="通常",AT179="-"),"","前日["&amp;AT179&amp;"]")&amp;" ["&amp;T179&amp;"点]")</f>
        <v>相場上昇・見送り | パーフェクト▲ MACD- RSI:49.4 前日比:+1.7% [1点]</v>
      </c>
      <c r="Z179" s="331">
        <f>IF(AND(E179&lt;&gt;"",G179&lt;&gt;"",G179&lt;&gt;0),(E179-G179)/G179*100,"")</f>
        <v>1.6869728209934396</v>
      </c>
      <c r="AA179" s="325" t="str">
        <f>IF(OR(C179="",E179="",E179=0),"",IF(E179&gt;G179,"上昇▲",IF(E179&lt;G179,"下落▼","横ばい→")))</f>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IF(OR(C179="",AB179="",AC179="",AB179=0,AC179=0),"",IF(AND(E179&gt;AB179,AB179&gt;AC179),"パーフェクト▲",IF(E179&gt;AC179,"上昇トレンド▲",IF(AND(E179&lt;AB179,AB179&lt;AC179),"下降トレンド▼","もみ合い→"))))</f>
        <v>パーフェクト▲</v>
      </c>
      <c r="AE179" s="325" t="str">
        <f>IF(OR(C179="",AB179="",AC179=""),"",IF(AND(ABS(E179-AC179)/AC179&lt;=0.02,E179&lt;AC179),"25日戻り売り★",IF(AND(ABS(E179-AB179)/AB179&lt;=0.01,E179&lt;AB179),"5日戻り売り○","なし")))</f>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IF(AND(T179&gt;=7,C179&lt;&gt;""),T179,0)</f>
        <v>0</v>
      </c>
      <c r="AH179">
        <f>IF(AG179&gt;0,AG179*10000-ROW(A179),0)</f>
        <v>0</v>
      </c>
      <c r="AI179" s="373">
        <f t="array" ref="AI179">IF(C179="","",IFERROR((INDEX(終値!$E:$E,MATCH(TEXT(C179,"0"),終値!$A:$A,0))-INDEX(終値!$E:$CZ,MATCH(TEXT(C179,"0"),終値!$A:$A,0),$AN$2))/INDEX(終値!$E:$CZ,MATCH(TEXT(C179,"0"),終値!$A:$A,0),$AN$2)*100,""))</f>
        <v>3.0389363722697058</v>
      </c>
      <c r="AJ179" s="373">
        <f t="array" ref="AJ179">IFERROR((終値!$E$5-INDEX(終値!$E$5:$IT$5,1,$AN$2))/INDEX(終値!$E$5:$IT$5,1,$AN$2)*100,"")</f>
        <v>1.0179378228534113</v>
      </c>
      <c r="AK179" s="374">
        <f>IF(OR(AI179="",AJ179=""),"",AI179-AJ179)</f>
        <v>2.0209985494162943</v>
      </c>
      <c r="AL179" s="372">
        <f>IF(AK179="","",IF(AK179&lt;-5,3,IF(AK179&lt;0,1,IF(AK179&lt;3,-1,-2))))</f>
        <v>-1</v>
      </c>
      <c r="AO179" s="376" t="str">
        <f>IF(OR($C179="",$E179="",$F179="",$H179="",$I179="",$H179-$I179&lt;=0),"-",IF(AND($H179-MAX($F179,$E179)&gt;=ABS($E179-$F179)*2,MIN($F179,$E179)-$I179&lt;=ABS($E179-$F179)*0.5,ABS($E179-$F179)&gt;0),"上ヒゲ陰線▼",IF(AND($E179&lt;$F179,ABS($E179-$F179)&gt;=($H179-$I179)*0.7),"大陰線▼",IF(AND(MIN($F179,$E179)-$I179&gt;=($H179-$I179)*0.5,$H179-MAX($F179,$E179)&lt;=($H179-$I179)*0.2),"長い下ヒゲ(反発警戒)","通常"))))</f>
        <v>通常</v>
      </c>
      <c r="AP179" s="377">
        <f>IF($AO179="上ヒゲ陰線▼",2,IF($AO179="大陰線▼",2,IF($AO179="長い下ヒゲ(反発警戒)",-2,0)))</f>
        <v>0</v>
      </c>
      <c r="AQ179">
        <f>IF(C179&lt;&gt;"",始値!F63,"")</f>
        <v>1074</v>
      </c>
      <c r="AR179">
        <f>IF(C179&lt;&gt;"",高値!F63,"")</f>
        <v>1079</v>
      </c>
      <c r="AS179">
        <f>IF(C179&lt;&gt;"",安値!F63,"")</f>
        <v>1067</v>
      </c>
      <c r="AT179" t="str">
        <f>IF(OR(C179="",AQ179="",AR179="",AS179="",AR179-AS179&lt;=0),"-",IF(AND(AR179-MAX(G179,AQ179)&gt;=ABS(G179-AQ179)*2,MIN(G179,AQ179)-AS179&lt;=ABS(G179-AQ179)*0.5,ABS(G179-AQ179)&gt;0),"上ヒゲ陰線▼",IF(AND(G179&lt;AQ179,ABS(G179-AQ179)&gt;=(AR179-AS179)*0.7),"大陰線▼",IF(AND(MIN(G179,AQ179)-AS179&gt;=(AR179-AS179)*0.5,AR179-MAX(G179,AQ179)&lt;=(AR179-AS179)*0.2),"長い下ヒゲ(反発)","通常"))))</f>
        <v>通常</v>
      </c>
      <c r="AU179">
        <f>IF(AT179="上ヒゲ陰線▼",2,IF(AT179="大陰線▼",2,IF(AT179="長い下ヒゲ(反発)",-2,0)))</f>
        <v>0</v>
      </c>
      <c r="BA179">
        <f>IFERROR((SUM(OFFSET(高値!$E$6,IFERROR(MATCH($C179,銘柄管理!$B$6:$B$305,0),MATCH(TEXT($C179,"0"),銘柄管理!$B$6:$B$305,0))-1,0,1,14))-SUM(OFFSET(安値!$E$6,IFERROR(MATCH($C179,銘柄管理!$B$6:$B$305,0),MATCH(TEXT($C179,"0"),銘柄管理!$B$6:$B$305,0))-1,0,1,14)))/SUM(OFFSET(終値!$E$6,IFERROR(MATCH($C179,銘柄管理!$B$6:$B$305,0),MATCH(TEXT($C179,"0"),銘柄管理!$B$6:$B$305,0))-1,0,1,14))*100,"")</f>
      </c>
      <c r="BB179">
        <f>IFERROR((MAX(OFFSET(高値!$E$6,IFERROR(MATCH($C179,銘柄管理!$B$6:$B$305,0),MATCH(TEXT($C179,"0"),銘柄管理!$B$6:$B$305,0))-1,0,1,25))-MIN(OFFSET(安値!$E$6,IFERROR(MATCH($C179,銘柄管理!$B$6:$B$305,0),MATCH(TEXT($C179,"0"),銘柄管理!$B$6:$B$305,0))-1,0,1,25)))/$E179*100,"")</f>
      </c>
      <c r="BC179">
        <f>IFERROR(($F179-$G179)/$G179*100,"")</f>
      </c>
      <c r="BD179">
        <f>IFERROR(($E179-MAX(OFFSET(高値!$E$6,IFERROR(MATCH($C179,銘柄管理!$B$6:$B$305,0),MATCH(TEXT($C179,"0"),銘柄管理!$B$6:$B$305,0))-1,0,1,25)))/MAX(OFFSET(高値!$E$6,IFERROR(MATCH($C179,銘柄管理!$B$6:$B$305,0),MATCH(TEXT($C179,"0"),銘柄管理!$B$6:$B$305,0))-1,0,1,25))*100,"")</f>
      </c>
      <c r="BE179">
        <f>IFERROR(($H179-$I179)/$F179*100,"")</f>
      </c>
      <c r="BF179">
        <f>IFERROR(-(($BA179-AVERAGE($BA$3:$BA$206))/STDEV($BA$3:$BA$206))-(($BE179-AVERAGE($BE$3:$BE$206))/STDEV($BE$3:$BE$206))-(($BB179-AVERAGE($BB$3:$BB$206))/STDEV($BB$3:$BB$206))-(($Z179-AVERAGE($Z$3:$Z$206))/STDEV($Z$3:$Z$206))-(($BC179-AVERAGE($BC$3:$BC$206))/STDEV($BC$3:$BC$206)),"")</f>
      </c>
      <c r="BG179">
        <f>IF(OR($C179="",$C179="TOPX",$BA179="",$BF179=""),0,IF(AND($BK$10=1,$BA179&lt;=$BK$2,$BB179&lt;=$BK$3,$BC179&lt;=$BK$4,$Z179&lt;=$BK$5,$Z179&gt;=$BK$6,$BD179&gt;=$BK$7,$BE179&lt;=$BK$8),1,0))</f>
      </c>
      <c r="BH179">
        <f>IF($C179="","",IF($BG179=1,"○ゲート通過",IF($BK$10&lt;&gt;1,"― この方向は停止中",IF($BA179&gt;$BK$2,"×値動きが荒い",IF($BB179&gt;$BK$3,"×レンジが広い",IF($BC179&gt;$BK$4,"×窓を開けて上昇",IF($Z179&gt;$BK$5,"×前日に急騰",IF($Z179&lt;$BK$6,"×前日に急落",IF($BD179&lt;$BK$7,"×高値から離れすぎ",IF($BE179&gt;$BK$8,"×当日の値幅が大きい","×")))))))))</f>
      </c>
    </row>
    <row r="180" spans="1:60"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IF(AND(E180&lt;&gt;"",K180&lt;&gt;"",K180&lt;&gt;0),(E180-K180)/K180*100,"")</f>
        <v>-22.696929238985312</v>
      </c>
      <c r="M180" s="333">
        <f>IF(C180&lt;&gt;"",IFERROR(AVERAGE(出来高!E80:I80),""),"")</f>
        <v>101400</v>
      </c>
      <c r="N180" s="333">
        <f>IF(C180&lt;&gt;"",IFERROR(AVERAGE(出来高!E80:AC80),""),"")</f>
        <v>103262.5</v>
      </c>
      <c r="O180" s="335">
        <f>IF(AND(J180&lt;&gt;"",M180&lt;&gt;"",M180&lt;&gt;0),J180/M180,"")</f>
        <v>1.1972386587771202</v>
      </c>
      <c r="P180" s="212" t="str">
        <f>IF(O180="","",IF(O180&gt;=2,"急増↑↑",IF(O180&gt;=1.5,"増加↑",IF(O180&gt;=1,"普通→","減少↓"))))</f>
        <v>普通→</v>
      </c>
      <c r="Q180" s="212" t="str">
        <f>IF(E180="","",IF(AND(E180&lt;G180,O180&gt;=1.5),"売り▼",IF(E180&gt;G180,"様子見▲","中立→")))</f>
        <v>様子見▲</v>
      </c>
      <c r="R180" s="333">
        <f>IF(E180&lt;&gt;"",ROUND(E180*0.92,0),"")</f>
        <v>5327</v>
      </c>
      <c r="S180" s="333">
        <f>IF(E180&lt;&gt;"",ROUND(E180*1.04,0),"")</f>
        <v>6022</v>
      </c>
      <c r="T180" s="325">
        <f>IF(C180="","",IFERROR(IF(W180&gt;=70,3,IF(W180&gt;=60,2,IF(W180&gt;=50,1,0)))+IF(X180&lt;0,2,0)+IF(AD180="下降トレンド▼",3,IF(AD180="もみ合い→",1,0))+IF(V180="年初来安値圏●",3,IF(V180="安値圏",2,0))+IF(Q180="売り▼",2,0)+IF(P180="急増↑↑",2,IF(P180="増加↑",1,0))+IF(Z180&lt;0,1,0)+IF(L180&lt;=-30,2,IF(L180&lt;=-15,1,0))+IF(AE180="25日戻り売り★",2,IF(AE180="5日戻り売り○",1,0))+N(AL180)+N(AP180)+N(AU180),0))</f>
        <v>3</v>
      </c>
      <c r="U180" s="212" t="str">
        <f>IF(T180="","",IF(AND(T180&gt;=3,O180&gt;=1.5),"有効",IF(T180&gt;=3,"要確認","除外")))</f>
        <v>要確認</v>
      </c>
      <c r="V180" s="212" t="str">
        <f>IF(AND(I180&lt;&gt;"",K180&lt;&gt;""),IF(I180&lt;=K180*0.6,"年初来安値圏●",IF(I180&lt;=K180*0.75,"安値圏","通常")),"")</f>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IF(AF180="","",AF180&amp;" | "&amp;AD180&amp;IF(AE180&lt;&gt;"なし"," "&amp;AE180,"")&amp;IF(X180&lt;0," MACD-"," MACD+")&amp;" RSI:"&amp;TEXT(W180,"0.0")&amp;IF(W180&gt;=70," [過熱]",IF(W180&lt;=30," [売られ過ぎ]",""))&amp;" 前日比:"&amp;TEXT(Z180,"+0.0;-0.0;0.0")&amp;"%"&amp;IF(V180="年初来安値圏●"," [年初来安値圏]",IF(V180="安値圏"," [安値圏]",""))&amp;IF(OR(AO180="通常",AO180="-"),""," ["&amp;AO180&amp;"]")&amp;IF(OR(AT180="通常",AT180="-"),"","前日["&amp;AT180&amp;"]")&amp;" ["&amp;T180&amp;"点]")</f>
        <v>相場上昇・見送り | パーフェクト▲ MACD- RSI:50.3 前日比:+0.9% [3点]</v>
      </c>
      <c r="Z180" s="338">
        <f>IF(AND(E180&lt;&gt;"",G180&lt;&gt;"",G180&lt;&gt;0),(E180-G180)/G180*100,"")</f>
        <v>0.87108013937282225</v>
      </c>
      <c r="AA180" s="212" t="str">
        <f>IF(OR(C180="",E180="",E180=0),"",IF(E180&gt;G180,"上昇▲",IF(E180&lt;G180,"下落▼","横ばい→")))</f>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IF(OR(C180="",AB180="",AC180="",AB180=0,AC180=0),"",IF(AND(E180&gt;AB180,AB180&gt;AC180),"パーフェクト▲",IF(E180&gt;AC180,"上昇トレンド▲",IF(AND(E180&lt;AB180,AB180&lt;AC180),"下降トレンド▼","もみ合い→"))))</f>
        <v>パーフェクト▲</v>
      </c>
      <c r="AE180" s="212" t="str">
        <f>IF(OR(C180="",AB180="",AC180=""),"",IF(AND(ABS(E180-AC180)/AC180&lt;=0.02,E180&lt;AC180),"25日戻り売り★",IF(AND(ABS(E180-AB180)/AB180&lt;=0.01,E180&lt;AB180),"5日戻り売り○","なし")))</f>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IF(AND(T180&gt;=7,C180&lt;&gt;""),T180,0)</f>
        <v>0</v>
      </c>
      <c r="AH180">
        <f>IF(AG180&gt;0,AG180*10000-ROW(A180),0)</f>
        <v>0</v>
      </c>
      <c r="AI180" s="373">
        <f t="array" ref="AI180">IF(C180="","",IFERROR((INDEX(終値!$E:$E,MATCH(TEXT(C180,"0"),終値!$A:$A,0))-INDEX(終値!$E:$CZ,MATCH(TEXT(C180,"0"),終値!$A:$A,0),$AN$2))/INDEX(終値!$E:$CZ,MATCH(TEXT(C180,"0"),終値!$A:$A,0),$AN$2)*100,""))</f>
        <v>2.6595744680851063</v>
      </c>
      <c r="AJ180" s="373">
        <f t="array" ref="AJ180">IFERROR((終値!$E$5-INDEX(終値!$E$5:$IT$5,1,$AN$2))/INDEX(終値!$E$5:$IT$5,1,$AN$2)*100,"")</f>
        <v>1.0179378228534113</v>
      </c>
      <c r="AK180" s="374">
        <f>IF(OR(AI180="",AJ180=""),"",AI180-AJ180)</f>
        <v>1.6416366452316951</v>
      </c>
      <c r="AL180" s="372">
        <f>IF(AK180="","",IF(AK180&lt;-5,3,IF(AK180&lt;0,1,IF(AK180&lt;3,-1,-2))))</f>
        <v>-1</v>
      </c>
      <c r="AO180" s="376" t="str">
        <f>IF(OR($C180="",$E180="",$F180="",$H180="",$I180="",$H180-$I180&lt;=0),"-",IF(AND($H180-MAX($F180,$E180)&gt;=ABS($E180-$F180)*2,MIN($F180,$E180)-$I180&lt;=ABS($E180-$F180)*0.5,ABS($E180-$F180)&gt;0),"上ヒゲ陰線▼",IF(AND($E180&lt;$F180,ABS($E180-$F180)&gt;=($H180-$I180)*0.7),"大陰線▼",IF(AND(MIN($F180,$E180)-$I180&gt;=($H180-$I180)*0.5,$H180-MAX($F180,$E180)&lt;=($H180-$I180)*0.2),"長い下ヒゲ(反発警戒)","通常"))))</f>
        <v>通常</v>
      </c>
      <c r="AP180" s="377">
        <f>IF($AO180="上ヒゲ陰線▼",2,IF($AO180="大陰線▼",2,IF($AO180="長い下ヒゲ(反発警戒)",-2,0)))</f>
        <v>0</v>
      </c>
      <c r="AQ180">
        <f>IF(C180&lt;&gt;"",始値!F80,"")</f>
        <v>5750</v>
      </c>
      <c r="AR180">
        <f>IF(C180&lt;&gt;"",高値!F80,"")</f>
        <v>5770</v>
      </c>
      <c r="AS180">
        <f>IF(C180&lt;&gt;"",安値!F80,"")</f>
        <v>5710</v>
      </c>
      <c r="AT180" t="str">
        <f>IF(OR(C180="",AQ180="",AR180="",AS180="",AR180-AS180&lt;=0),"-",IF(AND(AR180-MAX(G180,AQ180)&gt;=ABS(G180-AQ180)*2,MIN(G180,AQ180)-AS180&lt;=ABS(G180-AQ180)*0.5,ABS(G180-AQ180)&gt;0),"上ヒゲ陰線▼",IF(AND(G180&lt;AQ180,ABS(G180-AQ180)&gt;=(AR180-AS180)*0.7),"大陰線▼",IF(AND(MIN(G180,AQ180)-AS180&gt;=(AR180-AS180)*0.5,AR180-MAX(G180,AQ180)&lt;=(AR180-AS180)*0.2),"長い下ヒゲ(反発)","通常"))))</f>
        <v>通常</v>
      </c>
      <c r="AU180">
        <f>IF(AT180="上ヒゲ陰線▼",2,IF(AT180="大陰線▼",2,IF(AT180="長い下ヒゲ(反発)",-2,0)))</f>
        <v>0</v>
      </c>
      <c r="BA180">
        <f>IFERROR((SUM(OFFSET(高値!$E$6,IFERROR(MATCH($C180,銘柄管理!$B$6:$B$305,0),MATCH(TEXT($C180,"0"),銘柄管理!$B$6:$B$305,0))-1,0,1,14))-SUM(OFFSET(安値!$E$6,IFERROR(MATCH($C180,銘柄管理!$B$6:$B$305,0),MATCH(TEXT($C180,"0"),銘柄管理!$B$6:$B$305,0))-1,0,1,14)))/SUM(OFFSET(終値!$E$6,IFERROR(MATCH($C180,銘柄管理!$B$6:$B$305,0),MATCH(TEXT($C180,"0"),銘柄管理!$B$6:$B$305,0))-1,0,1,14))*100,"")</f>
      </c>
      <c r="BB180">
        <f>IFERROR((MAX(OFFSET(高値!$E$6,IFERROR(MATCH($C180,銘柄管理!$B$6:$B$305,0),MATCH(TEXT($C180,"0"),銘柄管理!$B$6:$B$305,0))-1,0,1,25))-MIN(OFFSET(安値!$E$6,IFERROR(MATCH($C180,銘柄管理!$B$6:$B$305,0),MATCH(TEXT($C180,"0"),銘柄管理!$B$6:$B$305,0))-1,0,1,25)))/$E180*100,"")</f>
      </c>
      <c r="BC180">
        <f>IFERROR(($F180-$G180)/$G180*100,"")</f>
      </c>
      <c r="BD180">
        <f>IFERROR(($E180-MAX(OFFSET(高値!$E$6,IFERROR(MATCH($C180,銘柄管理!$B$6:$B$305,0),MATCH(TEXT($C180,"0"),銘柄管理!$B$6:$B$305,0))-1,0,1,25)))/MAX(OFFSET(高値!$E$6,IFERROR(MATCH($C180,銘柄管理!$B$6:$B$305,0),MATCH(TEXT($C180,"0"),銘柄管理!$B$6:$B$305,0))-1,0,1,25))*100,"")</f>
      </c>
      <c r="BE180">
        <f>IFERROR(($H180-$I180)/$F180*100,"")</f>
      </c>
      <c r="BF180">
        <f>IFERROR(-(($BA180-AVERAGE($BA$3:$BA$206))/STDEV($BA$3:$BA$206))-(($BE180-AVERAGE($BE$3:$BE$206))/STDEV($BE$3:$BE$206))-(($BB180-AVERAGE($BB$3:$BB$206))/STDEV($BB$3:$BB$206))-(($Z180-AVERAGE($Z$3:$Z$206))/STDEV($Z$3:$Z$206))-(($BC180-AVERAGE($BC$3:$BC$206))/STDEV($BC$3:$BC$206)),"")</f>
      </c>
      <c r="BG180">
        <f>IF(OR($C180="",$C180="TOPX",$BA180="",$BF180=""),0,IF(AND($BK$10=1,$BA180&lt;=$BK$2,$BB180&lt;=$BK$3,$BC180&lt;=$BK$4,$Z180&lt;=$BK$5,$Z180&gt;=$BK$6,$BD180&gt;=$BK$7,$BE180&lt;=$BK$8),1,0))</f>
      </c>
      <c r="BH180">
        <f>IF($C180="","",IF($BG180=1,"○ゲート通過",IF($BK$10&lt;&gt;1,"― この方向は停止中",IF($BA180&gt;$BK$2,"×値動きが荒い",IF($BB180&gt;$BK$3,"×レンジが広い",IF($BC180&gt;$BK$4,"×窓を開けて上昇",IF($Z180&gt;$BK$5,"×前日に急騰",IF($Z180&lt;$BK$6,"×前日に急落",IF($BD180&lt;$BK$7,"×高値から離れすぎ",IF($BE180&gt;$BK$8,"×当日の値幅が大きい","×")))))))))</f>
      </c>
    </row>
    <row r="181" spans="1:60"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IF(AND(E181&lt;&gt;"",K181&lt;&gt;"",K181&lt;&gt;0),(E181-K181)/K181*100,"")</f>
        <v>-20.964685615848406</v>
      </c>
      <c r="M181" s="326">
        <f>IF(C181&lt;&gt;"",IFERROR(AVERAGE(出来高!E83:I83),""),"")</f>
        <v>2335540</v>
      </c>
      <c r="N181" s="326">
        <f>IF(C181&lt;&gt;"",IFERROR(AVERAGE(出来高!E83:AC83),""),"")</f>
        <v>2091572</v>
      </c>
      <c r="O181" s="328">
        <f>IF(AND(J181&lt;&gt;"",M181&lt;&gt;"",M181&lt;&gt;0),J181/M181,"")</f>
        <v>1.0414293910615959</v>
      </c>
      <c r="P181" s="325" t="str">
        <f>IF(O181="","",IF(O181&gt;=2,"急増↑↑",IF(O181&gt;=1.5,"増加↑",IF(O181&gt;=1,"普通→","減少↓"))))</f>
        <v>普通→</v>
      </c>
      <c r="Q181" s="325" t="str">
        <f>IF(E181="","",IF(AND(E181&lt;G181,O181&gt;=1.5),"売り▼",IF(E181&gt;G181,"様子見▲","中立→")))</f>
        <v>様子見▲</v>
      </c>
      <c r="R181" s="326">
        <f>IF(E181&lt;&gt;"",ROUND(E181*0.92,0),"")</f>
        <v>4221</v>
      </c>
      <c r="S181" s="326">
        <f>IF(E181&lt;&gt;"",ROUND(E181*1.04,0),"")</f>
        <v>4772</v>
      </c>
      <c r="T181" s="325">
        <f>IF(C181="","",IFERROR(IF(W181&gt;=70,3,IF(W181&gt;=60,2,IF(W181&gt;=50,1,0)))+IF(X181&lt;0,2,0)+IF(AD181="下降トレンド▼",3,IF(AD181="もみ合い→",1,0))+IF(V181="年初来安値圏●",3,IF(V181="安値圏",2,0))+IF(Q181="売り▼",2,0)+IF(P181="急増↑↑",2,IF(P181="増加↑",1,0))+IF(Z181&lt;0,1,0)+IF(L181&lt;=-30,2,IF(L181&lt;=-15,1,0))+IF(AE181="25日戻り売り★",2,IF(AE181="5日戻り売り○",1,0))+N(AL181)+N(AP181)+N(AU181),0))</f>
        <v>2</v>
      </c>
      <c r="U181" s="325" t="str">
        <f>IF(T181="","",IF(AND(T181&gt;=3,O181&gt;=1.5),"有効",IF(T181&gt;=3,"要確認","除外")))</f>
        <v>除外</v>
      </c>
      <c r="V181" s="325" t="str">
        <f>IF(AND(I181&lt;&gt;"",K181&lt;&gt;""),IF(I181&lt;=K181*0.6,"年初来安値圏●",IF(I181&lt;=K181*0.75,"安値圏","通常")),"")</f>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IF(AF181="","",AF181&amp;" | "&amp;AD181&amp;IF(AE181&lt;&gt;"なし"," "&amp;AE181,"")&amp;IF(X181&lt;0," MACD-"," MACD+")&amp;" RSI:"&amp;TEXT(W181,"0.0")&amp;IF(W181&gt;=70," [過熱]",IF(W181&lt;=30," [売られ過ぎ]",""))&amp;" 前日比:"&amp;TEXT(Z181,"+0.0;-0.0;0.0")&amp;"%"&amp;IF(V181="年初来安値圏●"," [年初来安値圏]",IF(V181="安値圏"," [安値圏]",""))&amp;IF(OR(AO181="通常",AO181="-"),""," ["&amp;AO181&amp;"]")&amp;IF(OR(AT181="通常",AT181="-"),"","前日["&amp;AT181&amp;"]")&amp;" ["&amp;T181&amp;"点]")</f>
        <v>○逆張り売り | もみ合い→ 25日戻り売り★ MACD+ RSI:45.1 前日比:+1.7% [2点]</v>
      </c>
      <c r="Z181" s="331">
        <f>IF(AND(E181&lt;&gt;"",G181&lt;&gt;"",G181&lt;&gt;0),(E181-G181)/G181*100,"")</f>
        <v>1.661865721249723</v>
      </c>
      <c r="AA181" s="325" t="str">
        <f>IF(OR(C181="",E181="",E181=0),"",IF(E181&gt;G181,"上昇▲",IF(E181&lt;G181,"下落▼","横ばい→")))</f>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IF(OR(C181="",AB181="",AC181="",AB181=0,AC181=0),"",IF(AND(E181&gt;AB181,AB181&gt;AC181),"パーフェクト▲",IF(E181&gt;AC181,"上昇トレンド▲",IF(AND(E181&lt;AB181,AB181&lt;AC181),"下降トレンド▼","もみ合い→"))))</f>
        <v>もみ合い→</v>
      </c>
      <c r="AE181" s="325" t="str">
        <f>IF(OR(C181="",AB181="",AC181=""),"",IF(AND(ABS(E181-AC181)/AC181&lt;=0.02,E181&lt;AC181),"25日戻り売り★",IF(AND(ABS(E181-AB181)/AB181&lt;=0.01,E181&lt;AB181),"5日戻り売り○","なし")))</f>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IF(AND(T181&gt;=7,C181&lt;&gt;""),T181,0)</f>
        <v>0</v>
      </c>
      <c r="AH181">
        <f>IF(AG181&gt;0,AG181*10000-ROW(A181),0)</f>
        <v>0</v>
      </c>
      <c r="AI181" s="373">
        <f t="array" ref="AI181">IF(C181="","",IFERROR((INDEX(終値!$E:$E,MATCH(TEXT(C181,"0"),終値!$A:$A,0))-INDEX(終値!$E:$CZ,MATCH(TEXT(C181,"0"),終値!$A:$A,0),$AN$2))/INDEX(終値!$E:$CZ,MATCH(TEXT(C181,"0"),終値!$A:$A,0),$AN$2)*100,""))</f>
        <v>4.4864495559098154</v>
      </c>
      <c r="AJ181" s="373">
        <f t="array" ref="AJ181">IFERROR((終値!$E$5-INDEX(終値!$E$5:$IT$5,1,$AN$2))/INDEX(終値!$E$5:$IT$5,1,$AN$2)*100,"")</f>
        <v>1.0179378228534113</v>
      </c>
      <c r="AK181" s="374">
        <f>IF(OR(AI181="",AJ181=""),"",AI181-AJ181)</f>
        <v>3.4685117330564044</v>
      </c>
      <c r="AL181" s="372">
        <f>IF(AK181="","",IF(AK181&lt;-5,3,IF(AK181&lt;0,1,IF(AK181&lt;3,-1,-2))))</f>
        <v>-2</v>
      </c>
      <c r="AO181" s="376" t="str">
        <f>IF(OR($C181="",$E181="",$F181="",$H181="",$I181="",$H181-$I181&lt;=0),"-",IF(AND($H181-MAX($F181,$E181)&gt;=ABS($E181-$F181)*2,MIN($F181,$E181)-$I181&lt;=ABS($E181-$F181)*0.5,ABS($E181-$F181)&gt;0),"上ヒゲ陰線▼",IF(AND($E181&lt;$F181,ABS($E181-$F181)&gt;=($H181-$I181)*0.7),"大陰線▼",IF(AND(MIN($F181,$E181)-$I181&gt;=($H181-$I181)*0.5,$H181-MAX($F181,$E181)&lt;=($H181-$I181)*0.2),"長い下ヒゲ(反発警戒)","通常"))))</f>
        <v>通常</v>
      </c>
      <c r="AP181" s="377">
        <f>IF($AO181="上ヒゲ陰線▼",2,IF($AO181="大陰線▼",2,IF($AO181="長い下ヒゲ(反発警戒)",-2,0)))</f>
        <v>0</v>
      </c>
      <c r="AQ181">
        <f>IF(C181&lt;&gt;"",始値!F83,"")</f>
        <v>4560</v>
      </c>
      <c r="AR181">
        <f>IF(C181&lt;&gt;"",高値!F83,"")</f>
        <v>4573</v>
      </c>
      <c r="AS181">
        <f>IF(C181&lt;&gt;"",安値!F83,"")</f>
        <v>4484</v>
      </c>
      <c r="AT181" t="str">
        <f>IF(OR(C181="",AQ181="",AR181="",AS181="",AR181-AS181&lt;=0),"-",IF(AND(AR181-MAX(G181,AQ181)&gt;=ABS(G181-AQ181)*2,MIN(G181,AQ181)-AS181&lt;=ABS(G181-AQ181)*0.5,ABS(G181-AQ181)&gt;0),"上ヒゲ陰線▼",IF(AND(G181&lt;AQ181,ABS(G181-AQ181)&gt;=(AR181-AS181)*0.7),"大陰線▼",IF(AND(MIN(G181,AQ181)-AS181&gt;=(AR181-AS181)*0.5,AR181-MAX(G181,AQ181)&lt;=(AR181-AS181)*0.2),"長い下ヒゲ(反発)","通常"))))</f>
        <v>通常</v>
      </c>
      <c r="AU181">
        <f>IF(AT181="上ヒゲ陰線▼",2,IF(AT181="大陰線▼",2,IF(AT181="長い下ヒゲ(反発)",-2,0)))</f>
        <v>0</v>
      </c>
      <c r="BA181">
        <f>IFERROR((SUM(OFFSET(高値!$E$6,IFERROR(MATCH($C181,銘柄管理!$B$6:$B$305,0),MATCH(TEXT($C181,"0"),銘柄管理!$B$6:$B$305,0))-1,0,1,14))-SUM(OFFSET(安値!$E$6,IFERROR(MATCH($C181,銘柄管理!$B$6:$B$305,0),MATCH(TEXT($C181,"0"),銘柄管理!$B$6:$B$305,0))-1,0,1,14)))/SUM(OFFSET(終値!$E$6,IFERROR(MATCH($C181,銘柄管理!$B$6:$B$305,0),MATCH(TEXT($C181,"0"),銘柄管理!$B$6:$B$305,0))-1,0,1,14))*100,"")</f>
      </c>
      <c r="BB181">
        <f>IFERROR((MAX(OFFSET(高値!$E$6,IFERROR(MATCH($C181,銘柄管理!$B$6:$B$305,0),MATCH(TEXT($C181,"0"),銘柄管理!$B$6:$B$305,0))-1,0,1,25))-MIN(OFFSET(安値!$E$6,IFERROR(MATCH($C181,銘柄管理!$B$6:$B$305,0),MATCH(TEXT($C181,"0"),銘柄管理!$B$6:$B$305,0))-1,0,1,25)))/$E181*100,"")</f>
      </c>
      <c r="BC181">
        <f>IFERROR(($F181-$G181)/$G181*100,"")</f>
      </c>
      <c r="BD181">
        <f>IFERROR(($E181-MAX(OFFSET(高値!$E$6,IFERROR(MATCH($C181,銘柄管理!$B$6:$B$305,0),MATCH(TEXT($C181,"0"),銘柄管理!$B$6:$B$305,0))-1,0,1,25)))/MAX(OFFSET(高値!$E$6,IFERROR(MATCH($C181,銘柄管理!$B$6:$B$305,0),MATCH(TEXT($C181,"0"),銘柄管理!$B$6:$B$305,0))-1,0,1,25))*100,"")</f>
      </c>
      <c r="BE181">
        <f>IFERROR(($H181-$I181)/$F181*100,"")</f>
      </c>
      <c r="BF181">
        <f>IFERROR(-(($BA181-AVERAGE($BA$3:$BA$206))/STDEV($BA$3:$BA$206))-(($BE181-AVERAGE($BE$3:$BE$206))/STDEV($BE$3:$BE$206))-(($BB181-AVERAGE($BB$3:$BB$206))/STDEV($BB$3:$BB$206))-(($Z181-AVERAGE($Z$3:$Z$206))/STDEV($Z$3:$Z$206))-(($BC181-AVERAGE($BC$3:$BC$206))/STDEV($BC$3:$BC$206)),"")</f>
      </c>
      <c r="BG181">
        <f>IF(OR($C181="",$C181="TOPX",$BA181="",$BF181=""),0,IF(AND($BK$10=1,$BA181&lt;=$BK$2,$BB181&lt;=$BK$3,$BC181&lt;=$BK$4,$Z181&lt;=$BK$5,$Z181&gt;=$BK$6,$BD181&gt;=$BK$7,$BE181&lt;=$BK$8),1,0))</f>
      </c>
      <c r="BH181">
        <f>IF($C181="","",IF($BG181=1,"○ゲート通過",IF($BK$10&lt;&gt;1,"― この方向は停止中",IF($BA181&gt;$BK$2,"×値動きが荒い",IF($BB181&gt;$BK$3,"×レンジが広い",IF($BC181&gt;$BK$4,"×窓を開けて上昇",IF($Z181&gt;$BK$5,"×前日に急騰",IF($Z181&lt;$BK$6,"×前日に急落",IF($BD181&lt;$BK$7,"×高値から離れすぎ",IF($BE181&gt;$BK$8,"×当日の値幅が大きい","×")))))))))</f>
      </c>
    </row>
    <row r="182" spans="1:60"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IF(AND(E182&lt;&gt;"",K182&lt;&gt;"",K182&lt;&gt;0),(E182-K182)/K182*100,"")</f>
        <v>-2.6045996120809085</v>
      </c>
      <c r="M182" s="333">
        <f>IF(C182&lt;&gt;"",IFERROR(AVERAGE(出来高!E87:I87),""),"")</f>
        <v>6446200</v>
      </c>
      <c r="N182" s="333">
        <f>IF(C182&lt;&gt;"",IFERROR(AVERAGE(出来高!E87:AC87),""),"")</f>
        <v>5011324</v>
      </c>
      <c r="O182" s="335">
        <f>IF(AND(J182&lt;&gt;"",M182&lt;&gt;"",M182&lt;&gt;0),J182/M182,"")</f>
        <v>0.75365331513139522</v>
      </c>
      <c r="P182" s="212" t="str">
        <f>IF(O182="","",IF(O182&gt;=2,"急増↑↑",IF(O182&gt;=1.5,"増加↑",IF(O182&gt;=1,"普通→","減少↓"))))</f>
        <v>減少↓</v>
      </c>
      <c r="Q182" s="212" t="str">
        <f>IF(E182="","",IF(AND(E182&lt;G182,O182&gt;=1.5),"売り▼",IF(E182&gt;G182,"様子見▲","中立→")))</f>
        <v>様子見▲</v>
      </c>
      <c r="R182" s="333">
        <f>IF(E182&lt;&gt;"",ROUND(E182*0.92,0),"")</f>
        <v>6468</v>
      </c>
      <c r="S182" s="333">
        <f>IF(E182&lt;&gt;"",ROUND(E182*1.04,0),"")</f>
        <v>7311</v>
      </c>
      <c r="T182" s="325">
        <f>IF(C182="","",IFERROR(IF(W182&gt;=70,3,IF(W182&gt;=60,2,IF(W182&gt;=50,1,0)))+IF(X182&lt;0,2,0)+IF(AD182="下降トレンド▼",3,IF(AD182="もみ合い→",1,0))+IF(V182="年初来安値圏●",3,IF(V182="安値圏",2,0))+IF(Q182="売り▼",2,0)+IF(P182="急増↑↑",2,IF(P182="増加↑",1,0))+IF(Z182&lt;0,1,0)+IF(L182&lt;=-30,2,IF(L182&lt;=-15,1,0))+IF(AE182="25日戻り売り★",2,IF(AE182="5日戻り売り○",1,0))+N(AL182)+N(AP182)+N(AU182),0))</f>
        <v>1</v>
      </c>
      <c r="U182" s="212" t="str">
        <f>IF(T182="","",IF(AND(T182&gt;=3,O182&gt;=1.5),"有効",IF(T182&gt;=3,"要確認","除外")))</f>
        <v>除外</v>
      </c>
      <c r="V182" s="212" t="str">
        <f>IF(AND(I182&lt;&gt;"",K182&lt;&gt;""),IF(I182&lt;=K182*0.6,"年初来安値圏●",IF(I182&lt;=K182*0.75,"安値圏","通常")),"")</f>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IF(AF182="","",AF182&amp;" | "&amp;AD182&amp;IF(AE182&lt;&gt;"なし"," "&amp;AE182,"")&amp;IF(X182&lt;0," MACD-"," MACD+")&amp;" RSI:"&amp;TEXT(W182,"0.0")&amp;IF(W182&gt;=70," [過熱]",IF(W182&lt;=30," [売られ過ぎ]",""))&amp;" 前日比:"&amp;TEXT(Z182,"+0.0;-0.0;0.0")&amp;"%"&amp;IF(V182="年初来安値圏●"," [年初来安値圏]",IF(V182="安値圏"," [安値圏]",""))&amp;IF(OR(AO182="通常",AO182="-"),""," ["&amp;AO182&amp;"]")&amp;IF(OR(AT182="通常",AT182="-"),"","前日["&amp;AT182&amp;"]")&amp;" ["&amp;T182&amp;"点]")</f>
        <v>△過熱・様子見 | パーフェクト▲ MACD+ RSI:70.3 [過熱] 前日比:+3.0% [1点]</v>
      </c>
      <c r="Z182" s="338">
        <f>IF(AND(E182&lt;&gt;"",G182&lt;&gt;"",G182&lt;&gt;0),(E182-G182)/G182*100,"")</f>
        <v>3.0036630036630036</v>
      </c>
      <c r="AA182" s="212" t="str">
        <f>IF(OR(C182="",E182="",E182=0),"",IF(E182&gt;G182,"上昇▲",IF(E182&lt;G182,"下落▼","横ばい→")))</f>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IF(OR(C182="",AB182="",AC182="",AB182=0,AC182=0),"",IF(AND(E182&gt;AB182,AB182&gt;AC182),"パーフェクト▲",IF(E182&gt;AC182,"上昇トレンド▲",IF(AND(E182&lt;AB182,AB182&lt;AC182),"下降トレンド▼","もみ合い→"))))</f>
        <v>パーフェクト▲</v>
      </c>
      <c r="AE182" s="212" t="str">
        <f>IF(OR(C182="",AB182="",AC182=""),"",IF(AND(ABS(E182-AC182)/AC182&lt;=0.02,E182&lt;AC182),"25日戻り売り★",IF(AND(ABS(E182-AB182)/AB182&lt;=0.01,E182&lt;AB182),"5日戻り売り○","なし")))</f>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IF(AND(T182&gt;=7,C182&lt;&gt;""),T182,0)</f>
        <v>0</v>
      </c>
      <c r="AH182">
        <f>IF(AG182&gt;0,AG182*10000-ROW(A182),0)</f>
        <v>0</v>
      </c>
      <c r="AI182" s="373">
        <f t="array" ref="AI182">IF(C182="","",IFERROR((INDEX(終値!$E:$E,MATCH(TEXT(C182,"0"),終値!$A:$A,0))-INDEX(終値!$E:$CZ,MATCH(TEXT(C182,"0"),終値!$A:$A,0),$AN$2))/INDEX(終値!$E:$CZ,MATCH(TEXT(C182,"0"),終値!$A:$A,0),$AN$2)*100,""))</f>
        <v>17.656903765690377</v>
      </c>
      <c r="AJ182" s="373">
        <f t="array" ref="AJ182">IFERROR((終値!$E$5-INDEX(終値!$E$5:$IT$5,1,$AN$2))/INDEX(終値!$E$5:$IT$5,1,$AN$2)*100,"")</f>
        <v>1.0179378228534113</v>
      </c>
      <c r="AK182" s="374">
        <f>IF(OR(AI182="",AJ182=""),"",AI182-AJ182)</f>
        <v>16.638965942836965</v>
      </c>
      <c r="AL182" s="372">
        <f>IF(AK182="","",IF(AK182&lt;-5,3,IF(AK182&lt;0,1,IF(AK182&lt;3,-1,-2))))</f>
        <v>-2</v>
      </c>
      <c r="AO182" s="376" t="str">
        <f>IF(OR($C182="",$E182="",$F182="",$H182="",$I182="",$H182-$I182&lt;=0),"-",IF(AND($H182-MAX($F182,$E182)&gt;=ABS($E182-$F182)*2,MIN($F182,$E182)-$I182&lt;=ABS($E182-$F182)*0.5,ABS($E182-$F182)&gt;0),"上ヒゲ陰線▼",IF(AND($E182&lt;$F182,ABS($E182-$F182)&gt;=($H182-$I182)*0.7),"大陰線▼",IF(AND(MIN($F182,$E182)-$I182&gt;=($H182-$I182)*0.5,$H182-MAX($F182,$E182)&lt;=($H182-$I182)*0.2),"長い下ヒゲ(反発警戒)","通常"))))</f>
        <v>通常</v>
      </c>
      <c r="AP182" s="377">
        <f>IF($AO182="上ヒゲ陰線▼",2,IF($AO182="大陰線▼",2,IF($AO182="長い下ヒゲ(反発警戒)",-2,0)))</f>
        <v>0</v>
      </c>
      <c r="AQ182">
        <f>IF(C182&lt;&gt;"",始値!F87,"")</f>
        <v>6758</v>
      </c>
      <c r="AR182">
        <f>IF(C182&lt;&gt;"",高値!F87,"")</f>
        <v>6853</v>
      </c>
      <c r="AS182">
        <f>IF(C182&lt;&gt;"",安値!F87,"")</f>
        <v>6671</v>
      </c>
      <c r="AT182" t="str">
        <f>IF(OR(C182="",AQ182="",AR182="",AS182="",AR182-AS182&lt;=0),"-",IF(AND(AR182-MAX(G182,AQ182)&gt;=ABS(G182-AQ182)*2,MIN(G182,AQ182)-AS182&lt;=ABS(G182-AQ182)*0.5,ABS(G182-AQ182)&gt;0),"上ヒゲ陰線▼",IF(AND(G182&lt;AQ182,ABS(G182-AQ182)&gt;=(AR182-AS182)*0.7),"大陰線▼",IF(AND(MIN(G182,AQ182)-AS182&gt;=(AR182-AS182)*0.5,AR182-MAX(G182,AQ182)&lt;=(AR182-AS182)*0.2),"長い下ヒゲ(反発)","通常"))))</f>
        <v>通常</v>
      </c>
      <c r="AU182">
        <f>IF(AT182="上ヒゲ陰線▼",2,IF(AT182="大陰線▼",2,IF(AT182="長い下ヒゲ(反発)",-2,0)))</f>
        <v>0</v>
      </c>
      <c r="BA182">
        <f>IFERROR((SUM(OFFSET(高値!$E$6,IFERROR(MATCH($C182,銘柄管理!$B$6:$B$305,0),MATCH(TEXT($C182,"0"),銘柄管理!$B$6:$B$305,0))-1,0,1,14))-SUM(OFFSET(安値!$E$6,IFERROR(MATCH($C182,銘柄管理!$B$6:$B$305,0),MATCH(TEXT($C182,"0"),銘柄管理!$B$6:$B$305,0))-1,0,1,14)))/SUM(OFFSET(終値!$E$6,IFERROR(MATCH($C182,銘柄管理!$B$6:$B$305,0),MATCH(TEXT($C182,"0"),銘柄管理!$B$6:$B$305,0))-1,0,1,14))*100,"")</f>
      </c>
      <c r="BB182">
        <f>IFERROR((MAX(OFFSET(高値!$E$6,IFERROR(MATCH($C182,銘柄管理!$B$6:$B$305,0),MATCH(TEXT($C182,"0"),銘柄管理!$B$6:$B$305,0))-1,0,1,25))-MIN(OFFSET(安値!$E$6,IFERROR(MATCH($C182,銘柄管理!$B$6:$B$305,0),MATCH(TEXT($C182,"0"),銘柄管理!$B$6:$B$305,0))-1,0,1,25)))/$E182*100,"")</f>
      </c>
      <c r="BC182">
        <f>IFERROR(($F182-$G182)/$G182*100,"")</f>
      </c>
      <c r="BD182">
        <f>IFERROR(($E182-MAX(OFFSET(高値!$E$6,IFERROR(MATCH($C182,銘柄管理!$B$6:$B$305,0),MATCH(TEXT($C182,"0"),銘柄管理!$B$6:$B$305,0))-1,0,1,25)))/MAX(OFFSET(高値!$E$6,IFERROR(MATCH($C182,銘柄管理!$B$6:$B$305,0),MATCH(TEXT($C182,"0"),銘柄管理!$B$6:$B$305,0))-1,0,1,25))*100,"")</f>
      </c>
      <c r="BE182">
        <f>IFERROR(($H182-$I182)/$F182*100,"")</f>
      </c>
      <c r="BF182">
        <f>IFERROR(-(($BA182-AVERAGE($BA$3:$BA$206))/STDEV($BA$3:$BA$206))-(($BE182-AVERAGE($BE$3:$BE$206))/STDEV($BE$3:$BE$206))-(($BB182-AVERAGE($BB$3:$BB$206))/STDEV($BB$3:$BB$206))-(($Z182-AVERAGE($Z$3:$Z$206))/STDEV($Z$3:$Z$206))-(($BC182-AVERAGE($BC$3:$BC$206))/STDEV($BC$3:$BC$206)),"")</f>
      </c>
      <c r="BG182">
        <f>IF(OR($C182="",$C182="TOPX",$BA182="",$BF182=""),0,IF(AND($BK$10=1,$BA182&lt;=$BK$2,$BB182&lt;=$BK$3,$BC182&lt;=$BK$4,$Z182&lt;=$BK$5,$Z182&gt;=$BK$6,$BD182&gt;=$BK$7,$BE182&lt;=$BK$8),1,0))</f>
      </c>
      <c r="BH182">
        <f>IF($C182="","",IF($BG182=1,"○ゲート通過",IF($BK$10&lt;&gt;1,"― この方向は停止中",IF($BA182&gt;$BK$2,"×値動きが荒い",IF($BB182&gt;$BK$3,"×レンジが広い",IF($BC182&gt;$BK$4,"×窓を開けて上昇",IF($Z182&gt;$BK$5,"×前日に急騰",IF($Z182&lt;$BK$6,"×前日に急落",IF($BD182&lt;$BK$7,"×高値から離れすぎ",IF($BE182&gt;$BK$8,"×当日の値幅が大きい","×")))))))))</f>
      </c>
    </row>
    <row r="183" spans="1:60"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IF(AND(E183&lt;&gt;"",K183&lt;&gt;"",K183&lt;&gt;0),(E183-K183)/K183*100,"")</f>
        <v>-12.591815320041972</v>
      </c>
      <c r="M183" s="326">
        <f>IF(C183&lt;&gt;"",IFERROR(AVERAGE(出来高!E94:I94),""),"")</f>
        <v>10733700</v>
      </c>
      <c r="N183" s="326">
        <f>IF(C183&lt;&gt;"",IFERROR(AVERAGE(出来高!E94:AC94),""),"")</f>
        <v>5775072</v>
      </c>
      <c r="O183" s="328">
        <f>IF(AND(J183&lt;&gt;"",M183&lt;&gt;"",M183&lt;&gt;0),J183/M183,"")</f>
        <v>0.60344522392092192</v>
      </c>
      <c r="P183" s="325" t="str">
        <f>IF(O183="","",IF(O183&gt;=2,"急増↑↑",IF(O183&gt;=1.5,"増加↑",IF(O183&gt;=1,"普通→","減少↓"))))</f>
        <v>減少↓</v>
      </c>
      <c r="Q183" s="325" t="str">
        <f>IF(E183="","",IF(AND(E183&lt;G183,O183&gt;=1.5),"売り▼",IF(E183&gt;G183,"様子見▲","中立→")))</f>
        <v>様子見▲</v>
      </c>
      <c r="R183" s="326">
        <f>IF(E183&lt;&gt;"",ROUND(E183*0.92,0),"")</f>
        <v>1533</v>
      </c>
      <c r="S183" s="326">
        <f>IF(E183&lt;&gt;"",ROUND(E183*1.04,0),"")</f>
        <v>1733</v>
      </c>
      <c r="T183" s="325">
        <f>IF(C183="","",IFERROR(IF(W183&gt;=70,3,IF(W183&gt;=60,2,IF(W183&gt;=50,1,0)))+IF(X183&lt;0,2,0)+IF(AD183="下降トレンド▼",3,IF(AD183="もみ合い→",1,0))+IF(V183="年初来安値圏●",3,IF(V183="安値圏",2,0))+IF(Q183="売り▼",2,0)+IF(P183="急増↑↑",2,IF(P183="増加↑",1,0))+IF(Z183&lt;0,1,0)+IF(L183&lt;=-30,2,IF(L183&lt;=-15,1,0))+IF(AE183="25日戻り売り★",2,IF(AE183="5日戻り売り○",1,0))+N(AL183)+N(AP183)+N(AU183),0))</f>
        <v>6</v>
      </c>
      <c r="U183" s="325" t="str">
        <f>IF(T183="","",IF(AND(T183&gt;=3,O183&gt;=1.5),"有効",IF(T183&gt;=3,"要確認","除外")))</f>
        <v>要確認</v>
      </c>
      <c r="V183" s="325" t="str">
        <f>IF(AND(I183&lt;&gt;"",K183&lt;&gt;""),IF(I183&lt;=K183*0.6,"年初来安値圏●",IF(I183&lt;=K183*0.75,"安値圏","通常")),"")</f>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IF(AF183="","",AF183&amp;" | "&amp;AD183&amp;IF(AE183&lt;&gt;"なし"," "&amp;AE183,"")&amp;IF(X183&lt;0," MACD-"," MACD+")&amp;" RSI:"&amp;TEXT(W183,"0.0")&amp;IF(W183&gt;=70," [過熱]",IF(W183&lt;=30," [売られ過ぎ]",""))&amp;" 前日比:"&amp;TEXT(Z183,"+0.0;-0.0;0.0")&amp;"%"&amp;IF(V183="年初来安値圏●"," [年初来安値圏]",IF(V183="安値圏"," [安値圏]",""))&amp;IF(OR(AO183="通常",AO183="-"),""," ["&amp;AO183&amp;"]")&amp;IF(OR(AT183="通常",AT183="-"),"","前日["&amp;AT183&amp;"]")&amp;" ["&amp;T183&amp;"点]")</f>
        <v>相場上昇・見送り | もみ合い→ MACD- RSI:26.1 [売られ過ぎ] 前日比:+1.9% [6点]</v>
      </c>
      <c r="Z183" s="331">
        <f>IF(AND(E183&lt;&gt;"",G183&lt;&gt;"",G183&lt;&gt;0),(E183-G183)/G183*100,"")</f>
        <v>1.8960244648318043</v>
      </c>
      <c r="AA183" s="325" t="str">
        <f>IF(OR(C183="",E183="",E183=0),"",IF(E183&gt;G183,"上昇▲",IF(E183&lt;G183,"下落▼","横ばい→")))</f>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IF(OR(C183="",AB183="",AC183="",AB183=0,AC183=0),"",IF(AND(E183&gt;AB183,AB183&gt;AC183),"パーフェクト▲",IF(E183&gt;AC183,"上昇トレンド▲",IF(AND(E183&lt;AB183,AB183&lt;AC183),"下降トレンド▼","もみ合い→"))))</f>
        <v>もみ合い→</v>
      </c>
      <c r="AE183" s="325" t="str">
        <f>IF(OR(C183="",AB183="",AC183=""),"",IF(AND(ABS(E183-AC183)/AC183&lt;=0.02,E183&lt;AC183),"25日戻り売り★",IF(AND(ABS(E183-AB183)/AB183&lt;=0.01,E183&lt;AB183),"5日戻り売り○","なし")))</f>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IF(AND(T183&gt;=7,C183&lt;&gt;""),T183,0)</f>
        <v>0</v>
      </c>
      <c r="AH183">
        <f>IF(AG183&gt;0,AG183*10000-ROW(A183),0)</f>
        <v>0</v>
      </c>
      <c r="AI183" s="373">
        <f t="array" ref="AI183">IF(C183="","",IFERROR((INDEX(終値!$E:$E,MATCH(TEXT(C183,"0"),終値!$A:$A,0))-INDEX(終値!$E:$CZ,MATCH(TEXT(C183,"0"),終値!$A:$A,0),$AN$2))/INDEX(終値!$E:$CZ,MATCH(TEXT(C183,"0"),終値!$A:$A,0),$AN$2)*100,""))</f>
        <v>-6.5357643758765782</v>
      </c>
      <c r="AJ183" s="373">
        <f t="array" ref="AJ183">IFERROR((終値!$E$5-INDEX(終値!$E$5:$IT$5,1,$AN$2))/INDEX(終値!$E$5:$IT$5,1,$AN$2)*100,"")</f>
        <v>1.0179378228534113</v>
      </c>
      <c r="AK183" s="374">
        <f>IF(OR(AI183="",AJ183=""),"",AI183-AJ183)</f>
        <v>-7.5537021987299893</v>
      </c>
      <c r="AL183" s="372">
        <f>IF(AK183="","",IF(AK183&lt;-5,3,IF(AK183&lt;0,1,IF(AK183&lt;3,-1,-2))))</f>
        <v>3</v>
      </c>
      <c r="AO183" s="376" t="str">
        <f>IF(OR($C183="",$E183="",$F183="",$H183="",$I183="",$H183-$I183&lt;=0),"-",IF(AND($H183-MAX($F183,$E183)&gt;=ABS($E183-$F183)*2,MIN($F183,$E183)-$I183&lt;=ABS($E183-$F183)*0.5,ABS($E183-$F183)&gt;0),"上ヒゲ陰線▼",IF(AND($E183&lt;$F183,ABS($E183-$F183)&gt;=($H183-$I183)*0.7),"大陰線▼",IF(AND(MIN($F183,$E183)-$I183&gt;=($H183-$I183)*0.5,$H183-MAX($F183,$E183)&lt;=($H183-$I183)*0.2),"長い下ヒゲ(反発警戒)","通常"))))</f>
        <v>通常</v>
      </c>
      <c r="AP183" s="377">
        <f>IF($AO183="上ヒゲ陰線▼",2,IF($AO183="大陰線▼",2,IF($AO183="長い下ヒゲ(反発警戒)",-2,0)))</f>
        <v>0</v>
      </c>
      <c r="AQ183">
        <f>IF(C183&lt;&gt;"",始値!F94,"")</f>
        <v>1610</v>
      </c>
      <c r="AR183">
        <f>IF(C183&lt;&gt;"",高値!F94,"")</f>
        <v>1639.5</v>
      </c>
      <c r="AS183">
        <f>IF(C183&lt;&gt;"",安値!F94,"")</f>
        <v>1605</v>
      </c>
      <c r="AT183" t="str">
        <f>IF(OR(C183="",AQ183="",AR183="",AS183="",AR183-AS183&lt;=0),"-",IF(AND(AR183-MAX(G183,AQ183)&gt;=ABS(G183-AQ183)*2,MIN(G183,AQ183)-AS183&lt;=ABS(G183-AQ183)*0.5,ABS(G183-AQ183)&gt;0),"上ヒゲ陰線▼",IF(AND(G183&lt;AQ183,ABS(G183-AQ183)&gt;=(AR183-AS183)*0.7),"大陰線▼",IF(AND(MIN(G183,AQ183)-AS183&gt;=(AR183-AS183)*0.5,AR183-MAX(G183,AQ183)&lt;=(AR183-AS183)*0.2),"長い下ヒゲ(反発)","通常"))))</f>
        <v>通常</v>
      </c>
      <c r="AU183">
        <f>IF(AT183="上ヒゲ陰線▼",2,IF(AT183="大陰線▼",2,IF(AT183="長い下ヒゲ(反発)",-2,0)))</f>
        <v>0</v>
      </c>
      <c r="BA183">
        <f>IFERROR((SUM(OFFSET(高値!$E$6,IFERROR(MATCH($C183,銘柄管理!$B$6:$B$305,0),MATCH(TEXT($C183,"0"),銘柄管理!$B$6:$B$305,0))-1,0,1,14))-SUM(OFFSET(安値!$E$6,IFERROR(MATCH($C183,銘柄管理!$B$6:$B$305,0),MATCH(TEXT($C183,"0"),銘柄管理!$B$6:$B$305,0))-1,0,1,14)))/SUM(OFFSET(終値!$E$6,IFERROR(MATCH($C183,銘柄管理!$B$6:$B$305,0),MATCH(TEXT($C183,"0"),銘柄管理!$B$6:$B$305,0))-1,0,1,14))*100,"")</f>
      </c>
      <c r="BB183">
        <f>IFERROR((MAX(OFFSET(高値!$E$6,IFERROR(MATCH($C183,銘柄管理!$B$6:$B$305,0),MATCH(TEXT($C183,"0"),銘柄管理!$B$6:$B$305,0))-1,0,1,25))-MIN(OFFSET(安値!$E$6,IFERROR(MATCH($C183,銘柄管理!$B$6:$B$305,0),MATCH(TEXT($C183,"0"),銘柄管理!$B$6:$B$305,0))-1,0,1,25)))/$E183*100,"")</f>
      </c>
      <c r="BC183">
        <f>IFERROR(($F183-$G183)/$G183*100,"")</f>
      </c>
      <c r="BD183">
        <f>IFERROR(($E183-MAX(OFFSET(高値!$E$6,IFERROR(MATCH($C183,銘柄管理!$B$6:$B$305,0),MATCH(TEXT($C183,"0"),銘柄管理!$B$6:$B$305,0))-1,0,1,25)))/MAX(OFFSET(高値!$E$6,IFERROR(MATCH($C183,銘柄管理!$B$6:$B$305,0),MATCH(TEXT($C183,"0"),銘柄管理!$B$6:$B$305,0))-1,0,1,25))*100,"")</f>
      </c>
      <c r="BE183">
        <f>IFERROR(($H183-$I183)/$F183*100,"")</f>
      </c>
      <c r="BF183">
        <f>IFERROR(-(($BA183-AVERAGE($BA$3:$BA$206))/STDEV($BA$3:$BA$206))-(($BE183-AVERAGE($BE$3:$BE$206))/STDEV($BE$3:$BE$206))-(($BB183-AVERAGE($BB$3:$BB$206))/STDEV($BB$3:$BB$206))-(($Z183-AVERAGE($Z$3:$Z$206))/STDEV($Z$3:$Z$206))-(($BC183-AVERAGE($BC$3:$BC$206))/STDEV($BC$3:$BC$206)),"")</f>
      </c>
      <c r="BG183">
        <f>IF(OR($C183="",$C183="TOPX",$BA183="",$BF183=""),0,IF(AND($BK$10=1,$BA183&lt;=$BK$2,$BB183&lt;=$BK$3,$BC183&lt;=$BK$4,$Z183&lt;=$BK$5,$Z183&gt;=$BK$6,$BD183&gt;=$BK$7,$BE183&lt;=$BK$8),1,0))</f>
      </c>
      <c r="BH183">
        <f>IF($C183="","",IF($BG183=1,"○ゲート通過",IF($BK$10&lt;&gt;1,"― この方向は停止中",IF($BA183&gt;$BK$2,"×値動きが荒い",IF($BB183&gt;$BK$3,"×レンジが広い",IF($BC183&gt;$BK$4,"×窓を開けて上昇",IF($Z183&gt;$BK$5,"×前日に急騰",IF($Z183&lt;$BK$6,"×前日に急落",IF($BD183&lt;$BK$7,"×高値から離れすぎ",IF($BE183&gt;$BK$8,"×当日の値幅が大きい","×")))))))))</f>
      </c>
    </row>
    <row r="184" spans="1:60"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IF(AND(E184&lt;&gt;"",K184&lt;&gt;"",K184&lt;&gt;0),(E184-K184)/K184*100,"")</f>
        <v>-10.52832347892428</v>
      </c>
      <c r="M184" s="333">
        <f>IF(C184&lt;&gt;"",IFERROR(AVERAGE(出来高!E99:I99),""),"")</f>
        <v>1949820</v>
      </c>
      <c r="N184" s="333">
        <f>IF(C184&lt;&gt;"",IFERROR(AVERAGE(出来高!E99:AC99),""),"")</f>
        <v>1798724</v>
      </c>
      <c r="O184" s="335">
        <f>IF(AND(J184&lt;&gt;"",M184&lt;&gt;"",M184&lt;&gt;0),J184/M184,"")</f>
        <v>0.72909294191258678</v>
      </c>
      <c r="P184" s="212" t="str">
        <f>IF(O184="","",IF(O184&gt;=2,"急増↑↑",IF(O184&gt;=1.5,"増加↑",IF(O184&gt;=1,"普通→","減少↓"))))</f>
        <v>減少↓</v>
      </c>
      <c r="Q184" s="212" t="str">
        <f>IF(E184="","",IF(AND(E184&lt;G184,O184&gt;=1.5),"売り▼",IF(E184&gt;G184,"様子見▲","中立→")))</f>
        <v>様子見▲</v>
      </c>
      <c r="R184" s="333">
        <f>IF(E184&lt;&gt;"",ROUND(E184*0.92,0),"")</f>
        <v>4316</v>
      </c>
      <c r="S184" s="333">
        <f>IF(E184&lt;&gt;"",ROUND(E184*1.04,0),"")</f>
        <v>4879</v>
      </c>
      <c r="T184" s="325">
        <f>IF(C184="","",IFERROR(IF(W184&gt;=70,3,IF(W184&gt;=60,2,IF(W184&gt;=50,1,0)))+IF(X184&lt;0,2,0)+IF(AD184="下降トレンド▼",3,IF(AD184="もみ合い→",1,0))+IF(V184="年初来安値圏●",3,IF(V184="安値圏",2,0))+IF(Q184="売り▼",2,0)+IF(P184="急増↑↑",2,IF(P184="増加↑",1,0))+IF(Z184&lt;0,1,0)+IF(L184&lt;=-30,2,IF(L184&lt;=-15,1,0))+IF(AE184="25日戻り売り★",2,IF(AE184="5日戻り売り○",1,0))+N(AL184)+N(AP184)+N(AU184),0))</f>
        <v>-1</v>
      </c>
      <c r="U184" s="212" t="str">
        <f>IF(T184="","",IF(AND(T184&gt;=3,O184&gt;=1.5),"有効",IF(T184&gt;=3,"要確認","除外")))</f>
        <v>除外</v>
      </c>
      <c r="V184" s="212" t="str">
        <f>IF(AND(I184&lt;&gt;"",K184&lt;&gt;""),IF(I184&lt;=K184*0.6,"年初来安値圏●",IF(I184&lt;=K184*0.75,"安値圏","通常")),"")</f>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IF(AF184="","",AF184&amp;" | "&amp;AD184&amp;IF(AE184&lt;&gt;"なし"," "&amp;AE184,"")&amp;IF(X184&lt;0," MACD-"," MACD+")&amp;" RSI:"&amp;TEXT(W184,"0.0")&amp;IF(W184&gt;=70," [過熱]",IF(W184&lt;=30," [売られ過ぎ]",""))&amp;" 前日比:"&amp;TEXT(Z184,"+0.0;-0.0;0.0")&amp;"%"&amp;IF(V184="年初来安値圏●"," [年初来安値圏]",IF(V184="安値圏"," [安値圏]",""))&amp;IF(OR(AO184="通常",AO184="-"),""," ["&amp;AO184&amp;"]")&amp;IF(OR(AT184="通常",AT184="-"),"","前日["&amp;AT184&amp;"]")&amp;" ["&amp;T184&amp;"点]")</f>
        <v>相場上昇・見送り | パーフェクト▲ MACD+ RSI:59.1 前日比:+3.8% [-1点]</v>
      </c>
      <c r="Z184" s="338">
        <f>IF(AND(E184&lt;&gt;"",G184&lt;&gt;"",G184&lt;&gt;0),(E184-G184)/G184*100,"")</f>
        <v>3.7831858407079642</v>
      </c>
      <c r="AA184" s="212" t="str">
        <f>IF(OR(C184="",E184="",E184=0),"",IF(E184&gt;G184,"上昇▲",IF(E184&lt;G184,"下落▼","横ばい→")))</f>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IF(OR(C184="",AB184="",AC184="",AB184=0,AC184=0),"",IF(AND(E184&gt;AB184,AB184&gt;AC184),"パーフェクト▲",IF(E184&gt;AC184,"上昇トレンド▲",IF(AND(E184&lt;AB184,AB184&lt;AC184),"下降トレンド▼","もみ合い→"))))</f>
        <v>パーフェクト▲</v>
      </c>
      <c r="AE184" s="212" t="str">
        <f>IF(OR(C184="",AB184="",AC184=""),"",IF(AND(ABS(E184-AC184)/AC184&lt;=0.02,E184&lt;AC184),"25日戻り売り★",IF(AND(ABS(E184-AB184)/AB184&lt;=0.01,E184&lt;AB184),"5日戻り売り○","なし")))</f>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IF(AND(T184&gt;=7,C184&lt;&gt;""),T184,0)</f>
        <v>0</v>
      </c>
      <c r="AH184">
        <f>IF(AG184&gt;0,AG184*10000-ROW(A184),0)</f>
        <v>0</v>
      </c>
      <c r="AI184" s="373">
        <f t="array" ref="AI184">IF(C184="","",IFERROR((INDEX(終値!$E:$E,MATCH(TEXT(C184,"0"),終値!$A:$A,0))-INDEX(終値!$E:$CZ,MATCH(TEXT(C184,"0"),終値!$A:$A,0),$AN$2))/INDEX(終値!$E:$CZ,MATCH(TEXT(C184,"0"),終値!$A:$A,0),$AN$2)*100,""))</f>
        <v>14.164030177658798</v>
      </c>
      <c r="AJ184" s="373">
        <f t="array" ref="AJ184">IFERROR((終値!$E$5-INDEX(終値!$E$5:$IT$5,1,$AN$2))/INDEX(終値!$E$5:$IT$5,1,$AN$2)*100,"")</f>
        <v>1.0179378228534113</v>
      </c>
      <c r="AK184" s="374">
        <f>IF(OR(AI184="",AJ184=""),"",AI184-AJ184)</f>
        <v>13.146092354805386</v>
      </c>
      <c r="AL184" s="372">
        <f>IF(AK184="","",IF(AK184&lt;-5,3,IF(AK184&lt;0,1,IF(AK184&lt;3,-1,-2))))</f>
        <v>-2</v>
      </c>
      <c r="AO184" s="376" t="str">
        <f>IF(OR($C184="",$E184="",$F184="",$H184="",$I184="",$H184-$I184&lt;=0),"-",IF(AND($H184-MAX($F184,$E184)&gt;=ABS($E184-$F184)*2,MIN($F184,$E184)-$I184&lt;=ABS($E184-$F184)*0.5,ABS($E184-$F184)&gt;0),"上ヒゲ陰線▼",IF(AND($E184&lt;$F184,ABS($E184-$F184)&gt;=($H184-$I184)*0.7),"大陰線▼",IF(AND(MIN($F184,$E184)-$I184&gt;=($H184-$I184)*0.5,$H184-MAX($F184,$E184)&lt;=($H184-$I184)*0.2),"長い下ヒゲ(反発警戒)","通常"))))</f>
        <v>通常</v>
      </c>
      <c r="AP184" s="377">
        <f>IF($AO184="上ヒゲ陰線▼",2,IF($AO184="大陰線▼",2,IF($AO184="長い下ヒゲ(反発警戒)",-2,0)))</f>
        <v>0</v>
      </c>
      <c r="AQ184">
        <f>IF(C184&lt;&gt;"",始値!F99,"")</f>
        <v>4590</v>
      </c>
      <c r="AR184">
        <f>IF(C184&lt;&gt;"",高値!F99,"")</f>
        <v>4607</v>
      </c>
      <c r="AS184">
        <f>IF(C184&lt;&gt;"",安値!F99,"")</f>
        <v>4476</v>
      </c>
      <c r="AT184" t="str">
        <f>IF(OR(C184="",AQ184="",AR184="",AS184="",AR184-AS184&lt;=0),"-",IF(AND(AR184-MAX(G184,AQ184)&gt;=ABS(G184-AQ184)*2,MIN(G184,AQ184)-AS184&lt;=ABS(G184-AQ184)*0.5,ABS(G184-AQ184)&gt;0),"上ヒゲ陰線▼",IF(AND(G184&lt;AQ184,ABS(G184-AQ184)&gt;=(AR184-AS184)*0.7),"大陰線▼",IF(AND(MIN(G184,AQ184)-AS184&gt;=(AR184-AS184)*0.5,AR184-MAX(G184,AQ184)&lt;=(AR184-AS184)*0.2),"長い下ヒゲ(反発)","通常"))))</f>
        <v>通常</v>
      </c>
      <c r="AU184">
        <f>IF(AT184="上ヒゲ陰線▼",2,IF(AT184="大陰線▼",2,IF(AT184="長い下ヒゲ(反発)",-2,0)))</f>
        <v>0</v>
      </c>
      <c r="BA184">
        <f>IFERROR((SUM(OFFSET(高値!$E$6,IFERROR(MATCH($C184,銘柄管理!$B$6:$B$305,0),MATCH(TEXT($C184,"0"),銘柄管理!$B$6:$B$305,0))-1,0,1,14))-SUM(OFFSET(安値!$E$6,IFERROR(MATCH($C184,銘柄管理!$B$6:$B$305,0),MATCH(TEXT($C184,"0"),銘柄管理!$B$6:$B$305,0))-1,0,1,14)))/SUM(OFFSET(終値!$E$6,IFERROR(MATCH($C184,銘柄管理!$B$6:$B$305,0),MATCH(TEXT($C184,"0"),銘柄管理!$B$6:$B$305,0))-1,0,1,14))*100,"")</f>
      </c>
      <c r="BB184">
        <f>IFERROR((MAX(OFFSET(高値!$E$6,IFERROR(MATCH($C184,銘柄管理!$B$6:$B$305,0),MATCH(TEXT($C184,"0"),銘柄管理!$B$6:$B$305,0))-1,0,1,25))-MIN(OFFSET(安値!$E$6,IFERROR(MATCH($C184,銘柄管理!$B$6:$B$305,0),MATCH(TEXT($C184,"0"),銘柄管理!$B$6:$B$305,0))-1,0,1,25)))/$E184*100,"")</f>
      </c>
      <c r="BC184">
        <f>IFERROR(($F184-$G184)/$G184*100,"")</f>
      </c>
      <c r="BD184">
        <f>IFERROR(($E184-MAX(OFFSET(高値!$E$6,IFERROR(MATCH($C184,銘柄管理!$B$6:$B$305,0),MATCH(TEXT($C184,"0"),銘柄管理!$B$6:$B$305,0))-1,0,1,25)))/MAX(OFFSET(高値!$E$6,IFERROR(MATCH($C184,銘柄管理!$B$6:$B$305,0),MATCH(TEXT($C184,"0"),銘柄管理!$B$6:$B$305,0))-1,0,1,25))*100,"")</f>
      </c>
      <c r="BE184">
        <f>IFERROR(($H184-$I184)/$F184*100,"")</f>
      </c>
      <c r="BF184">
        <f>IFERROR(-(($BA184-AVERAGE($BA$3:$BA$206))/STDEV($BA$3:$BA$206))-(($BE184-AVERAGE($BE$3:$BE$206))/STDEV($BE$3:$BE$206))-(($BB184-AVERAGE($BB$3:$BB$206))/STDEV($BB$3:$BB$206))-(($Z184-AVERAGE($Z$3:$Z$206))/STDEV($Z$3:$Z$206))-(($BC184-AVERAGE($BC$3:$BC$206))/STDEV($BC$3:$BC$206)),"")</f>
      </c>
      <c r="BG184">
        <f>IF(OR($C184="",$C184="TOPX",$BA184="",$BF184=""),0,IF(AND($BK$10=1,$BA184&lt;=$BK$2,$BB184&lt;=$BK$3,$BC184&lt;=$BK$4,$Z184&lt;=$BK$5,$Z184&gt;=$BK$6,$BD184&gt;=$BK$7,$BE184&lt;=$BK$8),1,0))</f>
      </c>
      <c r="BH184">
        <f>IF($C184="","",IF($BG184=1,"○ゲート通過",IF($BK$10&lt;&gt;1,"― この方向は停止中",IF($BA184&gt;$BK$2,"×値動きが荒い",IF($BB184&gt;$BK$3,"×レンジが広い",IF($BC184&gt;$BK$4,"×窓を開けて上昇",IF($Z184&gt;$BK$5,"×前日に急騰",IF($Z184&lt;$BK$6,"×前日に急落",IF($BD184&lt;$BK$7,"×高値から離れすぎ",IF($BE184&gt;$BK$8,"×当日の値幅が大きい","×")))))))))</f>
      </c>
    </row>
    <row r="185" spans="1:60"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IF(AND(E185&lt;&gt;"",K185&lt;&gt;"",K185&lt;&gt;0),(E185-K185)/K185*100,"")</f>
        <v>-5.3816466552315614</v>
      </c>
      <c r="M185" s="326">
        <f>IF(C185&lt;&gt;"",IFERROR(AVERAGE(出来高!E108:I108),""),"")</f>
        <v>224060</v>
      </c>
      <c r="N185" s="326">
        <f>IF(C185&lt;&gt;"",IFERROR(AVERAGE(出来高!E108:AC108),""),"")</f>
        <v>182876</v>
      </c>
      <c r="O185" s="328">
        <f>IF(AND(J185&lt;&gt;"",M185&lt;&gt;"",M185&lt;&gt;0),J185/M185,"")</f>
        <v>0.58421851289833082</v>
      </c>
      <c r="P185" s="325" t="str">
        <f>IF(O185="","",IF(O185&gt;=2,"急増↑↑",IF(O185&gt;=1.5,"増加↑",IF(O185&gt;=1,"普通→","減少↓"))))</f>
        <v>減少↓</v>
      </c>
      <c r="Q185" s="325" t="str">
        <f>IF(E185="","",IF(AND(E185&lt;G185,O185&gt;=1.5),"売り▼",IF(E185&gt;G185,"様子見▲","中立→")))</f>
        <v>様子見▲</v>
      </c>
      <c r="R185" s="326">
        <f>IF(E185&lt;&gt;"",ROUND(E185*0.92,0),"")</f>
        <v>4060</v>
      </c>
      <c r="S185" s="326">
        <f>IF(E185&lt;&gt;"",ROUND(E185*1.04,0),"")</f>
        <v>4590</v>
      </c>
      <c r="T185" s="325">
        <f>IF(C185="","",IFERROR(IF(W185&gt;=70,3,IF(W185&gt;=60,2,IF(W185&gt;=50,1,0)))+IF(X185&lt;0,2,0)+IF(AD185="下降トレンド▼",3,IF(AD185="もみ合い→",1,0))+IF(V185="年初来安値圏●",3,IF(V185="安値圏",2,0))+IF(Q185="売り▼",2,0)+IF(P185="急増↑↑",2,IF(P185="増加↑",1,0))+IF(Z185&lt;0,1,0)+IF(L185&lt;=-30,2,IF(L185&lt;=-15,1,0))+IF(AE185="25日戻り売り★",2,IF(AE185="5日戻り売り○",1,0))+N(AL185)+N(AP185)+N(AU185),0))</f>
        <v>2</v>
      </c>
      <c r="U185" s="325" t="str">
        <f>IF(T185="","",IF(AND(T185&gt;=3,O185&gt;=1.5),"有効",IF(T185&gt;=3,"要確認","除外")))</f>
        <v>除外</v>
      </c>
      <c r="V185" s="325" t="str">
        <f>IF(AND(I185&lt;&gt;"",K185&lt;&gt;""),IF(I185&lt;=K185*0.6,"年初来安値圏●",IF(I185&lt;=K185*0.75,"安値圏","通常")),"")</f>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IF(AF185="","",AF185&amp;" | "&amp;AD185&amp;IF(AE185&lt;&gt;"なし"," "&amp;AE185,"")&amp;IF(X185&lt;0," MACD-"," MACD+")&amp;" RSI:"&amp;TEXT(W185,"0.0")&amp;IF(W185&gt;=70," [過熱]",IF(W185&lt;=30," [売られ過ぎ]",""))&amp;" 前日比:"&amp;TEXT(Z185,"+0.0;-0.0;0.0")&amp;"%"&amp;IF(V185="年初来安値圏●"," [年初来安値圏]",IF(V185="安値圏"," [安値圏]",""))&amp;IF(OR(AO185="通常",AO185="-"),""," ["&amp;AO185&amp;"]")&amp;IF(OR(AT185="通常",AT185="-"),"","前日["&amp;AT185&amp;"]")&amp;" ["&amp;T185&amp;"点]")</f>
        <v>○逆張り売り | もみ合い→ 25日戻り売り★ MACD+ RSI:50.3 前日比:+1.1% [2点]</v>
      </c>
      <c r="Z185" s="331">
        <f>IF(AND(E185&lt;&gt;"",G185&lt;&gt;"",G185&lt;&gt;0),(E185-G185)/G185*100,"")</f>
        <v>1.0996563573883162</v>
      </c>
      <c r="AA185" s="325" t="str">
        <f>IF(OR(C185="",E185="",E185=0),"",IF(E185&gt;G185,"上昇▲",IF(E185&lt;G185,"下落▼","横ばい→")))</f>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IF(OR(C185="",AB185="",AC185="",AB185=0,AC185=0),"",IF(AND(E185&gt;AB185,AB185&gt;AC185),"パーフェクト▲",IF(E185&gt;AC185,"上昇トレンド▲",IF(AND(E185&lt;AB185,AB185&lt;AC185),"下降トレンド▼","もみ合い→"))))</f>
        <v>もみ合い→</v>
      </c>
      <c r="AE185" s="325" t="str">
        <f>IF(OR(C185="",AB185="",AC185=""),"",IF(AND(ABS(E185-AC185)/AC185&lt;=0.02,E185&lt;AC185),"25日戻り売り★",IF(AND(ABS(E185-AB185)/AB185&lt;=0.01,E185&lt;AB185),"5日戻り売り○","なし")))</f>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IF(AND(T185&gt;=7,C185&lt;&gt;""),T185,0)</f>
        <v>0</v>
      </c>
      <c r="AH185">
        <f>IF(AG185&gt;0,AG185*10000-ROW(A185),0)</f>
        <v>0</v>
      </c>
      <c r="AI185" s="373">
        <f t="array" ref="AI185">IF(C185="","",IFERROR((INDEX(終値!$E:$E,MATCH(TEXT(C185,"0"),終値!$A:$A,0))-INDEX(終値!$E:$CZ,MATCH(TEXT(C185,"0"),終値!$A:$A,0),$AN$2))/INDEX(終値!$E:$CZ,MATCH(TEXT(C185,"0"),終値!$A:$A,0),$AN$2)*100,""))</f>
        <v>6.0052846504924329</v>
      </c>
      <c r="AJ185" s="373">
        <f t="array" ref="AJ185">IFERROR((終値!$E$5-INDEX(終値!$E$5:$IT$5,1,$AN$2))/INDEX(終値!$E$5:$IT$5,1,$AN$2)*100,"")</f>
        <v>1.0179378228534113</v>
      </c>
      <c r="AK185" s="374">
        <f>IF(OR(AI185="",AJ185=""),"",AI185-AJ185)</f>
        <v>4.9873468276390218</v>
      </c>
      <c r="AL185" s="372">
        <f>IF(AK185="","",IF(AK185&lt;-5,3,IF(AK185&lt;0,1,IF(AK185&lt;3,-1,-2))))</f>
        <v>-2</v>
      </c>
      <c r="AO185" s="376" t="str">
        <f>IF(OR($C185="",$E185="",$F185="",$H185="",$I185="",$H185-$I185&lt;=0),"-",IF(AND($H185-MAX($F185,$E185)&gt;=ABS($E185-$F185)*2,MIN($F185,$E185)-$I185&lt;=ABS($E185-$F185)*0.5,ABS($E185-$F185)&gt;0),"上ヒゲ陰線▼",IF(AND($E185&lt;$F185,ABS($E185-$F185)&gt;=($H185-$I185)*0.7),"大陰線▼",IF(AND(MIN($F185,$E185)-$I185&gt;=($H185-$I185)*0.5,$H185-MAX($F185,$E185)&lt;=($H185-$I185)*0.2),"長い下ヒゲ(反発警戒)","通常"))))</f>
        <v>通常</v>
      </c>
      <c r="AP185" s="377">
        <f>IF($AO185="上ヒゲ陰線▼",2,IF($AO185="大陰線▼",2,IF($AO185="長い下ヒゲ(反発警戒)",-2,0)))</f>
        <v>0</v>
      </c>
      <c r="AQ185">
        <f>IF(C185&lt;&gt;"",始値!F108,"")</f>
        <v>4389</v>
      </c>
      <c r="AR185">
        <f>IF(C185&lt;&gt;"",高値!F108,"")</f>
        <v>4409</v>
      </c>
      <c r="AS185">
        <f>IF(C185&lt;&gt;"",安値!F108,"")</f>
        <v>4350</v>
      </c>
      <c r="AT185" t="str">
        <f>IF(OR(C185="",AQ185="",AR185="",AS185="",AR185-AS185&lt;=0),"-",IF(AND(AR185-MAX(G185,AQ185)&gt;=ABS(G185-AQ185)*2,MIN(G185,AQ185)-AS185&lt;=ABS(G185-AQ185)*0.5,ABS(G185-AQ185)&gt;0),"上ヒゲ陰線▼",IF(AND(G185&lt;AQ185,ABS(G185-AQ185)&gt;=(AR185-AS185)*0.7),"大陰線▼",IF(AND(MIN(G185,AQ185)-AS185&gt;=(AR185-AS185)*0.5,AR185-MAX(G185,AQ185)&lt;=(AR185-AS185)*0.2),"長い下ヒゲ(反発)","通常"))))</f>
        <v>通常</v>
      </c>
      <c r="AU185">
        <f>IF(AT185="上ヒゲ陰線▼",2,IF(AT185="大陰線▼",2,IF(AT185="長い下ヒゲ(反発)",-2,0)))</f>
        <v>0</v>
      </c>
      <c r="BA185">
        <f>IFERROR((SUM(OFFSET(高値!$E$6,IFERROR(MATCH($C185,銘柄管理!$B$6:$B$305,0),MATCH(TEXT($C185,"0"),銘柄管理!$B$6:$B$305,0))-1,0,1,14))-SUM(OFFSET(安値!$E$6,IFERROR(MATCH($C185,銘柄管理!$B$6:$B$305,0),MATCH(TEXT($C185,"0"),銘柄管理!$B$6:$B$305,0))-1,0,1,14)))/SUM(OFFSET(終値!$E$6,IFERROR(MATCH($C185,銘柄管理!$B$6:$B$305,0),MATCH(TEXT($C185,"0"),銘柄管理!$B$6:$B$305,0))-1,0,1,14))*100,"")</f>
      </c>
      <c r="BB185">
        <f>IFERROR((MAX(OFFSET(高値!$E$6,IFERROR(MATCH($C185,銘柄管理!$B$6:$B$305,0),MATCH(TEXT($C185,"0"),銘柄管理!$B$6:$B$305,0))-1,0,1,25))-MIN(OFFSET(安値!$E$6,IFERROR(MATCH($C185,銘柄管理!$B$6:$B$305,0),MATCH(TEXT($C185,"0"),銘柄管理!$B$6:$B$305,0))-1,0,1,25)))/$E185*100,"")</f>
      </c>
      <c r="BC185">
        <f>IFERROR(($F185-$G185)/$G185*100,"")</f>
      </c>
      <c r="BD185">
        <f>IFERROR(($E185-MAX(OFFSET(高値!$E$6,IFERROR(MATCH($C185,銘柄管理!$B$6:$B$305,0),MATCH(TEXT($C185,"0"),銘柄管理!$B$6:$B$305,0))-1,0,1,25)))/MAX(OFFSET(高値!$E$6,IFERROR(MATCH($C185,銘柄管理!$B$6:$B$305,0),MATCH(TEXT($C185,"0"),銘柄管理!$B$6:$B$305,0))-1,0,1,25))*100,"")</f>
      </c>
      <c r="BE185">
        <f>IFERROR(($H185-$I185)/$F185*100,"")</f>
      </c>
      <c r="BF185">
        <f>IFERROR(-(($BA185-AVERAGE($BA$3:$BA$206))/STDEV($BA$3:$BA$206))-(($BE185-AVERAGE($BE$3:$BE$206))/STDEV($BE$3:$BE$206))-(($BB185-AVERAGE($BB$3:$BB$206))/STDEV($BB$3:$BB$206))-(($Z185-AVERAGE($Z$3:$Z$206))/STDEV($Z$3:$Z$206))-(($BC185-AVERAGE($BC$3:$BC$206))/STDEV($BC$3:$BC$206)),"")</f>
      </c>
      <c r="BG185">
        <f>IF(OR($C185="",$C185="TOPX",$BA185="",$BF185=""),0,IF(AND($BK$10=1,$BA185&lt;=$BK$2,$BB185&lt;=$BK$3,$BC185&lt;=$BK$4,$Z185&lt;=$BK$5,$Z185&gt;=$BK$6,$BD185&gt;=$BK$7,$BE185&lt;=$BK$8),1,0))</f>
      </c>
      <c r="BH185">
        <f>IF($C185="","",IF($BG185=1,"○ゲート通過",IF($BK$10&lt;&gt;1,"― この方向は停止中",IF($BA185&gt;$BK$2,"×値動きが荒い",IF($BB185&gt;$BK$3,"×レンジが広い",IF($BC185&gt;$BK$4,"×窓を開けて上昇",IF($Z185&gt;$BK$5,"×前日に急騰",IF($Z185&lt;$BK$6,"×前日に急落",IF($BD185&lt;$BK$7,"×高値から離れすぎ",IF($BE185&gt;$BK$8,"×当日の値幅が大きい","×")))))))))</f>
      </c>
    </row>
    <row r="186" spans="1:60"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IF(AND(E186&lt;&gt;"",K186&lt;&gt;"",K186&lt;&gt;0),(E186-K186)/K186*100,"")</f>
        <v>-76.963470319634709</v>
      </c>
      <c r="M186" s="333">
        <f>IF(C186&lt;&gt;"",IFERROR(AVERAGE(出来高!E128:I128),""),"")</f>
        <v>1592960</v>
      </c>
      <c r="N186" s="333">
        <f>IF(C186&lt;&gt;"",IFERROR(AVERAGE(出来高!E128:AC128),""),"")</f>
        <v>1896187.5</v>
      </c>
      <c r="O186" s="335">
        <f>IF(AND(J186&lt;&gt;"",M186&lt;&gt;"",M186&lt;&gt;0),J186/M186,"")</f>
        <v>0.82362394535958217</v>
      </c>
      <c r="P186" s="212" t="str">
        <f>IF(O186="","",IF(O186&gt;=2,"急増↑↑",IF(O186&gt;=1.5,"増加↑",IF(O186&gt;=1,"普通→","減少↓"))))</f>
        <v>減少↓</v>
      </c>
      <c r="Q186" s="212" t="str">
        <f>IF(E186="","",IF(AND(E186&lt;G186,O186&gt;=1.5),"売り▼",IF(E186&gt;G186,"様子見▲","中立→")))</f>
        <v>中立→</v>
      </c>
      <c r="R186" s="333">
        <f>IF(E186&lt;&gt;"",ROUND(E186*0.92,0),"")</f>
        <v>1857</v>
      </c>
      <c r="S186" s="333">
        <f>IF(E186&lt;&gt;"",ROUND(E186*1.04,0),"")</f>
        <v>2099</v>
      </c>
      <c r="T186" s="325">
        <f>IF(C186="","",IFERROR(IF(W186&gt;=70,3,IF(W186&gt;=60,2,IF(W186&gt;=50,1,0)))+IF(X186&lt;0,2,0)+IF(AD186="下降トレンド▼",3,IF(AD186="もみ合い→",1,0))+IF(V186="年初来安値圏●",3,IF(V186="安値圏",2,0))+IF(Q186="売り▼",2,0)+IF(P186="急増↑↑",2,IF(P186="増加↑",1,0))+IF(Z186&lt;0,1,0)+IF(L186&lt;=-30,2,IF(L186&lt;=-15,1,0))+IF(AE186="25日戻り売り★",2,IF(AE186="5日戻り売り○",1,0))+N(AL186)+N(AP186)+N(AU186),0))</f>
        <v>5</v>
      </c>
      <c r="U186" s="212" t="str">
        <f>IF(T186="","",IF(AND(T186&gt;=3,O186&gt;=1.5),"有効",IF(T186&gt;=3,"要確認","除外")))</f>
        <v>要確認</v>
      </c>
      <c r="V186" s="212" t="str">
        <f>IF(AND(I186&lt;&gt;"",K186&lt;&gt;""),IF(I186&lt;=K186*0.6,"年初来安値圏●",IF(I186&lt;=K186*0.75,"安値圏","通常")),"")</f>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IF(AF186="","",AF186&amp;" | "&amp;AD186&amp;IF(AE186&lt;&gt;"なし"," "&amp;AE186,"")&amp;IF(X186&lt;0," MACD-"," MACD+")&amp;" RSI:"&amp;TEXT(W186,"0.0")&amp;IF(W186&gt;=70," [過熱]",IF(W186&lt;=30," [売られ過ぎ]",""))&amp;" 前日比:"&amp;TEXT(Z186,"+0.0;-0.0;0.0")&amp;"%"&amp;IF(V186="年初来安値圏●"," [年初来安値圏]",IF(V186="安値圏"," [安値圏]",""))&amp;IF(OR(AO186="通常",AO186="-"),""," ["&amp;AO186&amp;"]")&amp;IF(OR(AT186="通常",AT186="-"),"","前日["&amp;AT186&amp;"]")&amp;" ["&amp;T186&amp;"点]")</f>
        <v>相場上昇・見送り | パーフェクト▲ MACD+ RSI:51.5 前日比:-4.1% [年初来安値圏] [5点]</v>
      </c>
      <c r="Z186" s="338">
        <f>IF(AND(E186&lt;&gt;"",G186&lt;&gt;"",G186&lt;&gt;0),(E186-G186)/G186*100,"")</f>
        <v>-4.1330166270783852</v>
      </c>
      <c r="AA186" s="212" t="str">
        <f>IF(OR(C186="",E186="",E186=0),"",IF(E186&gt;G186,"上昇▲",IF(E186&lt;G186,"下落▼","横ばい→")))</f>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IF(OR(C186="",AB186="",AC186="",AB186=0,AC186=0),"",IF(AND(E186&gt;AB186,AB186&gt;AC186),"パーフェクト▲",IF(E186&gt;AC186,"上昇トレンド▲",IF(AND(E186&lt;AB186,AB186&lt;AC186),"下降トレンド▼","もみ合い→"))))</f>
        <v>パーフェクト▲</v>
      </c>
      <c r="AE186" s="212" t="str">
        <f>IF(OR(C186="",AB186="",AC186=""),"",IF(AND(ABS(E186-AC186)/AC186&lt;=0.02,E186&lt;AC186),"25日戻り売り★",IF(AND(ABS(E186-AB186)/AB186&lt;=0.01,E186&lt;AB186),"5日戻り売り○","なし")))</f>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IF(AND(T186&gt;=7,C186&lt;&gt;""),T186,0)</f>
        <v>0</v>
      </c>
      <c r="AH186">
        <f>IF(AG186&gt;0,AG186*10000-ROW(A186),0)</f>
        <v>0</v>
      </c>
      <c r="AI186" s="373">
        <f t="array" ref="AI186">IF(C186="","",IFERROR((INDEX(終値!$E:$E,MATCH(TEXT(C186,"0"),終値!$A:$A,0))-INDEX(終値!$E:$CZ,MATCH(TEXT(C186,"0"),終値!$A:$A,0),$AN$2))/INDEX(終値!$E:$CZ,MATCH(TEXT(C186,"0"),終値!$A:$A,0),$AN$2)*100,""))</f>
        <v>4.1279669762641902</v>
      </c>
      <c r="AJ186" s="373">
        <f t="array" ref="AJ186">IFERROR((終値!$E$5-INDEX(終値!$E$5:$IT$5,1,$AN$2))/INDEX(終値!$E$5:$IT$5,1,$AN$2)*100,"")</f>
        <v>1.0179378228534113</v>
      </c>
      <c r="AK186" s="374">
        <f>IF(OR(AI186="",AJ186=""),"",AI186-AJ186)</f>
        <v>3.1100291534107791</v>
      </c>
      <c r="AL186" s="372">
        <f>IF(AK186="","",IF(AK186&lt;-5,3,IF(AK186&lt;0,1,IF(AK186&lt;3,-1,-2))))</f>
        <v>-2</v>
      </c>
      <c r="AO186" s="376" t="str">
        <f>IF(OR($C186="",$E186="",$F186="",$H186="",$I186="",$H186-$I186&lt;=0),"-",IF(AND($H186-MAX($F186,$E186)&gt;=ABS($E186-$F186)*2,MIN($F186,$E186)-$I186&lt;=ABS($E186-$F186)*0.5,ABS($E186-$F186)&gt;0),"上ヒゲ陰線▼",IF(AND($E186&lt;$F186,ABS($E186-$F186)&gt;=($H186-$I186)*0.7),"大陰線▼",IF(AND(MIN($F186,$E186)-$I186&gt;=($H186-$I186)*0.5,$H186-MAX($F186,$E186)&lt;=($H186-$I186)*0.2),"長い下ヒゲ(反発警戒)","通常"))))</f>
        <v>通常</v>
      </c>
      <c r="AP186" s="377">
        <f>IF($AO186="上ヒゲ陰線▼",2,IF($AO186="大陰線▼",2,IF($AO186="長い下ヒゲ(反発警戒)",-2,0)))</f>
        <v>0</v>
      </c>
      <c r="AQ186">
        <f>IF(C186&lt;&gt;"",始値!F128,"")</f>
        <v>2025</v>
      </c>
      <c r="AR186">
        <f>IF(C186&lt;&gt;"",高値!F128,"")</f>
        <v>2128</v>
      </c>
      <c r="AS186">
        <f>IF(C186&lt;&gt;"",安値!F128,"")</f>
        <v>2011</v>
      </c>
      <c r="AT186" t="str">
        <f>IF(OR(C186="",AQ186="",AR186="",AS186="",AR186-AS186&lt;=0),"-",IF(AND(AR186-MAX(G186,AQ186)&gt;=ABS(G186-AQ186)*2,MIN(G186,AQ186)-AS186&lt;=ABS(G186-AQ186)*0.5,ABS(G186-AQ186)&gt;0),"上ヒゲ陰線▼",IF(AND(G186&lt;AQ186,ABS(G186-AQ186)&gt;=(AR186-AS186)*0.7),"大陰線▼",IF(AND(MIN(G186,AQ186)-AS186&gt;=(AR186-AS186)*0.5,AR186-MAX(G186,AQ186)&lt;=(AR186-AS186)*0.2),"長い下ヒゲ(反発)","通常"))))</f>
        <v>通常</v>
      </c>
      <c r="AU186">
        <f>IF(AT186="上ヒゲ陰線▼",2,IF(AT186="大陰線▼",2,IF(AT186="長い下ヒゲ(反発)",-2,0)))</f>
        <v>0</v>
      </c>
      <c r="BA186">
        <f>IFERROR((SUM(OFFSET(高値!$E$6,IFERROR(MATCH($C186,銘柄管理!$B$6:$B$305,0),MATCH(TEXT($C186,"0"),銘柄管理!$B$6:$B$305,0))-1,0,1,14))-SUM(OFFSET(安値!$E$6,IFERROR(MATCH($C186,銘柄管理!$B$6:$B$305,0),MATCH(TEXT($C186,"0"),銘柄管理!$B$6:$B$305,0))-1,0,1,14)))/SUM(OFFSET(終値!$E$6,IFERROR(MATCH($C186,銘柄管理!$B$6:$B$305,0),MATCH(TEXT($C186,"0"),銘柄管理!$B$6:$B$305,0))-1,0,1,14))*100,"")</f>
      </c>
      <c r="BB186">
        <f>IFERROR((MAX(OFFSET(高値!$E$6,IFERROR(MATCH($C186,銘柄管理!$B$6:$B$305,0),MATCH(TEXT($C186,"0"),銘柄管理!$B$6:$B$305,0))-1,0,1,25))-MIN(OFFSET(安値!$E$6,IFERROR(MATCH($C186,銘柄管理!$B$6:$B$305,0),MATCH(TEXT($C186,"0"),銘柄管理!$B$6:$B$305,0))-1,0,1,25)))/$E186*100,"")</f>
      </c>
      <c r="BC186">
        <f>IFERROR(($F186-$G186)/$G186*100,"")</f>
      </c>
      <c r="BD186">
        <f>IFERROR(($E186-MAX(OFFSET(高値!$E$6,IFERROR(MATCH($C186,銘柄管理!$B$6:$B$305,0),MATCH(TEXT($C186,"0"),銘柄管理!$B$6:$B$305,0))-1,0,1,25)))/MAX(OFFSET(高値!$E$6,IFERROR(MATCH($C186,銘柄管理!$B$6:$B$305,0),MATCH(TEXT($C186,"0"),銘柄管理!$B$6:$B$305,0))-1,0,1,25))*100,"")</f>
      </c>
      <c r="BE186">
        <f>IFERROR(($H186-$I186)/$F186*100,"")</f>
      </c>
      <c r="BF186">
        <f>IFERROR(-(($BA186-AVERAGE($BA$3:$BA$206))/STDEV($BA$3:$BA$206))-(($BE186-AVERAGE($BE$3:$BE$206))/STDEV($BE$3:$BE$206))-(($BB186-AVERAGE($BB$3:$BB$206))/STDEV($BB$3:$BB$206))-(($Z186-AVERAGE($Z$3:$Z$206))/STDEV($Z$3:$Z$206))-(($BC186-AVERAGE($BC$3:$BC$206))/STDEV($BC$3:$BC$206)),"")</f>
      </c>
      <c r="BG186">
        <f>IF(OR($C186="",$C186="TOPX",$BA186="",$BF186=""),0,IF(AND($BK$10=1,$BA186&lt;=$BK$2,$BB186&lt;=$BK$3,$BC186&lt;=$BK$4,$Z186&lt;=$BK$5,$Z186&gt;=$BK$6,$BD186&gt;=$BK$7,$BE186&lt;=$BK$8),1,0))</f>
      </c>
      <c r="BH186">
        <f>IF($C186="","",IF($BG186=1,"○ゲート通過",IF($BK$10&lt;&gt;1,"― この方向は停止中",IF($BA186&gt;$BK$2,"×値動きが荒い",IF($BB186&gt;$BK$3,"×レンジが広い",IF($BC186&gt;$BK$4,"×窓を開けて上昇",IF($Z186&gt;$BK$5,"×前日に急騰",IF($Z186&lt;$BK$6,"×前日に急落",IF($BD186&lt;$BK$7,"×高値から離れすぎ",IF($BE186&gt;$BK$8,"×当日の値幅が大きい","×")))))))))</f>
      </c>
    </row>
    <row r="187" spans="1:60"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IF(AND(E187&lt;&gt;"",K187&lt;&gt;"",K187&lt;&gt;0),(E187-K187)/K187*100,"")</f>
        <v>-27.299465240641712</v>
      </c>
      <c r="M187" s="326">
        <f>IF(C187&lt;&gt;"",IFERROR(AVERAGE(出来高!E131:I131),""),"")</f>
        <v>832400</v>
      </c>
      <c r="N187" s="326">
        <f>IF(C187&lt;&gt;"",IFERROR(AVERAGE(出来高!E131:AC131),""),"")</f>
        <v>860668</v>
      </c>
      <c r="O187" s="328">
        <f>IF(AND(J187&lt;&gt;"",M187&lt;&gt;"",M187&lt;&gt;0),J187/M187,"")</f>
        <v>1.3565593464680441</v>
      </c>
      <c r="P187" s="325" t="str">
        <f>IF(O187="","",IF(O187&gt;=2,"急増↑↑",IF(O187&gt;=1.5,"増加↑",IF(O187&gt;=1,"普通→","減少↓"))))</f>
        <v>普通→</v>
      </c>
      <c r="Q187" s="325" t="str">
        <f>IF(E187="","",IF(AND(E187&lt;G187,O187&gt;=1.5),"売り▼",IF(E187&gt;G187,"様子見▲","中立→")))</f>
        <v>様子見▲</v>
      </c>
      <c r="R187" s="326">
        <f>IF(E187&lt;&gt;"",ROUND(E187*0.92,0),"")</f>
        <v>2501</v>
      </c>
      <c r="S187" s="326">
        <f>IF(E187&lt;&gt;"",ROUND(E187*1.04,0),"")</f>
        <v>2828</v>
      </c>
      <c r="T187" s="325">
        <f>IF(C187="","",IFERROR(IF(W187&gt;=70,3,IF(W187&gt;=60,2,IF(W187&gt;=50,1,0)))+IF(X187&lt;0,2,0)+IF(AD187="下降トレンド▼",3,IF(AD187="もみ合い→",1,0))+IF(V187="年初来安値圏●",3,IF(V187="安値圏",2,0))+IF(Q187="売り▼",2,0)+IF(P187="急増↑↑",2,IF(P187="増加↑",1,0))+IF(Z187&lt;0,1,0)+IF(L187&lt;=-30,2,IF(L187&lt;=-15,1,0))+IF(AE187="25日戻り売り★",2,IF(AE187="5日戻り売り○",1,0))+N(AL187)+N(AP187)+N(AU187),0))</f>
        <v>7</v>
      </c>
      <c r="U187" s="325" t="str">
        <f>IF(T187="","",IF(AND(T187&gt;=3,O187&gt;=1.5),"有効",IF(T187&gt;=3,"要確認","除外")))</f>
        <v>要確認</v>
      </c>
      <c r="V187" s="325" t="str">
        <f>IF(AND(I187&lt;&gt;"",K187&lt;&gt;""),IF(I187&lt;=K187*0.6,"年初来安値圏●",IF(I187&lt;=K187*0.75,"安値圏","通常")),"")</f>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IF(AF187="","",AF187&amp;" | "&amp;AD187&amp;IF(AE187&lt;&gt;"なし"," "&amp;AE187,"")&amp;IF(X187&lt;0," MACD-"," MACD+")&amp;" RSI:"&amp;TEXT(W187,"0.0")&amp;IF(W187&gt;=70," [過熱]",IF(W187&lt;=30," [売られ過ぎ]",""))&amp;" 前日比:"&amp;TEXT(Z187,"+0.0;-0.0;0.0")&amp;"%"&amp;IF(V187="年初来安値圏●"," [年初来安値圏]",IF(V187="安値圏"," [安値圏]",""))&amp;IF(OR(AO187="通常",AO187="-"),""," ["&amp;AO187&amp;"]")&amp;IF(OR(AT187="通常",AT187="-"),"","前日["&amp;AT187&amp;"]")&amp;" ["&amp;T187&amp;"点]")</f>
        <v>相場上昇・見送り | パーフェクト▲ MACD- RSI:51.6 前日比:+3.3% [安値圏] [7点]</v>
      </c>
      <c r="Z187" s="331">
        <f>IF(AND(E187&lt;&gt;"",G187&lt;&gt;"",G187&lt;&gt;0),(E187-G187)/G187*100,"")</f>
        <v>3.2662362324344856</v>
      </c>
      <c r="AA187" s="325" t="str">
        <f>IF(OR(C187="",E187="",E187=0),"",IF(E187&gt;G187,"上昇▲",IF(E187&lt;G187,"下落▼","横ばい→")))</f>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IF(OR(C187="",AB187="",AC187="",AB187=0,AC187=0),"",IF(AND(E187&gt;AB187,AB187&gt;AC187),"パーフェクト▲",IF(E187&gt;AC187,"上昇トレンド▲",IF(AND(E187&lt;AB187,AB187&lt;AC187),"下降トレンド▼","もみ合い→"))))</f>
        <v>パーフェクト▲</v>
      </c>
      <c r="AE187" s="325" t="str">
        <f>IF(OR(C187="",AB187="",AC187=""),"",IF(AND(ABS(E187-AC187)/AC187&lt;=0.02,E187&lt;AC187),"25日戻り売り★",IF(AND(ABS(E187-AB187)/AB187&lt;=0.01,E187&lt;AB187),"5日戻り売り○","なし")))</f>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IF(AND(T187&gt;=7,C187&lt;&gt;""),T187,0)</f>
        <v>7</v>
      </c>
      <c r="AH187">
        <f>IF(AG187&gt;0,AG187*10000-ROW(A187),0)</f>
        <v>69813</v>
      </c>
      <c r="AI187" s="373">
        <f t="array" ref="AI187">IF(C187="","",IFERROR((INDEX(終値!$E:$E,MATCH(TEXT(C187,"0"),終値!$A:$A,0))-INDEX(終値!$E:$CZ,MATCH(TEXT(C187,"0"),終値!$A:$A,0),$AN$2))/INDEX(終値!$E:$CZ,MATCH(TEXT(C187,"0"),終値!$A:$A,0),$AN$2)*100,""))</f>
        <v>-2.5797205302758868</v>
      </c>
      <c r="AJ187" s="373">
        <f t="array" ref="AJ187">IFERROR((終値!$E$5-INDEX(終値!$E$5:$IT$5,1,$AN$2))/INDEX(終値!$E$5:$IT$5,1,$AN$2)*100,"")</f>
        <v>1.0179378228534113</v>
      </c>
      <c r="AK187" s="374">
        <f>IF(OR(AI187="",AJ187=""),"",AI187-AJ187)</f>
        <v>-3.5976583531292983</v>
      </c>
      <c r="AL187" s="372">
        <f>IF(AK187="","",IF(AK187&lt;-5,3,IF(AK187&lt;0,1,IF(AK187&lt;3,-1,-2))))</f>
        <v>1</v>
      </c>
      <c r="AO187" s="376" t="str">
        <f>IF(OR($C187="",$E187="",$F187="",$H187="",$I187="",$H187-$I187&lt;=0),"-",IF(AND($H187-MAX($F187,$E187)&gt;=ABS($E187-$F187)*2,MIN($F187,$E187)-$I187&lt;=ABS($E187-$F187)*0.5,ABS($E187-$F187)&gt;0),"上ヒゲ陰線▼",IF(AND($E187&lt;$F187,ABS($E187-$F187)&gt;=($H187-$I187)*0.7),"大陰線▼",IF(AND(MIN($F187,$E187)-$I187&gt;=($H187-$I187)*0.5,$H187-MAX($F187,$E187)&lt;=($H187-$I187)*0.2),"長い下ヒゲ(反発警戒)","通常"))))</f>
        <v>通常</v>
      </c>
      <c r="AP187" s="377">
        <f>IF($AO187="上ヒゲ陰線▼",2,IF($AO187="大陰線▼",2,IF($AO187="長い下ヒゲ(反発警戒)",-2,0)))</f>
        <v>0</v>
      </c>
      <c r="AQ187">
        <f>IF(C187&lt;&gt;"",始値!F131,"")</f>
        <v>2532</v>
      </c>
      <c r="AR187">
        <f>IF(C187&lt;&gt;"",高値!F131,"")</f>
        <v>2665</v>
      </c>
      <c r="AS187">
        <f>IF(C187&lt;&gt;"",安値!F131,"")</f>
        <v>2526</v>
      </c>
      <c r="AT187" t="str">
        <f>IF(OR(C187="",AQ187="",AR187="",AS187="",AR187-AS187&lt;=0),"-",IF(AND(AR187-MAX(G187,AQ187)&gt;=ABS(G187-AQ187)*2,MIN(G187,AQ187)-AS187&lt;=ABS(G187-AQ187)*0.5,ABS(G187-AQ187)&gt;0),"上ヒゲ陰線▼",IF(AND(G187&lt;AQ187,ABS(G187-AQ187)&gt;=(AR187-AS187)*0.7),"大陰線▼",IF(AND(MIN(G187,AQ187)-AS187&gt;=(AR187-AS187)*0.5,AR187-MAX(G187,AQ187)&lt;=(AR187-AS187)*0.2),"長い下ヒゲ(反発)","通常"))))</f>
        <v>通常</v>
      </c>
      <c r="AU187">
        <f>IF(AT187="上ヒゲ陰線▼",2,IF(AT187="大陰線▼",2,IF(AT187="長い下ヒゲ(反発)",-2,0)))</f>
        <v>0</v>
      </c>
      <c r="BA187">
        <f>IFERROR((SUM(OFFSET(高値!$E$6,IFERROR(MATCH($C187,銘柄管理!$B$6:$B$305,0),MATCH(TEXT($C187,"0"),銘柄管理!$B$6:$B$305,0))-1,0,1,14))-SUM(OFFSET(安値!$E$6,IFERROR(MATCH($C187,銘柄管理!$B$6:$B$305,0),MATCH(TEXT($C187,"0"),銘柄管理!$B$6:$B$305,0))-1,0,1,14)))/SUM(OFFSET(終値!$E$6,IFERROR(MATCH($C187,銘柄管理!$B$6:$B$305,0),MATCH(TEXT($C187,"0"),銘柄管理!$B$6:$B$305,0))-1,0,1,14))*100,"")</f>
      </c>
      <c r="BB187">
        <f>IFERROR((MAX(OFFSET(高値!$E$6,IFERROR(MATCH($C187,銘柄管理!$B$6:$B$305,0),MATCH(TEXT($C187,"0"),銘柄管理!$B$6:$B$305,0))-1,0,1,25))-MIN(OFFSET(安値!$E$6,IFERROR(MATCH($C187,銘柄管理!$B$6:$B$305,0),MATCH(TEXT($C187,"0"),銘柄管理!$B$6:$B$305,0))-1,0,1,25)))/$E187*100,"")</f>
      </c>
      <c r="BC187">
        <f>IFERROR(($F187-$G187)/$G187*100,"")</f>
      </c>
      <c r="BD187">
        <f>IFERROR(($E187-MAX(OFFSET(高値!$E$6,IFERROR(MATCH($C187,銘柄管理!$B$6:$B$305,0),MATCH(TEXT($C187,"0"),銘柄管理!$B$6:$B$305,0))-1,0,1,25)))/MAX(OFFSET(高値!$E$6,IFERROR(MATCH($C187,銘柄管理!$B$6:$B$305,0),MATCH(TEXT($C187,"0"),銘柄管理!$B$6:$B$305,0))-1,0,1,25))*100,"")</f>
      </c>
      <c r="BE187">
        <f>IFERROR(($H187-$I187)/$F187*100,"")</f>
      </c>
      <c r="BF187">
        <f>IFERROR(-(($BA187-AVERAGE($BA$3:$BA$206))/STDEV($BA$3:$BA$206))-(($BE187-AVERAGE($BE$3:$BE$206))/STDEV($BE$3:$BE$206))-(($BB187-AVERAGE($BB$3:$BB$206))/STDEV($BB$3:$BB$206))-(($Z187-AVERAGE($Z$3:$Z$206))/STDEV($Z$3:$Z$206))-(($BC187-AVERAGE($BC$3:$BC$206))/STDEV($BC$3:$BC$206)),"")</f>
      </c>
      <c r="BG187">
        <f>IF(OR($C187="",$C187="TOPX",$BA187="",$BF187=""),0,IF(AND($BK$10=1,$BA187&lt;=$BK$2,$BB187&lt;=$BK$3,$BC187&lt;=$BK$4,$Z187&lt;=$BK$5,$Z187&gt;=$BK$6,$BD187&gt;=$BK$7,$BE187&lt;=$BK$8),1,0))</f>
      </c>
      <c r="BH187">
        <f>IF($C187="","",IF($BG187=1,"○ゲート通過",IF($BK$10&lt;&gt;1,"― この方向は停止中",IF($BA187&gt;$BK$2,"×値動きが荒い",IF($BB187&gt;$BK$3,"×レンジが広い",IF($BC187&gt;$BK$4,"×窓を開けて上昇",IF($Z187&gt;$BK$5,"×前日に急騰",IF($Z187&lt;$BK$6,"×前日に急落",IF($BD187&lt;$BK$7,"×高値から離れすぎ",IF($BE187&gt;$BK$8,"×当日の値幅が大きい","×")))))))))</f>
      </c>
    </row>
    <row r="188" spans="1:60"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IF(AND(E188&lt;&gt;"",K188&lt;&gt;"",K188&lt;&gt;0),(E188-K188)/K188*100,"")</f>
        <v>-66.196319018404907</v>
      </c>
      <c r="M188" s="333">
        <f>IF(C188&lt;&gt;"",IFERROR(AVERAGE(出来高!E139:I139),""),"")</f>
        <v>58120</v>
      </c>
      <c r="N188" s="333">
        <f>IF(C188&lt;&gt;"",IFERROR(AVERAGE(出来高!E139:AC139),""),"")</f>
        <v>67176</v>
      </c>
      <c r="O188" s="335">
        <f>IF(AND(J188&lt;&gt;"",M188&lt;&gt;"",M188&lt;&gt;0),J188/M188,"")</f>
        <v>0.35443909153475567</v>
      </c>
      <c r="P188" s="212" t="str">
        <f>IF(O188="","",IF(O188&gt;=2,"急増↑↑",IF(O188&gt;=1.5,"増加↑",IF(O188&gt;=1,"普通→","減少↓"))))</f>
        <v>減少↓</v>
      </c>
      <c r="Q188" s="212" t="str">
        <f>IF(E188="","",IF(AND(E188&lt;G188,O188&gt;=1.5),"売り▼",IF(E188&gt;G188,"様子見▲","中立→")))</f>
        <v>中立→</v>
      </c>
      <c r="R188" s="333">
        <f>IF(E188&lt;&gt;"",ROUND(E188*0.92,0),"")</f>
        <v>507</v>
      </c>
      <c r="S188" s="333">
        <f>IF(E188&lt;&gt;"",ROUND(E188*1.04,0),"")</f>
        <v>573</v>
      </c>
      <c r="T188" s="325">
        <f>IF(C188="","",IFERROR(IF(W188&gt;=70,3,IF(W188&gt;=60,2,IF(W188&gt;=50,1,0)))+IF(X188&lt;0,2,0)+IF(AD188="下降トレンド▼",3,IF(AD188="もみ合い→",1,0))+IF(V188="年初来安値圏●",3,IF(V188="安値圏",2,0))+IF(Q188="売り▼",2,0)+IF(P188="急増↑↑",2,IF(P188="増加↑",1,0))+IF(Z188&lt;0,1,0)+IF(L188&lt;=-30,2,IF(L188&lt;=-15,1,0))+IF(AE188="25日戻り売り★",2,IF(AE188="5日戻り売り○",1,0))+N(AL188)+N(AP188)+N(AU188),0))</f>
        <v>9</v>
      </c>
      <c r="U188" s="212" t="str">
        <f>IF(T188="","",IF(AND(T188&gt;=3,O188&gt;=1.5),"有効",IF(T188&gt;=3,"要確認","除外")))</f>
        <v>要確認</v>
      </c>
      <c r="V188" s="212" t="str">
        <f>IF(AND(I188&lt;&gt;"",K188&lt;&gt;""),IF(I188&lt;=K188*0.6,"年初来安値圏●",IF(I188&lt;=K188*0.75,"安値圏","通常")),"")</f>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IF(AF188="","",AF188&amp;" | "&amp;AD188&amp;IF(AE188&lt;&gt;"なし"," "&amp;AE188,"")&amp;IF(X188&lt;0," MACD-"," MACD+")&amp;" RSI:"&amp;TEXT(W188,"0.0")&amp;IF(W188&gt;=70," [過熱]",IF(W188&lt;=30," [売られ過ぎ]",""))&amp;" 前日比:"&amp;TEXT(Z188,"+0.0;-0.0;0.0")&amp;"%"&amp;IF(V188="年初来安値圏●"," [年初来安値圏]",IF(V188="安値圏"," [安値圏]",""))&amp;IF(OR(AO188="通常",AO188="-"),""," ["&amp;AO188&amp;"]")&amp;IF(OR(AT188="通常",AT188="-"),"","前日["&amp;AT188&amp;"]")&amp;" ["&amp;T188&amp;"点]")</f>
        <v>相場上昇・見送り | パーフェクト▲ MACD- RSI:47.6 前日比:-0.7% [年初来安値圏] [9点]</v>
      </c>
      <c r="Z188" s="338">
        <f>IF(AND(E188&lt;&gt;"",G188&lt;&gt;"",G188&lt;&gt;0),(E188-G188)/G188*100,"")</f>
        <v>-0.72072072072072069</v>
      </c>
      <c r="AA188" s="212" t="str">
        <f>IF(OR(C188="",E188="",E188=0),"",IF(E188&gt;G188,"上昇▲",IF(E188&lt;G188,"下落▼","横ばい→")))</f>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IF(OR(C188="",AB188="",AC188="",AB188=0,AC188=0),"",IF(AND(E188&gt;AB188,AB188&gt;AC188),"パーフェクト▲",IF(E188&gt;AC188,"上昇トレンド▲",IF(AND(E188&lt;AB188,AB188&lt;AC188),"下降トレンド▼","もみ合い→"))))</f>
        <v>パーフェクト▲</v>
      </c>
      <c r="AE188" s="212" t="str">
        <f>IF(OR(C188="",AB188="",AC188=""),"",IF(AND(ABS(E188-AC188)/AC188&lt;=0.02,E188&lt;AC188),"25日戻り売り★",IF(AND(ABS(E188-AB188)/AB188&lt;=0.01,E188&lt;AB188),"5日戻り売り○","なし")))</f>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IF(AND(T188&gt;=7,C188&lt;&gt;""),T188,0)</f>
        <v>9</v>
      </c>
      <c r="AH188">
        <f>IF(AG188&gt;0,AG188*10000-ROW(A188),0)</f>
        <v>89812</v>
      </c>
      <c r="AI188" s="373">
        <f t="array" ref="AI188">IF(C188="","",IFERROR((INDEX(終値!$E:$E,MATCH(TEXT(C188,"0"),終値!$A:$A,0))-INDEX(終値!$E:$CZ,MATCH(TEXT(C188,"0"),終値!$A:$A,0),$AN$2))/INDEX(終値!$E:$CZ,MATCH(TEXT(C188,"0"),終値!$A:$A,0),$AN$2)*100,""))</f>
        <v>-0.54151624548736454</v>
      </c>
      <c r="AJ188" s="373">
        <f t="array" ref="AJ188">IFERROR((終値!$E$5-INDEX(終値!$E$5:$IT$5,1,$AN$2))/INDEX(終値!$E$5:$IT$5,1,$AN$2)*100,"")</f>
        <v>1.0179378228534113</v>
      </c>
      <c r="AK188" s="374">
        <f>IF(OR(AI188="",AJ188=""),"",AI188-AJ188)</f>
        <v>-1.5594540683407758</v>
      </c>
      <c r="AL188" s="372">
        <f>IF(AK188="","",IF(AK188&lt;-5,3,IF(AK188&lt;0,1,IF(AK188&lt;3,-1,-2))))</f>
        <v>1</v>
      </c>
      <c r="AO188" s="376" t="str">
        <f>IF(OR($C188="",$E188="",$F188="",$H188="",$I188="",$H188-$I188&lt;=0),"-",IF(AND($H188-MAX($F188,$E188)&gt;=ABS($E188-$F188)*2,MIN($F188,$E188)-$I188&lt;=ABS($E188-$F188)*0.5,ABS($E188-$F188)&gt;0),"上ヒゲ陰線▼",IF(AND($E188&lt;$F188,ABS($E188-$F188)&gt;=($H188-$I188)*0.7),"大陰線▼",IF(AND(MIN($F188,$E188)-$I188&gt;=($H188-$I188)*0.5,$H188-MAX($F188,$E188)&lt;=($H188-$I188)*0.2),"長い下ヒゲ(反発警戒)","通常"))))</f>
        <v>通常</v>
      </c>
      <c r="AP188" s="377">
        <f>IF($AO188="上ヒゲ陰線▼",2,IF($AO188="大陰線▼",2,IF($AO188="長い下ヒゲ(反発警戒)",-2,0)))</f>
        <v>0</v>
      </c>
      <c r="AQ188">
        <f>IF(C188&lt;&gt;"",始値!F139,"")</f>
        <v>552</v>
      </c>
      <c r="AR188">
        <f>IF(C188&lt;&gt;"",高値!F139,"")</f>
        <v>572</v>
      </c>
      <c r="AS188">
        <f>IF(C188&lt;&gt;"",安値!F139,"")</f>
        <v>542</v>
      </c>
      <c r="AT188" t="str">
        <f>IF(OR(C188="",AQ188="",AR188="",AS188="",AR188-AS188&lt;=0),"-",IF(AND(AR188-MAX(G188,AQ188)&gt;=ABS(G188-AQ188)*2,MIN(G188,AQ188)-AS188&lt;=ABS(G188-AQ188)*0.5,ABS(G188-AQ188)&gt;0),"上ヒゲ陰線▼",IF(AND(G188&lt;AQ188,ABS(G188-AQ188)&gt;=(AR188-AS188)*0.7),"大陰線▼",IF(AND(MIN(G188,AQ188)-AS188&gt;=(AR188-AS188)*0.5,AR188-MAX(G188,AQ188)&lt;=(AR188-AS188)*0.2),"長い下ヒゲ(反発)","通常"))))</f>
        <v>通常</v>
      </c>
      <c r="AU188">
        <f>IF(AT188="上ヒゲ陰線▼",2,IF(AT188="大陰線▼",2,IF(AT188="長い下ヒゲ(反発)",-2,0)))</f>
        <v>0</v>
      </c>
      <c r="BA188">
        <f>IFERROR((SUM(OFFSET(高値!$E$6,IFERROR(MATCH($C188,銘柄管理!$B$6:$B$305,0),MATCH(TEXT($C188,"0"),銘柄管理!$B$6:$B$305,0))-1,0,1,14))-SUM(OFFSET(安値!$E$6,IFERROR(MATCH($C188,銘柄管理!$B$6:$B$305,0),MATCH(TEXT($C188,"0"),銘柄管理!$B$6:$B$305,0))-1,0,1,14)))/SUM(OFFSET(終値!$E$6,IFERROR(MATCH($C188,銘柄管理!$B$6:$B$305,0),MATCH(TEXT($C188,"0"),銘柄管理!$B$6:$B$305,0))-1,0,1,14))*100,"")</f>
      </c>
      <c r="BB188">
        <f>IFERROR((MAX(OFFSET(高値!$E$6,IFERROR(MATCH($C188,銘柄管理!$B$6:$B$305,0),MATCH(TEXT($C188,"0"),銘柄管理!$B$6:$B$305,0))-1,0,1,25))-MIN(OFFSET(安値!$E$6,IFERROR(MATCH($C188,銘柄管理!$B$6:$B$305,0),MATCH(TEXT($C188,"0"),銘柄管理!$B$6:$B$305,0))-1,0,1,25)))/$E188*100,"")</f>
      </c>
      <c r="BC188">
        <f>IFERROR(($F188-$G188)/$G188*100,"")</f>
      </c>
      <c r="BD188">
        <f>IFERROR(($E188-MAX(OFFSET(高値!$E$6,IFERROR(MATCH($C188,銘柄管理!$B$6:$B$305,0),MATCH(TEXT($C188,"0"),銘柄管理!$B$6:$B$305,0))-1,0,1,25)))/MAX(OFFSET(高値!$E$6,IFERROR(MATCH($C188,銘柄管理!$B$6:$B$305,0),MATCH(TEXT($C188,"0"),銘柄管理!$B$6:$B$305,0))-1,0,1,25))*100,"")</f>
      </c>
      <c r="BE188">
        <f>IFERROR(($H188-$I188)/$F188*100,"")</f>
      </c>
      <c r="BF188">
        <f>IFERROR(-(($BA188-AVERAGE($BA$3:$BA$206))/STDEV($BA$3:$BA$206))-(($BE188-AVERAGE($BE$3:$BE$206))/STDEV($BE$3:$BE$206))-(($BB188-AVERAGE($BB$3:$BB$206))/STDEV($BB$3:$BB$206))-(($Z188-AVERAGE($Z$3:$Z$206))/STDEV($Z$3:$Z$206))-(($BC188-AVERAGE($BC$3:$BC$206))/STDEV($BC$3:$BC$206)),"")</f>
      </c>
      <c r="BG188">
        <f>IF(OR($C188="",$C188="TOPX",$BA188="",$BF188=""),0,IF(AND($BK$10=1,$BA188&lt;=$BK$2,$BB188&lt;=$BK$3,$BC188&lt;=$BK$4,$Z188&lt;=$BK$5,$Z188&gt;=$BK$6,$BD188&gt;=$BK$7,$BE188&lt;=$BK$8),1,0))</f>
      </c>
      <c r="BH188">
        <f>IF($C188="","",IF($BG188=1,"○ゲート通過",IF($BK$10&lt;&gt;1,"― この方向は停止中",IF($BA188&gt;$BK$2,"×値動きが荒い",IF($BB188&gt;$BK$3,"×レンジが広い",IF($BC188&gt;$BK$4,"×窓を開けて上昇",IF($Z188&gt;$BK$5,"×前日に急騰",IF($Z188&lt;$BK$6,"×前日に急落",IF($BD188&lt;$BK$7,"×高値から離れすぎ",IF($BE188&gt;$BK$8,"×当日の値幅が大きい","×")))))))))</f>
      </c>
    </row>
    <row r="189" spans="1:60"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IF(AND(E189&lt;&gt;"",K189&lt;&gt;"",K189&lt;&gt;0),(E189-K189)/K189*100,"")</f>
        <v>-70.731707317073173</v>
      </c>
      <c r="M189" s="326">
        <f>IF(C189&lt;&gt;"",IFERROR(AVERAGE(出来高!E140:I140),""),"")</f>
        <v>11598340</v>
      </c>
      <c r="N189" s="326">
        <f>IF(C189&lt;&gt;"",IFERROR(AVERAGE(出来高!E140:AC140),""),"")</f>
        <v>23217912.5</v>
      </c>
      <c r="O189" s="328">
        <f>IF(AND(J189&lt;&gt;"",M189&lt;&gt;"",M189&lt;&gt;0),J189/M189,"")</f>
        <v>1.1462329954114123</v>
      </c>
      <c r="P189" s="325" t="str">
        <f>IF(O189="","",IF(O189&gt;=2,"急増↑↑",IF(O189&gt;=1.5,"増加↑",IF(O189&gt;=1,"普通→","減少↓"))))</f>
        <v>普通→</v>
      </c>
      <c r="Q189" s="325" t="str">
        <f>IF(E189="","",IF(AND(E189&lt;G189,O189&gt;=1.5),"売り▼",IF(E189&gt;G189,"様子見▲","中立→")))</f>
        <v>中立→</v>
      </c>
      <c r="R189" s="326">
        <f>IF(E189&lt;&gt;"",ROUND(E189*0.92,0),"")</f>
        <v>44</v>
      </c>
      <c r="S189" s="326">
        <f>IF(E189&lt;&gt;"",ROUND(E189*1.04,0),"")</f>
        <v>50</v>
      </c>
      <c r="T189" s="325">
        <f>IF(C189="","",IFERROR(IF(W189&gt;=70,3,IF(W189&gt;=60,2,IF(W189&gt;=50,1,0)))+IF(X189&lt;0,2,0)+IF(AD189="下降トレンド▼",3,IF(AD189="もみ合い→",1,0))+IF(V189="年初来安値圏●",3,IF(V189="安値圏",2,0))+IF(Q189="売り▼",2,0)+IF(P189="急増↑↑",2,IF(P189="増加↑",1,0))+IF(Z189&lt;0,1,0)+IF(L189&lt;=-30,2,IF(L189&lt;=-15,1,0))+IF(AE189="25日戻り売り★",2,IF(AE189="5日戻り売り○",1,0))+N(AL189)+N(AP189)+N(AU189),0))</f>
        <v>11</v>
      </c>
      <c r="U189" s="325" t="str">
        <f>IF(T189="","",IF(AND(T189&gt;=3,O189&gt;=1.5),"有効",IF(T189&gt;=3,"要確認","除外")))</f>
        <v>要確認</v>
      </c>
      <c r="V189" s="325" t="str">
        <f>IF(AND(I189&lt;&gt;"",K189&lt;&gt;""),IF(I189&lt;=K189*0.6,"年初来安値圏●",IF(I189&lt;=K189*0.75,"安値圏","通常")),"")</f>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IF(AF189="","",AF189&amp;" | "&amp;AD189&amp;IF(AE189&lt;&gt;"なし"," "&amp;AE189,"")&amp;IF(X189&lt;0," MACD-"," MACD+")&amp;" RSI:"&amp;TEXT(W189,"0.0")&amp;IF(W189&gt;=70," [過熱]",IF(W189&lt;=30," [売られ過ぎ]",""))&amp;" 前日比:"&amp;TEXT(Z189,"+0.0;-0.0;0.0")&amp;"%"&amp;IF(V189="年初来安値圏●"," [年初来安値圏]",IF(V189="安値圏"," [安値圏]",""))&amp;IF(OR(AO189="通常",AO189="-"),""," ["&amp;AO189&amp;"]")&amp;IF(OR(AT189="通常",AT189="-"),"","前日["&amp;AT189&amp;"]")&amp;" ["&amp;T189&amp;"点]")</f>
        <v>相場上昇・見送り | パーフェクト▲ MACD- RSI:49.6 前日比:-2.0% [年初来安値圏] [11点]</v>
      </c>
      <c r="Z189" s="331">
        <f>IF(AND(E189&lt;&gt;"",G189&lt;&gt;"",G189&lt;&gt;0),(E189-G189)/G189*100,"")</f>
        <v>-2.0408163265306123</v>
      </c>
      <c r="AA189" s="325" t="str">
        <f>IF(OR(C189="",E189="",E189=0),"",IF(E189&gt;G189,"上昇▲",IF(E189&lt;G189,"下落▼","横ばい→")))</f>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IF(OR(C189="",AB189="",AC189="",AB189=0,AC189=0),"",IF(AND(E189&gt;AB189,AB189&gt;AC189),"パーフェクト▲",IF(E189&gt;AC189,"上昇トレンド▲",IF(AND(E189&lt;AB189,AB189&lt;AC189),"下降トレンド▼","もみ合い→"))))</f>
        <v>パーフェクト▲</v>
      </c>
      <c r="AE189" s="325" t="str">
        <f>IF(OR(C189="",AB189="",AC189=""),"",IF(AND(ABS(E189-AC189)/AC189&lt;=0.02,E189&lt;AC189),"25日戻り売り★",IF(AND(ABS(E189-AB189)/AB189&lt;=0.01,E189&lt;AB189),"5日戻り売り○","なし")))</f>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IF(AND(T189&gt;=7,C189&lt;&gt;""),T189,0)</f>
        <v>11</v>
      </c>
      <c r="AH189">
        <f>IF(AG189&gt;0,AG189*10000-ROW(A189),0)</f>
        <v>109811</v>
      </c>
      <c r="AI189" s="373">
        <f t="array" ref="AI189">IF(C189="","",IFERROR((INDEX(終値!$E:$E,MATCH(TEXT(C189,"0"),終値!$A:$A,0))-INDEX(終値!$E:$CZ,MATCH(TEXT(C189,"0"),終値!$A:$A,0),$AN$2))/INDEX(終値!$E:$CZ,MATCH(TEXT(C189,"0"),終値!$A:$A,0),$AN$2)*100,""))</f>
        <v>-11.111111111111111</v>
      </c>
      <c r="AJ189" s="373">
        <f t="array" ref="AJ189">IFERROR((終値!$E$5-INDEX(終値!$E$5:$IT$5,1,$AN$2))/INDEX(終値!$E$5:$IT$5,1,$AN$2)*100,"")</f>
        <v>1.0179378228534113</v>
      </c>
      <c r="AK189" s="374">
        <f>IF(OR(AI189="",AJ189=""),"",AI189-AJ189)</f>
        <v>-12.129048933964523</v>
      </c>
      <c r="AL189" s="372">
        <f>IF(AK189="","",IF(AK189&lt;-5,3,IF(AK189&lt;0,1,IF(AK189&lt;3,-1,-2))))</f>
        <v>3</v>
      </c>
      <c r="AO189" s="376" t="str">
        <f>IF(OR($C189="",$E189="",$F189="",$H189="",$I189="",$H189-$I189&lt;=0),"-",IF(AND($H189-MAX($F189,$E189)&gt;=ABS($E189-$F189)*2,MIN($F189,$E189)-$I189&lt;=ABS($E189-$F189)*0.5,ABS($E189-$F189)&gt;0),"上ヒゲ陰線▼",IF(AND($E189&lt;$F189,ABS($E189-$F189)&gt;=($H189-$I189)*0.7),"大陰線▼",IF(AND(MIN($F189,$E189)-$I189&gt;=($H189-$I189)*0.5,$H189-MAX($F189,$E189)&lt;=($H189-$I189)*0.2),"長い下ヒゲ(反発警戒)","通常"))))</f>
        <v>通常</v>
      </c>
      <c r="AP189" s="377">
        <f>IF($AO189="上ヒゲ陰線▼",2,IF($AO189="大陰線▼",2,IF($AO189="長い下ヒゲ(反発警戒)",-2,0)))</f>
        <v>0</v>
      </c>
      <c r="AQ189">
        <f>IF(C189&lt;&gt;"",始値!F140,"")</f>
        <v>46</v>
      </c>
      <c r="AR189">
        <f>IF(C189&lt;&gt;"",高値!F140,"")</f>
        <v>49</v>
      </c>
      <c r="AS189">
        <f>IF(C189&lt;&gt;"",安値!F140,"")</f>
        <v>46</v>
      </c>
      <c r="AT189" t="str">
        <f>IF(OR(C189="",AQ189="",AR189="",AS189="",AR189-AS189&lt;=0),"-",IF(AND(AR189-MAX(G189,AQ189)&gt;=ABS(G189-AQ189)*2,MIN(G189,AQ189)-AS189&lt;=ABS(G189-AQ189)*0.5,ABS(G189-AQ189)&gt;0),"上ヒゲ陰線▼",IF(AND(G189&lt;AQ189,ABS(G189-AQ189)&gt;=(AR189-AS189)*0.7),"大陰線▼",IF(AND(MIN(G189,AQ189)-AS189&gt;=(AR189-AS189)*0.5,AR189-MAX(G189,AQ189)&lt;=(AR189-AS189)*0.2),"長い下ヒゲ(反発)","通常"))))</f>
        <v>通常</v>
      </c>
      <c r="AU189">
        <f>IF(AT189="上ヒゲ陰線▼",2,IF(AT189="大陰線▼",2,IF(AT189="長い下ヒゲ(反発)",-2,0)))</f>
        <v>0</v>
      </c>
      <c r="BA189">
        <f>IFERROR((SUM(OFFSET(高値!$E$6,IFERROR(MATCH($C189,銘柄管理!$B$6:$B$305,0),MATCH(TEXT($C189,"0"),銘柄管理!$B$6:$B$305,0))-1,0,1,14))-SUM(OFFSET(安値!$E$6,IFERROR(MATCH($C189,銘柄管理!$B$6:$B$305,0),MATCH(TEXT($C189,"0"),銘柄管理!$B$6:$B$305,0))-1,0,1,14)))/SUM(OFFSET(終値!$E$6,IFERROR(MATCH($C189,銘柄管理!$B$6:$B$305,0),MATCH(TEXT($C189,"0"),銘柄管理!$B$6:$B$305,0))-1,0,1,14))*100,"")</f>
      </c>
      <c r="BB189">
        <f>IFERROR((MAX(OFFSET(高値!$E$6,IFERROR(MATCH($C189,銘柄管理!$B$6:$B$305,0),MATCH(TEXT($C189,"0"),銘柄管理!$B$6:$B$305,0))-1,0,1,25))-MIN(OFFSET(安値!$E$6,IFERROR(MATCH($C189,銘柄管理!$B$6:$B$305,0),MATCH(TEXT($C189,"0"),銘柄管理!$B$6:$B$305,0))-1,0,1,25)))/$E189*100,"")</f>
      </c>
      <c r="BC189">
        <f>IFERROR(($F189-$G189)/$G189*100,"")</f>
      </c>
      <c r="BD189">
        <f>IFERROR(($E189-MAX(OFFSET(高値!$E$6,IFERROR(MATCH($C189,銘柄管理!$B$6:$B$305,0),MATCH(TEXT($C189,"0"),銘柄管理!$B$6:$B$305,0))-1,0,1,25)))/MAX(OFFSET(高値!$E$6,IFERROR(MATCH($C189,銘柄管理!$B$6:$B$305,0),MATCH(TEXT($C189,"0"),銘柄管理!$B$6:$B$305,0))-1,0,1,25))*100,"")</f>
      </c>
      <c r="BE189">
        <f>IFERROR(($H189-$I189)/$F189*100,"")</f>
      </c>
      <c r="BF189">
        <f>IFERROR(-(($BA189-AVERAGE($BA$3:$BA$206))/STDEV($BA$3:$BA$206))-(($BE189-AVERAGE($BE$3:$BE$206))/STDEV($BE$3:$BE$206))-(($BB189-AVERAGE($BB$3:$BB$206))/STDEV($BB$3:$BB$206))-(($Z189-AVERAGE($Z$3:$Z$206))/STDEV($Z$3:$Z$206))-(($BC189-AVERAGE($BC$3:$BC$206))/STDEV($BC$3:$BC$206)),"")</f>
      </c>
      <c r="BG189">
        <f>IF(OR($C189="",$C189="TOPX",$BA189="",$BF189=""),0,IF(AND($BK$10=1,$BA189&lt;=$BK$2,$BB189&lt;=$BK$3,$BC189&lt;=$BK$4,$Z189&lt;=$BK$5,$Z189&gt;=$BK$6,$BD189&gt;=$BK$7,$BE189&lt;=$BK$8),1,0))</f>
      </c>
      <c r="BH189">
        <f>IF($C189="","",IF($BG189=1,"○ゲート通過",IF($BK$10&lt;&gt;1,"― この方向は停止中",IF($BA189&gt;$BK$2,"×値動きが荒い",IF($BB189&gt;$BK$3,"×レンジが広い",IF($BC189&gt;$BK$4,"×窓を開けて上昇",IF($Z189&gt;$BK$5,"×前日に急騰",IF($Z189&lt;$BK$6,"×前日に急落",IF($BD189&lt;$BK$7,"×高値から離れすぎ",IF($BE189&gt;$BK$8,"×当日の値幅が大きい","×")))))))))</f>
      </c>
    </row>
    <row r="190" spans="1:60"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IF(AND(E190&lt;&gt;"",K190&lt;&gt;"",K190&lt;&gt;0),(E190-K190)/K190*100,"")</f>
        <v>-57.781954887218049</v>
      </c>
      <c r="M190" s="333">
        <f>IF(C190&lt;&gt;"",IFERROR(AVERAGE(出来高!E149:I149),""),"")</f>
        <v>11600</v>
      </c>
      <c r="N190" s="333">
        <f>IF(C190&lt;&gt;"",IFERROR(AVERAGE(出来高!E149:AC149),""),"")</f>
        <v>11600</v>
      </c>
      <c r="O190" s="335">
        <f>IF(AND(J190&lt;&gt;"",M190&lt;&gt;"",M190&lt;&gt;0),J190/M190,"")</f>
        <v>0.80172413793103448</v>
      </c>
      <c r="P190" s="212" t="str">
        <f>IF(O190="","",IF(O190&gt;=2,"急増↑↑",IF(O190&gt;=1.5,"増加↑",IF(O190&gt;=1,"普通→","減少↓"))))</f>
        <v>減少↓</v>
      </c>
      <c r="Q190" s="212" t="str">
        <f>IF(E190="","",IF(AND(E190&lt;G190,O190&gt;=1.5),"売り▼",IF(E190&gt;G190,"様子見▲","中立→")))</f>
        <v>中立→</v>
      </c>
      <c r="R190" s="333">
        <f>IF(E190&lt;&gt;"",ROUND(E190*0.92,0),"")</f>
        <v>1033</v>
      </c>
      <c r="S190" s="333">
        <f>IF(E190&lt;&gt;"",ROUND(E190*1.04,0),"")</f>
        <v>1168</v>
      </c>
      <c r="T190" s="325">
        <f>IF(C190="","",IFERROR(IF(W190&gt;=70,3,IF(W190&gt;=60,2,IF(W190&gt;=50,1,0)))+IF(X190&lt;0,2,0)+IF(AD190="下降トレンド▼",3,IF(AD190="もみ合い→",1,0))+IF(V190="年初来安値圏●",3,IF(V190="安値圏",2,0))+IF(Q190="売り▼",2,0)+IF(P190="急増↑↑",2,IF(P190="増加↑",1,0))+IF(Z190&lt;0,1,0)+IF(L190&lt;=-30,2,IF(L190&lt;=-15,1,0))+IF(AE190="25日戻り売り★",2,IF(AE190="5日戻り売り○",1,0))+N(AL190)+N(AP190)+N(AU190),0))</f>
        <v>9</v>
      </c>
      <c r="U190" s="212" t="str">
        <f>IF(T190="","",IF(AND(T190&gt;=3,O190&gt;=1.5),"有効",IF(T190&gt;=3,"要確認","除外")))</f>
        <v>要確認</v>
      </c>
      <c r="V190" s="212" t="str">
        <f>IF(AND(I190&lt;&gt;"",K190&lt;&gt;""),IF(I190&lt;=K190*0.6,"年初来安値圏●",IF(I190&lt;=K190*0.75,"安値圏","通常")),"")</f>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IF(AF190="","",AF190&amp;" | "&amp;AD190&amp;IF(AE190&lt;&gt;"なし"," "&amp;AE190,"")&amp;IF(X190&lt;0," MACD-"," MACD+")&amp;" RSI:"&amp;TEXT(W190,"0.0")&amp;IF(W190&gt;=70," [過熱]",IF(W190&lt;=30," [売られ過ぎ]",""))&amp;" 前日比:"&amp;TEXT(Z190,"+0.0;-0.0;0.0")&amp;"%"&amp;IF(V190="年初来安値圏●"," [年初来安値圏]",IF(V190="安値圏"," [安値圏]",""))&amp;IF(OR(AO190="通常",AO190="-"),""," ["&amp;AO190&amp;"]")&amp;IF(OR(AT190="通常",AT190="-"),"","前日["&amp;AT190&amp;"]")&amp;" ["&amp;T190&amp;"点]")</f>
        <v>相場上昇・見送り | パーフェクト▲ MACD+ RSI:50.0 前日比:-3.9% [年初来安値圏] [大陰線▼] [9点]</v>
      </c>
      <c r="Z190" s="338">
        <f>IF(AND(E190&lt;&gt;"",G190&lt;&gt;"",G190&lt;&gt;0),(E190-G190)/G190*100,"")</f>
        <v>-3.8527397260273974</v>
      </c>
      <c r="AA190" s="212" t="str">
        <f>IF(OR(C190="",E190="",E190=0),"",IF(E190&gt;G190,"上昇▲",IF(E190&lt;G190,"下落▼","横ばい→")))</f>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IF(OR(C190="",AB190="",AC190="",AB190=0,AC190=0),"",IF(AND(E190&gt;AB190,AB190&gt;AC190),"パーフェクト▲",IF(E190&gt;AC190,"上昇トレンド▲",IF(AND(E190&lt;AB190,AB190&lt;AC190),"下降トレンド▼","もみ合い→"))))</f>
        <v>パーフェクト▲</v>
      </c>
      <c r="AE190" s="212" t="str">
        <f>IF(OR(C190="",AB190="",AC190=""),"",IF(AND(ABS(E190-AC190)/AC190&lt;=0.02,E190&lt;AC190),"25日戻り売り★",IF(AND(ABS(E190-AB190)/AB190&lt;=0.01,E190&lt;AB190),"5日戻り売り○","なし")))</f>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IF(AND(T190&gt;=7,C190&lt;&gt;""),T190,0)</f>
        <v>9</v>
      </c>
      <c r="AH190">
        <f>IF(AG190&gt;0,AG190*10000-ROW(A190),0)</f>
        <v>89810</v>
      </c>
      <c r="AI190" s="373" t="str">
        <f t="array" ref="AI190">IF(C190="","",IFERROR((INDEX(終値!$E:$E,MATCH(TEXT(C190,"0"),終値!$A:$A,0))-INDEX(終値!$E:$CZ,MATCH(TEXT(C190,"0"),終値!$A:$A,0),$AN$2))/INDEX(終値!$E:$CZ,MATCH(TEXT(C190,"0"),終値!$A:$A,0),$AN$2)*100,""))</f>
        <v/>
      </c>
      <c r="AJ190" s="373">
        <f t="array" ref="AJ190">IFERROR((終値!$E$5-INDEX(終値!$E$5:$IT$5,1,$AN$2))/INDEX(終値!$E$5:$IT$5,1,$AN$2)*100,"")</f>
        <v>1.0179378228534113</v>
      </c>
      <c r="AK190" s="374" t="str">
        <f>IF(OR(AI190="",AJ190=""),"",AI190-AJ190)</f>
        <v/>
      </c>
      <c r="AL190" s="372" t="str">
        <f>IF(AK190="","",IF(AK190&lt;-5,3,IF(AK190&lt;0,1,IF(AK190&lt;3,-1,-2))))</f>
        <v/>
      </c>
      <c r="AO190" s="376" t="str">
        <f>IF(OR($C190="",$E190="",$F190="",$H190="",$I190="",$H190-$I190&lt;=0),"-",IF(AND($H190-MAX($F190,$E190)&gt;=ABS($E190-$F190)*2,MIN($F190,$E190)-$I190&lt;=ABS($E190-$F190)*0.5,ABS($E190-$F190)&gt;0),"上ヒゲ陰線▼",IF(AND($E190&lt;$F190,ABS($E190-$F190)&gt;=($H190-$I190)*0.7),"大陰線▼",IF(AND(MIN($F190,$E190)-$I190&gt;=($H190-$I190)*0.5,$H190-MAX($F190,$E190)&lt;=($H190-$I190)*0.2),"長い下ヒゲ(反発警戒)","通常"))))</f>
        <v>大陰線▼</v>
      </c>
      <c r="AP190" s="377">
        <f>IF($AO190="上ヒゲ陰線▼",2,IF($AO190="大陰線▼",2,IF($AO190="長い下ヒゲ(反発警戒)",-2,0)))</f>
        <v>2</v>
      </c>
      <c r="AQ190">
        <f>IF(C190&lt;&gt;"",始値!F149,"")</f>
        <v>1138</v>
      </c>
      <c r="AR190">
        <f>IF(C190&lt;&gt;"",高値!F149,"")</f>
        <v>1170</v>
      </c>
      <c r="AS190">
        <f>IF(C190&lt;&gt;"",安値!F149,"")</f>
        <v>1134</v>
      </c>
      <c r="AT190" t="str">
        <f>IF(OR(C190="",AQ190="",AR190="",AS190="",AR190-AS190&lt;=0),"-",IF(AND(AR190-MAX(G190,AQ190)&gt;=ABS(G190-AQ190)*2,MIN(G190,AQ190)-AS190&lt;=ABS(G190-AQ190)*0.5,ABS(G190-AQ190)&gt;0),"上ヒゲ陰線▼",IF(AND(G190&lt;AQ190,ABS(G190-AQ190)&gt;=(AR190-AS190)*0.7),"大陰線▼",IF(AND(MIN(G190,AQ190)-AS190&gt;=(AR190-AS190)*0.5,AR190-MAX(G190,AQ190)&lt;=(AR190-AS190)*0.2),"長い下ヒゲ(反発)","通常"))))</f>
        <v>通常</v>
      </c>
      <c r="AU190">
        <f>IF(AT190="上ヒゲ陰線▼",2,IF(AT190="大陰線▼",2,IF(AT190="長い下ヒゲ(反発)",-2,0)))</f>
        <v>0</v>
      </c>
      <c r="BA190">
        <f>IFERROR((SUM(OFFSET(高値!$E$6,IFERROR(MATCH($C190,銘柄管理!$B$6:$B$305,0),MATCH(TEXT($C190,"0"),銘柄管理!$B$6:$B$305,0))-1,0,1,14))-SUM(OFFSET(安値!$E$6,IFERROR(MATCH($C190,銘柄管理!$B$6:$B$305,0),MATCH(TEXT($C190,"0"),銘柄管理!$B$6:$B$305,0))-1,0,1,14)))/SUM(OFFSET(終値!$E$6,IFERROR(MATCH($C190,銘柄管理!$B$6:$B$305,0),MATCH(TEXT($C190,"0"),銘柄管理!$B$6:$B$305,0))-1,0,1,14))*100,"")</f>
      </c>
      <c r="BB190">
        <f>IFERROR((MAX(OFFSET(高値!$E$6,IFERROR(MATCH($C190,銘柄管理!$B$6:$B$305,0),MATCH(TEXT($C190,"0"),銘柄管理!$B$6:$B$305,0))-1,0,1,25))-MIN(OFFSET(安値!$E$6,IFERROR(MATCH($C190,銘柄管理!$B$6:$B$305,0),MATCH(TEXT($C190,"0"),銘柄管理!$B$6:$B$305,0))-1,0,1,25)))/$E190*100,"")</f>
      </c>
      <c r="BC190">
        <f>IFERROR(($F190-$G190)/$G190*100,"")</f>
      </c>
      <c r="BD190">
        <f>IFERROR(($E190-MAX(OFFSET(高値!$E$6,IFERROR(MATCH($C190,銘柄管理!$B$6:$B$305,0),MATCH(TEXT($C190,"0"),銘柄管理!$B$6:$B$305,0))-1,0,1,25)))/MAX(OFFSET(高値!$E$6,IFERROR(MATCH($C190,銘柄管理!$B$6:$B$305,0),MATCH(TEXT($C190,"0"),銘柄管理!$B$6:$B$305,0))-1,0,1,25))*100,"")</f>
      </c>
      <c r="BE190">
        <f>IFERROR(($H190-$I190)/$F190*100,"")</f>
      </c>
      <c r="BF190">
        <f>IFERROR(-(($BA190-AVERAGE($BA$3:$BA$206))/STDEV($BA$3:$BA$206))-(($BE190-AVERAGE($BE$3:$BE$206))/STDEV($BE$3:$BE$206))-(($BB190-AVERAGE($BB$3:$BB$206))/STDEV($BB$3:$BB$206))-(($Z190-AVERAGE($Z$3:$Z$206))/STDEV($Z$3:$Z$206))-(($BC190-AVERAGE($BC$3:$BC$206))/STDEV($BC$3:$BC$206)),"")</f>
      </c>
      <c r="BG190">
        <f>IF(OR($C190="",$C190="TOPX",$BA190="",$BF190=""),0,IF(AND($BK$10=1,$BA190&lt;=$BK$2,$BB190&lt;=$BK$3,$BC190&lt;=$BK$4,$Z190&lt;=$BK$5,$Z190&gt;=$BK$6,$BD190&gt;=$BK$7,$BE190&lt;=$BK$8),1,0))</f>
      </c>
      <c r="BH190">
        <f>IF($C190="","",IF($BG190=1,"○ゲート通過",IF($BK$10&lt;&gt;1,"― この方向は停止中",IF($BA190&gt;$BK$2,"×値動きが荒い",IF($BB190&gt;$BK$3,"×レンジが広い",IF($BC190&gt;$BK$4,"×窓を開けて上昇",IF($Z190&gt;$BK$5,"×前日に急騰",IF($Z190&lt;$BK$6,"×前日に急落",IF($BD190&lt;$BK$7,"×高値から離れすぎ",IF($BE190&gt;$BK$8,"×当日の値幅が大きい","×")))))))))</f>
      </c>
    </row>
    <row r="191" spans="1:60"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IF(AND(E191&lt;&gt;"",K191&lt;&gt;"",K191&lt;&gt;0),(E191-K191)/K191*100,"")</f>
        <v>-28.886363636363637</v>
      </c>
      <c r="M191" s="326">
        <f>IF(C191&lt;&gt;"",IFERROR(AVERAGE(出来高!E172:I172),""),"")</f>
        <v>7272040</v>
      </c>
      <c r="N191" s="326">
        <f>IF(C191&lt;&gt;"",IFERROR(AVERAGE(出来高!E172:AC172),""),"")</f>
        <v>3990348</v>
      </c>
      <c r="O191" s="328">
        <f>IF(AND(J191&lt;&gt;"",M191&lt;&gt;"",M191&lt;&gt;0),J191/M191,"")</f>
        <v>1.1688192034147227</v>
      </c>
      <c r="P191" s="325" t="str">
        <f>IF(O191="","",IF(O191&gt;=2,"急増↑↑",IF(O191&gt;=1.5,"増加↑",IF(O191&gt;=1,"普通→","減少↓"))))</f>
        <v>普通→</v>
      </c>
      <c r="Q191" s="325" t="str">
        <f>IF(E191="","",IF(AND(E191&lt;G191,O191&gt;=1.5),"売り▼",IF(E191&gt;G191,"様子見▲","中立→")))</f>
        <v>様子見▲</v>
      </c>
      <c r="R191" s="326">
        <f>IF(E191&lt;&gt;"",ROUND(E191*0.92,0),"")</f>
        <v>1439</v>
      </c>
      <c r="S191" s="326">
        <f>IF(E191&lt;&gt;"",ROUND(E191*1.04,0),"")</f>
        <v>1627</v>
      </c>
      <c r="T191" s="325">
        <f>IF(C191="","",IFERROR(IF(W191&gt;=70,3,IF(W191&gt;=60,2,IF(W191&gt;=50,1,0)))+IF(X191&lt;0,2,0)+IF(AD191="下降トレンド▼",3,IF(AD191="もみ合い→",1,0))+IF(V191="年初来安値圏●",3,IF(V191="安値圏",2,0))+IF(Q191="売り▼",2,0)+IF(P191="急増↑↑",2,IF(P191="増加↑",1,0))+IF(Z191&lt;0,1,0)+IF(L191&lt;=-30,2,IF(L191&lt;=-15,1,0))+IF(AE191="25日戻り売り★",2,IF(AE191="5日戻り売り○",1,0))+N(AL191)+N(AP191)+N(AU191),0))</f>
        <v>2</v>
      </c>
      <c r="U191" s="325" t="str">
        <f>IF(T191="","",IF(AND(T191&gt;=3,O191&gt;=1.5),"有効",IF(T191&gt;=3,"要確認","除外")))</f>
        <v>除外</v>
      </c>
      <c r="V191" s="325" t="str">
        <f>IF(AND(I191&lt;&gt;"",K191&lt;&gt;""),IF(I191&lt;=K191*0.6,"年初来安値圏●",IF(I191&lt;=K191*0.75,"安値圏","通常")),"")</f>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IF(AF191="","",AF191&amp;" | "&amp;AD191&amp;IF(AE191&lt;&gt;"なし"," "&amp;AE191,"")&amp;IF(X191&lt;0," MACD-"," MACD+")&amp;" RSI:"&amp;TEXT(W191,"0.0")&amp;IF(W191&gt;=70," [過熱]",IF(W191&lt;=30," [売られ過ぎ]",""))&amp;" 前日比:"&amp;TEXT(Z191,"+0.0;-0.0;0.0")&amp;"%"&amp;IF(V191="年初来安値圏●"," [年初来安値圏]",IF(V191="安値圏"," [安値圏]",""))&amp;IF(OR(AO191="通常",AO191="-"),""," ["&amp;AO191&amp;"]")&amp;IF(OR(AT191="通常",AT191="-"),"","前日["&amp;AT191&amp;"]")&amp;" ["&amp;T191&amp;"点]")</f>
        <v>相場上昇・見送り | パーフェクト▲ MACD+ RSI:53.6 前日比:+4.3% [安値圏] [2点]</v>
      </c>
      <c r="Z191" s="331">
        <f>IF(AND(E191&lt;&gt;"",G191&lt;&gt;"",G191&lt;&gt;0),(E191-G191)/G191*100,"")</f>
        <v>4.2652449183605468</v>
      </c>
      <c r="AA191" s="325" t="str">
        <f>IF(OR(C191="",E191="",E191=0),"",IF(E191&gt;G191,"上昇▲",IF(E191&lt;G191,"下落▼","横ばい→")))</f>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IF(OR(C191="",AB191="",AC191="",AB191=0,AC191=0),"",IF(AND(E191&gt;AB191,AB191&gt;AC191),"パーフェクト▲",IF(E191&gt;AC191,"上昇トレンド▲",IF(AND(E191&lt;AB191,AB191&lt;AC191),"下降トレンド▼","もみ合い→"))))</f>
        <v>パーフェクト▲</v>
      </c>
      <c r="AE191" s="325" t="str">
        <f>IF(OR(C191="",AB191="",AC191=""),"",IF(AND(ABS(E191-AC191)/AC191&lt;=0.02,E191&lt;AC191),"25日戻り売り★",IF(AND(ABS(E191-AB191)/AB191&lt;=0.01,E191&lt;AB191),"5日戻り売り○","なし")))</f>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IF(AND(T191&gt;=7,C191&lt;&gt;""),T191,0)</f>
        <v>0</v>
      </c>
      <c r="AH191">
        <f>IF(AG191&gt;0,AG191*10000-ROW(A191),0)</f>
        <v>0</v>
      </c>
      <c r="AI191" s="373">
        <f t="array" ref="AI191">IF(C191="","",IFERROR((INDEX(終値!$E:$E,MATCH(TEXT(C191,"0"),終値!$A:$A,0))-INDEX(終値!$E:$CZ,MATCH(TEXT(C191,"0"),終値!$A:$A,0),$AN$2))/INDEX(終値!$E:$CZ,MATCH(TEXT(C191,"0"),終値!$A:$A,0),$AN$2)*100,""))</f>
        <v>14.447695683979516</v>
      </c>
      <c r="AJ191" s="373">
        <f t="array" ref="AJ191">IFERROR((終値!$E$5-INDEX(終値!$E$5:$IT$5,1,$AN$2))/INDEX(終値!$E$5:$IT$5,1,$AN$2)*100,"")</f>
        <v>1.0179378228534113</v>
      </c>
      <c r="AK191" s="374">
        <f>IF(OR(AI191="",AJ191=""),"",AI191-AJ191)</f>
        <v>13.429757861126104</v>
      </c>
      <c r="AL191" s="372">
        <f>IF(AK191="","",IF(AK191&lt;-5,3,IF(AK191&lt;0,1,IF(AK191&lt;3,-1,-2))))</f>
        <v>-2</v>
      </c>
      <c r="AO191" s="376" t="str">
        <f>IF(OR($C191="",$E191="",$F191="",$H191="",$I191="",$H191-$I191&lt;=0),"-",IF(AND($H191-MAX($F191,$E191)&gt;=ABS($E191-$F191)*2,MIN($F191,$E191)-$I191&lt;=ABS($E191-$F191)*0.5,ABS($E191-$F191)&gt;0),"上ヒゲ陰線▼",IF(AND($E191&lt;$F191,ABS($E191-$F191)&gt;=($H191-$I191)*0.7),"大陰線▼",IF(AND(MIN($F191,$E191)-$I191&gt;=($H191-$I191)*0.5,$H191-MAX($F191,$E191)&lt;=($H191-$I191)*0.2),"長い下ヒゲ(反発警戒)","通常"))))</f>
        <v>通常</v>
      </c>
      <c r="AP191" s="377">
        <f>IF($AO191="上ヒゲ陰線▼",2,IF($AO191="大陰線▼",2,IF($AO191="長い下ヒゲ(反発警戒)",-2,0)))</f>
        <v>0</v>
      </c>
      <c r="AQ191">
        <f>IF(C191&lt;&gt;"",始値!F172,"")</f>
        <v>1449.5</v>
      </c>
      <c r="AR191">
        <f>IF(C191&lt;&gt;"",高値!F172,"")</f>
        <v>1504</v>
      </c>
      <c r="AS191">
        <f>IF(C191&lt;&gt;"",安値!F172,"")</f>
        <v>1443</v>
      </c>
      <c r="AT191" t="str">
        <f>IF(OR(C191="",AQ191="",AR191="",AS191="",AR191-AS191&lt;=0),"-",IF(AND(AR191-MAX(G191,AQ191)&gt;=ABS(G191-AQ191)*2,MIN(G191,AQ191)-AS191&lt;=ABS(G191-AQ191)*0.5,ABS(G191-AQ191)&gt;0),"上ヒゲ陰線▼",IF(AND(G191&lt;AQ191,ABS(G191-AQ191)&gt;=(AR191-AS191)*0.7),"大陰線▼",IF(AND(MIN(G191,AQ191)-AS191&gt;=(AR191-AS191)*0.5,AR191-MAX(G191,AQ191)&lt;=(AR191-AS191)*0.2),"長い下ヒゲ(反発)","通常"))))</f>
        <v>通常</v>
      </c>
      <c r="AU191">
        <f>IF(AT191="上ヒゲ陰線▼",2,IF(AT191="大陰線▼",2,IF(AT191="長い下ヒゲ(反発)",-2,0)))</f>
        <v>0</v>
      </c>
      <c r="BA191">
        <f>IFERROR((SUM(OFFSET(高値!$E$6,IFERROR(MATCH($C191,銘柄管理!$B$6:$B$305,0),MATCH(TEXT($C191,"0"),銘柄管理!$B$6:$B$305,0))-1,0,1,14))-SUM(OFFSET(安値!$E$6,IFERROR(MATCH($C191,銘柄管理!$B$6:$B$305,0),MATCH(TEXT($C191,"0"),銘柄管理!$B$6:$B$305,0))-1,0,1,14)))/SUM(OFFSET(終値!$E$6,IFERROR(MATCH($C191,銘柄管理!$B$6:$B$305,0),MATCH(TEXT($C191,"0"),銘柄管理!$B$6:$B$305,0))-1,0,1,14))*100,"")</f>
      </c>
      <c r="BB191">
        <f>IFERROR((MAX(OFFSET(高値!$E$6,IFERROR(MATCH($C191,銘柄管理!$B$6:$B$305,0),MATCH(TEXT($C191,"0"),銘柄管理!$B$6:$B$305,0))-1,0,1,25))-MIN(OFFSET(安値!$E$6,IFERROR(MATCH($C191,銘柄管理!$B$6:$B$305,0),MATCH(TEXT($C191,"0"),銘柄管理!$B$6:$B$305,0))-1,0,1,25)))/$E191*100,"")</f>
      </c>
      <c r="BC191">
        <f>IFERROR(($F191-$G191)/$G191*100,"")</f>
      </c>
      <c r="BD191">
        <f>IFERROR(($E191-MAX(OFFSET(高値!$E$6,IFERROR(MATCH($C191,銘柄管理!$B$6:$B$305,0),MATCH(TEXT($C191,"0"),銘柄管理!$B$6:$B$305,0))-1,0,1,25)))/MAX(OFFSET(高値!$E$6,IFERROR(MATCH($C191,銘柄管理!$B$6:$B$305,0),MATCH(TEXT($C191,"0"),銘柄管理!$B$6:$B$305,0))-1,0,1,25))*100,"")</f>
      </c>
      <c r="BE191">
        <f>IFERROR(($H191-$I191)/$F191*100,"")</f>
      </c>
      <c r="BF191">
        <f>IFERROR(-(($BA191-AVERAGE($BA$3:$BA$206))/STDEV($BA$3:$BA$206))-(($BE191-AVERAGE($BE$3:$BE$206))/STDEV($BE$3:$BE$206))-(($BB191-AVERAGE($BB$3:$BB$206))/STDEV($BB$3:$BB$206))-(($Z191-AVERAGE($Z$3:$Z$206))/STDEV($Z$3:$Z$206))-(($BC191-AVERAGE($BC$3:$BC$206))/STDEV($BC$3:$BC$206)),"")</f>
      </c>
      <c r="BG191">
        <f>IF(OR($C191="",$C191="TOPX",$BA191="",$BF191=""),0,IF(AND($BK$10=1,$BA191&lt;=$BK$2,$BB191&lt;=$BK$3,$BC191&lt;=$BK$4,$Z191&lt;=$BK$5,$Z191&gt;=$BK$6,$BD191&gt;=$BK$7,$BE191&lt;=$BK$8),1,0))</f>
      </c>
      <c r="BH191">
        <f>IF($C191="","",IF($BG191=1,"○ゲート通過",IF($BK$10&lt;&gt;1,"― この方向は停止中",IF($BA191&gt;$BK$2,"×値動きが荒い",IF($BB191&gt;$BK$3,"×レンジが広い",IF($BC191&gt;$BK$4,"×窓を開けて上昇",IF($Z191&gt;$BK$5,"×前日に急騰",IF($Z191&lt;$BK$6,"×前日に急落",IF($BD191&lt;$BK$7,"×高値から離れすぎ",IF($BE191&gt;$BK$8,"×当日の値幅が大きい","×")))))))))</f>
      </c>
    </row>
    <row r="192" spans="1:60"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IF(AND(E192&lt;&gt;"",K192&lt;&gt;"",K192&lt;&gt;0),(E192-K192)/K192*100,"")</f>
        <v>-27.236180904522612</v>
      </c>
      <c r="M192" s="333">
        <f>IF(C192&lt;&gt;"",IFERROR(AVERAGE(出来高!E173:I173),""),"")</f>
        <v>37320</v>
      </c>
      <c r="N192" s="333">
        <f>IF(C192&lt;&gt;"",IFERROR(AVERAGE(出来高!E173:AC173),""),"")</f>
        <v>51466.666666666664</v>
      </c>
      <c r="O192" s="335">
        <f>IF(AND(J192&lt;&gt;"",M192&lt;&gt;"",M192&lt;&gt;0),J192/M192,"")</f>
        <v>0.969989281886388</v>
      </c>
      <c r="P192" s="212" t="str">
        <f>IF(O192="","",IF(O192&gt;=2,"急増↑↑",IF(O192&gt;=1.5,"増加↑",IF(O192&gt;=1,"普通→","減少↓"))))</f>
        <v>減少↓</v>
      </c>
      <c r="Q192" s="212" t="str">
        <f>IF(E192="","",IF(AND(E192&lt;G192,O192&gt;=1.5),"売り▼",IF(E192&gt;G192,"様子見▲","中立→")))</f>
        <v>様子見▲</v>
      </c>
      <c r="R192" s="333">
        <f>IF(E192&lt;&gt;"",ROUND(E192*0.92,0),"")</f>
        <v>666</v>
      </c>
      <c r="S192" s="333">
        <f>IF(E192&lt;&gt;"",ROUND(E192*1.04,0),"")</f>
        <v>753</v>
      </c>
      <c r="T192" s="325">
        <f>IF(C192="","",IFERROR(IF(W192&gt;=70,3,IF(W192&gt;=60,2,IF(W192&gt;=50,1,0)))+IF(X192&lt;0,2,0)+IF(AD192="下降トレンド▼",3,IF(AD192="もみ合い→",1,0))+IF(V192="年初来安値圏●",3,IF(V192="安値圏",2,0))+IF(Q192="売り▼",2,0)+IF(P192="急増↑↑",2,IF(P192="増加↑",1,0))+IF(Z192&lt;0,1,0)+IF(L192&lt;=-30,2,IF(L192&lt;=-15,1,0))+IF(AE192="25日戻り売り★",2,IF(AE192="5日戻り売り○",1,0))+N(AL192)+N(AP192)+N(AU192),0))</f>
        <v>6</v>
      </c>
      <c r="U192" s="212" t="str">
        <f>IF(T192="","",IF(AND(T192&gt;=3,O192&gt;=1.5),"有効",IF(T192&gt;=3,"要確認","除外")))</f>
        <v>要確認</v>
      </c>
      <c r="V192" s="212" t="str">
        <f>IF(AND(I192&lt;&gt;"",K192&lt;&gt;""),IF(I192&lt;=K192*0.6,"年初来安値圏●",IF(I192&lt;=K192*0.75,"安値圏","通常")),"")</f>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IF(AF192="","",AF192&amp;" | "&amp;AD192&amp;IF(AE192&lt;&gt;"なし"," "&amp;AE192,"")&amp;IF(X192&lt;0," MACD-"," MACD+")&amp;" RSI:"&amp;TEXT(W192,"0.0")&amp;IF(W192&gt;=70," [過熱]",IF(W192&lt;=30," [売られ過ぎ]",""))&amp;" 前日比:"&amp;TEXT(Z192,"+0.0;-0.0;0.0")&amp;"%"&amp;IF(V192="年初来安値圏●"," [年初来安値圏]",IF(V192="安値圏"," [安値圏]",""))&amp;IF(OR(AO192="通常",AO192="-"),""," ["&amp;AO192&amp;"]")&amp;IF(OR(AT192="通常",AT192="-"),"","前日["&amp;AT192&amp;"]")&amp;" ["&amp;T192&amp;"点]")</f>
        <v>相場上昇・見送り | パーフェクト▲ MACD- RSI:49.6 前日比:+1.5% [安値圏] [6点]</v>
      </c>
      <c r="Z192" s="338">
        <f>IF(AND(E192&lt;&gt;"",G192&lt;&gt;"",G192&lt;&gt;0),(E192-G192)/G192*100,"")</f>
        <v>1.5427769985974753</v>
      </c>
      <c r="AA192" s="212" t="str">
        <f>IF(OR(C192="",E192="",E192=0),"",IF(E192&gt;G192,"上昇▲",IF(E192&lt;G192,"下落▼","横ばい→")))</f>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IF(OR(C192="",AB192="",AC192="",AB192=0,AC192=0),"",IF(AND(E192&gt;AB192,AB192&gt;AC192),"パーフェクト▲",IF(E192&gt;AC192,"上昇トレンド▲",IF(AND(E192&lt;AB192,AB192&lt;AC192),"下降トレンド▼","もみ合い→"))))</f>
        <v>パーフェクト▲</v>
      </c>
      <c r="AE192" s="212" t="str">
        <f>IF(OR(C192="",AB192="",AC192=""),"",IF(AND(ABS(E192-AC192)/AC192&lt;=0.02,E192&lt;AC192),"25日戻り売り★",IF(AND(ABS(E192-AB192)/AB192&lt;=0.01,E192&lt;AB192),"5日戻り売り○","なし")))</f>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IF(AND(T192&gt;=7,C192&lt;&gt;""),T192,0)</f>
        <v>0</v>
      </c>
      <c r="AH192">
        <f>IF(AG192&gt;0,AG192*10000-ROW(A192),0)</f>
        <v>0</v>
      </c>
      <c r="AI192" s="373">
        <f t="array" ref="AI192">IF(C192="","",IFERROR((INDEX(終値!$E:$E,MATCH(TEXT(C192,"0"),終値!$A:$A,0))-INDEX(終値!$E:$CZ,MATCH(TEXT(C192,"0"),終値!$A:$A,0),$AN$2))/INDEX(終値!$E:$CZ,MATCH(TEXT(C192,"0"),終値!$A:$A,0),$AN$2)*100,""))</f>
        <v>0.83565459610027859</v>
      </c>
      <c r="AJ192" s="373">
        <f t="array" ref="AJ192">IFERROR((終値!$E$5-INDEX(終値!$E$5:$IT$5,1,$AN$2))/INDEX(終値!$E$5:$IT$5,1,$AN$2)*100,"")</f>
        <v>1.0179378228534113</v>
      </c>
      <c r="AK192" s="374">
        <f>IF(OR(AI192="",AJ192=""),"",AI192-AJ192)</f>
        <v>-0.18228322675313269</v>
      </c>
      <c r="AL192" s="372">
        <f>IF(AK192="","",IF(AK192&lt;-5,3,IF(AK192&lt;0,1,IF(AK192&lt;3,-1,-2))))</f>
        <v>1</v>
      </c>
      <c r="AO192" s="376" t="str">
        <f>IF(OR($C192="",$E192="",$F192="",$H192="",$I192="",$H192-$I192&lt;=0),"-",IF(AND($H192-MAX($F192,$E192)&gt;=ABS($E192-$F192)*2,MIN($F192,$E192)-$I192&lt;=ABS($E192-$F192)*0.5,ABS($E192-$F192)&gt;0),"上ヒゲ陰線▼",IF(AND($E192&lt;$F192,ABS($E192-$F192)&gt;=($H192-$I192)*0.7),"大陰線▼",IF(AND(MIN($F192,$E192)-$I192&gt;=($H192-$I192)*0.5,$H192-MAX($F192,$E192)&lt;=($H192-$I192)*0.2),"長い下ヒゲ(反発警戒)","通常"))))</f>
        <v>通常</v>
      </c>
      <c r="AP192" s="377">
        <f>IF($AO192="上ヒゲ陰線▼",2,IF($AO192="大陰線▼",2,IF($AO192="長い下ヒゲ(反発警戒)",-2,0)))</f>
        <v>0</v>
      </c>
      <c r="AQ192">
        <f>IF(C192&lt;&gt;"",始値!F173,"")</f>
        <v>706</v>
      </c>
      <c r="AR192">
        <f>IF(C192&lt;&gt;"",高値!F173,"")</f>
        <v>716</v>
      </c>
      <c r="AS192">
        <f>IF(C192&lt;&gt;"",安値!F173,"")</f>
        <v>706</v>
      </c>
      <c r="AT192" t="str">
        <f>IF(OR(C192="",AQ192="",AR192="",AS192="",AR192-AS192&lt;=0),"-",IF(AND(AR192-MAX(G192,AQ192)&gt;=ABS(G192-AQ192)*2,MIN(G192,AQ192)-AS192&lt;=ABS(G192-AQ192)*0.5,ABS(G192-AQ192)&gt;0),"上ヒゲ陰線▼",IF(AND(G192&lt;AQ192,ABS(G192-AQ192)&gt;=(AR192-AS192)*0.7),"大陰線▼",IF(AND(MIN(G192,AQ192)-AS192&gt;=(AR192-AS192)*0.5,AR192-MAX(G192,AQ192)&lt;=(AR192-AS192)*0.2),"長い下ヒゲ(反発)","通常"))))</f>
        <v>通常</v>
      </c>
      <c r="AU192">
        <f>IF(AT192="上ヒゲ陰線▼",2,IF(AT192="大陰線▼",2,IF(AT192="長い下ヒゲ(反発)",-2,0)))</f>
        <v>0</v>
      </c>
      <c r="BA192">
        <f>IFERROR((SUM(OFFSET(高値!$E$6,IFERROR(MATCH($C192,銘柄管理!$B$6:$B$305,0),MATCH(TEXT($C192,"0"),銘柄管理!$B$6:$B$305,0))-1,0,1,14))-SUM(OFFSET(安値!$E$6,IFERROR(MATCH($C192,銘柄管理!$B$6:$B$305,0),MATCH(TEXT($C192,"0"),銘柄管理!$B$6:$B$305,0))-1,0,1,14)))/SUM(OFFSET(終値!$E$6,IFERROR(MATCH($C192,銘柄管理!$B$6:$B$305,0),MATCH(TEXT($C192,"0"),銘柄管理!$B$6:$B$305,0))-1,0,1,14))*100,"")</f>
      </c>
      <c r="BB192">
        <f>IFERROR((MAX(OFFSET(高値!$E$6,IFERROR(MATCH($C192,銘柄管理!$B$6:$B$305,0),MATCH(TEXT($C192,"0"),銘柄管理!$B$6:$B$305,0))-1,0,1,25))-MIN(OFFSET(安値!$E$6,IFERROR(MATCH($C192,銘柄管理!$B$6:$B$305,0),MATCH(TEXT($C192,"0"),銘柄管理!$B$6:$B$305,0))-1,0,1,25)))/$E192*100,"")</f>
      </c>
      <c r="BC192">
        <f>IFERROR(($F192-$G192)/$G192*100,"")</f>
      </c>
      <c r="BD192">
        <f>IFERROR(($E192-MAX(OFFSET(高値!$E$6,IFERROR(MATCH($C192,銘柄管理!$B$6:$B$305,0),MATCH(TEXT($C192,"0"),銘柄管理!$B$6:$B$305,0))-1,0,1,25)))/MAX(OFFSET(高値!$E$6,IFERROR(MATCH($C192,銘柄管理!$B$6:$B$305,0),MATCH(TEXT($C192,"0"),銘柄管理!$B$6:$B$305,0))-1,0,1,25))*100,"")</f>
      </c>
      <c r="BE192">
        <f>IFERROR(($H192-$I192)/$F192*100,"")</f>
      </c>
      <c r="BF192">
        <f>IFERROR(-(($BA192-AVERAGE($BA$3:$BA$206))/STDEV($BA$3:$BA$206))-(($BE192-AVERAGE($BE$3:$BE$206))/STDEV($BE$3:$BE$206))-(($BB192-AVERAGE($BB$3:$BB$206))/STDEV($BB$3:$BB$206))-(($Z192-AVERAGE($Z$3:$Z$206))/STDEV($Z$3:$Z$206))-(($BC192-AVERAGE($BC$3:$BC$206))/STDEV($BC$3:$BC$206)),"")</f>
      </c>
      <c r="BG192">
        <f>IF(OR($C192="",$C192="TOPX",$BA192="",$BF192=""),0,IF(AND($BK$10=1,$BA192&lt;=$BK$2,$BB192&lt;=$BK$3,$BC192&lt;=$BK$4,$Z192&lt;=$BK$5,$Z192&gt;=$BK$6,$BD192&gt;=$BK$7,$BE192&lt;=$BK$8),1,0))</f>
      </c>
      <c r="BH192">
        <f>IF($C192="","",IF($BG192=1,"○ゲート通過",IF($BK$10&lt;&gt;1,"― この方向は停止中",IF($BA192&gt;$BK$2,"×値動きが荒い",IF($BB192&gt;$BK$3,"×レンジが広い",IF($BC192&gt;$BK$4,"×窓を開けて上昇",IF($Z192&gt;$BK$5,"×前日に急騰",IF($Z192&lt;$BK$6,"×前日に急落",IF($BD192&lt;$BK$7,"×高値から離れすぎ",IF($BE192&gt;$BK$8,"×当日の値幅が大きい","×")))))))))</f>
      </c>
    </row>
    <row r="193" spans="1:60"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IF(AND(E193&lt;&gt;"",K193&lt;&gt;"",K193&lt;&gt;0),(E193-K193)/K193*100,"")</f>
        <v>-8.9191232048374918</v>
      </c>
      <c r="M193" s="326">
        <f>IF(C193&lt;&gt;"",IFERROR(AVERAGE(出来高!E186:I186),""),"")</f>
        <v>3383820</v>
      </c>
      <c r="N193" s="326">
        <f>IF(C193&lt;&gt;"",IFERROR(AVERAGE(出来高!E186:AC186),""),"")</f>
        <v>2731824</v>
      </c>
      <c r="O193" s="328">
        <f>IF(AND(J193&lt;&gt;"",M193&lt;&gt;"",M193&lt;&gt;0),J193/M193,"")</f>
        <v>0.93223043778924408</v>
      </c>
      <c r="P193" s="325" t="str">
        <f>IF(O193="","",IF(O193&gt;=2,"急増↑↑",IF(O193&gt;=1.5,"増加↑",IF(O193&gt;=1,"普通→","減少↓"))))</f>
        <v>減少↓</v>
      </c>
      <c r="Q193" s="325" t="str">
        <f>IF(E193="","",IF(AND(E193&lt;G193,O193&gt;=1.5),"売り▼",IF(E193&gt;G193,"様子見▲","中立→")))</f>
        <v>様子見▲</v>
      </c>
      <c r="R193" s="326">
        <f>IF(E193&lt;&gt;"",ROUND(E193*0.92,0),"")</f>
        <v>1109</v>
      </c>
      <c r="S193" s="326">
        <f>IF(E193&lt;&gt;"",ROUND(E193*1.04,0),"")</f>
        <v>1253</v>
      </c>
      <c r="T193" s="325">
        <f>IF(C193="","",IFERROR(IF(W193&gt;=70,3,IF(W193&gt;=60,2,IF(W193&gt;=50,1,0)))+IF(X193&lt;0,2,0)+IF(AD193="下降トレンド▼",3,IF(AD193="もみ合い→",1,0))+IF(V193="年初来安値圏●",3,IF(V193="安値圏",2,0))+IF(Q193="売り▼",2,0)+IF(P193="急増↑↑",2,IF(P193="増加↑",1,0))+IF(Z193&lt;0,1,0)+IF(L193&lt;=-30,2,IF(L193&lt;=-15,1,0))+IF(AE193="25日戻り売り★",2,IF(AE193="5日戻り売り○",1,0))+N(AL193)+N(AP193)+N(AU193),0))</f>
        <v>0</v>
      </c>
      <c r="U193" s="325" t="str">
        <f>IF(T193="","",IF(AND(T193&gt;=3,O193&gt;=1.5),"有効",IF(T193&gt;=3,"要確認","除外")))</f>
        <v>除外</v>
      </c>
      <c r="V193" s="325" t="str">
        <f>IF(AND(I193&lt;&gt;"",K193&lt;&gt;""),IF(I193&lt;=K193*0.6,"年初来安値圏●",IF(I193&lt;=K193*0.75,"安値圏","通常")),"")</f>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IF(AF193="","",AF193&amp;" | "&amp;AD193&amp;IF(AE193&lt;&gt;"なし"," "&amp;AE193,"")&amp;IF(X193&lt;0," MACD-"," MACD+")&amp;" RSI:"&amp;TEXT(W193,"0.0")&amp;IF(W193&gt;=70," [過熱]",IF(W193&lt;=30," [売られ過ぎ]",""))&amp;" 前日比:"&amp;TEXT(Z193,"+0.0;-0.0;0.0")&amp;"%"&amp;IF(V193="年初来安値圏●"," [年初来安値圏]",IF(V193="安値圏"," [安値圏]",""))&amp;IF(OR(AO193="通常",AO193="-"),""," ["&amp;AO193&amp;"]")&amp;IF(OR(AT193="通常",AT193="-"),"","前日["&amp;AT193&amp;"]")&amp;" ["&amp;T193&amp;"点]")</f>
        <v>相場上昇・見送り | パーフェクト▲ MACD+ RSI:69.2 前日比:+1.8% [0点]</v>
      </c>
      <c r="Z193" s="331">
        <f>IF(AND(E193&lt;&gt;"",G193&lt;&gt;"",G193&lt;&gt;0),(E193-G193)/G193*100,"")</f>
        <v>1.8166455428812844</v>
      </c>
      <c r="AA193" s="325" t="str">
        <f>IF(OR(C193="",E193="",E193=0),"",IF(E193&gt;G193,"上昇▲",IF(E193&lt;G193,"下落▼","横ばい→")))</f>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IF(OR(C193="",AB193="",AC193="",AB193=0,AC193=0),"",IF(AND(E193&gt;AB193,AB193&gt;AC193),"パーフェクト▲",IF(E193&gt;AC193,"上昇トレンド▲",IF(AND(E193&lt;AB193,AB193&lt;AC193),"下降トレンド▼","もみ合い→"))))</f>
        <v>パーフェクト▲</v>
      </c>
      <c r="AE193" s="325" t="str">
        <f>IF(OR(C193="",AB193="",AC193=""),"",IF(AND(ABS(E193-AC193)/AC193&lt;=0.02,E193&lt;AC193),"25日戻り売り★",IF(AND(ABS(E193-AB193)/AB193&lt;=0.01,E193&lt;AB193),"5日戻り売り○","なし")))</f>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IF(AND(T193&gt;=7,C193&lt;&gt;""),T193,0)</f>
        <v>0</v>
      </c>
      <c r="AH193">
        <f>IF(AG193&gt;0,AG193*10000-ROW(A193),0)</f>
        <v>0</v>
      </c>
      <c r="AI193" s="373">
        <f t="array" ref="AI193">IF(C193="","",IFERROR((INDEX(終値!$E:$E,MATCH(TEXT(C193,"0"),終値!$A:$A,0))-INDEX(終値!$E:$CZ,MATCH(TEXT(C193,"0"),終値!$A:$A,0),$AN$2))/INDEX(終値!$E:$CZ,MATCH(TEXT(C193,"0"),終値!$A:$A,0),$AN$2)*100,""))</f>
        <v>13.465160075329566</v>
      </c>
      <c r="AJ193" s="373">
        <f t="array" ref="AJ193">IFERROR((終値!$E$5-INDEX(終値!$E$5:$IT$5,1,$AN$2))/INDEX(終値!$E$5:$IT$5,1,$AN$2)*100,"")</f>
        <v>1.0179378228534113</v>
      </c>
      <c r="AK193" s="374">
        <f>IF(OR(AI193="",AJ193=""),"",AI193-AJ193)</f>
        <v>12.447222252476154</v>
      </c>
      <c r="AL193" s="372">
        <f>IF(AK193="","",IF(AK193&lt;-5,3,IF(AK193&lt;0,1,IF(AK193&lt;3,-1,-2))))</f>
        <v>-2</v>
      </c>
      <c r="AO193" s="376" t="str">
        <f>IF(OR($C193="",$E193="",$F193="",$H193="",$I193="",$H193-$I193&lt;=0),"-",IF(AND($H193-MAX($F193,$E193)&gt;=ABS($E193-$F193)*2,MIN($F193,$E193)-$I193&lt;=ABS($E193-$F193)*0.5,ABS($E193-$F193)&gt;0),"上ヒゲ陰線▼",IF(AND($E193&lt;$F193,ABS($E193-$F193)&gt;=($H193-$I193)*0.7),"大陰線▼",IF(AND(MIN($F193,$E193)-$I193&gt;=($H193-$I193)*0.5,$H193-MAX($F193,$E193)&lt;=($H193-$I193)*0.2),"長い下ヒゲ(反発警戒)","通常"))))</f>
        <v>通常</v>
      </c>
      <c r="AP193" s="377">
        <f>IF($AO193="上ヒゲ陰線▼",2,IF($AO193="大陰線▼",2,IF($AO193="長い下ヒゲ(反発警戒)",-2,0)))</f>
        <v>0</v>
      </c>
      <c r="AQ193">
        <f>IF(C193&lt;&gt;"",始値!F186,"")</f>
        <v>1192</v>
      </c>
      <c r="AR193">
        <f>IF(C193&lt;&gt;"",高値!F186,"")</f>
        <v>1208</v>
      </c>
      <c r="AS193">
        <f>IF(C193&lt;&gt;"",安値!F186,"")</f>
        <v>1183</v>
      </c>
      <c r="AT193" t="str">
        <f>IF(OR(C193="",AQ193="",AR193="",AS193="",AR193-AS193&lt;=0),"-",IF(AND(AR193-MAX(G193,AQ193)&gt;=ABS(G193-AQ193)*2,MIN(G193,AQ193)-AS193&lt;=ABS(G193-AQ193)*0.5,ABS(G193-AQ193)&gt;0),"上ヒゲ陰線▼",IF(AND(G193&lt;AQ193,ABS(G193-AQ193)&gt;=(AR193-AS193)*0.7),"大陰線▼",IF(AND(MIN(G193,AQ193)-AS193&gt;=(AR193-AS193)*0.5,AR193-MAX(G193,AQ193)&lt;=(AR193-AS193)*0.2),"長い下ヒゲ(反発)","通常"))))</f>
        <v>通常</v>
      </c>
      <c r="AU193">
        <f>IF(AT193="上ヒゲ陰線▼",2,IF(AT193="大陰線▼",2,IF(AT193="長い下ヒゲ(反発)",-2,0)))</f>
        <v>0</v>
      </c>
      <c r="BA193">
        <f>IFERROR((SUM(OFFSET(高値!$E$6,IFERROR(MATCH($C193,銘柄管理!$B$6:$B$305,0),MATCH(TEXT($C193,"0"),銘柄管理!$B$6:$B$305,0))-1,0,1,14))-SUM(OFFSET(安値!$E$6,IFERROR(MATCH($C193,銘柄管理!$B$6:$B$305,0),MATCH(TEXT($C193,"0"),銘柄管理!$B$6:$B$305,0))-1,0,1,14)))/SUM(OFFSET(終値!$E$6,IFERROR(MATCH($C193,銘柄管理!$B$6:$B$305,0),MATCH(TEXT($C193,"0"),銘柄管理!$B$6:$B$305,0))-1,0,1,14))*100,"")</f>
      </c>
      <c r="BB193">
        <f>IFERROR((MAX(OFFSET(高値!$E$6,IFERROR(MATCH($C193,銘柄管理!$B$6:$B$305,0),MATCH(TEXT($C193,"0"),銘柄管理!$B$6:$B$305,0))-1,0,1,25))-MIN(OFFSET(安値!$E$6,IFERROR(MATCH($C193,銘柄管理!$B$6:$B$305,0),MATCH(TEXT($C193,"0"),銘柄管理!$B$6:$B$305,0))-1,0,1,25)))/$E193*100,"")</f>
      </c>
      <c r="BC193">
        <f>IFERROR(($F193-$G193)/$G193*100,"")</f>
      </c>
      <c r="BD193">
        <f>IFERROR(($E193-MAX(OFFSET(高値!$E$6,IFERROR(MATCH($C193,銘柄管理!$B$6:$B$305,0),MATCH(TEXT($C193,"0"),銘柄管理!$B$6:$B$305,0))-1,0,1,25)))/MAX(OFFSET(高値!$E$6,IFERROR(MATCH($C193,銘柄管理!$B$6:$B$305,0),MATCH(TEXT($C193,"0"),銘柄管理!$B$6:$B$305,0))-1,0,1,25))*100,"")</f>
      </c>
      <c r="BE193">
        <f>IFERROR(($H193-$I193)/$F193*100,"")</f>
      </c>
      <c r="BF193">
        <f>IFERROR(-(($BA193-AVERAGE($BA$3:$BA$206))/STDEV($BA$3:$BA$206))-(($BE193-AVERAGE($BE$3:$BE$206))/STDEV($BE$3:$BE$206))-(($BB193-AVERAGE($BB$3:$BB$206))/STDEV($BB$3:$BB$206))-(($Z193-AVERAGE($Z$3:$Z$206))/STDEV($Z$3:$Z$206))-(($BC193-AVERAGE($BC$3:$BC$206))/STDEV($BC$3:$BC$206)),"")</f>
      </c>
      <c r="BG193">
        <f>IF(OR($C193="",$C193="TOPX",$BA193="",$BF193=""),0,IF(AND($BK$10=1,$BA193&lt;=$BK$2,$BB193&lt;=$BK$3,$BC193&lt;=$BK$4,$Z193&lt;=$BK$5,$Z193&gt;=$BK$6,$BD193&gt;=$BK$7,$BE193&lt;=$BK$8),1,0))</f>
      </c>
      <c r="BH193">
        <f>IF($C193="","",IF($BG193=1,"○ゲート通過",IF($BK$10&lt;&gt;1,"― この方向は停止中",IF($BA193&gt;$BK$2,"×値動きが荒い",IF($BB193&gt;$BK$3,"×レンジが広い",IF($BC193&gt;$BK$4,"×窓を開けて上昇",IF($Z193&gt;$BK$5,"×前日に急騰",IF($Z193&lt;$BK$6,"×前日に急落",IF($BD193&lt;$BK$7,"×高値から離れすぎ",IF($BE193&gt;$BK$8,"×当日の値幅が大きい","×")))))))))</f>
      </c>
    </row>
    <row r="194" spans="1:60"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IF(AND(E194&lt;&gt;"",K194&lt;&gt;"",K194&lt;&gt;0),(E194-K194)/K194*100,"")</f>
        <v>-10.184667039731393</v>
      </c>
      <c r="M194" s="333">
        <f>IF(C194&lt;&gt;"",IFERROR(AVERAGE(出来高!E191:I191),""),"")</f>
        <v>23540</v>
      </c>
      <c r="N194" s="333">
        <f>IF(C194&lt;&gt;"",IFERROR(AVERAGE(出来高!E191:AC191),""),"")</f>
        <v>23432</v>
      </c>
      <c r="O194" s="335">
        <f>IF(AND(J194&lt;&gt;"",M194&lt;&gt;"",M194&lt;&gt;0),J194/M194,"")</f>
        <v>1.1682242990654206</v>
      </c>
      <c r="P194" s="212" t="str">
        <f>IF(O194="","",IF(O194&gt;=2,"急増↑↑",IF(O194&gt;=1.5,"増加↑",IF(O194&gt;=1,"普通→","減少↓"))))</f>
        <v>普通→</v>
      </c>
      <c r="Q194" s="212" t="str">
        <f>IF(E194="","",IF(AND(E194&lt;G194,O194&gt;=1.5),"売り▼",IF(E194&gt;G194,"様子見▲","中立→")))</f>
        <v>様子見▲</v>
      </c>
      <c r="R194" s="333">
        <f>IF(E194&lt;&gt;"",ROUND(E194*0.92,0),"")</f>
        <v>1477</v>
      </c>
      <c r="S194" s="333">
        <f>IF(E194&lt;&gt;"",ROUND(E194*1.04,0),"")</f>
        <v>1669</v>
      </c>
      <c r="T194" s="325">
        <f>IF(C194="","",IFERROR(IF(W194&gt;=70,3,IF(W194&gt;=60,2,IF(W194&gt;=50,1,0)))+IF(X194&lt;0,2,0)+IF(AD194="下降トレンド▼",3,IF(AD194="もみ合い→",1,0))+IF(V194="年初来安値圏●",3,IF(V194="安値圏",2,0))+IF(Q194="売り▼",2,0)+IF(P194="急増↑↑",2,IF(P194="増加↑",1,0))+IF(Z194&lt;0,1,0)+IF(L194&lt;=-30,2,IF(L194&lt;=-15,1,0))+IF(AE194="25日戻り売り★",2,IF(AE194="5日戻り売り○",1,0))+N(AL194)+N(AP194)+N(AU194),0))</f>
        <v>-1</v>
      </c>
      <c r="U194" s="212" t="str">
        <f>IF(T194="","",IF(AND(T194&gt;=3,O194&gt;=1.5),"有効",IF(T194&gt;=3,"要確認","除外")))</f>
        <v>除外</v>
      </c>
      <c r="V194" s="212" t="str">
        <f>IF(AND(I194&lt;&gt;"",K194&lt;&gt;""),IF(I194&lt;=K194*0.6,"年初来安値圏●",IF(I194&lt;=K194*0.75,"安値圏","通常")),"")</f>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IF(AF194="","",AF194&amp;" | "&amp;AD194&amp;IF(AE194&lt;&gt;"なし"," "&amp;AE194,"")&amp;IF(X194&lt;0," MACD-"," MACD+")&amp;" RSI:"&amp;TEXT(W194,"0.0")&amp;IF(W194&gt;=70," [過熱]",IF(W194&lt;=30," [売られ過ぎ]",""))&amp;" 前日比:"&amp;TEXT(Z194,"+0.0;-0.0;0.0")&amp;"%"&amp;IF(V194="年初来安値圏●"," [年初来安値圏]",IF(V194="安値圏"," [安値圏]",""))&amp;IF(OR(AO194="通常",AO194="-"),""," ["&amp;AO194&amp;"]")&amp;IF(OR(AT194="通常",AT194="-"),"","前日["&amp;AT194&amp;"]")&amp;" ["&amp;T194&amp;"点]")</f>
        <v>相場上昇・見送り | パーフェクト▲ MACD+ RSI:59.8 前日比:+1.1% [-1点]</v>
      </c>
      <c r="Z194" s="338">
        <f>IF(AND(E194&lt;&gt;"",G194&lt;&gt;"",G194&lt;&gt;0),(E194-G194)/G194*100,"")</f>
        <v>1.1342155009451798</v>
      </c>
      <c r="AA194" s="212" t="str">
        <f>IF(OR(C194="",E194="",E194=0),"",IF(E194&gt;G194,"上昇▲",IF(E194&lt;G194,"下落▼","横ばい→")))</f>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IF(OR(C194="",AB194="",AC194="",AB194=0,AC194=0),"",IF(AND(E194&gt;AB194,AB194&gt;AC194),"パーフェクト▲",IF(E194&gt;AC194,"上昇トレンド▲",IF(AND(E194&lt;AB194,AB194&lt;AC194),"下降トレンド▼","もみ合い→"))))</f>
        <v>パーフェクト▲</v>
      </c>
      <c r="AE194" s="212" t="str">
        <f>IF(OR(C194="",AB194="",AC194=""),"",IF(AND(ABS(E194-AC194)/AC194&lt;=0.02,E194&lt;AC194),"25日戻り売り★",IF(AND(ABS(E194-AB194)/AB194&lt;=0.01,E194&lt;AB194),"5日戻り売り○","なし")))</f>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IF(AND(T194&gt;=7,C194&lt;&gt;""),T194,0)</f>
        <v>0</v>
      </c>
      <c r="AH194">
        <f>IF(AG194&gt;0,AG194*10000-ROW(A194),0)</f>
        <v>0</v>
      </c>
      <c r="AI194" s="373">
        <f t="array" ref="AI194">IF(C194="","",IFERROR((INDEX(終値!$E:$E,MATCH(TEXT(C194,"0"),終値!$A:$A,0))-INDEX(終値!$E:$CZ,MATCH(TEXT(C194,"0"),終値!$A:$A,0),$AN$2))/INDEX(終値!$E:$CZ,MATCH(TEXT(C194,"0"),終値!$A:$A,0),$AN$2)*100,""))</f>
        <v>5.6616194865042786</v>
      </c>
      <c r="AJ194" s="373">
        <f t="array" ref="AJ194">IFERROR((終値!$E$5-INDEX(終値!$E$5:$IT$5,1,$AN$2))/INDEX(終値!$E$5:$IT$5,1,$AN$2)*100,"")</f>
        <v>1.0179378228534113</v>
      </c>
      <c r="AK194" s="374">
        <f>IF(OR(AI194="",AJ194=""),"",AI194-AJ194)</f>
        <v>4.6436816636508675</v>
      </c>
      <c r="AL194" s="372">
        <f>IF(AK194="","",IF(AK194&lt;-5,3,IF(AK194&lt;0,1,IF(AK194&lt;3,-1,-2))))</f>
        <v>-2</v>
      </c>
      <c r="AO194" s="376" t="str">
        <f>IF(OR($C194="",$E194="",$F194="",$H194="",$I194="",$H194-$I194&lt;=0),"-",IF(AND($H194-MAX($F194,$E194)&gt;=ABS($E194-$F194)*2,MIN($F194,$E194)-$I194&lt;=ABS($E194-$F194)*0.5,ABS($E194-$F194)&gt;0),"上ヒゲ陰線▼",IF(AND($E194&lt;$F194,ABS($E194-$F194)&gt;=($H194-$I194)*0.7),"大陰線▼",IF(AND(MIN($F194,$E194)-$I194&gt;=($H194-$I194)*0.5,$H194-MAX($F194,$E194)&lt;=($H194-$I194)*0.2),"長い下ヒゲ(反発警戒)","通常"))))</f>
        <v>通常</v>
      </c>
      <c r="AP194" s="377">
        <f>IF($AO194="上ヒゲ陰線▼",2,IF($AO194="大陰線▼",2,IF($AO194="長い下ヒゲ(反発警戒)",-2,0)))</f>
        <v>0</v>
      </c>
      <c r="AQ194">
        <f>IF(C194&lt;&gt;"",始値!F191,"")</f>
        <v>1580</v>
      </c>
      <c r="AR194">
        <f>IF(C194&lt;&gt;"",高値!F191,"")</f>
        <v>1592</v>
      </c>
      <c r="AS194">
        <f>IF(C194&lt;&gt;"",安値!F191,"")</f>
        <v>1571</v>
      </c>
      <c r="AT194" t="str">
        <f>IF(OR(C194="",AQ194="",AR194="",AS194="",AR194-AS194&lt;=0),"-",IF(AND(AR194-MAX(G194,AQ194)&gt;=ABS(G194-AQ194)*2,MIN(G194,AQ194)-AS194&lt;=ABS(G194-AQ194)*0.5,ABS(G194-AQ194)&gt;0),"上ヒゲ陰線▼",IF(AND(G194&lt;AQ194,ABS(G194-AQ194)&gt;=(AR194-AS194)*0.7),"大陰線▼",IF(AND(MIN(G194,AQ194)-AS194&gt;=(AR194-AS194)*0.5,AR194-MAX(G194,AQ194)&lt;=(AR194-AS194)*0.2),"長い下ヒゲ(反発)","通常"))))</f>
        <v>通常</v>
      </c>
      <c r="AU194">
        <f>IF(AT194="上ヒゲ陰線▼",2,IF(AT194="大陰線▼",2,IF(AT194="長い下ヒゲ(反発)",-2,0)))</f>
        <v>0</v>
      </c>
      <c r="BA194">
        <f>IFERROR((SUM(OFFSET(高値!$E$6,IFERROR(MATCH($C194,銘柄管理!$B$6:$B$305,0),MATCH(TEXT($C194,"0"),銘柄管理!$B$6:$B$305,0))-1,0,1,14))-SUM(OFFSET(安値!$E$6,IFERROR(MATCH($C194,銘柄管理!$B$6:$B$305,0),MATCH(TEXT($C194,"0"),銘柄管理!$B$6:$B$305,0))-1,0,1,14)))/SUM(OFFSET(終値!$E$6,IFERROR(MATCH($C194,銘柄管理!$B$6:$B$305,0),MATCH(TEXT($C194,"0"),銘柄管理!$B$6:$B$305,0))-1,0,1,14))*100,"")</f>
      </c>
      <c r="BB194">
        <f>IFERROR((MAX(OFFSET(高値!$E$6,IFERROR(MATCH($C194,銘柄管理!$B$6:$B$305,0),MATCH(TEXT($C194,"0"),銘柄管理!$B$6:$B$305,0))-1,0,1,25))-MIN(OFFSET(安値!$E$6,IFERROR(MATCH($C194,銘柄管理!$B$6:$B$305,0),MATCH(TEXT($C194,"0"),銘柄管理!$B$6:$B$305,0))-1,0,1,25)))/$E194*100,"")</f>
      </c>
      <c r="BC194">
        <f>IFERROR(($F194-$G194)/$G194*100,"")</f>
      </c>
      <c r="BD194">
        <f>IFERROR(($E194-MAX(OFFSET(高値!$E$6,IFERROR(MATCH($C194,銘柄管理!$B$6:$B$305,0),MATCH(TEXT($C194,"0"),銘柄管理!$B$6:$B$305,0))-1,0,1,25)))/MAX(OFFSET(高値!$E$6,IFERROR(MATCH($C194,銘柄管理!$B$6:$B$305,0),MATCH(TEXT($C194,"0"),銘柄管理!$B$6:$B$305,0))-1,0,1,25))*100,"")</f>
      </c>
      <c r="BE194">
        <f>IFERROR(($H194-$I194)/$F194*100,"")</f>
      </c>
      <c r="BF194">
        <f>IFERROR(-(($BA194-AVERAGE($BA$3:$BA$206))/STDEV($BA$3:$BA$206))-(($BE194-AVERAGE($BE$3:$BE$206))/STDEV($BE$3:$BE$206))-(($BB194-AVERAGE($BB$3:$BB$206))/STDEV($BB$3:$BB$206))-(($Z194-AVERAGE($Z$3:$Z$206))/STDEV($Z$3:$Z$206))-(($BC194-AVERAGE($BC$3:$BC$206))/STDEV($BC$3:$BC$206)),"")</f>
      </c>
      <c r="BG194">
        <f>IF(OR($C194="",$C194="TOPX",$BA194="",$BF194=""),0,IF(AND($BK$10=1,$BA194&lt;=$BK$2,$BB194&lt;=$BK$3,$BC194&lt;=$BK$4,$Z194&lt;=$BK$5,$Z194&gt;=$BK$6,$BD194&gt;=$BK$7,$BE194&lt;=$BK$8),1,0))</f>
      </c>
      <c r="BH194">
        <f>IF($C194="","",IF($BG194=1,"○ゲート通過",IF($BK$10&lt;&gt;1,"― この方向は停止中",IF($BA194&gt;$BK$2,"×値動きが荒い",IF($BB194&gt;$BK$3,"×レンジが広い",IF($BC194&gt;$BK$4,"×窓を開けて上昇",IF($Z194&gt;$BK$5,"×前日に急騰",IF($Z194&lt;$BK$6,"×前日に急落",IF($BD194&lt;$BK$7,"×高値から離れすぎ",IF($BE194&gt;$BK$8,"×当日の値幅が大きい","×")))))))))</f>
      </c>
    </row>
    <row r="195" spans="1:60"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IF(AND(E195&lt;&gt;"",K195&lt;&gt;"",K195&lt;&gt;0),(E195-K195)/K195*100,"")</f>
        <v>-33.633020024519823</v>
      </c>
      <c r="M195" s="326">
        <f>IF(C195&lt;&gt;"",IFERROR(AVERAGE(出来高!E192:I192),""),"")</f>
        <v>483740</v>
      </c>
      <c r="N195" s="326">
        <f>IF(C195&lt;&gt;"",IFERROR(AVERAGE(出来高!E192:AC192),""),"")</f>
        <v>425448</v>
      </c>
      <c r="O195" s="328">
        <f>IF(AND(J195&lt;&gt;"",M195&lt;&gt;"",M195&lt;&gt;0),J195/M195,"")</f>
        <v>0.80725182949518337</v>
      </c>
      <c r="P195" s="325" t="str">
        <f>IF(O195="","",IF(O195&gt;=2,"急増↑↑",IF(O195&gt;=1.5,"増加↑",IF(O195&gt;=1,"普通→","減少↓"))))</f>
        <v>減少↓</v>
      </c>
      <c r="Q195" s="325" t="str">
        <f>IF(E195="","",IF(AND(E195&lt;G195,O195&gt;=1.5),"売り▼",IF(E195&gt;G195,"様子見▲","中立→")))</f>
        <v>様子見▲</v>
      </c>
      <c r="R195" s="326">
        <f>IF(E195&lt;&gt;"",ROUND(E195*0.92,0),"")</f>
        <v>1494</v>
      </c>
      <c r="S195" s="326">
        <f>IF(E195&lt;&gt;"",ROUND(E195*1.04,0),"")</f>
        <v>1689</v>
      </c>
      <c r="T195" s="325">
        <f>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10</v>
      </c>
      <c r="U195" s="325" t="str">
        <f>IF(T195="","",IF(AND(T195&gt;=3,O195&gt;=1.5),"有効",IF(T195&gt;=3,"要確認","除外")))</f>
        <v>要確認</v>
      </c>
      <c r="V195" s="325" t="str">
        <f>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IF(AND(E195&lt;&gt;"",G195&lt;&gt;"",G195&lt;&gt;0),(E195-G195)/G195*100,"")</f>
        <v>1.5634771732332706</v>
      </c>
      <c r="AA195" s="325" t="str">
        <f>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IF(OR(C195="",AB195="",AC195="",AB195=0,AC195=0),"",IF(AND(E195&gt;AB195,AB195&gt;AC195),"パーフェクト▲",IF(E195&gt;AC195,"上昇トレンド▲",IF(AND(E195&lt;AB195,AB195&lt;AC195),"下降トレンド▼","もみ合い→"))))</f>
        <v>もみ合い→</v>
      </c>
      <c r="AE195" s="325" t="str">
        <f>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IF(AND(T195&gt;=7,C195&lt;&gt;""),T195,0)</f>
        <v>10</v>
      </c>
      <c r="AH195">
        <f>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IFERROR((終値!$E$5-INDEX(終値!$E$5:$IT$5,1,$AN$2))/INDEX(終値!$E$5:$IT$5,1,$AN$2)*100,"")</f>
        <v>1.0179378228534113</v>
      </c>
      <c r="AK195" s="374">
        <f>IF(OR(AI195="",AJ195=""),"",AI195-AJ195)</f>
        <v>-4.062713942256396</v>
      </c>
      <c r="AL195" s="372">
        <f>IF(AK195="","",IF(AK195&lt;-5,3,IF(AK195&lt;0,1,IF(AK195&lt;3,-1,-2))))</f>
        <v>1</v>
      </c>
      <c r="AO195" s="376" t="str">
        <f>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IF($AO195="上ヒゲ陰線▼",2,IF($AO195="大陰線▼",2,IF($AO195="長い下ヒゲ(反発警戒)",-2,0)))</f>
        <v>0</v>
      </c>
      <c r="AQ195">
        <f>IF(C195&lt;&gt;"",始値!F192,"")</f>
        <v>1605</v>
      </c>
      <c r="AR195">
        <f>IF(C195&lt;&gt;"",高値!F192,"")</f>
        <v>1619</v>
      </c>
      <c r="AS195">
        <f>IF(C195&lt;&gt;"",安値!F192,"")</f>
        <v>1599</v>
      </c>
      <c r="AT195" t="str">
        <f>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IF(AT195="上ヒゲ陰線▼",2,IF(AT195="大陰線▼",2,IF(AT195="長い下ヒゲ(反発)",-2,0)))</f>
        <v>2</v>
      </c>
      <c r="BA195">
        <f>IFERROR((SUM(OFFSET(高値!$E$6,IFERROR(MATCH($C195,銘柄管理!$B$6:$B$305,0),MATCH(TEXT($C195,"0"),銘柄管理!$B$6:$B$305,0))-1,0,1,14))-SUM(OFFSET(安値!$E$6,IFERROR(MATCH($C195,銘柄管理!$B$6:$B$305,0),MATCH(TEXT($C195,"0"),銘柄管理!$B$6:$B$305,0))-1,0,1,14)))/SUM(OFFSET(終値!$E$6,IFERROR(MATCH($C195,銘柄管理!$B$6:$B$305,0),MATCH(TEXT($C195,"0"),銘柄管理!$B$6:$B$305,0))-1,0,1,14))*100,"")</f>
      </c>
      <c r="BB195">
        <f>IFERROR((MAX(OFFSET(高値!$E$6,IFERROR(MATCH($C195,銘柄管理!$B$6:$B$305,0),MATCH(TEXT($C195,"0"),銘柄管理!$B$6:$B$305,0))-1,0,1,25))-MIN(OFFSET(安値!$E$6,IFERROR(MATCH($C195,銘柄管理!$B$6:$B$305,0),MATCH(TEXT($C195,"0"),銘柄管理!$B$6:$B$305,0))-1,0,1,25)))/$E195*100,"")</f>
      </c>
      <c r="BC195">
        <f>IFERROR(($F195-$G195)/$G195*100,"")</f>
      </c>
      <c r="BD195">
        <f>IFERROR(($E195-MAX(OFFSET(高値!$E$6,IFERROR(MATCH($C195,銘柄管理!$B$6:$B$305,0),MATCH(TEXT($C195,"0"),銘柄管理!$B$6:$B$305,0))-1,0,1,25)))/MAX(OFFSET(高値!$E$6,IFERROR(MATCH($C195,銘柄管理!$B$6:$B$305,0),MATCH(TEXT($C195,"0"),銘柄管理!$B$6:$B$305,0))-1,0,1,25))*100,"")</f>
      </c>
      <c r="BE195">
        <f>IFERROR(($H195-$I195)/$F195*100,"")</f>
      </c>
      <c r="BF195">
        <f>IFERROR(-(($BA195-AVERAGE($BA$3:$BA$206))/STDEV($BA$3:$BA$206))-(($BE195-AVERAGE($BE$3:$BE$206))/STDEV($BE$3:$BE$206))-(($BB195-AVERAGE($BB$3:$BB$206))/STDEV($BB$3:$BB$206))-(($Z195-AVERAGE($Z$3:$Z$206))/STDEV($Z$3:$Z$206))-(($BC195-AVERAGE($BC$3:$BC$206))/STDEV($BC$3:$BC$206)),"")</f>
      </c>
      <c r="BG195">
        <f>IF(OR($C195="",$C195="TOPX",$BA195="",$BF195=""),0,IF(AND($BK$10=1,$BA195&lt;=$BK$2,$BB195&lt;=$BK$3,$BC195&lt;=$BK$4,$Z195&lt;=$BK$5,$Z195&gt;=$BK$6,$BD195&gt;=$BK$7,$BE195&lt;=$BK$8),1,0))</f>
      </c>
      <c r="BH195">
        <f>IF($C195="","",IF($BG195=1,"○ゲート通過",IF($BK$10&lt;&gt;1,"― この方向は停止中",IF($BA195&gt;$BK$2,"×値動きが荒い",IF($BB195&gt;$BK$3,"×レンジが広い",IF($BC195&gt;$BK$4,"×窓を開けて上昇",IF($Z195&gt;$BK$5,"×前日に急騰",IF($Z195&lt;$BK$6,"×前日に急落",IF($BD195&lt;$BK$7,"×高値から離れすぎ",IF($BE195&gt;$BK$8,"×当日の値幅が大きい","×")))))))))</f>
      </c>
    </row>
    <row r="196" spans="1:60"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IF(AND(E196&lt;&gt;"",K196&lt;&gt;"",K196&lt;&gt;0),(E196-K196)/K196*100,"")</f>
        <v>-8.3143507972665152</v>
      </c>
      <c r="M196" s="333">
        <f>IF(C196&lt;&gt;"",IFERROR(AVERAGE(出来高!E194:I194),""),"")</f>
        <v>620160</v>
      </c>
      <c r="N196" s="333">
        <f>IF(C196&lt;&gt;"",IFERROR(AVERAGE(出来高!E194:AC194),""),"")</f>
        <v>589525</v>
      </c>
      <c r="O196" s="335">
        <f>IF(AND(J196&lt;&gt;"",M196&lt;&gt;"",M196&lt;&gt;0),J196/M196,"")</f>
        <v>0.98942208462332304</v>
      </c>
      <c r="P196" s="212" t="str">
        <f>IF(O196="","",IF(O196&gt;=2,"急増↑↑",IF(O196&gt;=1.5,"増加↑",IF(O196&gt;=1,"普通→","減少↓"))))</f>
        <v>減少↓</v>
      </c>
      <c r="Q196" s="212" t="str">
        <f>IF(E196="","",IF(AND(E196&lt;G196,O196&gt;=1.5),"売り▼",IF(E196&gt;G196,"様子見▲","中立→")))</f>
        <v>様子見▲</v>
      </c>
      <c r="R196" s="333">
        <f>IF(E196&lt;&gt;"",ROUND(E196*0.92,0),"")</f>
        <v>7406</v>
      </c>
      <c r="S196" s="333">
        <f>IF(E196&lt;&gt;"",ROUND(E196*1.04,0),"")</f>
        <v>8372</v>
      </c>
      <c r="T196" s="325">
        <f>IF(C196="","",IFERROR(IF(W196&gt;=70,3,IF(W196&gt;=60,2,IF(W196&gt;=50,1,0)))+IF(X196&lt;0,2,0)+IF(AD196="下降トレンド▼",3,IF(AD196="もみ合い→",1,0))+IF(V196="年初来安値圏●",3,IF(V196="安値圏",2,0))+IF(Q196="売り▼",2,0)+IF(P196="急増↑↑",2,IF(P196="増加↑",1,0))+IF(Z196&lt;0,1,0)+IF(L196&lt;=-30,2,IF(L196&lt;=-15,1,0))+IF(AE196="25日戻り売り★",2,IF(AE196="5日戻り売り○",1,0))+N(AL196)+N(AP196)+N(AU196),0))</f>
        <v>2</v>
      </c>
      <c r="U196" s="212" t="str">
        <f>IF(T196="","",IF(AND(T196&gt;=3,O196&gt;=1.5),"有効",IF(T196&gt;=3,"要確認","除外")))</f>
        <v>除外</v>
      </c>
      <c r="V196" s="212" t="str">
        <f>IF(AND(I196&lt;&gt;"",K196&lt;&gt;""),IF(I196&lt;=K196*0.6,"年初来安値圏●",IF(I196&lt;=K196*0.75,"安値圏","通常")),"")</f>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IF(AF196="","",AF196&amp;" | "&amp;AD196&amp;IF(AE196&lt;&gt;"なし"," "&amp;AE196,"")&amp;IF(X196&lt;0," MACD-"," MACD+")&amp;" RSI:"&amp;TEXT(W196,"0.0")&amp;IF(W196&gt;=70," [過熱]",IF(W196&lt;=30," [売られ過ぎ]",""))&amp;" 前日比:"&amp;TEXT(Z196,"+0.0;-0.0;0.0")&amp;"%"&amp;IF(V196="年初来安値圏●"," [年初来安値圏]",IF(V196="安値圏"," [安値圏]",""))&amp;IF(OR(AO196="通常",AO196="-"),""," ["&amp;AO196&amp;"]")&amp;IF(OR(AT196="通常",AT196="-"),"","前日["&amp;AT196&amp;"]")&amp;" ["&amp;T196&amp;"点]")</f>
        <v>相場上昇・見送り | 上昇トレンド▲ 5日戻り売り○ MACD+ RSI:51.3 前日比:+0.8%前日[大陰線▼] [2点]</v>
      </c>
      <c r="Z196" s="338">
        <f>IF(AND(E196&lt;&gt;"",G196&lt;&gt;"",G196&lt;&gt;0),(E196-G196)/G196*100,"")</f>
        <v>0.75093867334167708</v>
      </c>
      <c r="AA196" s="212" t="str">
        <f>IF(OR(C196="",E196="",E196=0),"",IF(E196&gt;G196,"上昇▲",IF(E196&lt;G196,"下落▼","横ばい→")))</f>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IF(OR(C196="",AB196="",AC196="",AB196=0,AC196=0),"",IF(AND(E196&gt;AB196,AB196&gt;AC196),"パーフェクト▲",IF(E196&gt;AC196,"上昇トレンド▲",IF(AND(E196&lt;AB196,AB196&lt;AC196),"下降トレンド▼","もみ合い→"))))</f>
        <v>上昇トレンド▲</v>
      </c>
      <c r="AE196" s="212" t="str">
        <f>IF(OR(C196="",AB196="",AC196=""),"",IF(AND(ABS(E196-AC196)/AC196&lt;=0.02,E196&lt;AC196),"25日戻り売り★",IF(AND(ABS(E196-AB196)/AB196&lt;=0.01,E196&lt;AB196),"5日戻り売り○","なし")))</f>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IF(AND(T196&gt;=7,C196&lt;&gt;""),T196,0)</f>
        <v>0</v>
      </c>
      <c r="AH196">
        <f>IF(AG196&gt;0,AG196*10000-ROW(A196),0)</f>
        <v>0</v>
      </c>
      <c r="AI196" s="373">
        <f t="array" ref="AI196">IF(C196="","",IFERROR((INDEX(終値!$E:$E,MATCH(TEXT(C196,"0"),終値!$A:$A,0))-INDEX(終値!$E:$CZ,MATCH(TEXT(C196,"0"),終値!$A:$A,0),$AN$2))/INDEX(終値!$E:$CZ,MATCH(TEXT(C196,"0"),終値!$A:$A,0),$AN$2)*100,""))</f>
        <v>9.6730245231607626</v>
      </c>
      <c r="AJ196" s="373">
        <f t="array" ref="AJ196">IFERROR((終値!$E$5-INDEX(終値!$E$5:$IT$5,1,$AN$2))/INDEX(終値!$E$5:$IT$5,1,$AN$2)*100,"")</f>
        <v>1.0179378228534113</v>
      </c>
      <c r="AK196" s="374">
        <f>IF(OR(AI196="",AJ196=""),"",AI196-AJ196)</f>
        <v>8.6550867003073506</v>
      </c>
      <c r="AL196" s="372">
        <f>IF(AK196="","",IF(AK196&lt;-5,3,IF(AK196&lt;0,1,IF(AK196&lt;3,-1,-2))))</f>
        <v>-2</v>
      </c>
      <c r="AO196" s="376" t="str">
        <f>IF(OR($C196="",$E196="",$F196="",$H196="",$I196="",$H196-$I196&lt;=0),"-",IF(AND($H196-MAX($F196,$E196)&gt;=ABS($E196-$F196)*2,MIN($F196,$E196)-$I196&lt;=ABS($E196-$F196)*0.5,ABS($E196-$F196)&gt;0),"上ヒゲ陰線▼",IF(AND($E196&lt;$F196,ABS($E196-$F196)&gt;=($H196-$I196)*0.7),"大陰線▼",IF(AND(MIN($F196,$E196)-$I196&gt;=($H196-$I196)*0.5,$H196-MAX($F196,$E196)&lt;=($H196-$I196)*0.2),"長い下ヒゲ(反発警戒)","通常"))))</f>
        <v>通常</v>
      </c>
      <c r="AP196" s="377">
        <f>IF($AO196="上ヒゲ陰線▼",2,IF($AO196="大陰線▼",2,IF($AO196="長い下ヒゲ(反発警戒)",-2,0)))</f>
        <v>0</v>
      </c>
      <c r="AQ196">
        <f>IF(C196&lt;&gt;"",始値!F194,"")</f>
        <v>8140</v>
      </c>
      <c r="AR196">
        <f>IF(C196&lt;&gt;"",高値!F194,"")</f>
        <v>8150</v>
      </c>
      <c r="AS196">
        <f>IF(C196&lt;&gt;"",安値!F194,"")</f>
        <v>7980</v>
      </c>
      <c r="AT196" t="str">
        <f>IF(OR(C196="",AQ196="",AR196="",AS196="",AR196-AS196&lt;=0),"-",IF(AND(AR196-MAX(G196,AQ196)&gt;=ABS(G196-AQ196)*2,MIN(G196,AQ196)-AS196&lt;=ABS(G196-AQ196)*0.5,ABS(G196-AQ196)&gt;0),"上ヒゲ陰線▼",IF(AND(G196&lt;AQ196,ABS(G196-AQ196)&gt;=(AR196-AS196)*0.7),"大陰線▼",IF(AND(MIN(G196,AQ196)-AS196&gt;=(AR196-AS196)*0.5,AR196-MAX(G196,AQ196)&lt;=(AR196-AS196)*0.2),"長い下ヒゲ(反発)","通常"))))</f>
        <v>大陰線▼</v>
      </c>
      <c r="AU196">
        <f>IF(AT196="上ヒゲ陰線▼",2,IF(AT196="大陰線▼",2,IF(AT196="長い下ヒゲ(反発)",-2,0)))</f>
        <v>2</v>
      </c>
      <c r="BA196">
        <f>IFERROR((SUM(OFFSET(高値!$E$6,IFERROR(MATCH($C196,銘柄管理!$B$6:$B$305,0),MATCH(TEXT($C196,"0"),銘柄管理!$B$6:$B$305,0))-1,0,1,14))-SUM(OFFSET(安値!$E$6,IFERROR(MATCH($C196,銘柄管理!$B$6:$B$305,0),MATCH(TEXT($C196,"0"),銘柄管理!$B$6:$B$305,0))-1,0,1,14)))/SUM(OFFSET(終値!$E$6,IFERROR(MATCH($C196,銘柄管理!$B$6:$B$305,0),MATCH(TEXT($C196,"0"),銘柄管理!$B$6:$B$305,0))-1,0,1,14))*100,"")</f>
      </c>
      <c r="BB196">
        <f>IFERROR((MAX(OFFSET(高値!$E$6,IFERROR(MATCH($C196,銘柄管理!$B$6:$B$305,0),MATCH(TEXT($C196,"0"),銘柄管理!$B$6:$B$305,0))-1,0,1,25))-MIN(OFFSET(安値!$E$6,IFERROR(MATCH($C196,銘柄管理!$B$6:$B$305,0),MATCH(TEXT($C196,"0"),銘柄管理!$B$6:$B$305,0))-1,0,1,25)))/$E196*100,"")</f>
      </c>
      <c r="BC196">
        <f>IFERROR(($F196-$G196)/$G196*100,"")</f>
      </c>
      <c r="BD196">
        <f>IFERROR(($E196-MAX(OFFSET(高値!$E$6,IFERROR(MATCH($C196,銘柄管理!$B$6:$B$305,0),MATCH(TEXT($C196,"0"),銘柄管理!$B$6:$B$305,0))-1,0,1,25)))/MAX(OFFSET(高値!$E$6,IFERROR(MATCH($C196,銘柄管理!$B$6:$B$305,0),MATCH(TEXT($C196,"0"),銘柄管理!$B$6:$B$305,0))-1,0,1,25))*100,"")</f>
      </c>
      <c r="BE196">
        <f>IFERROR(($H196-$I196)/$F196*100,"")</f>
      </c>
      <c r="BF196">
        <f>IFERROR(-(($BA196-AVERAGE($BA$3:$BA$206))/STDEV($BA$3:$BA$206))-(($BE196-AVERAGE($BE$3:$BE$206))/STDEV($BE$3:$BE$206))-(($BB196-AVERAGE($BB$3:$BB$206))/STDEV($BB$3:$BB$206))-(($Z196-AVERAGE($Z$3:$Z$206))/STDEV($Z$3:$Z$206))-(($BC196-AVERAGE($BC$3:$BC$206))/STDEV($BC$3:$BC$206)),"")</f>
      </c>
      <c r="BG196">
        <f>IF(OR($C196="",$C196="TOPX",$BA196="",$BF196=""),0,IF(AND($BK$10=1,$BA196&lt;=$BK$2,$BB196&lt;=$BK$3,$BC196&lt;=$BK$4,$Z196&lt;=$BK$5,$Z196&gt;=$BK$6,$BD196&gt;=$BK$7,$BE196&lt;=$BK$8),1,0))</f>
      </c>
      <c r="BH196">
        <f>IF($C196="","",IF($BG196=1,"○ゲート通過",IF($BK$10&lt;&gt;1,"― この方向は停止中",IF($BA196&gt;$BK$2,"×値動きが荒い",IF($BB196&gt;$BK$3,"×レンジが広い",IF($BC196&gt;$BK$4,"×窓を開けて上昇",IF($Z196&gt;$BK$5,"×前日に急騰",IF($Z196&lt;$BK$6,"×前日に急落",IF($BD196&lt;$BK$7,"×高値から離れすぎ",IF($BE196&gt;$BK$8,"×当日の値幅が大きい","×")))))))))</f>
      </c>
    </row>
    <row r="197" spans="1:60"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IF(AND(E197&lt;&gt;"",K197&lt;&gt;"",K197&lt;&gt;0),(E197-K197)/K197*100,"")</f>
        <v>-23.233486943164365</v>
      </c>
      <c r="M197" s="326">
        <f>IF(C197&lt;&gt;"",IFERROR(AVERAGE(出来高!E207:I207),""),"")</f>
        <v>29811200</v>
      </c>
      <c r="N197" s="326">
        <f>IF(C197&lt;&gt;"",IFERROR(AVERAGE(出来高!E207:AC207),""),"")</f>
        <v>20416600</v>
      </c>
      <c r="O197" s="328">
        <f>IF(AND(J197&lt;&gt;"",M197&lt;&gt;"",M197&lt;&gt;0),J197/M197,"")</f>
        <v>0.66469313546586517</v>
      </c>
      <c r="P197" s="325" t="str">
        <f>IF(O197="","",IF(O197&gt;=2,"急増↑↑",IF(O197&gt;=1.5,"増加↑",IF(O197&gt;=1,"普通→","減少↓"))))</f>
        <v>減少↓</v>
      </c>
      <c r="Q197" s="325" t="str">
        <f>IF(E197="","",IF(AND(E197&lt;G197,O197&gt;=1.5),"売り▼",IF(E197&gt;G197,"様子見▲","中立→")))</f>
        <v>中立→</v>
      </c>
      <c r="R197" s="326">
        <f>IF(E197&lt;&gt;"",ROUND(E197*0.92,0),"")</f>
        <v>3678</v>
      </c>
      <c r="S197" s="326">
        <f>IF(E197&lt;&gt;"",ROUND(E197*1.04,0),"")</f>
        <v>4158</v>
      </c>
      <c r="T197" s="325">
        <f>IF(C197="","",IFERROR(IF(W197&gt;=70,3,IF(W197&gt;=60,2,IF(W197&gt;=50,1,0)))+IF(X197&lt;0,2,0)+IF(AD197="下降トレンド▼",3,IF(AD197="もみ合い→",1,0))+IF(V197="年初来安値圏●",3,IF(V197="安値圏",2,0))+IF(Q197="売り▼",2,0)+IF(P197="急増↑↑",2,IF(P197="増加↑",1,0))+IF(Z197&lt;0,1,0)+IF(L197&lt;=-30,2,IF(L197&lt;=-15,1,0))+IF(AE197="25日戻り売り★",2,IF(AE197="5日戻り売り○",1,0))+N(AL197)+N(AP197)+N(AU197),0))</f>
        <v>-1</v>
      </c>
      <c r="U197" s="325" t="str">
        <f>IF(T197="","",IF(AND(T197&gt;=3,O197&gt;=1.5),"有効",IF(T197&gt;=3,"要確認","除外")))</f>
        <v>除外</v>
      </c>
      <c r="V197" s="325" t="str">
        <f>IF(AND(I197&lt;&gt;"",K197&lt;&gt;""),IF(I197&lt;=K197*0.6,"年初来安値圏●",IF(I197&lt;=K197*0.75,"安値圏","通常")),"")</f>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IF(AF197="","",AF197&amp;" | "&amp;AD197&amp;IF(AE197&lt;&gt;"なし"," "&amp;AE197,"")&amp;IF(X197&lt;0," MACD-"," MACD+")&amp;" RSI:"&amp;TEXT(W197,"0.0")&amp;IF(W197&gt;=70," [過熱]",IF(W197&lt;=30," [売られ過ぎ]",""))&amp;" 前日比:"&amp;TEXT(Z197,"+0.0;-0.0;0.0")&amp;"%"&amp;IF(V197="年初来安値圏●"," [年初来安値圏]",IF(V197="安値圏"," [安値圏]",""))&amp;IF(OR(AO197="通常",AO197="-"),""," ["&amp;AO197&amp;"]")&amp;IF(OR(AT197="通常",AT197="-"),"","前日["&amp;AT197&amp;"]")&amp;" ["&amp;T197&amp;"点]")</f>
        <v>相場上昇・見送り | パーフェクト▲ MACD+ RSI:58.1 前日比:-0.1%前日[長い下ヒゲ(反発)] [-1点]</v>
      </c>
      <c r="Z197" s="331">
        <f>IF(AND(E197&lt;&gt;"",G197&lt;&gt;"",G197&lt;&gt;0),(E197-G197)/G197*100,"")</f>
        <v>-0.05</v>
      </c>
      <c r="AA197" s="325" t="str">
        <f>IF(OR(C197="",E197="",E197=0),"",IF(E197&gt;G197,"上昇▲",IF(E197&lt;G197,"下落▼","横ばい→")))</f>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IF(OR(C197="",AB197="",AC197="",AB197=0,AC197=0),"",IF(AND(E197&gt;AB197,AB197&gt;AC197),"パーフェクト▲",IF(E197&gt;AC197,"上昇トレンド▲",IF(AND(E197&lt;AB197,AB197&lt;AC197),"下降トレンド▼","もみ合い→"))))</f>
        <v>パーフェクト▲</v>
      </c>
      <c r="AE197" s="325" t="str">
        <f>IF(OR(C197="",AB197="",AC197=""),"",IF(AND(ABS(E197-AC197)/AC197&lt;=0.02,E197&lt;AC197),"25日戻り売り★",IF(AND(ABS(E197-AB197)/AB197&lt;=0.01,E197&lt;AB197),"5日戻り売り○","なし")))</f>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IF(AND(T197&gt;=7,C197&lt;&gt;""),T197,0)</f>
        <v>0</v>
      </c>
      <c r="AH197">
        <f>IF(AG197&gt;0,AG197*10000-ROW(A197),0)</f>
        <v>0</v>
      </c>
      <c r="AI197" s="373">
        <f t="array" ref="AI197">IF(C197="","",IFERROR((INDEX(終値!$E:$E,MATCH(TEXT(C197,"0"),終値!$A:$A,0))-INDEX(終値!$E:$CZ,MATCH(TEXT(C197,"0"),終値!$A:$A,0),$AN$2))/INDEX(終値!$E:$CZ,MATCH(TEXT(C197,"0"),終値!$A:$A,0),$AN$2)*100,""))</f>
        <v>7.0128479657387581</v>
      </c>
      <c r="AJ197" s="373">
        <f t="array" ref="AJ197">IFERROR((終値!$E$5-INDEX(終値!$E$5:$IT$5,1,$AN$2))/INDEX(終値!$E$5:$IT$5,1,$AN$2)*100,"")</f>
        <v>1.0179378228534113</v>
      </c>
      <c r="AK197" s="374">
        <f>IF(OR(AI197="",AJ197=""),"",AI197-AJ197)</f>
        <v>5.9949101428853471</v>
      </c>
      <c r="AL197" s="372">
        <f>IF(AK197="","",IF(AK197&lt;-5,3,IF(AK197&lt;0,1,IF(AK197&lt;3,-1,-2))))</f>
        <v>-2</v>
      </c>
      <c r="AO197" s="376" t="str">
        <f>IF(OR($C197="",$E197="",$F197="",$H197="",$I197="",$H197-$I197&lt;=0),"-",IF(AND($H197-MAX($F197,$E197)&gt;=ABS($E197-$F197)*2,MIN($F197,$E197)-$I197&lt;=ABS($E197-$F197)*0.5,ABS($E197-$F197)&gt;0),"上ヒゲ陰線▼",IF(AND($E197&lt;$F197,ABS($E197-$F197)&gt;=($H197-$I197)*0.7),"大陰線▼",IF(AND(MIN($F197,$E197)-$I197&gt;=($H197-$I197)*0.5,$H197-MAX($F197,$E197)&lt;=($H197-$I197)*0.2),"長い下ヒゲ(反発警戒)","通常"))))</f>
        <v>通常</v>
      </c>
      <c r="AP197" s="377">
        <f>IF($AO197="上ヒゲ陰線▼",2,IF($AO197="大陰線▼",2,IF($AO197="長い下ヒゲ(反発警戒)",-2,0)))</f>
        <v>0</v>
      </c>
      <c r="AQ197">
        <f>IF(C197&lt;&gt;"",始値!F207,"")</f>
        <v>4040</v>
      </c>
      <c r="AR197">
        <f>IF(C197&lt;&gt;"",高値!F207,"")</f>
        <v>4072</v>
      </c>
      <c r="AS197">
        <f>IF(C197&lt;&gt;"",安値!F207,"")</f>
        <v>3887</v>
      </c>
      <c r="AT197" t="str">
        <f>IF(OR(C197="",AQ197="",AR197="",AS197="",AR197-AS197&lt;=0),"-",IF(AND(AR197-MAX(G197,AQ197)&gt;=ABS(G197-AQ197)*2,MIN(G197,AQ197)-AS197&lt;=ABS(G197-AQ197)*0.5,ABS(G197-AQ197)&gt;0),"上ヒゲ陰線▼",IF(AND(G197&lt;AQ197,ABS(G197-AQ197)&gt;=(AR197-AS197)*0.7),"大陰線▼",IF(AND(MIN(G197,AQ197)-AS197&gt;=(AR197-AS197)*0.5,AR197-MAX(G197,AQ197)&lt;=(AR197-AS197)*0.2),"長い下ヒゲ(反発)","通常"))))</f>
        <v>長い下ヒゲ(反発)</v>
      </c>
      <c r="AU197">
        <f>IF(AT197="上ヒゲ陰線▼",2,IF(AT197="大陰線▼",2,IF(AT197="長い下ヒゲ(反発)",-2,0)))</f>
        <v>-2</v>
      </c>
      <c r="BA197">
        <f>IFERROR((SUM(OFFSET(高値!$E$6,IFERROR(MATCH($C197,銘柄管理!$B$6:$B$305,0),MATCH(TEXT($C197,"0"),銘柄管理!$B$6:$B$305,0))-1,0,1,14))-SUM(OFFSET(安値!$E$6,IFERROR(MATCH($C197,銘柄管理!$B$6:$B$305,0),MATCH(TEXT($C197,"0"),銘柄管理!$B$6:$B$305,0))-1,0,1,14)))/SUM(OFFSET(終値!$E$6,IFERROR(MATCH($C197,銘柄管理!$B$6:$B$305,0),MATCH(TEXT($C197,"0"),銘柄管理!$B$6:$B$305,0))-1,0,1,14))*100,"")</f>
      </c>
      <c r="BB197">
        <f>IFERROR((MAX(OFFSET(高値!$E$6,IFERROR(MATCH($C197,銘柄管理!$B$6:$B$305,0),MATCH(TEXT($C197,"0"),銘柄管理!$B$6:$B$305,0))-1,0,1,25))-MIN(OFFSET(安値!$E$6,IFERROR(MATCH($C197,銘柄管理!$B$6:$B$305,0),MATCH(TEXT($C197,"0"),銘柄管理!$B$6:$B$305,0))-1,0,1,25)))/$E197*100,"")</f>
      </c>
      <c r="BC197">
        <f>IFERROR(($F197-$G197)/$G197*100,"")</f>
      </c>
      <c r="BD197">
        <f>IFERROR(($E197-MAX(OFFSET(高値!$E$6,IFERROR(MATCH($C197,銘柄管理!$B$6:$B$305,0),MATCH(TEXT($C197,"0"),銘柄管理!$B$6:$B$305,0))-1,0,1,25)))/MAX(OFFSET(高値!$E$6,IFERROR(MATCH($C197,銘柄管理!$B$6:$B$305,0),MATCH(TEXT($C197,"0"),銘柄管理!$B$6:$B$305,0))-1,0,1,25))*100,"")</f>
      </c>
      <c r="BE197">
        <f>IFERROR(($H197-$I197)/$F197*100,"")</f>
      </c>
      <c r="BF197">
        <f>IFERROR(-(($BA197-AVERAGE($BA$3:$BA$206))/STDEV($BA$3:$BA$206))-(($BE197-AVERAGE($BE$3:$BE$206))/STDEV($BE$3:$BE$206))-(($BB197-AVERAGE($BB$3:$BB$206))/STDEV($BB$3:$BB$206))-(($Z197-AVERAGE($Z$3:$Z$206))/STDEV($Z$3:$Z$206))-(($BC197-AVERAGE($BC$3:$BC$206))/STDEV($BC$3:$BC$206)),"")</f>
      </c>
      <c r="BG197">
        <f>IF(OR($C197="",$C197="TOPX",$BA197="",$BF197=""),0,IF(AND($BK$10=1,$BA197&lt;=$BK$2,$BB197&lt;=$BK$3,$BC197&lt;=$BK$4,$Z197&lt;=$BK$5,$Z197&gt;=$BK$6,$BD197&gt;=$BK$7,$BE197&lt;=$BK$8),1,0))</f>
      </c>
      <c r="BH197">
        <f>IF($C197="","",IF($BG197=1,"○ゲート通過",IF($BK$10&lt;&gt;1,"― この方向は停止中",IF($BA197&gt;$BK$2,"×値動きが荒い",IF($BB197&gt;$BK$3,"×レンジが広い",IF($BC197&gt;$BK$4,"×窓を開けて上昇",IF($Z197&gt;$BK$5,"×前日に急騰",IF($Z197&lt;$BK$6,"×前日に急落",IF($BD197&lt;$BK$7,"×高値から離れすぎ",IF($BE197&gt;$BK$8,"×当日の値幅が大きい","×")))))))))</f>
      </c>
    </row>
    <row r="198" spans="1:60"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IF(AND(E198&lt;&gt;"",K198&lt;&gt;"",K198&lt;&gt;0),(E198-K198)/K198*100,"")</f>
        <v>-3.2335011926848662</v>
      </c>
      <c r="M198" s="333">
        <f>IF(C198&lt;&gt;"",IFERROR(AVERAGE(出来高!E33:I33),""),"")</f>
        <v>5796960</v>
      </c>
      <c r="N198" s="333">
        <f>IF(C198&lt;&gt;"",IFERROR(AVERAGE(出来高!E33:AC33),""),"")</f>
        <v>4949128</v>
      </c>
      <c r="O198" s="335">
        <f>IF(AND(J198&lt;&gt;"",M198&lt;&gt;"",M198&lt;&gt;0),J198/M198,"")</f>
        <v>0.62831208081477186</v>
      </c>
      <c r="P198" s="212" t="str">
        <f>IF(O198="","",IF(O198&gt;=2,"急増↑↑",IF(O198&gt;=1.5,"増加↑",IF(O198&gt;=1,"普通→","減少↓"))))</f>
        <v>減少↓</v>
      </c>
      <c r="Q198" s="212" t="str">
        <f>IF(E198="","",IF(AND(E198&lt;G198,O198&gt;=1.5),"売り▼",IF(E198&gt;G198,"様子見▲","中立→")))</f>
        <v>様子見▲</v>
      </c>
      <c r="R198" s="333">
        <f>IF(E198&lt;&gt;"",ROUND(E198*0.92,0),"")</f>
        <v>1679</v>
      </c>
      <c r="S198" s="333">
        <f>IF(E198&lt;&gt;"",ROUND(E198*1.04,0),"")</f>
        <v>1899</v>
      </c>
      <c r="T198" s="325">
        <f>IF(C198="","",IFERROR(IF(W198&gt;=70,3,IF(W198&gt;=60,2,IF(W198&gt;=50,1,0)))+IF(X198&lt;0,2,0)+IF(AD198="下降トレンド▼",3,IF(AD198="もみ合い→",1,0))+IF(V198="年初来安値圏●",3,IF(V198="安値圏",2,0))+IF(Q198="売り▼",2,0)+IF(P198="急増↑↑",2,IF(P198="増加↑",1,0))+IF(Z198&lt;0,1,0)+IF(L198&lt;=-30,2,IF(L198&lt;=-15,1,0))+IF(AE198="25日戻り売り★",2,IF(AE198="5日戻り売り○",1,0))+N(AL198)+N(AP198)+N(AU198),0))</f>
        <v>-2</v>
      </c>
      <c r="U198" s="212" t="str">
        <f>IF(T198="","",IF(AND(T198&gt;=3,O198&gt;=1.5),"有効",IF(T198&gt;=3,"要確認","除外")))</f>
        <v>除外</v>
      </c>
      <c r="V198" s="212" t="str">
        <f>IF(AND(I198&lt;&gt;"",K198&lt;&gt;""),IF(I198&lt;=K198*0.6,"年初来安値圏●",IF(I198&lt;=K198*0.75,"安値圏","通常")),"")</f>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IF(AF198="","",AF198&amp;" | "&amp;AD198&amp;IF(AE198&lt;&gt;"なし"," "&amp;AE198,"")&amp;IF(X198&lt;0," MACD-"," MACD+")&amp;" RSI:"&amp;TEXT(W198,"0.0")&amp;IF(W198&gt;=70," [過熱]",IF(W198&lt;=30," [売られ過ぎ]",""))&amp;" 前日比:"&amp;TEXT(Z198,"+0.0;-0.0;0.0")&amp;"%"&amp;IF(V198="年初来安値圏●"," [年初来安値圏]",IF(V198="安値圏"," [安値圏]",""))&amp;IF(OR(AO198="通常",AO198="-"),""," ["&amp;AO198&amp;"]")&amp;IF(OR(AT198="通常",AT198="-"),"","前日["&amp;AT198&amp;"]")&amp;" ["&amp;T198&amp;"点]")</f>
        <v>相場上昇・見送り | パーフェクト▲ MACD+ RSI:41.7 前日比:+0.8% [-2点]</v>
      </c>
      <c r="Z198" s="338">
        <f>IF(AND(E198&lt;&gt;"",G198&lt;&gt;"",G198&lt;&gt;0),(E198-G198)/G198*100,"")</f>
        <v>0.80066261733848698</v>
      </c>
      <c r="AA198" s="212" t="str">
        <f>IF(OR(C198="",E198="",E198=0),"",IF(E198&gt;G198,"上昇▲",IF(E198&lt;G198,"下落▼","横ばい→")))</f>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IF(OR(C198="",AB198="",AC198="",AB198=0,AC198=0),"",IF(AND(E198&gt;AB198,AB198&gt;AC198),"パーフェクト▲",IF(E198&gt;AC198,"上昇トレンド▲",IF(AND(E198&lt;AB198,AB198&lt;AC198),"下降トレンド▼","もみ合い→"))))</f>
        <v>パーフェクト▲</v>
      </c>
      <c r="AE198" s="212" t="str">
        <f>IF(OR(C198="",AB198="",AC198=""),"",IF(AND(ABS(E198-AC198)/AC198&lt;=0.02,E198&lt;AC198),"25日戻り売り★",IF(AND(ABS(E198-AB198)/AB198&lt;=0.01,E198&lt;AB198),"5日戻り売り○","なし")))</f>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IF(AND(T198&gt;=7,C198&lt;&gt;""),T198,0)</f>
        <v>0</v>
      </c>
      <c r="AH198">
        <f>IF(AG198&gt;0,AG198*10000-ROW(A198),0)</f>
        <v>0</v>
      </c>
      <c r="AI198" s="373">
        <f t="array" ref="AI198">IF(C198="","",IFERROR((INDEX(終値!$E:$E,MATCH(TEXT(C198,"0"),終値!$A:$A,0))-INDEX(終値!$E:$CZ,MATCH(TEXT(C198,"0"),終値!$A:$A,0),$AN$2))/INDEX(終値!$E:$CZ,MATCH(TEXT(C198,"0"),終値!$A:$A,0),$AN$2)*100,""))</f>
        <v>11.890897946674839</v>
      </c>
      <c r="AJ198" s="373">
        <f t="array" ref="AJ198">IFERROR((終値!$E$5-INDEX(終値!$E$5:$IT$5,1,$AN$2))/INDEX(終値!$E$5:$IT$5,1,$AN$2)*100,"")</f>
        <v>1.0179378228534113</v>
      </c>
      <c r="AK198" s="374">
        <f>IF(OR(AI198="",AJ198=""),"",AI198-AJ198)</f>
        <v>10.872960123821427</v>
      </c>
      <c r="AL198" s="372">
        <f>IF(AK198="","",IF(AK198&lt;-5,3,IF(AK198&lt;0,1,IF(AK198&lt;3,-1,-2))))</f>
        <v>-2</v>
      </c>
      <c r="AO198" s="376" t="str">
        <f>IF(OR($C198="",$E198="",$F198="",$H198="",$I198="",$H198-$I198&lt;=0),"-",IF(AND($H198-MAX($F198,$E198)&gt;=ABS($E198-$F198)*2,MIN($F198,$E198)-$I198&lt;=ABS($E198-$F198)*0.5,ABS($E198-$F198)&gt;0),"上ヒゲ陰線▼",IF(AND($E198&lt;$F198,ABS($E198-$F198)&gt;=($H198-$I198)*0.7),"大陰線▼",IF(AND(MIN($F198,$E198)-$I198&gt;=($H198-$I198)*0.5,$H198-MAX($F198,$E198)&lt;=($H198-$I198)*0.2),"長い下ヒゲ(反発警戒)","通常"))))</f>
        <v>通常</v>
      </c>
      <c r="AP198" s="377">
        <f>IF($AO198="上ヒゲ陰線▼",2,IF($AO198="大陰線▼",2,IF($AO198="長い下ヒゲ(反発警戒)",-2,0)))</f>
        <v>0</v>
      </c>
      <c r="AQ198">
        <f>IF(C198&lt;&gt;"",始値!F33,"")</f>
        <v>1787</v>
      </c>
      <c r="AR198">
        <f>IF(C198&lt;&gt;"",高値!F33,"")</f>
        <v>1830</v>
      </c>
      <c r="AS198">
        <f>IF(C198&lt;&gt;"",安値!F33,"")</f>
        <v>1782</v>
      </c>
      <c r="AT198" t="str">
        <f>IF(OR(C198="",AQ198="",AR198="",AS198="",AR198-AS198&lt;=0),"-",IF(AND(AR198-MAX(G198,AQ198)&gt;=ABS(G198-AQ198)*2,MIN(G198,AQ198)-AS198&lt;=ABS(G198-AQ198)*0.5,ABS(G198-AQ198)&gt;0),"上ヒゲ陰線▼",IF(AND(G198&lt;AQ198,ABS(G198-AQ198)&gt;=(AR198-AS198)*0.7),"大陰線▼",IF(AND(MIN(G198,AQ198)-AS198&gt;=(AR198-AS198)*0.5,AR198-MAX(G198,AQ198)&lt;=(AR198-AS198)*0.2),"長い下ヒゲ(反発)","通常"))))</f>
        <v>通常</v>
      </c>
      <c r="AU198">
        <f>IF(AT198="上ヒゲ陰線▼",2,IF(AT198="大陰線▼",2,IF(AT198="長い下ヒゲ(反発)",-2,0)))</f>
        <v>0</v>
      </c>
      <c r="BA198">
        <f>IFERROR((SUM(OFFSET(高値!$E$6,IFERROR(MATCH($C198,銘柄管理!$B$6:$B$305,0),MATCH(TEXT($C198,"0"),銘柄管理!$B$6:$B$305,0))-1,0,1,14))-SUM(OFFSET(安値!$E$6,IFERROR(MATCH($C198,銘柄管理!$B$6:$B$305,0),MATCH(TEXT($C198,"0"),銘柄管理!$B$6:$B$305,0))-1,0,1,14)))/SUM(OFFSET(終値!$E$6,IFERROR(MATCH($C198,銘柄管理!$B$6:$B$305,0),MATCH(TEXT($C198,"0"),銘柄管理!$B$6:$B$305,0))-1,0,1,14))*100,"")</f>
      </c>
      <c r="BB198">
        <f>IFERROR((MAX(OFFSET(高値!$E$6,IFERROR(MATCH($C198,銘柄管理!$B$6:$B$305,0),MATCH(TEXT($C198,"0"),銘柄管理!$B$6:$B$305,0))-1,0,1,25))-MIN(OFFSET(安値!$E$6,IFERROR(MATCH($C198,銘柄管理!$B$6:$B$305,0),MATCH(TEXT($C198,"0"),銘柄管理!$B$6:$B$305,0))-1,0,1,25)))/$E198*100,"")</f>
      </c>
      <c r="BC198">
        <f>IFERROR(($F198-$G198)/$G198*100,"")</f>
      </c>
      <c r="BD198">
        <f>IFERROR(($E198-MAX(OFFSET(高値!$E$6,IFERROR(MATCH($C198,銘柄管理!$B$6:$B$305,0),MATCH(TEXT($C198,"0"),銘柄管理!$B$6:$B$305,0))-1,0,1,25)))/MAX(OFFSET(高値!$E$6,IFERROR(MATCH($C198,銘柄管理!$B$6:$B$305,0),MATCH(TEXT($C198,"0"),銘柄管理!$B$6:$B$305,0))-1,0,1,25))*100,"")</f>
      </c>
      <c r="BE198">
        <f>IFERROR(($H198-$I198)/$F198*100,"")</f>
      </c>
      <c r="BF198">
        <f>IFERROR(-(($BA198-AVERAGE($BA$3:$BA$206))/STDEV($BA$3:$BA$206))-(($BE198-AVERAGE($BE$3:$BE$206))/STDEV($BE$3:$BE$206))-(($BB198-AVERAGE($BB$3:$BB$206))/STDEV($BB$3:$BB$206))-(($Z198-AVERAGE($Z$3:$Z$206))/STDEV($Z$3:$Z$206))-(($BC198-AVERAGE($BC$3:$BC$206))/STDEV($BC$3:$BC$206)),"")</f>
      </c>
      <c r="BG198">
        <f>IF(OR($C198="",$C198="TOPX",$BA198="",$BF198=""),0,IF(AND($BK$10=1,$BA198&lt;=$BK$2,$BB198&lt;=$BK$3,$BC198&lt;=$BK$4,$Z198&lt;=$BK$5,$Z198&gt;=$BK$6,$BD198&gt;=$BK$7,$BE198&lt;=$BK$8),1,0))</f>
      </c>
      <c r="BH198">
        <f>IF($C198="","",IF($BG198=1,"○ゲート通過",IF($BK$10&lt;&gt;1,"― この方向は停止中",IF($BA198&gt;$BK$2,"×値動きが荒い",IF($BB198&gt;$BK$3,"×レンジが広い",IF($BC198&gt;$BK$4,"×窓を開けて上昇",IF($Z198&gt;$BK$5,"×前日に急騰",IF($Z198&lt;$BK$6,"×前日に急落",IF($BD198&lt;$BK$7,"×高値から離れすぎ",IF($BE198&gt;$BK$8,"×当日の値幅が大きい","×")))))))))</f>
      </c>
    </row>
    <row r="199" spans="1:60"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IF(AND(E199&lt;&gt;"",K199&lt;&gt;"",K199&lt;&gt;0),(E199-K199)/K199*100,"")</f>
        <v>-3.6063569682151591</v>
      </c>
      <c r="M199" s="326">
        <f>IF(C199&lt;&gt;"",IFERROR(AVERAGE(出来高!E40:I40),""),"")</f>
        <v>12119640</v>
      </c>
      <c r="N199" s="326">
        <f>IF(C199&lt;&gt;"",IFERROR(AVERAGE(出来高!E40:AC40),""),"")</f>
        <v>11148344</v>
      </c>
      <c r="O199" s="328">
        <f>IF(AND(J199&lt;&gt;"",M199&lt;&gt;"",M199&lt;&gt;0),J199/M199,"")</f>
        <v>0.6971081649289913</v>
      </c>
      <c r="P199" s="325" t="str">
        <f>IF(O199="","",IF(O199&gt;=2,"急増↑↑",IF(O199&gt;=1.5,"増加↑",IF(O199&gt;=1,"普通→","減少↓"))))</f>
        <v>減少↓</v>
      </c>
      <c r="Q199" s="325" t="str">
        <f>IF(E199="","",IF(AND(E199&lt;G199,O199&gt;=1.5),"売り▼",IF(E199&gt;G199,"様子見▲","中立→")))</f>
        <v>様子見▲</v>
      </c>
      <c r="R199" s="326">
        <f>IF(E199&lt;&gt;"",ROUND(E199*0.92,0),"")</f>
        <v>1451</v>
      </c>
      <c r="S199" s="326">
        <f>IF(E199&lt;&gt;"",ROUND(E199*1.04,0),"")</f>
        <v>1640</v>
      </c>
      <c r="T199" s="325">
        <f>IF(C199="","",IFERROR(IF(W199&gt;=70,3,IF(W199&gt;=60,2,IF(W199&gt;=50,1,0)))+IF(X199&lt;0,2,0)+IF(AD199="下降トレンド▼",3,IF(AD199="もみ合い→",1,0))+IF(V199="年初来安値圏●",3,IF(V199="安値圏",2,0))+IF(Q199="売り▼",2,0)+IF(P199="急増↑↑",2,IF(P199="増加↑",1,0))+IF(Z199&lt;0,1,0)+IF(L199&lt;=-30,2,IF(L199&lt;=-15,1,0))+IF(AE199="25日戻り売り★",2,IF(AE199="5日戻り売り○",1,0))+N(AL199)+N(AP199)+N(AU199),0))</f>
        <v>-2</v>
      </c>
      <c r="U199" s="325" t="str">
        <f>IF(T199="","",IF(AND(T199&gt;=3,O199&gt;=1.5),"有効",IF(T199&gt;=3,"要確認","除外")))</f>
        <v>除外</v>
      </c>
      <c r="V199" s="325" t="str">
        <f>IF(AND(I199&lt;&gt;"",K199&lt;&gt;""),IF(I199&lt;=K199*0.6,"年初来安値圏●",IF(I199&lt;=K199*0.75,"安値圏","通常")),"")</f>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IF(AF199="","",AF199&amp;" | "&amp;AD199&amp;IF(AE199&lt;&gt;"なし"," "&amp;AE199,"")&amp;IF(X199&lt;0," MACD-"," MACD+")&amp;" RSI:"&amp;TEXT(W199,"0.0")&amp;IF(W199&gt;=70," [過熱]",IF(W199&lt;=30," [売られ過ぎ]",""))&amp;" 前日比:"&amp;TEXT(Z199,"+0.0;-0.0;0.0")&amp;"%"&amp;IF(V199="年初来安値圏●"," [年初来安値圏]",IF(V199="安値圏"," [安値圏]",""))&amp;IF(OR(AO199="通常",AO199="-"),""," ["&amp;AO199&amp;"]")&amp;IF(OR(AT199="通常",AT199="-"),"","前日["&amp;AT199&amp;"]")&amp;" ["&amp;T199&amp;"点]")</f>
        <v>相場上昇・見送り | パーフェクト▲ MACD+ RSI:43.2 前日比:+1.2% [-2点]</v>
      </c>
      <c r="Z199" s="331">
        <f>IF(AND(E199&lt;&gt;"",G199&lt;&gt;"",G199&lt;&gt;0),(E199-G199)/G199*100,"")</f>
        <v>1.1870388193776067</v>
      </c>
      <c r="AA199" s="325" t="str">
        <f>IF(OR(C199="",E199="",E199=0),"",IF(E199&gt;G199,"上昇▲",IF(E199&lt;G199,"下落▼","横ばい→")))</f>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IF(OR(C199="",AB199="",AC199="",AB199=0,AC199=0),"",IF(AND(E199&gt;AB199,AB199&gt;AC199),"パーフェクト▲",IF(E199&gt;AC199,"上昇トレンド▲",IF(AND(E199&lt;AB199,AB199&lt;AC199),"下降トレンド▼","もみ合い→"))))</f>
        <v>パーフェクト▲</v>
      </c>
      <c r="AE199" s="325" t="str">
        <f>IF(OR(C199="",AB199="",AC199=""),"",IF(AND(ABS(E199-AC199)/AC199&lt;=0.02,E199&lt;AC199),"25日戻り売り★",IF(AND(ABS(E199-AB199)/AB199&lt;=0.01,E199&lt;AB199),"5日戻り売り○","なし")))</f>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IF(AND(T199&gt;=7,C199&lt;&gt;""),T199,0)</f>
        <v>0</v>
      </c>
      <c r="AH199">
        <f>IF(AG199&gt;0,AG199*10000-ROW(A199),0)</f>
        <v>0</v>
      </c>
      <c r="AI199" s="373">
        <f t="array" ref="AI199">IF(C199="","",IFERROR((INDEX(終値!$E:$E,MATCH(TEXT(C199,"0"),終値!$A:$A,0))-INDEX(終値!$E:$CZ,MATCH(TEXT(C199,"0"),終値!$A:$A,0),$AN$2))/INDEX(終値!$E:$CZ,MATCH(TEXT(C199,"0"),終値!$A:$A,0),$AN$2)*100,""))</f>
        <v>9.5519277526919062</v>
      </c>
      <c r="AJ199" s="373">
        <f t="array" ref="AJ199">IFERROR((終値!$E$5-INDEX(終値!$E$5:$IT$5,1,$AN$2))/INDEX(終値!$E$5:$IT$5,1,$AN$2)*100,"")</f>
        <v>1.0179378228534113</v>
      </c>
      <c r="AK199" s="374">
        <f>IF(OR(AI199="",AJ199=""),"",AI199-AJ199)</f>
        <v>8.5339899298384942</v>
      </c>
      <c r="AL199" s="372">
        <f>IF(AK199="","",IF(AK199&lt;-5,3,IF(AK199&lt;0,1,IF(AK199&lt;3,-1,-2))))</f>
        <v>-2</v>
      </c>
      <c r="AO199" s="376" t="str">
        <f>IF(OR($C199="",$E199="",$F199="",$H199="",$I199="",$H199-$I199&lt;=0),"-",IF(AND($H199-MAX($F199,$E199)&gt;=ABS($E199-$F199)*2,MIN($F199,$E199)-$I199&lt;=ABS($E199-$F199)*0.5,ABS($E199-$F199)&gt;0),"上ヒゲ陰線▼",IF(AND($E199&lt;$F199,ABS($E199-$F199)&gt;=($H199-$I199)*0.7),"大陰線▼",IF(AND(MIN($F199,$E199)-$I199&gt;=($H199-$I199)*0.5,$H199-MAX($F199,$E199)&lt;=($H199-$I199)*0.2),"長い下ヒゲ(反発警戒)","通常"))))</f>
        <v>通常</v>
      </c>
      <c r="AP199" s="377">
        <f>IF($AO199="上ヒゲ陰線▼",2,IF($AO199="大陰線▼",2,IF($AO199="長い下ヒゲ(反発警戒)",-2,0)))</f>
        <v>0</v>
      </c>
      <c r="AQ199">
        <f>IF(C199&lt;&gt;"",始値!F40,"")</f>
        <v>1548</v>
      </c>
      <c r="AR199">
        <f>IF(C199&lt;&gt;"",高値!F40,"")</f>
        <v>1566</v>
      </c>
      <c r="AS199">
        <f>IF(C199&lt;&gt;"",安値!F40,"")</f>
        <v>1531.5</v>
      </c>
      <c r="AT199" t="str">
        <f>IF(OR(C199="",AQ199="",AR199="",AS199="",AR199-AS199&lt;=0),"-",IF(AND(AR199-MAX(G199,AQ199)&gt;=ABS(G199-AQ199)*2,MIN(G199,AQ199)-AS199&lt;=ABS(G199-AQ199)*0.5,ABS(G199-AQ199)&gt;0),"上ヒゲ陰線▼",IF(AND(G199&lt;AQ199,ABS(G199-AQ199)&gt;=(AR199-AS199)*0.7),"大陰線▼",IF(AND(MIN(G199,AQ199)-AS199&gt;=(AR199-AS199)*0.5,AR199-MAX(G199,AQ199)&lt;=(AR199-AS199)*0.2),"長い下ヒゲ(反発)","通常"))))</f>
        <v>通常</v>
      </c>
      <c r="AU199">
        <f>IF(AT199="上ヒゲ陰線▼",2,IF(AT199="大陰線▼",2,IF(AT199="長い下ヒゲ(反発)",-2,0)))</f>
        <v>0</v>
      </c>
      <c r="BA199">
        <f>IFERROR((SUM(OFFSET(高値!$E$6,IFERROR(MATCH($C199,銘柄管理!$B$6:$B$305,0),MATCH(TEXT($C199,"0"),銘柄管理!$B$6:$B$305,0))-1,0,1,14))-SUM(OFFSET(安値!$E$6,IFERROR(MATCH($C199,銘柄管理!$B$6:$B$305,0),MATCH(TEXT($C199,"0"),銘柄管理!$B$6:$B$305,0))-1,0,1,14)))/SUM(OFFSET(終値!$E$6,IFERROR(MATCH($C199,銘柄管理!$B$6:$B$305,0),MATCH(TEXT($C199,"0"),銘柄管理!$B$6:$B$305,0))-1,0,1,14))*100,"")</f>
      </c>
      <c r="BB199">
        <f>IFERROR((MAX(OFFSET(高値!$E$6,IFERROR(MATCH($C199,銘柄管理!$B$6:$B$305,0),MATCH(TEXT($C199,"0"),銘柄管理!$B$6:$B$305,0))-1,0,1,25))-MIN(OFFSET(安値!$E$6,IFERROR(MATCH($C199,銘柄管理!$B$6:$B$305,0),MATCH(TEXT($C199,"0"),銘柄管理!$B$6:$B$305,0))-1,0,1,25)))/$E199*100,"")</f>
      </c>
      <c r="BC199">
        <f>IFERROR(($F199-$G199)/$G199*100,"")</f>
      </c>
      <c r="BD199">
        <f>IFERROR(($E199-MAX(OFFSET(高値!$E$6,IFERROR(MATCH($C199,銘柄管理!$B$6:$B$305,0),MATCH(TEXT($C199,"0"),銘柄管理!$B$6:$B$305,0))-1,0,1,25)))/MAX(OFFSET(高値!$E$6,IFERROR(MATCH($C199,銘柄管理!$B$6:$B$305,0),MATCH(TEXT($C199,"0"),銘柄管理!$B$6:$B$305,0))-1,0,1,25))*100,"")</f>
      </c>
      <c r="BE199">
        <f>IFERROR(($H199-$I199)/$F199*100,"")</f>
      </c>
      <c r="BF199">
        <f>IFERROR(-(($BA199-AVERAGE($BA$3:$BA$206))/STDEV($BA$3:$BA$206))-(($BE199-AVERAGE($BE$3:$BE$206))/STDEV($BE$3:$BE$206))-(($BB199-AVERAGE($BB$3:$BB$206))/STDEV($BB$3:$BB$206))-(($Z199-AVERAGE($Z$3:$Z$206))/STDEV($Z$3:$Z$206))-(($BC199-AVERAGE($BC$3:$BC$206))/STDEV($BC$3:$BC$206)),"")</f>
      </c>
      <c r="BG199">
        <f>IF(OR($C199="",$C199="TOPX",$BA199="",$BF199=""),0,IF(AND($BK$10=1,$BA199&lt;=$BK$2,$BB199&lt;=$BK$3,$BC199&lt;=$BK$4,$Z199&lt;=$BK$5,$Z199&gt;=$BK$6,$BD199&gt;=$BK$7,$BE199&lt;=$BK$8),1,0))</f>
      </c>
      <c r="BH199">
        <f>IF($C199="","",IF($BG199=1,"○ゲート通過",IF($BK$10&lt;&gt;1,"― この方向は停止中",IF($BA199&gt;$BK$2,"×値動きが荒い",IF($BB199&gt;$BK$3,"×レンジが広い",IF($BC199&gt;$BK$4,"×窓を開けて上昇",IF($Z199&gt;$BK$5,"×前日に急騰",IF($Z199&lt;$BK$6,"×前日に急落",IF($BD199&lt;$BK$7,"×高値から離れすぎ",IF($BE199&gt;$BK$8,"×当日の値幅が大きい","×")))))))))</f>
      </c>
    </row>
    <row r="200" spans="1:60"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IF(AND(E200&lt;&gt;"",K200&lt;&gt;"",K200&lt;&gt;0),(E200-K200)/K200*100,"")</f>
        <v>-1.9397651863195506</v>
      </c>
      <c r="M200" s="333">
        <f>IF(C200&lt;&gt;"",IFERROR(AVERAGE(出来高!E43:I43),""),"")</f>
        <v>8316500</v>
      </c>
      <c r="N200" s="333">
        <f>IF(C200&lt;&gt;"",IFERROR(AVERAGE(出来高!E43:AC43),""),"")</f>
        <v>9897258.333333334</v>
      </c>
      <c r="O200" s="335">
        <f>IF(AND(J200&lt;&gt;"",M200&lt;&gt;"",M200&lt;&gt;0),J200/M200,"")</f>
        <v>0.90636686105933983</v>
      </c>
      <c r="P200" s="212" t="str">
        <f>IF(O200="","",IF(O200&gt;=2,"急増↑↑",IF(O200&gt;=1.5,"増加↑",IF(O200&gt;=1,"普通→","減少↓"))))</f>
        <v>減少↓</v>
      </c>
      <c r="Q200" s="212" t="str">
        <f>IF(E200="","",IF(AND(E200&lt;G200,O200&gt;=1.5),"売り▼",IF(E200&gt;G200,"様子見▲","中立→")))</f>
        <v>様子見▲</v>
      </c>
      <c r="R200" s="333">
        <f>IF(E200&lt;&gt;"",ROUND(E200*0.92,0),"")</f>
        <v>1767</v>
      </c>
      <c r="S200" s="333">
        <f>IF(E200&lt;&gt;"",ROUND(E200*1.04,0),"")</f>
        <v>1998</v>
      </c>
      <c r="T200" s="325">
        <f>IF(C200="","",IFERROR(IF(W200&gt;=70,3,IF(W200&gt;=60,2,IF(W200&gt;=50,1,0)))+IF(X200&lt;0,2,0)+IF(AD200="下降トレンド▼",3,IF(AD200="もみ合い→",1,0))+IF(V200="年初来安値圏●",3,IF(V200="安値圏",2,0))+IF(Q200="売り▼",2,0)+IF(P200="急増↑↑",2,IF(P200="増加↑",1,0))+IF(Z200&lt;0,1,0)+IF(L200&lt;=-30,2,IF(L200&lt;=-15,1,0))+IF(AE200="25日戻り売り★",2,IF(AE200="5日戻り売り○",1,0))+N(AL200)+N(AP200)+N(AU200),0))</f>
        <v>-1</v>
      </c>
      <c r="U200" s="212" t="str">
        <f>IF(T200="","",IF(AND(T200&gt;=3,O200&gt;=1.5),"有効",IF(T200&gt;=3,"要確認","除外")))</f>
        <v>除外</v>
      </c>
      <c r="V200" s="212" t="str">
        <f>IF(AND(I200&lt;&gt;"",K200&lt;&gt;""),IF(I200&lt;=K200*0.6,"年初来安値圏●",IF(I200&lt;=K200*0.75,"安値圏","通常")),"")</f>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IF(AF200="","",AF200&amp;" | "&amp;AD200&amp;IF(AE200&lt;&gt;"なし"," "&amp;AE200,"")&amp;IF(X200&lt;0," MACD-"," MACD+")&amp;" RSI:"&amp;TEXT(W200,"0.0")&amp;IF(W200&gt;=70," [過熱]",IF(W200&lt;=30," [売られ過ぎ]",""))&amp;" 前日比:"&amp;TEXT(Z200,"+0.0;-0.0;0.0")&amp;"%"&amp;IF(V200="年初来安値圏●"," [年初来安値圏]",IF(V200="安値圏"," [安値圏]",""))&amp;IF(OR(AO200="通常",AO200="-"),""," ["&amp;AO200&amp;"]")&amp;IF(OR(AT200="通常",AT200="-"),"","前日["&amp;AT200&amp;"]")&amp;" ["&amp;T200&amp;"点]")</f>
        <v>相場上昇・見送り | パーフェクト▲ MACD+ RSI:50.3 前日比:+0.4% [-1点]</v>
      </c>
      <c r="Z200" s="338">
        <f>IF(AND(E200&lt;&gt;"",G200&lt;&gt;"",G200&lt;&gt;0),(E200-G200)/G200*100,"")</f>
        <v>0.39195192056441075</v>
      </c>
      <c r="AA200" s="212" t="str">
        <f>IF(OR(C200="",E200="",E200=0),"",IF(E200&gt;G200,"上昇▲",IF(E200&lt;G200,"下落▼","横ばい→")))</f>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IF(OR(C200="",AB200="",AC200="",AB200=0,AC200=0),"",IF(AND(E200&gt;AB200,AB200&gt;AC200),"パーフェクト▲",IF(E200&gt;AC200,"上昇トレンド▲",IF(AND(E200&lt;AB200,AB200&lt;AC200),"下降トレンド▼","もみ合い→"))))</f>
        <v>パーフェクト▲</v>
      </c>
      <c r="AE200" s="212" t="str">
        <f>IF(OR(C200="",AB200="",AC200=""),"",IF(AND(ABS(E200-AC200)/AC200&lt;=0.02,E200&lt;AC200),"25日戻り売り★",IF(AND(ABS(E200-AB200)/AB200&lt;=0.01,E200&lt;AB200),"5日戻り売り○","なし")))</f>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IF(AND(T200&gt;=7,C200&lt;&gt;""),T200,0)</f>
        <v>0</v>
      </c>
      <c r="AH200">
        <f>IF(AG200&gt;0,AG200*10000-ROW(A200),0)</f>
        <v>0</v>
      </c>
      <c r="AI200" s="373">
        <f t="array" ref="AI200">IF(C200="","",IFERROR((INDEX(終値!$E:$E,MATCH(TEXT(C200,"0"),終値!$A:$A,0))-INDEX(終値!$E:$CZ,MATCH(TEXT(C200,"0"),終値!$A:$A,0),$AN$2))/INDEX(終値!$E:$CZ,MATCH(TEXT(C200,"0"),終値!$A:$A,0),$AN$2)*100,""))</f>
        <v>7.2585147962032384</v>
      </c>
      <c r="AJ200" s="373">
        <f t="array" ref="AJ200">IFERROR((終値!$E$5-INDEX(終値!$E$5:$IT$5,1,$AN$2))/INDEX(終値!$E$5:$IT$5,1,$AN$2)*100,"")</f>
        <v>1.0179378228534113</v>
      </c>
      <c r="AK200" s="374">
        <f>IF(OR(AI200="",AJ200=""),"",AI200-AJ200)</f>
        <v>6.2405769733498273</v>
      </c>
      <c r="AL200" s="372">
        <f>IF(AK200="","",IF(AK200&lt;-5,3,IF(AK200&lt;0,1,IF(AK200&lt;3,-1,-2))))</f>
        <v>-2</v>
      </c>
      <c r="AO200" s="376" t="str">
        <f>IF(OR($C200="",$E200="",$F200="",$H200="",$I200="",$H200-$I200&lt;=0),"-",IF(AND($H200-MAX($F200,$E200)&gt;=ABS($E200-$F200)*2,MIN($F200,$E200)-$I200&lt;=ABS($E200-$F200)*0.5,ABS($E200-$F200)&gt;0),"上ヒゲ陰線▼",IF(AND($E200&lt;$F200,ABS($E200-$F200)&gt;=($H200-$I200)*0.7),"大陰線▼",IF(AND(MIN($F200,$E200)-$I200&gt;=($H200-$I200)*0.5,$H200-MAX($F200,$E200)&lt;=($H200-$I200)*0.2),"長い下ヒゲ(反発警戒)","通常"))))</f>
        <v>通常</v>
      </c>
      <c r="AP200" s="377">
        <f>IF($AO200="上ヒゲ陰線▼",2,IF($AO200="大陰線▼",2,IF($AO200="長い下ヒゲ(反発警戒)",-2,0)))</f>
        <v>0</v>
      </c>
      <c r="AQ200">
        <f>IF(C200&lt;&gt;"",始値!F43,"")</f>
        <v>1891.5</v>
      </c>
      <c r="AR200">
        <f>IF(C200&lt;&gt;"",高値!F43,"")</f>
        <v>1914.5</v>
      </c>
      <c r="AS200">
        <f>IF(C200&lt;&gt;"",安値!F43,"")</f>
        <v>1880</v>
      </c>
      <c r="AT200" t="str">
        <f>IF(OR(C200="",AQ200="",AR200="",AS200="",AR200-AS200&lt;=0),"-",IF(AND(AR200-MAX(G200,AQ200)&gt;=ABS(G200-AQ200)*2,MIN(G200,AQ200)-AS200&lt;=ABS(G200-AQ200)*0.5,ABS(G200-AQ200)&gt;0),"上ヒゲ陰線▼",IF(AND(G200&lt;AQ200,ABS(G200-AQ200)&gt;=(AR200-AS200)*0.7),"大陰線▼",IF(AND(MIN(G200,AQ200)-AS200&gt;=(AR200-AS200)*0.5,AR200-MAX(G200,AQ200)&lt;=(AR200-AS200)*0.2),"長い下ヒゲ(反発)","通常"))))</f>
        <v>通常</v>
      </c>
      <c r="AU200">
        <f>IF(AT200="上ヒゲ陰線▼",2,IF(AT200="大陰線▼",2,IF(AT200="長い下ヒゲ(反発)",-2,0)))</f>
        <v>0</v>
      </c>
      <c r="BA200">
        <f>IFERROR((SUM(OFFSET(高値!$E$6,IFERROR(MATCH($C200,銘柄管理!$B$6:$B$305,0),MATCH(TEXT($C200,"0"),銘柄管理!$B$6:$B$305,0))-1,0,1,14))-SUM(OFFSET(安値!$E$6,IFERROR(MATCH($C200,銘柄管理!$B$6:$B$305,0),MATCH(TEXT($C200,"0"),銘柄管理!$B$6:$B$305,0))-1,0,1,14)))/SUM(OFFSET(終値!$E$6,IFERROR(MATCH($C200,銘柄管理!$B$6:$B$305,0),MATCH(TEXT($C200,"0"),銘柄管理!$B$6:$B$305,0))-1,0,1,14))*100,"")</f>
      </c>
      <c r="BB200">
        <f>IFERROR((MAX(OFFSET(高値!$E$6,IFERROR(MATCH($C200,銘柄管理!$B$6:$B$305,0),MATCH(TEXT($C200,"0"),銘柄管理!$B$6:$B$305,0))-1,0,1,25))-MIN(OFFSET(安値!$E$6,IFERROR(MATCH($C200,銘柄管理!$B$6:$B$305,0),MATCH(TEXT($C200,"0"),銘柄管理!$B$6:$B$305,0))-1,0,1,25)))/$E200*100,"")</f>
      </c>
      <c r="BC200">
        <f>IFERROR(($F200-$G200)/$G200*100,"")</f>
      </c>
      <c r="BD200">
        <f>IFERROR(($E200-MAX(OFFSET(高値!$E$6,IFERROR(MATCH($C200,銘柄管理!$B$6:$B$305,0),MATCH(TEXT($C200,"0"),銘柄管理!$B$6:$B$305,0))-1,0,1,25)))/MAX(OFFSET(高値!$E$6,IFERROR(MATCH($C200,銘柄管理!$B$6:$B$305,0),MATCH(TEXT($C200,"0"),銘柄管理!$B$6:$B$305,0))-1,0,1,25))*100,"")</f>
      </c>
      <c r="BE200">
        <f>IFERROR(($H200-$I200)/$F200*100,"")</f>
      </c>
      <c r="BF200">
        <f>IFERROR(-(($BA200-AVERAGE($BA$3:$BA$206))/STDEV($BA$3:$BA$206))-(($BE200-AVERAGE($BE$3:$BE$206))/STDEV($BE$3:$BE$206))-(($BB200-AVERAGE($BB$3:$BB$206))/STDEV($BB$3:$BB$206))-(($Z200-AVERAGE($Z$3:$Z$206))/STDEV($Z$3:$Z$206))-(($BC200-AVERAGE($BC$3:$BC$206))/STDEV($BC$3:$BC$206)),"")</f>
      </c>
      <c r="BG200">
        <f>IF(OR($C200="",$C200="TOPX",$BA200="",$BF200=""),0,IF(AND($BK$10=1,$BA200&lt;=$BK$2,$BB200&lt;=$BK$3,$BC200&lt;=$BK$4,$Z200&lt;=$BK$5,$Z200&gt;=$BK$6,$BD200&gt;=$BK$7,$BE200&lt;=$BK$8),1,0))</f>
      </c>
      <c r="BH200">
        <f>IF($C200="","",IF($BG200=1,"○ゲート通過",IF($BK$10&lt;&gt;1,"― この方向は停止中",IF($BA200&gt;$BK$2,"×値動きが荒い",IF($BB200&gt;$BK$3,"×レンジが広い",IF($BC200&gt;$BK$4,"×窓を開けて上昇",IF($Z200&gt;$BK$5,"×前日に急騰",IF($Z200&lt;$BK$6,"×前日に急落",IF($BD200&lt;$BK$7,"×高値から離れすぎ",IF($BE200&gt;$BK$8,"×当日の値幅が大きい","×")))))))))</f>
      </c>
    </row>
    <row r="201" spans="1:60"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IF(AND(E201&lt;&gt;"",K201&lt;&gt;"",K201&lt;&gt;0),(E201-K201)/K201*100,"")</f>
        <v>-6.2680304222397067</v>
      </c>
      <c r="M201" s="326">
        <f>IF(C201&lt;&gt;"",IFERROR(AVERAGE(出来高!E45:I45),""),"")</f>
        <v>45988060</v>
      </c>
      <c r="N201" s="326">
        <f>IF(C201&lt;&gt;"",IFERROR(AVERAGE(出来高!E45:AC45),""),"")</f>
        <v>43282364</v>
      </c>
      <c r="O201" s="328">
        <f>IF(AND(J201&lt;&gt;"",M201&lt;&gt;"",M201&lt;&gt;0),J201/M201,"")</f>
        <v>0.7767494432250458</v>
      </c>
      <c r="P201" s="325" t="str">
        <f>IF(O201="","",IF(O201&gt;=2,"急増↑↑",IF(O201&gt;=1.5,"増加↑",IF(O201&gt;=1,"普通→","減少↓"))))</f>
        <v>減少↓</v>
      </c>
      <c r="Q201" s="325" t="str">
        <f>IF(E201="","",IF(AND(E201&lt;G201,O201&gt;=1.5),"売り▼",IF(E201&gt;G201,"様子見▲","中立→")))</f>
        <v>様子見▲</v>
      </c>
      <c r="R201" s="326">
        <f>IF(E201&lt;&gt;"",ROUND(E201*0.92,0),"")</f>
        <v>3288</v>
      </c>
      <c r="S201" s="326">
        <f>IF(E201&lt;&gt;"",ROUND(E201*1.04,0),"")</f>
        <v>3717</v>
      </c>
      <c r="T201" s="325">
        <f>IF(C201="","",IFERROR(IF(W201&gt;=70,3,IF(W201&gt;=60,2,IF(W201&gt;=50,1,0)))+IF(X201&lt;0,2,0)+IF(AD201="下降トレンド▼",3,IF(AD201="もみ合い→",1,0))+IF(V201="年初来安値圏●",3,IF(V201="安値圏",2,0))+IF(Q201="売り▼",2,0)+IF(P201="急増↑↑",2,IF(P201="増加↑",1,0))+IF(Z201&lt;0,1,0)+IF(L201&lt;=-30,2,IF(L201&lt;=-15,1,0))+IF(AE201="25日戻り売り★",2,IF(AE201="5日戻り売り○",1,0))+N(AL201)+N(AP201)+N(AU201),0))</f>
        <v>-2</v>
      </c>
      <c r="U201" s="325" t="str">
        <f>IF(T201="","",IF(AND(T201&gt;=3,O201&gt;=1.5),"有効",IF(T201&gt;=3,"要確認","除外")))</f>
        <v>除外</v>
      </c>
      <c r="V201" s="325" t="str">
        <f>IF(AND(I201&lt;&gt;"",K201&lt;&gt;""),IF(I201&lt;=K201*0.6,"年初来安値圏●",IF(I201&lt;=K201*0.75,"安値圏","通常")),"")</f>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IF(AF201="","",AF201&amp;" | "&amp;AD201&amp;IF(AE201&lt;&gt;"なし"," "&amp;AE201,"")&amp;IF(X201&lt;0," MACD-"," MACD+")&amp;" RSI:"&amp;TEXT(W201,"0.0")&amp;IF(W201&gt;=70," [過熱]",IF(W201&lt;=30," [売られ過ぎ]",""))&amp;" 前日比:"&amp;TEXT(Z201,"+0.0;-0.0;0.0")&amp;"%"&amp;IF(V201="年初来安値圏●"," [年初来安値圏]",IF(V201="安値圏"," [安値圏]",""))&amp;IF(OR(AO201="通常",AO201="-"),""," ["&amp;AO201&amp;"]")&amp;IF(OR(AT201="通常",AT201="-"),"","前日["&amp;AT201&amp;"]")&amp;" ["&amp;T201&amp;"点]")</f>
        <v>相場上昇・見送り | 上昇トレンド▲ MACD+ RSI:42.5 前日比:+0.9% [-2点]</v>
      </c>
      <c r="Z201" s="331">
        <f>IF(AND(E201&lt;&gt;"",G201&lt;&gt;"",G201&lt;&gt;0),(E201-G201)/G201*100,"")</f>
        <v>0.93194012990680597</v>
      </c>
      <c r="AA201" s="325" t="str">
        <f>IF(OR(C201="",E201="",E201=0),"",IF(E201&gt;G201,"上昇▲",IF(E201&lt;G201,"下落▼","横ばい→")))</f>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IF(OR(C201="",AB201="",AC201="",AB201=0,AC201=0),"",IF(AND(E201&gt;AB201,AB201&gt;AC201),"パーフェクト▲",IF(E201&gt;AC201,"上昇トレンド▲",IF(AND(E201&lt;AB201,AB201&lt;AC201),"下降トレンド▼","もみ合い→"))))</f>
        <v>上昇トレンド▲</v>
      </c>
      <c r="AE201" s="325" t="str">
        <f>IF(OR(C201="",AB201="",AC201=""),"",IF(AND(ABS(E201-AC201)/AC201&lt;=0.02,E201&lt;AC201),"25日戻り売り★",IF(AND(ABS(E201-AB201)/AB201&lt;=0.01,E201&lt;AB201),"5日戻り売り○","なし")))</f>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IF(AND(T201&gt;=7,C201&lt;&gt;""),T201,0)</f>
        <v>0</v>
      </c>
      <c r="AH201">
        <f>IF(AG201&gt;0,AG201*10000-ROW(A201),0)</f>
        <v>0</v>
      </c>
      <c r="AI201" s="373">
        <f t="array" ref="AI201">IF(C201="","",IFERROR((INDEX(終値!$E:$E,MATCH(TEXT(C201,"0"),終値!$A:$A,0))-INDEX(終値!$E:$CZ,MATCH(TEXT(C201,"0"),終値!$A:$A,0),$AN$2))/INDEX(終値!$E:$CZ,MATCH(TEXT(C201,"0"),終値!$A:$A,0),$AN$2)*100,""))</f>
        <v>10.07083461656914</v>
      </c>
      <c r="AJ201" s="373">
        <f t="array" ref="AJ201">IFERROR((終値!$E$5-INDEX(終値!$E$5:$IT$5,1,$AN$2))/INDEX(終値!$E$5:$IT$5,1,$AN$2)*100,"")</f>
        <v>1.0179378228534113</v>
      </c>
      <c r="AK201" s="374">
        <f>IF(OR(AI201="",AJ201=""),"",AI201-AJ201)</f>
        <v>9.0528967937157283</v>
      </c>
      <c r="AL201" s="372">
        <f>IF(AK201="","",IF(AK201&lt;-5,3,IF(AK201&lt;0,1,IF(AK201&lt;3,-1,-2))))</f>
        <v>-2</v>
      </c>
      <c r="AO201" s="376" t="str">
        <f>IF(OR($C201="",$E201="",$F201="",$H201="",$I201="",$H201-$I201&lt;=0),"-",IF(AND($H201-MAX($F201,$E201)&gt;=ABS($E201-$F201)*2,MIN($F201,$E201)-$I201&lt;=ABS($E201-$F201)*0.5,ABS($E201-$F201)&gt;0),"上ヒゲ陰線▼",IF(AND($E201&lt;$F201,ABS($E201-$F201)&gt;=($H201-$I201)*0.7),"大陰線▼",IF(AND(MIN($F201,$E201)-$I201&gt;=($H201-$I201)*0.5,$H201-MAX($F201,$E201)&lt;=($H201-$I201)*0.2),"長い下ヒゲ(反発警戒)","通常"))))</f>
        <v>通常</v>
      </c>
      <c r="AP201" s="377">
        <f>IF($AO201="上ヒゲ陰線▼",2,IF($AO201="大陰線▼",2,IF($AO201="長い下ヒゲ(反発警戒)",-2,0)))</f>
        <v>0</v>
      </c>
      <c r="AQ201">
        <f>IF(C201&lt;&gt;"",始値!F45,"")</f>
        <v>3480</v>
      </c>
      <c r="AR201">
        <f>IF(C201&lt;&gt;"",高値!F45,"")</f>
        <v>3558</v>
      </c>
      <c r="AS201">
        <f>IF(C201&lt;&gt;"",安値!F45,"")</f>
        <v>3449</v>
      </c>
      <c r="AT201" t="str">
        <f>IF(OR(C201="",AQ201="",AR201="",AS201="",AR201-AS201&lt;=0),"-",IF(AND(AR201-MAX(G201,AQ201)&gt;=ABS(G201-AQ201)*2,MIN(G201,AQ201)-AS201&lt;=ABS(G201-AQ201)*0.5,ABS(G201-AQ201)&gt;0),"上ヒゲ陰線▼",IF(AND(G201&lt;AQ201,ABS(G201-AQ201)&gt;=(AR201-AS201)*0.7),"大陰線▼",IF(AND(MIN(G201,AQ201)-AS201&gt;=(AR201-AS201)*0.5,AR201-MAX(G201,AQ201)&lt;=(AR201-AS201)*0.2),"長い下ヒゲ(反発)","通常"))))</f>
        <v>通常</v>
      </c>
      <c r="AU201">
        <f>IF(AT201="上ヒゲ陰線▼",2,IF(AT201="大陰線▼",2,IF(AT201="長い下ヒゲ(反発)",-2,0)))</f>
        <v>0</v>
      </c>
      <c r="BA201">
        <f>IFERROR((SUM(OFFSET(高値!$E$6,IFERROR(MATCH($C201,銘柄管理!$B$6:$B$305,0),MATCH(TEXT($C201,"0"),銘柄管理!$B$6:$B$305,0))-1,0,1,14))-SUM(OFFSET(安値!$E$6,IFERROR(MATCH($C201,銘柄管理!$B$6:$B$305,0),MATCH(TEXT($C201,"0"),銘柄管理!$B$6:$B$305,0))-1,0,1,14)))/SUM(OFFSET(終値!$E$6,IFERROR(MATCH($C201,銘柄管理!$B$6:$B$305,0),MATCH(TEXT($C201,"0"),銘柄管理!$B$6:$B$305,0))-1,0,1,14))*100,"")</f>
      </c>
      <c r="BB201">
        <f>IFERROR((MAX(OFFSET(高値!$E$6,IFERROR(MATCH($C201,銘柄管理!$B$6:$B$305,0),MATCH(TEXT($C201,"0"),銘柄管理!$B$6:$B$305,0))-1,0,1,25))-MIN(OFFSET(安値!$E$6,IFERROR(MATCH($C201,銘柄管理!$B$6:$B$305,0),MATCH(TEXT($C201,"0"),銘柄管理!$B$6:$B$305,0))-1,0,1,25)))/$E201*100,"")</f>
      </c>
      <c r="BC201">
        <f>IFERROR(($F201-$G201)/$G201*100,"")</f>
      </c>
      <c r="BD201">
        <f>IFERROR(($E201-MAX(OFFSET(高値!$E$6,IFERROR(MATCH($C201,銘柄管理!$B$6:$B$305,0),MATCH(TEXT($C201,"0"),銘柄管理!$B$6:$B$305,0))-1,0,1,25)))/MAX(OFFSET(高値!$E$6,IFERROR(MATCH($C201,銘柄管理!$B$6:$B$305,0),MATCH(TEXT($C201,"0"),銘柄管理!$B$6:$B$305,0))-1,0,1,25))*100,"")</f>
      </c>
      <c r="BE201">
        <f>IFERROR(($H201-$I201)/$F201*100,"")</f>
      </c>
      <c r="BF201">
        <f>IFERROR(-(($BA201-AVERAGE($BA$3:$BA$206))/STDEV($BA$3:$BA$206))-(($BE201-AVERAGE($BE$3:$BE$206))/STDEV($BE$3:$BE$206))-(($BB201-AVERAGE($BB$3:$BB$206))/STDEV($BB$3:$BB$206))-(($Z201-AVERAGE($Z$3:$Z$206))/STDEV($Z$3:$Z$206))-(($BC201-AVERAGE($BC$3:$BC$206))/STDEV($BC$3:$BC$206)),"")</f>
      </c>
      <c r="BG201">
        <f>IF(OR($C201="",$C201="TOPX",$BA201="",$BF201=""),0,IF(AND($BK$10=1,$BA201&lt;=$BK$2,$BB201&lt;=$BK$3,$BC201&lt;=$BK$4,$Z201&lt;=$BK$5,$Z201&gt;=$BK$6,$BD201&gt;=$BK$7,$BE201&lt;=$BK$8),1,0))</f>
      </c>
      <c r="BH201">
        <f>IF($C201="","",IF($BG201=1,"○ゲート通過",IF($BK$10&lt;&gt;1,"― この方向は停止中",IF($BA201&gt;$BK$2,"×値動きが荒い",IF($BB201&gt;$BK$3,"×レンジが広い",IF($BC201&gt;$BK$4,"×窓を開けて上昇",IF($Z201&gt;$BK$5,"×前日に急騰",IF($Z201&lt;$BK$6,"×前日に急落",IF($BD201&lt;$BK$7,"×高値から離れすぎ",IF($BE201&gt;$BK$8,"×当日の値幅が大きい","×")))))))))</f>
      </c>
    </row>
    <row r="202" spans="1:60"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IF(AND(E202&lt;&gt;"",K202&lt;&gt;"",K202&lt;&gt;0),(E202-K202)/K202*100,"")</f>
        <v>-2.6308724832214763</v>
      </c>
      <c r="M202" s="333">
        <f>IF(C202&lt;&gt;"",IFERROR(AVERAGE(出来高!E75:I75),""),"")</f>
        <v>221900</v>
      </c>
      <c r="N202" s="333">
        <f>IF(C202&lt;&gt;"",IFERROR(AVERAGE(出来高!E75:AC75),""),"")</f>
        <v>202564</v>
      </c>
      <c r="O202" s="335">
        <f>IF(AND(J202&lt;&gt;"",M202&lt;&gt;"",M202&lt;&gt;0),J202/M202,"")</f>
        <v>1.1216764308246958</v>
      </c>
      <c r="P202" s="212" t="str">
        <f>IF(O202="","",IF(O202&gt;=2,"急増↑↑",IF(O202&gt;=1.5,"増加↑",IF(O202&gt;=1,"普通→","減少↓"))))</f>
        <v>普通→</v>
      </c>
      <c r="Q202" s="212" t="str">
        <f>IF(E202="","",IF(AND(E202&lt;G202,O202&gt;=1.5),"売り▼",IF(E202&gt;G202,"様子見▲","中立→")))</f>
        <v>様子見▲</v>
      </c>
      <c r="R202" s="333">
        <f>IF(E202&lt;&gt;"",ROUND(E202*0.92,0),"")</f>
        <v>1668</v>
      </c>
      <c r="S202" s="333">
        <f>IF(E202&lt;&gt;"",ROUND(E202*1.04,0),"")</f>
        <v>1886</v>
      </c>
      <c r="T202" s="325">
        <f>IF(C202="","",IFERROR(IF(W202&gt;=70,3,IF(W202&gt;=60,2,IF(W202&gt;=50,1,0)))+IF(X202&lt;0,2,0)+IF(AD202="下降トレンド▼",3,IF(AD202="もみ合い→",1,0))+IF(V202="年初来安値圏●",3,IF(V202="安値圏",2,0))+IF(Q202="売り▼",2,0)+IF(P202="急増↑↑",2,IF(P202="増加↑",1,0))+IF(Z202&lt;0,1,0)+IF(L202&lt;=-30,2,IF(L202&lt;=-15,1,0))+IF(AE202="25日戻り売り★",2,IF(AE202="5日戻り売り○",1,0))+N(AL202)+N(AP202)+N(AU202),0))</f>
        <v>-4</v>
      </c>
      <c r="U202" s="212" t="str">
        <f>IF(T202="","",IF(AND(T202&gt;=3,O202&gt;=1.5),"有効",IF(T202&gt;=3,"要確認","除外")))</f>
        <v>除外</v>
      </c>
      <c r="V202" s="212" t="str">
        <f>IF(AND(I202&lt;&gt;"",K202&lt;&gt;""),IF(I202&lt;=K202*0.6,"年初来安値圏●",IF(I202&lt;=K202*0.75,"安値圏","通常")),"")</f>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IF(AF202="","",AF202&amp;" | "&amp;AD202&amp;IF(AE202&lt;&gt;"なし"," "&amp;AE202,"")&amp;IF(X202&lt;0," MACD-"," MACD+")&amp;" RSI:"&amp;TEXT(W202,"0.0")&amp;IF(W202&gt;=70," [過熱]",IF(W202&lt;=30," [売られ過ぎ]",""))&amp;" 前日比:"&amp;TEXT(Z202,"+0.0;-0.0;0.0")&amp;"%"&amp;IF(V202="年初来安値圏●"," [年初来安値圏]",IF(V202="安値圏"," [安値圏]",""))&amp;IF(OR(AO202="通常",AO202="-"),""," ["&amp;AO202&amp;"]")&amp;IF(OR(AT202="通常",AT202="-"),"","前日["&amp;AT202&amp;"]")&amp;" ["&amp;T202&amp;"点]")</f>
        <v>相場上昇・見送り | パーフェクト▲ MACD+ RSI:47.0 前日比:+2.1%前日[長い下ヒゲ(反発)] [-4点]</v>
      </c>
      <c r="Z202" s="338">
        <f>IF(AND(E202&lt;&gt;"",G202&lt;&gt;"",G202&lt;&gt;0),(E202-G202)/G202*100,"")</f>
        <v>2.1402421852999156</v>
      </c>
      <c r="AA202" s="212" t="str">
        <f>IF(OR(C202="",E202="",E202=0),"",IF(E202&gt;G202,"上昇▲",IF(E202&lt;G202,"下落▼","横ばい→")))</f>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IF(OR(C202="",AB202="",AC202="",AB202=0,AC202=0),"",IF(AND(E202&gt;AB202,AB202&gt;AC202),"パーフェクト▲",IF(E202&gt;AC202,"上昇トレンド▲",IF(AND(E202&lt;AB202,AB202&lt;AC202),"下降トレンド▼","もみ合い→"))))</f>
        <v>パーフェクト▲</v>
      </c>
      <c r="AE202" s="212" t="str">
        <f>IF(OR(C202="",AB202="",AC202=""),"",IF(AND(ABS(E202-AC202)/AC202&lt;=0.02,E202&lt;AC202),"25日戻り売り★",IF(AND(ABS(E202-AB202)/AB202&lt;=0.01,E202&lt;AB202),"5日戻り売り○","なし")))</f>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IF(AND(T202&gt;=7,C202&lt;&gt;""),T202,0)</f>
        <v>0</v>
      </c>
      <c r="AH202">
        <f>IF(AG202&gt;0,AG202*10000-ROW(A202),0)</f>
        <v>0</v>
      </c>
      <c r="AI202" s="373">
        <f t="array" ref="AI202">IF(C202="","",IFERROR((INDEX(終値!$E:$E,MATCH(TEXT(C202,"0"),終値!$A:$A,0))-INDEX(終値!$E:$CZ,MATCH(TEXT(C202,"0"),終値!$A:$A,0),$AN$2))/INDEX(終値!$E:$CZ,MATCH(TEXT(C202,"0"),終値!$A:$A,0),$AN$2)*100,""))</f>
        <v>7.0859167404783001</v>
      </c>
      <c r="AJ202" s="373">
        <f t="array" ref="AJ202">IFERROR((終値!$E$5-INDEX(終値!$E$5:$IT$5,1,$AN$2))/INDEX(終値!$E$5:$IT$5,1,$AN$2)*100,"")</f>
        <v>1.0179378228534113</v>
      </c>
      <c r="AK202" s="374">
        <f>IF(OR(AI202="",AJ202=""),"",AI202-AJ202)</f>
        <v>6.0679789176248891</v>
      </c>
      <c r="AL202" s="372">
        <f>IF(AK202="","",IF(AK202&lt;-5,3,IF(AK202&lt;0,1,IF(AK202&lt;3,-1,-2))))</f>
        <v>-2</v>
      </c>
      <c r="AO202" s="376" t="str">
        <f>IF(OR($C202="",$E202="",$F202="",$H202="",$I202="",$H202-$I202&lt;=0),"-",IF(AND($H202-MAX($F202,$E202)&gt;=ABS($E202-$F202)*2,MIN($F202,$E202)-$I202&lt;=ABS($E202-$F202)*0.5,ABS($E202-$F202)&gt;0),"上ヒゲ陰線▼",IF(AND($E202&lt;$F202,ABS($E202-$F202)&gt;=($H202-$I202)*0.7),"大陰線▼",IF(AND(MIN($F202,$E202)-$I202&gt;=($H202-$I202)*0.5,$H202-MAX($F202,$E202)&lt;=($H202-$I202)*0.2),"長い下ヒゲ(反発警戒)","通常"))))</f>
        <v>通常</v>
      </c>
      <c r="AP202" s="377">
        <f>IF($AO202="上ヒゲ陰線▼",2,IF($AO202="大陰線▼",2,IF($AO202="長い下ヒゲ(反発警戒)",-2,0)))</f>
        <v>0</v>
      </c>
      <c r="AQ202">
        <f>IF(C202&lt;&gt;"",始値!F75,"")</f>
        <v>1789.5</v>
      </c>
      <c r="AR202">
        <f>IF(C202&lt;&gt;"",高値!F75,"")</f>
        <v>1789.5</v>
      </c>
      <c r="AS202">
        <f>IF(C202&lt;&gt;"",安値!F75,"")</f>
        <v>1758.5</v>
      </c>
      <c r="AT202" t="str">
        <f>IF(OR(C202="",AQ202="",AR202="",AS202="",AR202-AS202&lt;=0),"-",IF(AND(AR202-MAX(G202,AQ202)&gt;=ABS(G202-AQ202)*2,MIN(G202,AQ202)-AS202&lt;=ABS(G202-AQ202)*0.5,ABS(G202-AQ202)&gt;0),"上ヒゲ陰線▼",IF(AND(G202&lt;AQ202,ABS(G202-AQ202)&gt;=(AR202-AS202)*0.7),"大陰線▼",IF(AND(MIN(G202,AQ202)-AS202&gt;=(AR202-AS202)*0.5,AR202-MAX(G202,AQ202)&lt;=(AR202-AS202)*0.2),"長い下ヒゲ(反発)","通常"))))</f>
        <v>長い下ヒゲ(反発)</v>
      </c>
      <c r="AU202">
        <f>IF(AT202="上ヒゲ陰線▼",2,IF(AT202="大陰線▼",2,IF(AT202="長い下ヒゲ(反発)",-2,0)))</f>
        <v>-2</v>
      </c>
      <c r="BA202">
        <f>IFERROR((SUM(OFFSET(高値!$E$6,IFERROR(MATCH($C202,銘柄管理!$B$6:$B$305,0),MATCH(TEXT($C202,"0"),銘柄管理!$B$6:$B$305,0))-1,0,1,14))-SUM(OFFSET(安値!$E$6,IFERROR(MATCH($C202,銘柄管理!$B$6:$B$305,0),MATCH(TEXT($C202,"0"),銘柄管理!$B$6:$B$305,0))-1,0,1,14)))/SUM(OFFSET(終値!$E$6,IFERROR(MATCH($C202,銘柄管理!$B$6:$B$305,0),MATCH(TEXT($C202,"0"),銘柄管理!$B$6:$B$305,0))-1,0,1,14))*100,"")</f>
      </c>
      <c r="BB202">
        <f>IFERROR((MAX(OFFSET(高値!$E$6,IFERROR(MATCH($C202,銘柄管理!$B$6:$B$305,0),MATCH(TEXT($C202,"0"),銘柄管理!$B$6:$B$305,0))-1,0,1,25))-MIN(OFFSET(安値!$E$6,IFERROR(MATCH($C202,銘柄管理!$B$6:$B$305,0),MATCH(TEXT($C202,"0"),銘柄管理!$B$6:$B$305,0))-1,0,1,25)))/$E202*100,"")</f>
      </c>
      <c r="BC202">
        <f>IFERROR(($F202-$G202)/$G202*100,"")</f>
      </c>
      <c r="BD202">
        <f>IFERROR(($E202-MAX(OFFSET(高値!$E$6,IFERROR(MATCH($C202,銘柄管理!$B$6:$B$305,0),MATCH(TEXT($C202,"0"),銘柄管理!$B$6:$B$305,0))-1,0,1,25)))/MAX(OFFSET(高値!$E$6,IFERROR(MATCH($C202,銘柄管理!$B$6:$B$305,0),MATCH(TEXT($C202,"0"),銘柄管理!$B$6:$B$305,0))-1,0,1,25))*100,"")</f>
      </c>
      <c r="BE202">
        <f>IFERROR(($H202-$I202)/$F202*100,"")</f>
      </c>
      <c r="BF202">
        <f>IFERROR(-(($BA202-AVERAGE($BA$3:$BA$206))/STDEV($BA$3:$BA$206))-(($BE202-AVERAGE($BE$3:$BE$206))/STDEV($BE$3:$BE$206))-(($BB202-AVERAGE($BB$3:$BB$206))/STDEV($BB$3:$BB$206))-(($Z202-AVERAGE($Z$3:$Z$206))/STDEV($Z$3:$Z$206))-(($BC202-AVERAGE($BC$3:$BC$206))/STDEV($BC$3:$BC$206)),"")</f>
      </c>
      <c r="BG202">
        <f>IF(OR($C202="",$C202="TOPX",$BA202="",$BF202=""),0,IF(AND($BK$10=1,$BA202&lt;=$BK$2,$BB202&lt;=$BK$3,$BC202&lt;=$BK$4,$Z202&lt;=$BK$5,$Z202&gt;=$BK$6,$BD202&gt;=$BK$7,$BE202&lt;=$BK$8),1,0))</f>
      </c>
      <c r="BH202">
        <f>IF($C202="","",IF($BG202=1,"○ゲート通過",IF($BK$10&lt;&gt;1,"― この方向は停止中",IF($BA202&gt;$BK$2,"×値動きが荒い",IF($BB202&gt;$BK$3,"×レンジが広い",IF($BC202&gt;$BK$4,"×窓を開けて上昇",IF($Z202&gt;$BK$5,"×前日に急騰",IF($Z202&lt;$BK$6,"×前日に急落",IF($BD202&lt;$BK$7,"×高値から離れすぎ",IF($BE202&gt;$BK$8,"×当日の値幅が大きい","×")))))))))</f>
      </c>
    </row>
    <row r="203" spans="1:60"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IF(AND(E203&lt;&gt;"",K203&lt;&gt;"",K203&lt;&gt;0),(E203-K203)/K203*100,"")</f>
        <v>-25.1035521526296</v>
      </c>
      <c r="M203" s="326">
        <f>IF(C203&lt;&gt;"",IFERROR(AVERAGE(出来高!E115:I115),""),"")</f>
        <v>1019980</v>
      </c>
      <c r="N203" s="326">
        <f>IF(C203&lt;&gt;"",IFERROR(AVERAGE(出来高!E115:AC115),""),"")</f>
        <v>1033772</v>
      </c>
      <c r="O203" s="328">
        <f>IF(AND(J203&lt;&gt;"",M203&lt;&gt;"",M203&lt;&gt;0),J203/M203,"")</f>
        <v>0.84540873350457857</v>
      </c>
      <c r="P203" s="325" t="str">
        <f>IF(O203="","",IF(O203&gt;=2,"急増↑↑",IF(O203&gt;=1.5,"増加↑",IF(O203&gt;=1,"普通→","減少↓"))))</f>
        <v>減少↓</v>
      </c>
      <c r="Q203" s="325" t="str">
        <f>IF(E203="","",IF(AND(E203&lt;G203,O203&gt;=1.5),"売り▼",IF(E203&gt;G203,"様子見▲","中立→")))</f>
        <v>様子見▲</v>
      </c>
      <c r="R203" s="326">
        <f>IF(E203&lt;&gt;"",ROUND(E203*0.92,0),"")</f>
        <v>5490</v>
      </c>
      <c r="S203" s="326">
        <f>IF(E203&lt;&gt;"",ROUND(E203*1.04,0),"")</f>
        <v>6206</v>
      </c>
      <c r="T203" s="325">
        <f>IF(C203="","",IFERROR(IF(W203&gt;=70,3,IF(W203&gt;=60,2,IF(W203&gt;=50,1,0)))+IF(X203&lt;0,2,0)+IF(AD203="下降トレンド▼",3,IF(AD203="もみ合い→",1,0))+IF(V203="年初来安値圏●",3,IF(V203="安値圏",2,0))+IF(Q203="売り▼",2,0)+IF(P203="急増↑↑",2,IF(P203="増加↑",1,0))+IF(Z203&lt;0,1,0)+IF(L203&lt;=-30,2,IF(L203&lt;=-15,1,0))+IF(AE203="25日戻り売り★",2,IF(AE203="5日戻り売り○",1,0))+N(AL203)+N(AP203)+N(AU203),0))</f>
        <v>8</v>
      </c>
      <c r="U203" s="325" t="str">
        <f>IF(T203="","",IF(AND(T203&gt;=3,O203&gt;=1.5),"有効",IF(T203&gt;=3,"要確認","除外")))</f>
        <v>要確認</v>
      </c>
      <c r="V203" s="325" t="str">
        <f>IF(AND(I203&lt;&gt;"",K203&lt;&gt;""),IF(I203&lt;=K203*0.6,"年初来安値圏●",IF(I203&lt;=K203*0.75,"安値圏","通常")),"")</f>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IF(AF203="","",AF203&amp;" | "&amp;AD203&amp;IF(AE203&lt;&gt;"なし"," "&amp;AE203,"")&amp;IF(X203&lt;0," MACD-"," MACD+")&amp;" RSI:"&amp;TEXT(W203,"0.0")&amp;IF(W203&gt;=70," [過熱]",IF(W203&lt;=30," [売られ過ぎ]",""))&amp;" 前日比:"&amp;TEXT(Z203,"+0.0;-0.0;0.0")&amp;"%"&amp;IF(V203="年初来安値圏●"," [年初来安値圏]",IF(V203="安値圏"," [安値圏]",""))&amp;IF(OR(AO203="通常",AO203="-"),""," ["&amp;AO203&amp;"]")&amp;IF(OR(AT203="通常",AT203="-"),"","前日["&amp;AT203&amp;"]")&amp;" ["&amp;T203&amp;"点]")</f>
        <v>★逆張り売り | 下降トレンド▼ 5日戻り売り○ MACD+ RSI:39.6 前日比:+0.5% [安値圏] [8点]</v>
      </c>
      <c r="Z203" s="331">
        <f>IF(AND(E203&lt;&gt;"",G203&lt;&gt;"",G203&lt;&gt;0),(E203-G203)/G203*100,"")</f>
        <v>0.50530570995452251</v>
      </c>
      <c r="AA203" s="325" t="str">
        <f>IF(OR(C203="",E203="",E203=0),"",IF(E203&gt;G203,"上昇▲",IF(E203&lt;G203,"下落▼","横ばい→")))</f>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IF(OR(C203="",AB203="",AC203="",AB203=0,AC203=0),"",IF(AND(E203&gt;AB203,AB203&gt;AC203),"パーフェクト▲",IF(E203&gt;AC203,"上昇トレンド▲",IF(AND(E203&lt;AB203,AB203&lt;AC203),"下降トレンド▼","もみ合い→"))))</f>
        <v>下降トレンド▼</v>
      </c>
      <c r="AE203" s="325" t="str">
        <f>IF(OR(C203="",AB203="",AC203=""),"",IF(AND(ABS(E203-AC203)/AC203&lt;=0.02,E203&lt;AC203),"25日戻り売り★",IF(AND(ABS(E203-AB203)/AB203&lt;=0.01,E203&lt;AB203),"5日戻り売り○","なし")))</f>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IF(AND(T203&gt;=7,C203&lt;&gt;""),T203,0)</f>
        <v>8</v>
      </c>
      <c r="AH203">
        <f>IF(AG203&gt;0,AG203*10000-ROW(A203),0)</f>
        <v>79797</v>
      </c>
      <c r="AI203" s="373">
        <f t="array" ref="AI203">IF(C203="","",IFERROR((INDEX(終値!$E:$E,MATCH(TEXT(C203,"0"),終値!$A:$A,0))-INDEX(終値!$E:$CZ,MATCH(TEXT(C203,"0"),終値!$A:$A,0),$AN$2))/INDEX(終値!$E:$CZ,MATCH(TEXT(C203,"0"),終値!$A:$A,0),$AN$2)*100,""))</f>
        <v>-0.33405712376816438</v>
      </c>
      <c r="AJ203" s="373">
        <f t="array" ref="AJ203">IFERROR((終値!$E$5-INDEX(終値!$E$5:$IT$5,1,$AN$2))/INDEX(終値!$E$5:$IT$5,1,$AN$2)*100,"")</f>
        <v>1.0179378228534113</v>
      </c>
      <c r="AK203" s="374">
        <f>IF(OR(AI203="",AJ203=""),"",AI203-AJ203)</f>
        <v>-1.3519949466215757</v>
      </c>
      <c r="AL203" s="372">
        <f>IF(AK203="","",IF(AK203&lt;-5,3,IF(AK203&lt;0,1,IF(AK203&lt;3,-1,-2))))</f>
        <v>1</v>
      </c>
      <c r="AO203" s="376" t="str">
        <f>IF(OR($C203="",$E203="",$F203="",$H203="",$I203="",$H203-$I203&lt;=0),"-",IF(AND($H203-MAX($F203,$E203)&gt;=ABS($E203-$F203)*2,MIN($F203,$E203)-$I203&lt;=ABS($E203-$F203)*0.5,ABS($E203-$F203)&gt;0),"上ヒゲ陰線▼",IF(AND($E203&lt;$F203,ABS($E203-$F203)&gt;=($H203-$I203)*0.7),"大陰線▼",IF(AND(MIN($F203,$E203)-$I203&gt;=($H203-$I203)*0.5,$H203-MAX($F203,$E203)&lt;=($H203-$I203)*0.2),"長い下ヒゲ(反発警戒)","通常"))))</f>
        <v>通常</v>
      </c>
      <c r="AP203" s="377">
        <f>IF($AO203="上ヒゲ陰線▼",2,IF($AO203="大陰線▼",2,IF($AO203="長い下ヒゲ(反発警戒)",-2,0)))</f>
        <v>0</v>
      </c>
      <c r="AQ203">
        <f>IF(C203&lt;&gt;"",始値!F115,"")</f>
        <v>6059</v>
      </c>
      <c r="AR203">
        <f>IF(C203&lt;&gt;"",高値!F115,"")</f>
        <v>6079</v>
      </c>
      <c r="AS203">
        <f>IF(C203&lt;&gt;"",安値!F115,"")</f>
        <v>5901</v>
      </c>
      <c r="AT203" t="str">
        <f>IF(OR(C203="",AQ203="",AR203="",AS203="",AR203-AS203&lt;=0),"-",IF(AND(AR203-MAX(G203,AQ203)&gt;=ABS(G203-AQ203)*2,MIN(G203,AQ203)-AS203&lt;=ABS(G203-AQ203)*0.5,ABS(G203-AQ203)&gt;0),"上ヒゲ陰線▼",IF(AND(G203&lt;AQ203,ABS(G203-AQ203)&gt;=(AR203-AS203)*0.7),"大陰線▼",IF(AND(MIN(G203,AQ203)-AS203&gt;=(AR203-AS203)*0.5,AR203-MAX(G203,AQ203)&lt;=(AR203-AS203)*0.2),"長い下ヒゲ(反発)","通常"))))</f>
        <v>通常</v>
      </c>
      <c r="AU203">
        <f>IF(AT203="上ヒゲ陰線▼",2,IF(AT203="大陰線▼",2,IF(AT203="長い下ヒゲ(反発)",-2,0)))</f>
        <v>0</v>
      </c>
      <c r="BA203">
        <f>IFERROR((SUM(OFFSET(高値!$E$6,IFERROR(MATCH($C203,銘柄管理!$B$6:$B$305,0),MATCH(TEXT($C203,"0"),銘柄管理!$B$6:$B$305,0))-1,0,1,14))-SUM(OFFSET(安値!$E$6,IFERROR(MATCH($C203,銘柄管理!$B$6:$B$305,0),MATCH(TEXT($C203,"0"),銘柄管理!$B$6:$B$305,0))-1,0,1,14)))/SUM(OFFSET(終値!$E$6,IFERROR(MATCH($C203,銘柄管理!$B$6:$B$305,0),MATCH(TEXT($C203,"0"),銘柄管理!$B$6:$B$305,0))-1,0,1,14))*100,"")</f>
      </c>
      <c r="BB203">
        <f>IFERROR((MAX(OFFSET(高値!$E$6,IFERROR(MATCH($C203,銘柄管理!$B$6:$B$305,0),MATCH(TEXT($C203,"0"),銘柄管理!$B$6:$B$305,0))-1,0,1,25))-MIN(OFFSET(安値!$E$6,IFERROR(MATCH($C203,銘柄管理!$B$6:$B$305,0),MATCH(TEXT($C203,"0"),銘柄管理!$B$6:$B$305,0))-1,0,1,25)))/$E203*100,"")</f>
      </c>
      <c r="BC203">
        <f>IFERROR(($F203-$G203)/$G203*100,"")</f>
      </c>
      <c r="BD203">
        <f>IFERROR(($E203-MAX(OFFSET(高値!$E$6,IFERROR(MATCH($C203,銘柄管理!$B$6:$B$305,0),MATCH(TEXT($C203,"0"),銘柄管理!$B$6:$B$305,0))-1,0,1,25)))/MAX(OFFSET(高値!$E$6,IFERROR(MATCH($C203,銘柄管理!$B$6:$B$305,0),MATCH(TEXT($C203,"0"),銘柄管理!$B$6:$B$305,0))-1,0,1,25))*100,"")</f>
      </c>
      <c r="BE203">
        <f>IFERROR(($H203-$I203)/$F203*100,"")</f>
      </c>
      <c r="BF203">
        <f>IFERROR(-(($BA203-AVERAGE($BA$3:$BA$206))/STDEV($BA$3:$BA$206))-(($BE203-AVERAGE($BE$3:$BE$206))/STDEV($BE$3:$BE$206))-(($BB203-AVERAGE($BB$3:$BB$206))/STDEV($BB$3:$BB$206))-(($Z203-AVERAGE($Z$3:$Z$206))/STDEV($Z$3:$Z$206))-(($BC203-AVERAGE($BC$3:$BC$206))/STDEV($BC$3:$BC$206)),"")</f>
      </c>
      <c r="BG203">
        <f>IF(OR($C203="",$C203="TOPX",$BA203="",$BF203=""),0,IF(AND($BK$10=1,$BA203&lt;=$BK$2,$BB203&lt;=$BK$3,$BC203&lt;=$BK$4,$Z203&lt;=$BK$5,$Z203&gt;=$BK$6,$BD203&gt;=$BK$7,$BE203&lt;=$BK$8),1,0))</f>
      </c>
      <c r="BH203">
        <f>IF($C203="","",IF($BG203=1,"○ゲート通過",IF($BK$10&lt;&gt;1,"― この方向は停止中",IF($BA203&gt;$BK$2,"×値動きが荒い",IF($BB203&gt;$BK$3,"×レンジが広い",IF($BC203&gt;$BK$4,"×窓を開けて上昇",IF($Z203&gt;$BK$5,"×前日に急騰",IF($Z203&lt;$BK$6,"×前日に急落",IF($BD203&lt;$BK$7,"×高値から離れすぎ",IF($BE203&gt;$BK$8,"×当日の値幅が大きい","×")))))))))</f>
      </c>
    </row>
    <row r="204" spans="1:60"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IF(AND(E204&lt;&gt;"",K204&lt;&gt;"",K204&lt;&gt;0),(E204-K204)/K204*100,"")</f>
        <v>-2.5178504321683577</v>
      </c>
      <c r="M204" s="333">
        <f>IF(C204&lt;&gt;"",IFERROR(AVERAGE(出来高!E122:I122),""),"")</f>
        <v>1120580</v>
      </c>
      <c r="N204" s="333">
        <f>IF(C204&lt;&gt;"",IFERROR(AVERAGE(出来高!E122:AC122),""),"")</f>
        <v>970820</v>
      </c>
      <c r="O204" s="335">
        <f>IF(AND(J204&lt;&gt;"",M204&lt;&gt;"",M204&lt;&gt;0),J204/M204,"")</f>
        <v>1.0559710150100841</v>
      </c>
      <c r="P204" s="212" t="str">
        <f>IF(O204="","",IF(O204&gt;=2,"急増↑↑",IF(O204&gt;=1.5,"増加↑",IF(O204&gt;=1,"普通→","減少↓"))))</f>
        <v>普通→</v>
      </c>
      <c r="Q204" s="212" t="str">
        <f>IF(E204="","",IF(AND(E204&lt;G204,O204&gt;=1.5),"売り▼",IF(E204&gt;G204,"様子見▲","中立→")))</f>
        <v>様子見▲</v>
      </c>
      <c r="R204" s="333">
        <f>IF(E204&lt;&gt;"",ROUND(E204*0.92,0),"")</f>
        <v>2386</v>
      </c>
      <c r="S204" s="333">
        <f>IF(E204&lt;&gt;"",ROUND(E204*1.04,0),"")</f>
        <v>2698</v>
      </c>
      <c r="T204" s="325">
        <f>IF(C204="","",IFERROR(IF(W204&gt;=70,3,IF(W204&gt;=60,2,IF(W204&gt;=50,1,0)))+IF(X204&lt;0,2,0)+IF(AD204="下降トレンド▼",3,IF(AD204="もみ合い→",1,0))+IF(V204="年初来安値圏●",3,IF(V204="安値圏",2,0))+IF(Q204="売り▼",2,0)+IF(P204="急増↑↑",2,IF(P204="増加↑",1,0))+IF(Z204&lt;0,1,0)+IF(L204&lt;=-30,2,IF(L204&lt;=-15,1,0))+IF(AE204="25日戻り売り★",2,IF(AE204="5日戻り売り○",1,0))+N(AL204)+N(AP204)+N(AU204),0))</f>
        <v>-2</v>
      </c>
      <c r="U204" s="212" t="str">
        <f>IF(T204="","",IF(AND(T204&gt;=3,O204&gt;=1.5),"有効",IF(T204&gt;=3,"要確認","除外")))</f>
        <v>除外</v>
      </c>
      <c r="V204" s="212" t="str">
        <f>IF(AND(I204&lt;&gt;"",K204&lt;&gt;""),IF(I204&lt;=K204*0.6,"年初来安値圏●",IF(I204&lt;=K204*0.75,"安値圏","通常")),"")</f>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IF(AF204="","",AF204&amp;" | "&amp;AD204&amp;IF(AE204&lt;&gt;"なし"," "&amp;AE204,"")&amp;IF(X204&lt;0," MACD-"," MACD+")&amp;" RSI:"&amp;TEXT(W204,"0.0")&amp;IF(W204&gt;=70," [過熱]",IF(W204&lt;=30," [売られ過ぎ]",""))&amp;" 前日比:"&amp;TEXT(Z204,"+0.0;-0.0;0.0")&amp;"%"&amp;IF(V204="年初来安値圏●"," [年初来安値圏]",IF(V204="安値圏"," [安値圏]",""))&amp;IF(OR(AO204="通常",AO204="-"),""," ["&amp;AO204&amp;"]")&amp;IF(OR(AT204="通常",AT204="-"),"","前日["&amp;AT204&amp;"]")&amp;" ["&amp;T204&amp;"点]")</f>
        <v>相場上昇・見送り | パーフェクト▲ MACD+ RSI:46.6 前日比:+1.0% [-2点]</v>
      </c>
      <c r="Z204" s="338">
        <f>IF(AND(E204&lt;&gt;"",G204&lt;&gt;"",G204&lt;&gt;0),(E204-G204)/G204*100,"")</f>
        <v>1.0124610591900312</v>
      </c>
      <c r="AA204" s="212" t="str">
        <f>IF(OR(C204="",E204="",E204=0),"",IF(E204&gt;G204,"上昇▲",IF(E204&lt;G204,"下落▼","横ばい→")))</f>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IF(OR(C204="",AB204="",AC204="",AB204=0,AC204=0),"",IF(AND(E204&gt;AB204,AB204&gt;AC204),"パーフェクト▲",IF(E204&gt;AC204,"上昇トレンド▲",IF(AND(E204&lt;AB204,AB204&lt;AC204),"下降トレンド▼","もみ合い→"))))</f>
        <v>パーフェクト▲</v>
      </c>
      <c r="AE204" s="212" t="str">
        <f>IF(OR(C204="",AB204="",AC204=""),"",IF(AND(ABS(E204-AC204)/AC204&lt;=0.02,E204&lt;AC204),"25日戻り売り★",IF(AND(ABS(E204-AB204)/AB204&lt;=0.01,E204&lt;AB204),"5日戻り売り○","なし")))</f>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IF(AND(T204&gt;=7,C204&lt;&gt;""),T204,0)</f>
        <v>0</v>
      </c>
      <c r="AH204">
        <f>IF(AG204&gt;0,AG204*10000-ROW(A204),0)</f>
        <v>0</v>
      </c>
      <c r="AI204" s="373">
        <f t="array" ref="AI204">IF(C204="","",IFERROR((INDEX(終値!$E:$E,MATCH(TEXT(C204,"0"),終値!$A:$A,0))-INDEX(終値!$E:$CZ,MATCH(TEXT(C204,"0"),終値!$A:$A,0),$AN$2))/INDEX(終値!$E:$CZ,MATCH(TEXT(C204,"0"),終値!$A:$A,0),$AN$2)*100,""))</f>
        <v>9.985160059359762</v>
      </c>
      <c r="AJ204" s="373">
        <f t="array" ref="AJ204">IFERROR((終値!$E$5-INDEX(終値!$E$5:$IT$5,1,$AN$2))/INDEX(終値!$E$5:$IT$5,1,$AN$2)*100,"")</f>
        <v>1.0179378228534113</v>
      </c>
      <c r="AK204" s="374">
        <f>IF(OR(AI204="",AJ204=""),"",AI204-AJ204)</f>
        <v>8.9672222365063501</v>
      </c>
      <c r="AL204" s="372">
        <f>IF(AK204="","",IF(AK204&lt;-5,3,IF(AK204&lt;0,1,IF(AK204&lt;3,-1,-2))))</f>
        <v>-2</v>
      </c>
      <c r="AO204" s="376" t="str">
        <f>IF(OR($C204="",$E204="",$F204="",$H204="",$I204="",$H204-$I204&lt;=0),"-",IF(AND($H204-MAX($F204,$E204)&gt;=ABS($E204-$F204)*2,MIN($F204,$E204)-$I204&lt;=ABS($E204-$F204)*0.5,ABS($E204-$F204)&gt;0),"上ヒゲ陰線▼",IF(AND($E204&lt;$F204,ABS($E204-$F204)&gt;=($H204-$I204)*0.7),"大陰線▼",IF(AND(MIN($F204,$E204)-$I204&gt;=($H204-$I204)*0.5,$H204-MAX($F204,$E204)&lt;=($H204-$I204)*0.2),"長い下ヒゲ(反発警戒)","通常"))))</f>
        <v>通常</v>
      </c>
      <c r="AP204" s="377">
        <f>IF($AO204="上ヒゲ陰線▼",2,IF($AO204="大陰線▼",2,IF($AO204="長い下ヒゲ(反発警戒)",-2,0)))</f>
        <v>0</v>
      </c>
      <c r="AQ204">
        <f>IF(C204&lt;&gt;"",始値!F122,"")</f>
        <v>2496.5</v>
      </c>
      <c r="AR204">
        <f>IF(C204&lt;&gt;"",高値!F122,"")</f>
        <v>2570</v>
      </c>
      <c r="AS204">
        <f>IF(C204&lt;&gt;"",安値!F122,"")</f>
        <v>2496.5</v>
      </c>
      <c r="AT204" t="str">
        <f>IF(OR(C204="",AQ204="",AR204="",AS204="",AR204-AS204&lt;=0),"-",IF(AND(AR204-MAX(G204,AQ204)&gt;=ABS(G204-AQ204)*2,MIN(G204,AQ204)-AS204&lt;=ABS(G204-AQ204)*0.5,ABS(G204-AQ204)&gt;0),"上ヒゲ陰線▼",IF(AND(G204&lt;AQ204,ABS(G204-AQ204)&gt;=(AR204-AS204)*0.7),"大陰線▼",IF(AND(MIN(G204,AQ204)-AS204&gt;=(AR204-AS204)*0.5,AR204-MAX(G204,AQ204)&lt;=(AR204-AS204)*0.2),"長い下ヒゲ(反発)","通常"))))</f>
        <v>通常</v>
      </c>
      <c r="AU204">
        <f>IF(AT204="上ヒゲ陰線▼",2,IF(AT204="大陰線▼",2,IF(AT204="長い下ヒゲ(反発)",-2,0)))</f>
        <v>0</v>
      </c>
      <c r="BA204">
        <f>IFERROR((SUM(OFFSET(高値!$E$6,IFERROR(MATCH($C204,銘柄管理!$B$6:$B$305,0),MATCH(TEXT($C204,"0"),銘柄管理!$B$6:$B$305,0))-1,0,1,14))-SUM(OFFSET(安値!$E$6,IFERROR(MATCH($C204,銘柄管理!$B$6:$B$305,0),MATCH(TEXT($C204,"0"),銘柄管理!$B$6:$B$305,0))-1,0,1,14)))/SUM(OFFSET(終値!$E$6,IFERROR(MATCH($C204,銘柄管理!$B$6:$B$305,0),MATCH(TEXT($C204,"0"),銘柄管理!$B$6:$B$305,0))-1,0,1,14))*100,"")</f>
      </c>
      <c r="BB204">
        <f>IFERROR((MAX(OFFSET(高値!$E$6,IFERROR(MATCH($C204,銘柄管理!$B$6:$B$305,0),MATCH(TEXT($C204,"0"),銘柄管理!$B$6:$B$305,0))-1,0,1,25))-MIN(OFFSET(安値!$E$6,IFERROR(MATCH($C204,銘柄管理!$B$6:$B$305,0),MATCH(TEXT($C204,"0"),銘柄管理!$B$6:$B$305,0))-1,0,1,25)))/$E204*100,"")</f>
      </c>
      <c r="BC204">
        <f>IFERROR(($F204-$G204)/$G204*100,"")</f>
      </c>
      <c r="BD204">
        <f>IFERROR(($E204-MAX(OFFSET(高値!$E$6,IFERROR(MATCH($C204,銘柄管理!$B$6:$B$305,0),MATCH(TEXT($C204,"0"),銘柄管理!$B$6:$B$305,0))-1,0,1,25)))/MAX(OFFSET(高値!$E$6,IFERROR(MATCH($C204,銘柄管理!$B$6:$B$305,0),MATCH(TEXT($C204,"0"),銘柄管理!$B$6:$B$305,0))-1,0,1,25))*100,"")</f>
      </c>
      <c r="BE204">
        <f>IFERROR(($H204-$I204)/$F204*100,"")</f>
      </c>
      <c r="BF204">
        <f>IFERROR(-(($BA204-AVERAGE($BA$3:$BA$206))/STDEV($BA$3:$BA$206))-(($BE204-AVERAGE($BE$3:$BE$206))/STDEV($BE$3:$BE$206))-(($BB204-AVERAGE($BB$3:$BB$206))/STDEV($BB$3:$BB$206))-(($Z204-AVERAGE($Z$3:$Z$206))/STDEV($Z$3:$Z$206))-(($BC204-AVERAGE($BC$3:$BC$206))/STDEV($BC$3:$BC$206)),"")</f>
      </c>
      <c r="BG204">
        <f>IF(OR($C204="",$C204="TOPX",$BA204="",$BF204=""),0,IF(AND($BK$10=1,$BA204&lt;=$BK$2,$BB204&lt;=$BK$3,$BC204&lt;=$BK$4,$Z204&lt;=$BK$5,$Z204&gt;=$BK$6,$BD204&gt;=$BK$7,$BE204&lt;=$BK$8),1,0))</f>
      </c>
      <c r="BH204">
        <f>IF($C204="","",IF($BG204=1,"○ゲート通過",IF($BK$10&lt;&gt;1,"― この方向は停止中",IF($BA204&gt;$BK$2,"×値動きが荒い",IF($BB204&gt;$BK$3,"×レンジが広い",IF($BC204&gt;$BK$4,"×窓を開けて上昇",IF($Z204&gt;$BK$5,"×前日に急騰",IF($Z204&lt;$BK$6,"×前日に急落",IF($BD204&lt;$BK$7,"×高値から離れすぎ",IF($BE204&gt;$BK$8,"×当日の値幅が大きい","×")))))))))</f>
      </c>
    </row>
    <row r="205" spans="1:60"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IF(AND(E205&lt;&gt;"",K205&lt;&gt;"",K205&lt;&gt;0),(E205-K205)/K205*100,"")</f>
        <v>-36.785046728971963</v>
      </c>
      <c r="M205" s="326">
        <f>IF(C205&lt;&gt;"",IFERROR(AVERAGE(出来高!E130:I130),""),"")</f>
        <v>3070460</v>
      </c>
      <c r="N205" s="326">
        <f>IF(C205&lt;&gt;"",IFERROR(AVERAGE(出来高!E130:AC130),""),"")</f>
        <v>2849779.1666666665</v>
      </c>
      <c r="O205" s="328">
        <f>IF(AND(J205&lt;&gt;"",M205&lt;&gt;"",M205&lt;&gt;0),J205/M205,"")</f>
        <v>1.0250255662018068</v>
      </c>
      <c r="P205" s="325" t="str">
        <f>IF(O205="","",IF(O205&gt;=2,"急増↑↑",IF(O205&gt;=1.5,"増加↑",IF(O205&gt;=1,"普通→","減少↓"))))</f>
        <v>普通→</v>
      </c>
      <c r="Q205" s="325" t="str">
        <f>IF(E205="","",IF(AND(E205&lt;G205,O205&gt;=1.5),"売り▼",IF(E205&gt;G205,"様子見▲","中立→")))</f>
        <v>様子見▲</v>
      </c>
      <c r="R205" s="326">
        <f>IF(E205&lt;&gt;"",ROUND(E205*0.92,0),"")</f>
        <v>6223</v>
      </c>
      <c r="S205" s="326">
        <f>IF(E205&lt;&gt;"",ROUND(E205*1.04,0),"")</f>
        <v>7035</v>
      </c>
      <c r="T205" s="325">
        <f>IF(C205="","",IFERROR(IF(W205&gt;=70,3,IF(W205&gt;=60,2,IF(W205&gt;=50,1,0)))+IF(X205&lt;0,2,0)+IF(AD205="下降トレンド▼",3,IF(AD205="もみ合い→",1,0))+IF(V205="年初来安値圏●",3,IF(V205="安値圏",2,0))+IF(Q205="売り▼",2,0)+IF(P205="急増↑↑",2,IF(P205="増加↑",1,0))+IF(Z205&lt;0,1,0)+IF(L205&lt;=-30,2,IF(L205&lt;=-15,1,0))+IF(AE205="25日戻り売り★",2,IF(AE205="5日戻り売り○",1,0))+N(AL205)+N(AP205)+N(AU205),0))</f>
        <v>9</v>
      </c>
      <c r="U205" s="325" t="str">
        <f>IF(T205="","",IF(AND(T205&gt;=3,O205&gt;=1.5),"有効",IF(T205&gt;=3,"要確認","除外")))</f>
        <v>要確認</v>
      </c>
      <c r="V205" s="325" t="str">
        <f>IF(AND(I205&lt;&gt;"",K205&lt;&gt;""),IF(I205&lt;=K205*0.6,"年初来安値圏●",IF(I205&lt;=K205*0.75,"安値圏","通常")),"")</f>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IF(AF205="","",AF205&amp;" | "&amp;AD205&amp;IF(AE205&lt;&gt;"なし"," "&amp;AE205,"")&amp;IF(X205&lt;0," MACD-"," MACD+")&amp;" RSI:"&amp;TEXT(W205,"0.0")&amp;IF(W205&gt;=70," [過熱]",IF(W205&lt;=30," [売られ過ぎ]",""))&amp;" 前日比:"&amp;TEXT(Z205,"+0.0;-0.0;0.0")&amp;"%"&amp;IF(V205="年初来安値圏●"," [年初来安値圏]",IF(V205="安値圏"," [安値圏]",""))&amp;IF(OR(AO205="通常",AO205="-"),""," ["&amp;AO205&amp;"]")&amp;IF(OR(AT205="通常",AT205="-"),"","前日["&amp;AT205&amp;"]")&amp;" ["&amp;T205&amp;"点]")</f>
        <v>相場上昇・見送り | パーフェクト▲ MACD- RSI:48.5 前日比:+1.1% [安値圏] [9点]</v>
      </c>
      <c r="Z205" s="331">
        <f>IF(AND(E205&lt;&gt;"",G205&lt;&gt;"",G205&lt;&gt;0),(E205-G205)/G205*100,"")</f>
        <v>1.1363636363636365</v>
      </c>
      <c r="AA205" s="325" t="str">
        <f>IF(OR(C205="",E205="",E205=0),"",IF(E205&gt;G205,"上昇▲",IF(E205&lt;G205,"下落▼","横ばい→")))</f>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IF(OR(C205="",AB205="",AC205="",AB205=0,AC205=0),"",IF(AND(E205&gt;AB205,AB205&gt;AC205),"パーフェクト▲",IF(E205&gt;AC205,"上昇トレンド▲",IF(AND(E205&lt;AB205,AB205&lt;AC205),"下降トレンド▼","もみ合い→"))))</f>
        <v>パーフェクト▲</v>
      </c>
      <c r="AE205" s="325" t="str">
        <f>IF(OR(C205="",AB205="",AC205=""),"",IF(AND(ABS(E205-AC205)/AC205&lt;=0.02,E205&lt;AC205),"25日戻り売り★",IF(AND(ABS(E205-AB205)/AB205&lt;=0.01,E205&lt;AB205),"5日戻り売り○","なし")))</f>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IF(AND(T205&gt;=7,C205&lt;&gt;""),T205,0)</f>
        <v>9</v>
      </c>
      <c r="AH205">
        <f>IF(AG205&gt;0,AG205*10000-ROW(A205),0)</f>
        <v>89795</v>
      </c>
      <c r="AI205" s="373">
        <f t="array" ref="AI205">IF(C205="","",IFERROR((INDEX(終値!$E:$E,MATCH(TEXT(C205,"0"),終値!$A:$A,0))-INDEX(終値!$E:$CZ,MATCH(TEXT(C205,"0"),終値!$A:$A,0),$AN$2))/INDEX(終値!$E:$CZ,MATCH(TEXT(C205,"0"),終値!$A:$A,0),$AN$2)*100,""))</f>
        <v>-7.1006729844801537</v>
      </c>
      <c r="AJ205" s="373">
        <f t="array" ref="AJ205">IFERROR((終値!$E$5-INDEX(終値!$E$5:$IT$5,1,$AN$2))/INDEX(終値!$E$5:$IT$5,1,$AN$2)*100,"")</f>
        <v>1.0179378228534113</v>
      </c>
      <c r="AK205" s="374">
        <f>IF(OR(AI205="",AJ205=""),"",AI205-AJ205)</f>
        <v>-8.1186108073335657</v>
      </c>
      <c r="AL205" s="372">
        <f>IF(AK205="","",IF(AK205&lt;-5,3,IF(AK205&lt;0,1,IF(AK205&lt;3,-1,-2))))</f>
        <v>3</v>
      </c>
      <c r="AO205" s="376" t="str">
        <f>IF(OR($C205="",$E205="",$F205="",$H205="",$I205="",$H205-$I205&lt;=0),"-",IF(AND($H205-MAX($F205,$E205)&gt;=ABS($E205-$F205)*2,MIN($F205,$E205)-$I205&lt;=ABS($E205-$F205)*0.5,ABS($E205-$F205)&gt;0),"上ヒゲ陰線▼",IF(AND($E205&lt;$F205,ABS($E205-$F205)&gt;=($H205-$I205)*0.7),"大陰線▼",IF(AND(MIN($F205,$E205)-$I205&gt;=($H205-$I205)*0.5,$H205-MAX($F205,$E205)&lt;=($H205-$I205)*0.2),"長い下ヒゲ(反発警戒)","通常"))))</f>
        <v>通常</v>
      </c>
      <c r="AP205" s="377">
        <f>IF($AO205="上ヒゲ陰線▼",2,IF($AO205="大陰線▼",2,IF($AO205="長い下ヒゲ(反発警戒)",-2,0)))</f>
        <v>0</v>
      </c>
      <c r="AQ205">
        <f>IF(C205&lt;&gt;"",始値!F130,"")</f>
        <v>6601</v>
      </c>
      <c r="AR205">
        <f>IF(C205&lt;&gt;"",高値!F130,"")</f>
        <v>6693</v>
      </c>
      <c r="AS205">
        <f>IF(C205&lt;&gt;"",安値!F130,"")</f>
        <v>6601</v>
      </c>
      <c r="AT205" t="str">
        <f>IF(OR(C205="",AQ205="",AR205="",AS205="",AR205-AS205&lt;=0),"-",IF(AND(AR205-MAX(G205,AQ205)&gt;=ABS(G205-AQ205)*2,MIN(G205,AQ205)-AS205&lt;=ABS(G205-AQ205)*0.5,ABS(G205-AQ205)&gt;0),"上ヒゲ陰線▼",IF(AND(G205&lt;AQ205,ABS(G205-AQ205)&gt;=(AR205-AS205)*0.7),"大陰線▼",IF(AND(MIN(G205,AQ205)-AS205&gt;=(AR205-AS205)*0.5,AR205-MAX(G205,AQ205)&lt;=(AR205-AS205)*0.2),"長い下ヒゲ(反発)","通常"))))</f>
        <v>通常</v>
      </c>
      <c r="AU205">
        <f>IF(AT205="上ヒゲ陰線▼",2,IF(AT205="大陰線▼",2,IF(AT205="長い下ヒゲ(反発)",-2,0)))</f>
        <v>0</v>
      </c>
      <c r="BA205">
        <f>IFERROR((SUM(OFFSET(高値!$E$6,IFERROR(MATCH($C205,銘柄管理!$B$6:$B$305,0),MATCH(TEXT($C205,"0"),銘柄管理!$B$6:$B$305,0))-1,0,1,14))-SUM(OFFSET(安値!$E$6,IFERROR(MATCH($C205,銘柄管理!$B$6:$B$305,0),MATCH(TEXT($C205,"0"),銘柄管理!$B$6:$B$305,0))-1,0,1,14)))/SUM(OFFSET(終値!$E$6,IFERROR(MATCH($C205,銘柄管理!$B$6:$B$305,0),MATCH(TEXT($C205,"0"),銘柄管理!$B$6:$B$305,0))-1,0,1,14))*100,"")</f>
      </c>
      <c r="BB205">
        <f>IFERROR((MAX(OFFSET(高値!$E$6,IFERROR(MATCH($C205,銘柄管理!$B$6:$B$305,0),MATCH(TEXT($C205,"0"),銘柄管理!$B$6:$B$305,0))-1,0,1,25))-MIN(OFFSET(安値!$E$6,IFERROR(MATCH($C205,銘柄管理!$B$6:$B$305,0),MATCH(TEXT($C205,"0"),銘柄管理!$B$6:$B$305,0))-1,0,1,25)))/$E205*100,"")</f>
      </c>
      <c r="BC205">
        <f>IFERROR(($F205-$G205)/$G205*100,"")</f>
      </c>
      <c r="BD205">
        <f>IFERROR(($E205-MAX(OFFSET(高値!$E$6,IFERROR(MATCH($C205,銘柄管理!$B$6:$B$305,0),MATCH(TEXT($C205,"0"),銘柄管理!$B$6:$B$305,0))-1,0,1,25)))/MAX(OFFSET(高値!$E$6,IFERROR(MATCH($C205,銘柄管理!$B$6:$B$305,0),MATCH(TEXT($C205,"0"),銘柄管理!$B$6:$B$305,0))-1,0,1,25))*100,"")</f>
      </c>
      <c r="BE205">
        <f>IFERROR(($H205-$I205)/$F205*100,"")</f>
      </c>
      <c r="BF205">
        <f>IFERROR(-(($BA205-AVERAGE($BA$3:$BA$206))/STDEV($BA$3:$BA$206))-(($BE205-AVERAGE($BE$3:$BE$206))/STDEV($BE$3:$BE$206))-(($BB205-AVERAGE($BB$3:$BB$206))/STDEV($BB$3:$BB$206))-(($Z205-AVERAGE($Z$3:$Z$206))/STDEV($Z$3:$Z$206))-(($BC205-AVERAGE($BC$3:$BC$206))/STDEV($BC$3:$BC$206)),"")</f>
      </c>
      <c r="BG205">
        <f>IF(OR($C205="",$C205="TOPX",$BA205="",$BF205=""),0,IF(AND($BK$10=1,$BA205&lt;=$BK$2,$BB205&lt;=$BK$3,$BC205&lt;=$BK$4,$Z205&lt;=$BK$5,$Z205&gt;=$BK$6,$BD205&gt;=$BK$7,$BE205&lt;=$BK$8),1,0))</f>
      </c>
      <c r="BH205">
        <f>IF($C205="","",IF($BG205=1,"○ゲート通過",IF($BK$10&lt;&gt;1,"― この方向は停止中",IF($BA205&gt;$BK$2,"×値動きが荒い",IF($BB205&gt;$BK$3,"×レンジが広い",IF($BC205&gt;$BK$4,"×窓を開けて上昇",IF($Z205&gt;$BK$5,"×前日に急騰",IF($Z205&lt;$BK$6,"×前日に急落",IF($BD205&lt;$BK$7,"×高値から離れすぎ",IF($BE205&gt;$BK$8,"×当日の値幅が大きい","×")))))))))</f>
      </c>
    </row>
    <row r="206" spans="1:60"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IF(AND(E206&lt;&gt;"",K206&lt;&gt;"",K206&lt;&gt;0),(E206-K206)/K206*100,"")</f>
        <v>-23.659914565247348</v>
      </c>
      <c r="M206" s="333">
        <f>IF(C206&lt;&gt;"",IFERROR(AVERAGE(出来高!E202:I202),""),"")</f>
        <v>1659760</v>
      </c>
      <c r="N206" s="333">
        <f>IF(C206&lt;&gt;"",IFERROR(AVERAGE(出来高!E202:AC202),""),"")</f>
        <v>1258908</v>
      </c>
      <c r="O206" s="335">
        <f>IF(AND(J206&lt;&gt;"",M206&lt;&gt;"",M206&lt;&gt;0),J206/M206,"")</f>
        <v>0.86922205620089654</v>
      </c>
      <c r="P206" s="212" t="str">
        <f>IF(O206="","",IF(O206&gt;=2,"急増↑↑",IF(O206&gt;=1.5,"増加↑",IF(O206&gt;=1,"普通→","減少↓"))))</f>
        <v>減少↓</v>
      </c>
      <c r="Q206" s="212" t="str">
        <f>IF(E206="","",IF(AND(E206&lt;G206,O206&gt;=1.5),"売り▼",IF(E206&gt;G206,"様子見▲","中立→")))</f>
        <v>様子見▲</v>
      </c>
      <c r="R206" s="333">
        <f>IF(E206&lt;&gt;"",ROUND(E206*0.92,0),"")</f>
        <v>5097</v>
      </c>
      <c r="S206" s="333">
        <f>IF(E206&lt;&gt;"",ROUND(E206*1.04,0),"")</f>
        <v>5762</v>
      </c>
      <c r="T206" s="325">
        <f>IF(C206="","",IFERROR(IF(W206&gt;=70,3,IF(W206&gt;=60,2,IF(W206&gt;=50,1,0)))+IF(X206&lt;0,2,0)+IF(AD206="下降トレンド▼",3,IF(AD206="もみ合い→",1,0))+IF(V206="年初来安値圏●",3,IF(V206="安値圏",2,0))+IF(Q206="売り▼",2,0)+IF(P206="急増↑↑",2,IF(P206="増加↑",1,0))+IF(Z206&lt;0,1,0)+IF(L206&lt;=-30,2,IF(L206&lt;=-15,1,0))+IF(AE206="25日戻り売り★",2,IF(AE206="5日戻り売り○",1,0))+N(AL206)+N(AP206)+N(AU206),0))</f>
        <v>2</v>
      </c>
      <c r="U206" s="212" t="str">
        <f>IF(T206="","",IF(AND(T206&gt;=3,O206&gt;=1.5),"有効",IF(T206&gt;=3,"要確認","除外")))</f>
        <v>除外</v>
      </c>
      <c r="V206" s="212" t="str">
        <f>IF(AND(I206&lt;&gt;"",K206&lt;&gt;""),IF(I206&lt;=K206*0.6,"年初来安値圏●",IF(I206&lt;=K206*0.75,"安値圏","通常")),"")</f>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IF(AF206="","",AF206&amp;" | "&amp;AD206&amp;IF(AE206&lt;&gt;"なし"," "&amp;AE206,"")&amp;IF(X206&lt;0," MACD-"," MACD+")&amp;" RSI:"&amp;TEXT(W206,"0.0")&amp;IF(W206&gt;=70," [過熱]",IF(W206&lt;=30," [売られ過ぎ]",""))&amp;" 前日比:"&amp;TEXT(Z206,"+0.0;-0.0;0.0")&amp;"%"&amp;IF(V206="年初来安値圏●"," [年初来安値圏]",IF(V206="安値圏"," [安値圏]",""))&amp;IF(OR(AO206="通常",AO206="-"),""," ["&amp;AO206&amp;"]")&amp;IF(OR(AT206="通常",AT206="-"),"","前日["&amp;AT206&amp;"]")&amp;" ["&amp;T206&amp;"点]")</f>
        <v>相場上昇・見送り | パーフェクト▲ MACD+ RSI:56.9 前日比:+2.8% [安値圏] [2点]</v>
      </c>
      <c r="Z206" s="338">
        <f>IF(AND(E206&lt;&gt;"",G206&lt;&gt;"",G206&lt;&gt;0),(E206-G206)/G206*100,"")</f>
        <v>2.8401707815110449</v>
      </c>
      <c r="AA206" s="212" t="str">
        <f>IF(OR(C206="",E206="",E206=0),"",IF(E206&gt;G206,"上昇▲",IF(E206&lt;G206,"下落▼","横ばい→")))</f>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IF(OR(C206="",AB206="",AC206="",AB206=0,AC206=0),"",IF(AND(E206&gt;AB206,AB206&gt;AC206),"パーフェクト▲",IF(E206&gt;AC206,"上昇トレンド▲",IF(AND(E206&lt;AB206,AB206&lt;AC206),"下降トレンド▼","もみ合い→"))))</f>
        <v>パーフェクト▲</v>
      </c>
      <c r="AE206" s="212" t="str">
        <f>IF(OR(C206="",AB206="",AC206=""),"",IF(AND(ABS(E206-AC206)/AC206&lt;=0.02,E206&lt;AC206),"25日戻り売り★",IF(AND(ABS(E206-AB206)/AB206&lt;=0.01,E206&lt;AB206),"5日戻り売り○","なし")))</f>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IF(AND(T206&gt;=7,C206&lt;&gt;""),T206,0)</f>
        <v>0</v>
      </c>
      <c r="AH206">
        <f>IF(AG206&gt;0,AG206*10000-ROW(A206),0)</f>
        <v>0</v>
      </c>
      <c r="AI206" s="373">
        <f t="array" ref="AI206">IF(C206="","",IFERROR((INDEX(終値!$E:$E,MATCH(TEXT(C206,"0"),終値!$A:$A,0))-INDEX(終値!$E:$CZ,MATCH(TEXT(C206,"0"),終値!$A:$A,0),$AN$2))/INDEX(終値!$E:$CZ,MATCH(TEXT(C206,"0"),終値!$A:$A,0),$AN$2)*100,""))</f>
        <v>7.3851521612715647</v>
      </c>
      <c r="AJ206" s="373">
        <f t="array" ref="AJ206">IFERROR((終値!$E$5-INDEX(終値!$E$5:$IT$5,1,$AN$2))/INDEX(終値!$E$5:$IT$5,1,$AN$2)*100,"")</f>
        <v>1.0179378228534113</v>
      </c>
      <c r="AK206" s="374">
        <f>IF(OR(AI206="",AJ206=""),"",AI206-AJ206)</f>
        <v>6.3672143384181537</v>
      </c>
      <c r="AL206" s="372">
        <f>IF(AK206="","",IF(AK206&lt;-5,3,IF(AK206&lt;0,1,IF(AK206&lt;3,-1,-2))))</f>
        <v>-2</v>
      </c>
      <c r="AO206" s="376" t="str">
        <f>IF(OR($C206="",$E206="",$F206="",$H206="",$I206="",$H206-$I206&lt;=0),"-",IF(AND($H206-MAX($F206,$E206)&gt;=ABS($E206-$F206)*2,MIN($F206,$E206)-$I206&lt;=ABS($E206-$F206)*0.5,ABS($E206-$F206)&gt;0),"上ヒゲ陰線▼",IF(AND($E206&lt;$F206,ABS($E206-$F206)&gt;=($H206-$I206)*0.7),"大陰線▼",IF(AND(MIN($F206,$E206)-$I206&gt;=($H206-$I206)*0.5,$H206-MAX($F206,$E206)&lt;=($H206-$I206)*0.2),"長い下ヒゲ(反発警戒)","通常"))))</f>
        <v>通常</v>
      </c>
      <c r="AP206" s="377">
        <f>IF($AO206="上ヒゲ陰線▼",2,IF($AO206="大陰線▼",2,IF($AO206="長い下ヒゲ(反発警戒)",-2,0)))</f>
        <v>0</v>
      </c>
      <c r="AQ206">
        <f>IF(C206&lt;&gt;"",始値!F202,"")</f>
        <v>5255</v>
      </c>
      <c r="AR206">
        <f>IF(C206&lt;&gt;"",高値!F202,"")</f>
        <v>5387</v>
      </c>
      <c r="AS206">
        <f>IF(C206&lt;&gt;"",安値!F202,"")</f>
        <v>5217</v>
      </c>
      <c r="AT206" t="str">
        <f>IF(OR(C206="",AQ206="",AR206="",AS206="",AR206-AS206&lt;=0),"-",IF(AND(AR206-MAX(G206,AQ206)&gt;=ABS(G206-AQ206)*2,MIN(G206,AQ206)-AS206&lt;=ABS(G206-AQ206)*0.5,ABS(G206-AQ206)&gt;0),"上ヒゲ陰線▼",IF(AND(G206&lt;AQ206,ABS(G206-AQ206)&gt;=(AR206-AS206)*0.7),"大陰線▼",IF(AND(MIN(G206,AQ206)-AS206&gt;=(AR206-AS206)*0.5,AR206-MAX(G206,AQ206)&lt;=(AR206-AS206)*0.2),"長い下ヒゲ(反発)","通常"))))</f>
        <v>通常</v>
      </c>
      <c r="AU206">
        <f>IF(AT206="上ヒゲ陰線▼",2,IF(AT206="大陰線▼",2,IF(AT206="長い下ヒゲ(反発)",-2,0)))</f>
        <v>0</v>
      </c>
      <c r="BA206">
        <f>IFERROR((SUM(OFFSET(高値!$E$6,IFERROR(MATCH($C206,銘柄管理!$B$6:$B$305,0),MATCH(TEXT($C206,"0"),銘柄管理!$B$6:$B$305,0))-1,0,1,14))-SUM(OFFSET(安値!$E$6,IFERROR(MATCH($C206,銘柄管理!$B$6:$B$305,0),MATCH(TEXT($C206,"0"),銘柄管理!$B$6:$B$305,0))-1,0,1,14)))/SUM(OFFSET(終値!$E$6,IFERROR(MATCH($C206,銘柄管理!$B$6:$B$305,0),MATCH(TEXT($C206,"0"),銘柄管理!$B$6:$B$305,0))-1,0,1,14))*100,"")</f>
      </c>
      <c r="BB206">
        <f>IFERROR((MAX(OFFSET(高値!$E$6,IFERROR(MATCH($C206,銘柄管理!$B$6:$B$305,0),MATCH(TEXT($C206,"0"),銘柄管理!$B$6:$B$305,0))-1,0,1,25))-MIN(OFFSET(安値!$E$6,IFERROR(MATCH($C206,銘柄管理!$B$6:$B$305,0),MATCH(TEXT($C206,"0"),銘柄管理!$B$6:$B$305,0))-1,0,1,25)))/$E206*100,"")</f>
      </c>
      <c r="BC206">
        <f>IFERROR(($F206-$G206)/$G206*100,"")</f>
      </c>
      <c r="BD206">
        <f>IFERROR(($E206-MAX(OFFSET(高値!$E$6,IFERROR(MATCH($C206,銘柄管理!$B$6:$B$305,0),MATCH(TEXT($C206,"0"),銘柄管理!$B$6:$B$305,0))-1,0,1,25)))/MAX(OFFSET(高値!$E$6,IFERROR(MATCH($C206,銘柄管理!$B$6:$B$305,0),MATCH(TEXT($C206,"0"),銘柄管理!$B$6:$B$305,0))-1,0,1,25))*100,"")</f>
      </c>
      <c r="BE206">
        <f>IFERROR(($H206-$I206)/$F206*100,"")</f>
      </c>
      <c r="BF206">
        <f>IFERROR(-(($BA206-AVERAGE($BA$3:$BA$206))/STDEV($BA$3:$BA$206))-(($BE206-AVERAGE($BE$3:$BE$206))/STDEV($BE$3:$BE$206))-(($BB206-AVERAGE($BB$3:$BB$206))/STDEV($BB$3:$BB$206))-(($Z206-AVERAGE($Z$3:$Z$206))/STDEV($Z$3:$Z$206))-(($BC206-AVERAGE($BC$3:$BC$206))/STDEV($BC$3:$BC$206)),"")</f>
      </c>
      <c r="BG206">
        <f>IF(OR($C206="",$C206="TOPX",$BA206="",$BF206=""),0,IF(AND($BK$10=1,$BA206&lt;=$BK$2,$BB206&lt;=$BK$3,$BC206&lt;=$BK$4,$Z206&lt;=$BK$5,$Z206&gt;=$BK$6,$BD206&gt;=$BK$7,$BE206&lt;=$BK$8),1,0))</f>
      </c>
      <c r="BH206">
        <f>IF($C206="","",IF($BG206=1,"○ゲート通過",IF($BK$10&lt;&gt;1,"― この方向は停止中",IF($BA206&gt;$BK$2,"×値動きが荒い",IF($BB206&gt;$BK$3,"×レンジが広い",IF($BC206&gt;$BK$4,"×窓を開けて上昇",IF($Z206&gt;$BK$5,"×前日に急騰",IF($Z206&lt;$BK$6,"×前日に急落",IF($BD206&lt;$BK$7,"×高値から離れすぎ",IF($BE206&gt;$BK$8,"×当日の値幅が大きい","×")))))))))</f>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IT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 min="105" max="254" width="7" style="1" customWidth="1"/>
  </cols>
  <sheetData>
    <row r="1" spans="1:25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25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25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25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25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25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25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25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25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25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25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25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25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25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25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254"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254"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254"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254"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254"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254"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254"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254"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254"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254"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254"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254"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254"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254"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254"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254"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254"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254"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254"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254"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254"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254"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254"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254"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254"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254"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254"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254"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254"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254"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254"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254"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254"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254"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254"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254"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254"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254"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254"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254"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254"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254"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254"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254"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254"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254"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254"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254"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254"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254"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254"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254"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254"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254"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254"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254"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254"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254"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254"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254"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254"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254"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254"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254"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254"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254"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254"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254"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254"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254"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254"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254"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254"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254"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254"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254"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254"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254"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254"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254"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254"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254"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254"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254"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254"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254"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254"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254"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254"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254"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254"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254"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254"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254"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254"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254"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254"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254"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254"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254"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254"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254"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254"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254"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254"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254"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254"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254"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254"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254"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254"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254"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254"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254"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254"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254"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254"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254"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254"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254"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254"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254"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254"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254"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254"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254"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254"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254"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254"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254"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254"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254"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254"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254"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254"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254"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254"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254"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254"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254"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254"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254"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254"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254"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254"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254"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254"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254"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254"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254"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254"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254"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254"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254"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254"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254"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254"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254"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254"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254"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254"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254"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254"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254"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254"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254"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254"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254"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254"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254"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254"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254"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254"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254"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254"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254"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254"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254"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254"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254"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254"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254"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254"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254"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254"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254"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254"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254"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254"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254"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254"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254"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254"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254"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254"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254"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254"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254"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254"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254"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254">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254">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254">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254">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254">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254">
      <c r="A228" s="74" t="s">
        <v>441</v>
      </c>
      <c r="C228" s="541">
        <f>_xll.RssMarket("3696","始値")</f>
        <v>2065</v>
      </c>
      <c r="E228" s="551">
        <v>2065</v>
      </c>
      <c r="F228" s="1">
        <v>2070</v>
      </c>
    </row>
    <row r="229" spans="1:254">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254">
      <c r="A230" s="74" t="s">
        <v>443</v>
      </c>
      <c r="B230" s="1" t="str">
        <f>銘柄管理!C230</f>
        <v>ＦＯＯＤ＆ＬＩＦＥＣＯＭＰＡＮ</v>
      </c>
      <c r="C230" s="541">
        <f>_xll.RssMarket("3563","始値")</f>
        <v>6001</v>
      </c>
      <c r="E230" s="547">
        <v>6001</v>
      </c>
      <c r="F230" s="1">
        <v>5724</v>
      </c>
    </row>
    <row r="231" spans="1:254">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254">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254">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254">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254">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254">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254">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254">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254">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254">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254">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254">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254">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254">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254">
      <c r="A245" s="74" t="s">
        <v>458</v>
      </c>
      <c r="B245" s="1" t="str">
        <f>銘柄管理!C245</f>
        <v>グローバルウェイ</v>
      </c>
      <c r="C245" s="541">
        <f>_xll.RssMarket("3936","始値")</f>
        <v>158</v>
      </c>
      <c r="E245" s="547">
        <v>158</v>
      </c>
      <c r="F245" s="1">
        <v>160</v>
      </c>
    </row>
    <row r="246" spans="1:254">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254">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254">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254">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254">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254">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254">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254">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254">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254">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254">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254">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254">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254">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254">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254">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254">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254">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254">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254">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254">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254">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254">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254">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254">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254">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254">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254">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254">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254">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254">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254">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254">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254">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254">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254">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254">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254">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254">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254">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254">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254">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254">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254">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254">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254">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254">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254">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254">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254">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254">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254">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254">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254">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254">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254">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254">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254">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254">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254">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254">
      <c r="A306" s="75"/>
    </row>
    <row r="307" spans="1:254">
      <c r="A307" s="75"/>
    </row>
    <row r="308" spans="1:254">
      <c r="A308" s="75"/>
    </row>
    <row r="309" spans="1:254">
      <c r="A309" s="75"/>
    </row>
    <row r="310" spans="1:254">
      <c r="A310" s="75"/>
    </row>
    <row r="311" spans="1:254">
      <c r="A311" s="75"/>
    </row>
    <row r="312" spans="1:254">
      <c r="A312" s="75"/>
    </row>
    <row r="313" spans="1:254">
      <c r="A313" s="75"/>
    </row>
    <row r="314" spans="1:254">
      <c r="A314" s="75"/>
    </row>
    <row r="315" spans="1:254">
      <c r="A315" s="75"/>
    </row>
    <row r="316" spans="1:254">
      <c r="A316" s="75"/>
    </row>
    <row r="317" spans="1:254">
      <c r="A317" s="75"/>
    </row>
    <row r="318" spans="1:254">
      <c r="A318" s="75"/>
    </row>
    <row r="319" spans="1:254">
      <c r="A319" s="75"/>
    </row>
    <row r="320" spans="1:254">
      <c r="A320" s="75"/>
    </row>
    <row r="321" spans="1:254">
      <c r="A321" s="75"/>
    </row>
    <row r="322" spans="1:254">
      <c r="A322" s="75"/>
    </row>
    <row r="323" spans="1:254">
      <c r="A323" s="75"/>
    </row>
    <row r="324" spans="1:254">
      <c r="A324" s="75"/>
    </row>
    <row r="325" spans="1:254">
      <c r="A325" s="75"/>
    </row>
    <row r="326" spans="1:254">
      <c r="A326" s="75"/>
    </row>
    <row r="327" spans="1:254">
      <c r="A327" s="75"/>
    </row>
    <row r="328" spans="1:254">
      <c r="A328" s="75"/>
    </row>
    <row r="329" spans="1:254">
      <c r="A329" s="75"/>
    </row>
    <row r="330" spans="1:254">
      <c r="A330" s="75"/>
    </row>
    <row r="331" spans="1:254">
      <c r="A331" s="75"/>
    </row>
    <row r="332" spans="1:254">
      <c r="A332" s="75"/>
    </row>
    <row r="333" spans="1:254">
      <c r="A333" s="75"/>
    </row>
    <row r="334" spans="1:254">
      <c r="A334" s="75"/>
    </row>
    <row r="335" spans="1:254">
      <c r="A335" s="75"/>
    </row>
    <row r="336" spans="1:254">
      <c r="A336" s="75"/>
    </row>
    <row r="337" spans="1:254">
      <c r="A337" s="75"/>
    </row>
    <row r="338" spans="1:254">
      <c r="A338" s="75"/>
    </row>
    <row r="339" spans="1:254">
      <c r="A339" s="75"/>
    </row>
    <row r="340" spans="1:254">
      <c r="A340" s="75"/>
    </row>
    <row r="341" spans="1:254">
      <c r="A341" s="75"/>
    </row>
    <row r="342" spans="1:254">
      <c r="A342" s="75"/>
    </row>
    <row r="343" spans="1:254">
      <c r="A343" s="75"/>
    </row>
    <row r="344" spans="1:254">
      <c r="A344" s="75"/>
    </row>
    <row r="345" spans="1:254">
      <c r="A345" s="75"/>
    </row>
    <row r="346" spans="1:254">
      <c r="A346" s="75"/>
    </row>
    <row r="347" spans="1:254">
      <c r="A347" s="75"/>
    </row>
    <row r="348" spans="1:254">
      <c r="A348" s="75"/>
    </row>
    <row r="349" spans="1:254">
      <c r="A349" s="75"/>
    </row>
    <row r="350" spans="1:254">
      <c r="A350" s="75"/>
    </row>
    <row r="351" spans="1:254">
      <c r="A351" s="75"/>
    </row>
    <row r="352" spans="1:254">
      <c r="A352" s="75"/>
    </row>
    <row r="353" spans="1:254">
      <c r="A353" s="75"/>
    </row>
    <row r="354" spans="1:254">
      <c r="A354" s="75"/>
    </row>
    <row r="355" spans="1:254">
      <c r="A355" s="75"/>
    </row>
    <row r="356" spans="1:254">
      <c r="A356" s="75"/>
    </row>
    <row r="357" spans="1:254">
      <c r="A357" s="75"/>
    </row>
    <row r="358" spans="1:254">
      <c r="A358" s="75"/>
    </row>
    <row r="359" spans="1:254">
      <c r="A359" s="75"/>
    </row>
    <row r="360" spans="1:254">
      <c r="A360" s="75"/>
    </row>
    <row r="361" spans="1:254">
      <c r="A361" s="75"/>
    </row>
    <row r="362" spans="1:254">
      <c r="A362" s="75"/>
    </row>
    <row r="363" spans="1:254">
      <c r="A363" s="75"/>
    </row>
    <row r="364" spans="1:254">
      <c r="A364" s="75"/>
    </row>
    <row r="365" spans="1:254">
      <c r="A365" s="75"/>
    </row>
    <row r="366" spans="1:254">
      <c r="A366" s="75"/>
    </row>
    <row r="367" spans="1:254">
      <c r="A367" s="75"/>
    </row>
    <row r="368" spans="1:254">
      <c r="A368" s="75"/>
    </row>
    <row r="369" spans="1:254">
      <c r="A369" s="75"/>
    </row>
    <row r="370" spans="1:254">
      <c r="A370" s="75"/>
    </row>
    <row r="371" spans="1:254">
      <c r="A371" s="75"/>
    </row>
    <row r="372" spans="1:254">
      <c r="A372" s="75"/>
    </row>
    <row r="373" spans="1:254">
      <c r="A373" s="75"/>
    </row>
    <row r="374" spans="1:254">
      <c r="A374" s="75"/>
    </row>
    <row r="375" spans="1:254">
      <c r="A375" s="75"/>
    </row>
    <row r="376" spans="1:254">
      <c r="A376" s="75"/>
    </row>
    <row r="377" spans="1:254">
      <c r="A377" s="75"/>
    </row>
    <row r="378" spans="1:254">
      <c r="A378" s="75"/>
    </row>
    <row r="379" spans="1:254">
      <c r="A379" s="75"/>
    </row>
    <row r="380" spans="1:254">
      <c r="A380" s="75"/>
    </row>
    <row r="381" spans="1:254">
      <c r="A381" s="75"/>
    </row>
    <row r="382" spans="1:254">
      <c r="A382" s="75"/>
    </row>
    <row r="383" spans="1:254">
      <c r="A383" s="75"/>
    </row>
    <row r="384" spans="1:254">
      <c r="A384" s="75"/>
    </row>
    <row r="385" spans="1:254">
      <c r="A385" s="75"/>
    </row>
    <row r="386" spans="1:254">
      <c r="A386" s="75"/>
    </row>
    <row r="387" spans="1:254">
      <c r="A387" s="75"/>
    </row>
    <row r="388" spans="1:254">
      <c r="A388" s="75"/>
    </row>
    <row r="389" spans="1:254">
      <c r="A389" s="75"/>
    </row>
    <row r="390" spans="1:254">
      <c r="A390" s="75"/>
    </row>
    <row r="391" spans="1:254">
      <c r="A391" s="75"/>
    </row>
    <row r="392" spans="1:254">
      <c r="A392" s="75"/>
    </row>
    <row r="393" spans="1:254">
      <c r="A393" s="75"/>
    </row>
    <row r="394" spans="1:254">
      <c r="A394" s="75"/>
    </row>
    <row r="395" spans="1:254">
      <c r="A395" s="75"/>
    </row>
    <row r="396" spans="1:254">
      <c r="A396" s="75"/>
    </row>
    <row r="397" spans="1:254">
      <c r="A397" s="75"/>
    </row>
    <row r="398" spans="1:254">
      <c r="A398" s="75"/>
    </row>
    <row r="399" spans="1:254">
      <c r="A399" s="75"/>
    </row>
    <row r="400" spans="1:254">
      <c r="A400" s="75"/>
    </row>
    <row r="401" spans="1:254">
      <c r="A401" s="75"/>
    </row>
    <row r="402" spans="1:254">
      <c r="A402" s="75"/>
    </row>
    <row r="403" spans="1:254">
      <c r="A403" s="75"/>
    </row>
    <row r="404" spans="1:254">
      <c r="A404" s="75"/>
    </row>
    <row r="405" spans="1:254">
      <c r="A405" s="75"/>
    </row>
    <row r="406" spans="1:254">
      <c r="A406" s="75"/>
    </row>
    <row r="407" spans="1:254">
      <c r="A407" s="75"/>
    </row>
    <row r="408" spans="1:254">
      <c r="A408" s="75"/>
    </row>
    <row r="409" spans="1:254">
      <c r="A409" s="75"/>
    </row>
    <row r="410" spans="1:254">
      <c r="A410" s="75"/>
    </row>
    <row r="411" spans="1:254">
      <c r="A411" s="75"/>
    </row>
    <row r="412" spans="1:254">
      <c r="A412" s="75"/>
    </row>
    <row r="413" spans="1:254">
      <c r="A413" s="75"/>
    </row>
    <row r="414" spans="1:254">
      <c r="A414" s="75"/>
    </row>
    <row r="415" spans="1:254">
      <c r="A415" s="75"/>
    </row>
    <row r="416" spans="1:254">
      <c r="A416" s="75"/>
    </row>
    <row r="417" spans="1:254">
      <c r="A417" s="75"/>
    </row>
    <row r="418" spans="1:254">
      <c r="A418" s="75"/>
    </row>
    <row r="419" spans="1:254">
      <c r="A419" s="75"/>
    </row>
    <row r="420" spans="1:254">
      <c r="A420" s="75"/>
    </row>
    <row r="421" spans="1:254">
      <c r="A421" s="75"/>
    </row>
    <row r="422" spans="1:254">
      <c r="A422" s="75"/>
    </row>
    <row r="423" spans="1:254">
      <c r="A423" s="75"/>
    </row>
    <row r="424" spans="1:254">
      <c r="A424" s="75"/>
    </row>
    <row r="425" spans="1:254">
      <c r="A425" s="75"/>
    </row>
    <row r="426" spans="1:254">
      <c r="A426" s="75"/>
    </row>
    <row r="427" spans="1:254">
      <c r="A427" s="75"/>
    </row>
    <row r="428" spans="1:254">
      <c r="A428" s="75"/>
    </row>
    <row r="429" spans="1:254">
      <c r="A429" s="75"/>
    </row>
    <row r="430" spans="1:254">
      <c r="A430" s="75"/>
    </row>
    <row r="431" spans="1:254">
      <c r="A431" s="75"/>
    </row>
    <row r="432" spans="1:254">
      <c r="A432" s="75"/>
    </row>
    <row r="433" spans="1:254">
      <c r="A433" s="75"/>
    </row>
    <row r="434" spans="1:254">
      <c r="A434" s="75"/>
    </row>
    <row r="435" spans="1:254">
      <c r="A435" s="75"/>
    </row>
    <row r="436" spans="1:254">
      <c r="A436" s="75"/>
    </row>
    <row r="437" spans="1:254">
      <c r="A437" s="75"/>
    </row>
    <row r="438" spans="1:254">
      <c r="A438" s="75"/>
    </row>
    <row r="439" spans="1:254">
      <c r="A439" s="75"/>
    </row>
    <row r="440" spans="1:254">
      <c r="A440" s="75"/>
    </row>
    <row r="441" spans="1:254">
      <c r="A441" s="75"/>
    </row>
    <row r="442" spans="1:254">
      <c r="A442" s="75"/>
    </row>
    <row r="443" spans="1:254">
      <c r="A443" s="75"/>
    </row>
    <row r="444" spans="1:254">
      <c r="A444" s="75"/>
    </row>
    <row r="445" spans="1:254">
      <c r="A445" s="75"/>
    </row>
    <row r="446" spans="1:254">
      <c r="A446" s="75"/>
    </row>
    <row r="447" spans="1:254">
      <c r="A447" s="75"/>
    </row>
    <row r="448" spans="1:254">
      <c r="A448" s="75"/>
    </row>
    <row r="449" spans="1:254">
      <c r="A449" s="75"/>
    </row>
    <row r="450" spans="1:254">
      <c r="A450" s="75"/>
    </row>
    <row r="451" spans="1:254">
      <c r="A451" s="75"/>
    </row>
    <row r="452" spans="1:254">
      <c r="A452" s="75"/>
    </row>
    <row r="453" spans="1:254">
      <c r="A453" s="75"/>
    </row>
    <row r="454" spans="1:254">
      <c r="A454" s="75"/>
    </row>
    <row r="455" spans="1:254">
      <c r="A455" s="75"/>
    </row>
    <row r="456" spans="1:254">
      <c r="A456" s="75"/>
    </row>
    <row r="457" spans="1:254">
      <c r="A457" s="75"/>
    </row>
    <row r="458" spans="1:254">
      <c r="A458" s="75"/>
    </row>
    <row r="459" spans="1:254">
      <c r="A459" s="75"/>
    </row>
    <row r="460" spans="1:254">
      <c r="A460" s="75"/>
    </row>
    <row r="461" spans="1:254">
      <c r="A461" s="75"/>
    </row>
    <row r="462" spans="1:254">
      <c r="A462" s="75"/>
    </row>
    <row r="463" spans="1:254">
      <c r="A463" s="75"/>
    </row>
    <row r="464" spans="1:254">
      <c r="A464" s="75"/>
    </row>
    <row r="465" spans="1:254">
      <c r="A465" s="75"/>
    </row>
    <row r="466" spans="1:254">
      <c r="A466" s="75"/>
    </row>
    <row r="467" spans="1:254">
      <c r="A467" s="75"/>
    </row>
    <row r="468" spans="1:254">
      <c r="A468" s="75"/>
    </row>
    <row r="469" spans="1:254">
      <c r="A469" s="75"/>
    </row>
    <row r="470" spans="1:254">
      <c r="A470" s="75"/>
    </row>
    <row r="471" spans="1:254">
      <c r="A471" s="75"/>
    </row>
    <row r="472" spans="1:254">
      <c r="A472" s="75"/>
    </row>
    <row r="473" spans="1:254">
      <c r="A473" s="75"/>
    </row>
    <row r="474" spans="1:254">
      <c r="A474" s="75"/>
    </row>
    <row r="475" spans="1:254">
      <c r="A475" s="75"/>
    </row>
    <row r="476" spans="1:254">
      <c r="A476" s="75"/>
    </row>
    <row r="477" spans="1:254">
      <c r="A477" s="75"/>
    </row>
    <row r="478" spans="1:254">
      <c r="A478" s="75"/>
    </row>
    <row r="479" spans="1:254">
      <c r="A479" s="75"/>
    </row>
    <row r="480" spans="1:254">
      <c r="A480" s="75"/>
    </row>
    <row r="481" spans="1:254">
      <c r="A481" s="75"/>
    </row>
    <row r="482" spans="1:254">
      <c r="A482" s="75"/>
    </row>
    <row r="483" spans="1:254">
      <c r="A483" s="75"/>
    </row>
    <row r="484" spans="1:254">
      <c r="A484" s="75"/>
    </row>
    <row r="485" spans="1:254">
      <c r="A485" s="75"/>
    </row>
    <row r="486" spans="1:254">
      <c r="A486" s="75"/>
    </row>
    <row r="487" spans="1:254">
      <c r="A487" s="75"/>
    </row>
    <row r="488" spans="1:254">
      <c r="A488" s="75"/>
    </row>
    <row r="489" spans="1:254">
      <c r="A489" s="75"/>
    </row>
    <row r="490" spans="1:254">
      <c r="A490" s="75"/>
    </row>
    <row r="491" spans="1:254">
      <c r="A491" s="75"/>
    </row>
    <row r="492" spans="1:254">
      <c r="A492" s="75"/>
    </row>
    <row r="493" spans="1:254">
      <c r="A493" s="75"/>
    </row>
    <row r="494" spans="1:254">
      <c r="A494" s="75"/>
    </row>
    <row r="495" spans="1:254">
      <c r="A495" s="75"/>
    </row>
    <row r="496" spans="1:254">
      <c r="A496" s="75"/>
    </row>
    <row r="497" spans="1:254">
      <c r="A497" s="75"/>
    </row>
    <row r="498" spans="1:254">
      <c r="A498" s="75"/>
    </row>
    <row r="499" spans="1:254">
      <c r="A499" s="75"/>
    </row>
    <row r="500" spans="1:254">
      <c r="A500" s="75"/>
    </row>
    <row r="501" spans="1:254">
      <c r="A501" s="75"/>
    </row>
    <row r="502" spans="1:254">
      <c r="A502" s="75"/>
    </row>
    <row r="503" spans="1:254">
      <c r="A503" s="75"/>
    </row>
    <row r="504" spans="1:254">
      <c r="A504" s="75"/>
    </row>
    <row r="505" spans="1:254">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IT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 min="105" max="254" width="7" style="1" customWidth="1"/>
  </cols>
  <sheetData>
    <row r="1" spans="1:25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25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25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25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25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25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25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25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25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25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25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25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254"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254"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254"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254"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254"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254"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254"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254"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254"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254"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254"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254"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254"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254"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254"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254"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254"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254"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254"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254"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254"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254"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254"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254"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254"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254"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254"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254"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254"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254"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254"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254"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254"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254"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254"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254"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254"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254"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254"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254"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254"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254"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254"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254"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254"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254"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254"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254"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254"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254"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254"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254"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254"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254"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254"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254"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254"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254"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254"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254"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254"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254"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254"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254"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254"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254"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254"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254"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254"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254"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254"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254"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254"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254"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254"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254"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254"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254"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254"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254"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254"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254"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254"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254"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254"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254"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254"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254"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254"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254"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254"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254"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254"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254"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254"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254"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254"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254"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254"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254"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254"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254"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254"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254"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254"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254"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254"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254"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254"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254"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254"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254"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254"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254"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254"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254"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254"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254"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254"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254"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254"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254"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254"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254"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254"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254"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254"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254"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254"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254"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254"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254"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254"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254"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254"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254"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254"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254"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254"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254"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254"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254"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254"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254"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254"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254"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254"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254"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254"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254"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254"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254"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254"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254"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254"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254"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254"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254"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254"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254"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254"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254"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254"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254"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254"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254"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254"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254"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254"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254"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254"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254"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254"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254"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254"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254"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254"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254"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254"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254"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254"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254"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254"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254"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254"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254"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254"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254"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254">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254">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254">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254">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254">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254">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254">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254">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254">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254">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254">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254">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254">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254">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254">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254">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254">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254">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254">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254">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254">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254">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254">
      <c r="A228" s="62" t="s">
        <v>441</v>
      </c>
      <c r="C228" s="1">
        <f>_xll.RssMarket("3696","高値")</f>
        <v>2104</v>
      </c>
      <c r="E228" s="2">
        <v>2104</v>
      </c>
      <c r="F228" s="1">
        <v>2090</v>
      </c>
    </row>
    <row r="229" spans="1:254">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254">
      <c r="A230" s="62" t="s">
        <v>443</v>
      </c>
      <c r="B230" s="1" t="str">
        <f>銘柄管理!C230</f>
        <v>ＦＯＯＤ＆ＬＩＦＥＣＯＭＰＡＮ</v>
      </c>
      <c r="C230" s="1">
        <f>_xll.RssMarket("3563","高値")</f>
        <v>6062</v>
      </c>
      <c r="E230" s="1">
        <v>6062</v>
      </c>
      <c r="F230" s="1">
        <v>5923</v>
      </c>
    </row>
    <row r="231" spans="1:254">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254">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254">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254">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254">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254">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254">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254">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254">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254">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254">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254">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254">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254">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254">
      <c r="A245" s="62" t="s">
        <v>458</v>
      </c>
      <c r="B245" s="1" t="str">
        <f>銘柄管理!C245</f>
        <v>グローバルウェイ</v>
      </c>
      <c r="C245" s="1">
        <f>_xll.RssMarket("3936","高値")</f>
        <v>161</v>
      </c>
      <c r="E245" s="1">
        <v>161</v>
      </c>
      <c r="F245" s="1">
        <v>164</v>
      </c>
    </row>
    <row r="246" spans="1:254">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254">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254">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254">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254">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254">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254">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254">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254">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254">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254">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254">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254">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254">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254">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254">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254">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254">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254">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254">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254">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254">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254">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254">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254">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254">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254">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254">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254">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254">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254">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254">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254">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254">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254">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254">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254">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254">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254">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254">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254">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254">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254">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254">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254">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254">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254">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254">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254">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254">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254">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254">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254">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254">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254">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254">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254">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254">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254">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254">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IT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 min="105" max="254" width="7" style="1" customWidth="1"/>
  </cols>
  <sheetData>
    <row r="1" spans="1:25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25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25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25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25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25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25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25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25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25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25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25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254"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254"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254"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254"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254"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254"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254"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254"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254"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254"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254"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254"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254"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254"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254"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254"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254"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254"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254"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254"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254"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254"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254"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254"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254"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254"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254"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254"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254"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254"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254"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254"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254"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254"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254"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254"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254"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254"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254"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254"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254"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254"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254"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254"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254"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254"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254"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254"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254"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254"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254"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254"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254"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254"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254"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254"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254"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254"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254"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254"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254"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254"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254"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254"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254"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254"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254"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254"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254"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254"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254"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254"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254"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254"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254"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254"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254"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254"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254"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254"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254"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254"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254"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254"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254"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254"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254"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254"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254"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254"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254"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254"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254"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254"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254"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254"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254"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254"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254"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254"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254"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254"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254"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254"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254"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254"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254"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254"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254"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254"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254"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254"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254"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254"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254"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254"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254"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254"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254"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254"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254"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254"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254"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254"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254"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254"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254"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254"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254"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254"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254"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254"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254"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254"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254"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254"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254"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254"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254"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254"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254"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254"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254"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254"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254"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254"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254"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254"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254"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254"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254"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254"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254"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254"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254"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254"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254"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254"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254"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254"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254"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254"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254"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254"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254"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254"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254"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254"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254"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254"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254"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254"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254"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254"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254"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254"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254"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254"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254"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254"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254"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254"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254"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254"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254"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254"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254"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254"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254">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254">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254">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254">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254">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254">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254">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254">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254">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254">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254">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254">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254">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254">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254">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254">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254">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254">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254">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254">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254">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254">
      <c r="A228" s="62" t="s">
        <v>441</v>
      </c>
      <c r="C228" s="1">
        <f>_xll.RssMarket("3696","安値")</f>
        <v>2051</v>
      </c>
      <c r="E228" s="2">
        <v>2051</v>
      </c>
      <c r="F228" s="1">
        <v>2055</v>
      </c>
    </row>
    <row r="229" spans="1:254">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254">
      <c r="A230" s="62" t="s">
        <v>443</v>
      </c>
      <c r="B230" s="1" t="str">
        <f>銘柄管理!C230</f>
        <v>ＦＯＯＤ＆ＬＩＦＥＣＯＭＰＡＮ</v>
      </c>
      <c r="C230" s="1">
        <f>_xll.RssMarket("3563","安値")</f>
        <v>5786</v>
      </c>
      <c r="E230" s="1">
        <v>5786</v>
      </c>
      <c r="F230" s="1">
        <v>5633</v>
      </c>
    </row>
    <row r="231" spans="1:254">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254">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254">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254">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254">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254">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254">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254">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254">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254">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254">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254">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254">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254">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254">
      <c r="A245" s="62" t="s">
        <v>458</v>
      </c>
      <c r="B245" s="1" t="str">
        <f>銘柄管理!C245</f>
        <v>グローバルウェイ</v>
      </c>
      <c r="C245" s="1">
        <f>_xll.RssMarket("3936","安値")</f>
        <v>155</v>
      </c>
      <c r="E245" s="1">
        <v>155</v>
      </c>
      <c r="F245" s="1">
        <v>158</v>
      </c>
    </row>
    <row r="246" spans="1:254">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254">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254">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254">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254">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254">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254">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254">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254">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254">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254">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254">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254">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254">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254">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254">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254">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254">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254">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254">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254">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254">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254">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254">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254">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254">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254">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254">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254">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254">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254">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254">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254">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254">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254">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254">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254">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254">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254">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254">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254">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254">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254">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254">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254">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254">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254">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254">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254">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254">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254">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254">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254">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254">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254">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254">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254">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254">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254">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254">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IT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 min="105" max="254" width="7" style="1" customWidth="1"/>
  </cols>
  <sheetData>
    <row r="1" spans="1:25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25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25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25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25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25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25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25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25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25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25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25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25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25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25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25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254"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254"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254"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254"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254"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254"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254"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254"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254"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254"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254"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254"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254"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254"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254"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254"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254"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254"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254"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254"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254"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254"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254"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254"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254"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254"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254"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254"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254"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254"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254"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254"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254"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254"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254"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254"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254"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254"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254"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254"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254"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254"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254"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254"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254"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254"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254"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254"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254"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254"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254"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254"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254"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254"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254"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254"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254"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254"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254"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254"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254"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254"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254"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254"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254"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254"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254"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254"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254"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254"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254"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254"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254"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254"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254"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254"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254"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254"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254"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254"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254"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254"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254"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254"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254"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254"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254"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254"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254"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254"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254"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254"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254"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254"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254"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254"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254"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254"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254"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254"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254"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254"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254"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254"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254"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254"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254"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254"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254"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254"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254"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254"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254"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254"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254"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254"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254"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254"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254"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254"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254"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254"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254"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254"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254"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254"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254"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254"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254"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254"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254"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254"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254"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254"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254"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254"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254"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254"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254"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254"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254"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254"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254"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254"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254"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254"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254"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254"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254"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254"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254"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254"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254"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254"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254"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254"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254"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254"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254"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254"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254"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254"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254"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254"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254"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254"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254"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254"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254"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254"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254"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254"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254"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254"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254"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254"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254"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254"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254"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254"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254"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254"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254"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254"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254"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254"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254"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254"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254">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254">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254">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254">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254">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254">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254">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254">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254">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254">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254">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254">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254">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254">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254">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254">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254">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254">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254">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254">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254">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254">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254">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254">
      <c r="A228" s="62" t="s">
        <v>441</v>
      </c>
      <c r="C228" s="4">
        <f>_xll.RssMarket("3696","現在値")</f>
        <v>2072</v>
      </c>
      <c r="D228" s="4">
        <f t="shared" si="7"/>
        <v>0</v>
      </c>
      <c r="E228" s="67">
        <v>2072</v>
      </c>
      <c r="F228" s="4">
        <v>2057</v>
      </c>
    </row>
    <row r="229" spans="1:254">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254">
      <c r="A230" s="62" t="s">
        <v>443</v>
      </c>
      <c r="B230" s="4" t="str">
        <f>銘柄管理!C230</f>
        <v>ＦＯＯＤ＆ＬＩＦＥＣＯＭＰＡＮ</v>
      </c>
      <c r="C230" s="4">
        <f>_xll.RssMarket("3563","現在値")</f>
        <v>5820</v>
      </c>
      <c r="D230" s="4">
        <f t="shared" si="7"/>
        <v>0</v>
      </c>
      <c r="E230" s="4">
        <v>5820</v>
      </c>
      <c r="F230" s="4">
        <v>5901</v>
      </c>
    </row>
    <row r="231" spans="1:254">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254">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254">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254">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254">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254">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254">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254">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254">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254">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254">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254">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254">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254">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254">
      <c r="A245" s="62" t="s">
        <v>458</v>
      </c>
      <c r="B245" s="4" t="str">
        <f>銘柄管理!C245</f>
        <v>グローバルウェイ</v>
      </c>
      <c r="C245" s="4">
        <f>_xll.RssMarket("3936","現在値")</f>
        <v>158</v>
      </c>
      <c r="D245" s="4">
        <f t="shared" si="7"/>
        <v>0</v>
      </c>
      <c r="E245" s="4">
        <v>158</v>
      </c>
      <c r="F245" s="4">
        <v>160</v>
      </c>
    </row>
    <row r="246" spans="1:254">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254">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254">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254">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254">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254">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254">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254">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254">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254">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254">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254">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254">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254">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254">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254">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254">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254">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254">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254">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254">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254">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254">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254">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254">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254">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254">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254">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254">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254">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254">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254">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254">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254">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254">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254">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254">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254">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254">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254">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254">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254">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254">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254">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254">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254">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254">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254">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254">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254">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254">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254">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254">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254">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254">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254">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254">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254">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254">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254">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254">
      <c r="A306" s="63"/>
    </row>
    <row r="307" spans="1:254">
      <c r="A307" s="63"/>
    </row>
    <row r="308" spans="1:254">
      <c r="A308" s="63"/>
    </row>
    <row r="309" spans="1:254">
      <c r="A309" s="63"/>
    </row>
    <row r="310" spans="1:254">
      <c r="A310" s="63"/>
    </row>
    <row r="311" spans="1:254">
      <c r="A311" s="63"/>
    </row>
    <row r="312" spans="1:254">
      <c r="A312" s="63"/>
    </row>
    <row r="313" spans="1:254">
      <c r="A313" s="63"/>
    </row>
    <row r="314" spans="1:254">
      <c r="A314" s="63"/>
    </row>
    <row r="315" spans="1:254">
      <c r="A315" s="63"/>
    </row>
    <row r="316" spans="1:254">
      <c r="A316" s="63"/>
    </row>
    <row r="317" spans="1:254">
      <c r="A317" s="63"/>
    </row>
    <row r="318" spans="1:254">
      <c r="A318" s="63"/>
    </row>
    <row r="319" spans="1:254">
      <c r="A319" s="63"/>
    </row>
    <row r="320" spans="1:254">
      <c r="A320" s="63"/>
    </row>
    <row r="321" spans="1:254">
      <c r="A321" s="63"/>
    </row>
    <row r="322" spans="1:254">
      <c r="A322" s="63"/>
    </row>
    <row r="323" spans="1:254">
      <c r="A323" s="63"/>
    </row>
    <row r="324" spans="1:254">
      <c r="A324" s="63"/>
    </row>
    <row r="325" spans="1:254">
      <c r="A325" s="63"/>
    </row>
    <row r="326" spans="1:254">
      <c r="A326" s="63"/>
    </row>
    <row r="327" spans="1:254">
      <c r="A327" s="63"/>
    </row>
    <row r="328" spans="1:254">
      <c r="A328" s="63"/>
    </row>
    <row r="329" spans="1:254">
      <c r="A329" s="63"/>
    </row>
    <row r="330" spans="1:254">
      <c r="A330" s="63"/>
    </row>
    <row r="331" spans="1:254">
      <c r="A331" s="63"/>
    </row>
    <row r="332" spans="1:254">
      <c r="A332" s="63"/>
    </row>
    <row r="333" spans="1:254">
      <c r="A333" s="63"/>
    </row>
    <row r="334" spans="1:254">
      <c r="A334" s="63"/>
    </row>
    <row r="335" spans="1:254">
      <c r="A335" s="63"/>
    </row>
    <row r="336" spans="1:254">
      <c r="A336" s="63"/>
    </row>
    <row r="337" spans="1:254">
      <c r="A337" s="63"/>
    </row>
    <row r="338" spans="1:254">
      <c r="A338" s="63"/>
    </row>
    <row r="339" spans="1:254">
      <c r="A339" s="63"/>
    </row>
    <row r="340" spans="1:254">
      <c r="A340" s="63"/>
    </row>
    <row r="341" spans="1:254">
      <c r="A341" s="63"/>
    </row>
    <row r="342" spans="1:254">
      <c r="A342" s="63"/>
    </row>
    <row r="343" spans="1:254">
      <c r="A343" s="63"/>
    </row>
    <row r="344" spans="1:254">
      <c r="A344" s="63"/>
    </row>
    <row r="345" spans="1:254">
      <c r="A345" s="63"/>
    </row>
    <row r="346" spans="1:254">
      <c r="A346" s="63"/>
    </row>
    <row r="347" spans="1:254">
      <c r="A347" s="63"/>
    </row>
    <row r="348" spans="1:254">
      <c r="A348" s="63"/>
    </row>
    <row r="349" spans="1:254">
      <c r="A349" s="63"/>
    </row>
    <row r="350" spans="1:254">
      <c r="A350" s="63"/>
    </row>
    <row r="351" spans="1:254">
      <c r="A351" s="63"/>
    </row>
    <row r="352" spans="1:254">
      <c r="A352" s="63"/>
    </row>
    <row r="353" spans="1:254">
      <c r="A353" s="63"/>
    </row>
    <row r="354" spans="1:254">
      <c r="A354" s="63"/>
    </row>
    <row r="355" spans="1:254">
      <c r="A355" s="63"/>
    </row>
    <row r="356" spans="1:254">
      <c r="A356" s="63"/>
    </row>
    <row r="357" spans="1:254">
      <c r="A357" s="63"/>
    </row>
    <row r="358" spans="1:254">
      <c r="A358" s="63"/>
    </row>
    <row r="359" spans="1:254">
      <c r="A359" s="63"/>
    </row>
    <row r="360" spans="1:254">
      <c r="A360" s="63"/>
    </row>
    <row r="361" spans="1:254">
      <c r="A361" s="63"/>
    </row>
    <row r="362" spans="1:254">
      <c r="A362" s="63"/>
    </row>
    <row r="363" spans="1:254">
      <c r="A363" s="63"/>
    </row>
    <row r="364" spans="1:254">
      <c r="A364" s="63"/>
    </row>
    <row r="365" spans="1:254">
      <c r="A365" s="63"/>
    </row>
    <row r="366" spans="1:254">
      <c r="A366" s="63"/>
    </row>
    <row r="367" spans="1:254">
      <c r="A367" s="63"/>
    </row>
    <row r="368" spans="1:254">
      <c r="A368" s="63"/>
    </row>
    <row r="369" spans="1:254">
      <c r="A369" s="63"/>
    </row>
    <row r="370" spans="1:254">
      <c r="A370" s="63"/>
    </row>
    <row r="371" spans="1:254">
      <c r="A371" s="63"/>
    </row>
    <row r="372" spans="1:254">
      <c r="A372" s="63"/>
    </row>
    <row r="373" spans="1:254">
      <c r="A373" s="63"/>
    </row>
    <row r="374" spans="1:254">
      <c r="A374" s="63"/>
    </row>
    <row r="375" spans="1:254">
      <c r="A375" s="63"/>
    </row>
    <row r="376" spans="1:254">
      <c r="A376" s="63"/>
    </row>
    <row r="377" spans="1:254">
      <c r="A377" s="63"/>
    </row>
    <row r="378" spans="1:254">
      <c r="A378" s="63"/>
    </row>
    <row r="379" spans="1:254">
      <c r="A379" s="63"/>
    </row>
    <row r="380" spans="1:254">
      <c r="A380" s="63"/>
    </row>
    <row r="381" spans="1:254">
      <c r="A381" s="63"/>
    </row>
    <row r="382" spans="1:254">
      <c r="A382" s="63"/>
    </row>
    <row r="383" spans="1:254">
      <c r="A383" s="63"/>
    </row>
    <row r="384" spans="1:254">
      <c r="A384" s="63"/>
    </row>
    <row r="385" spans="1:254">
      <c r="A385" s="63"/>
    </row>
    <row r="386" spans="1:254">
      <c r="A386" s="63"/>
    </row>
    <row r="387" spans="1:254">
      <c r="A387" s="63"/>
    </row>
    <row r="388" spans="1:254">
      <c r="A388" s="63"/>
    </row>
    <row r="389" spans="1:254">
      <c r="A389" s="63"/>
    </row>
    <row r="390" spans="1:254">
      <c r="A390" s="63"/>
    </row>
    <row r="391" spans="1:254">
      <c r="A391" s="63"/>
    </row>
    <row r="392" spans="1:254">
      <c r="A392" s="63"/>
    </row>
    <row r="393" spans="1:254">
      <c r="A393" s="63"/>
    </row>
    <row r="394" spans="1:254">
      <c r="A394" s="63"/>
    </row>
    <row r="395" spans="1:254">
      <c r="A395" s="63"/>
    </row>
    <row r="396" spans="1:254">
      <c r="A396" s="63"/>
    </row>
    <row r="397" spans="1:254">
      <c r="A397" s="63"/>
    </row>
    <row r="398" spans="1:254">
      <c r="A398" s="63"/>
    </row>
    <row r="399" spans="1:254">
      <c r="A399" s="63"/>
    </row>
    <row r="400" spans="1:254">
      <c r="A400" s="63"/>
    </row>
    <row r="401" spans="1:254">
      <c r="A401" s="63"/>
    </row>
    <row r="402" spans="1:254">
      <c r="A402" s="63"/>
    </row>
    <row r="403" spans="1:254">
      <c r="A403" s="63"/>
    </row>
    <row r="404" spans="1:254">
      <c r="A404" s="63"/>
    </row>
    <row r="405" spans="1:254">
      <c r="A405" s="63"/>
    </row>
    <row r="406" spans="1:254">
      <c r="A406" s="63"/>
    </row>
    <row r="407" spans="1:254">
      <c r="A407" s="63"/>
    </row>
    <row r="408" spans="1:254">
      <c r="A408" s="63"/>
    </row>
    <row r="409" spans="1:254">
      <c r="A409" s="63"/>
    </row>
    <row r="410" spans="1:254">
      <c r="A410" s="63"/>
    </row>
    <row r="411" spans="1:254">
      <c r="A411" s="63"/>
    </row>
    <row r="412" spans="1:254">
      <c r="A412" s="63"/>
    </row>
    <row r="413" spans="1:254">
      <c r="A413" s="63"/>
    </row>
    <row r="414" spans="1:254">
      <c r="A414" s="63"/>
    </row>
    <row r="415" spans="1:254">
      <c r="A415" s="63"/>
    </row>
    <row r="416" spans="1:254">
      <c r="A416" s="63"/>
    </row>
    <row r="417" spans="1:254">
      <c r="A417" s="63"/>
    </row>
    <row r="418" spans="1:254">
      <c r="A418" s="63"/>
    </row>
    <row r="419" spans="1:254">
      <c r="A419" s="63"/>
    </row>
    <row r="420" spans="1:254">
      <c r="A420" s="63"/>
    </row>
    <row r="421" spans="1:254">
      <c r="A421" s="63"/>
    </row>
    <row r="422" spans="1:254">
      <c r="A422" s="63"/>
    </row>
    <row r="423" spans="1:254">
      <c r="A423" s="63"/>
    </row>
    <row r="424" spans="1:254">
      <c r="A424" s="63"/>
    </row>
    <row r="425" spans="1:254">
      <c r="A425" s="63"/>
    </row>
    <row r="426" spans="1:254">
      <c r="A426" s="63"/>
    </row>
    <row r="427" spans="1:254">
      <c r="A427" s="63"/>
    </row>
    <row r="428" spans="1:254">
      <c r="A428" s="63"/>
    </row>
    <row r="429" spans="1:254">
      <c r="A429" s="63"/>
    </row>
    <row r="430" spans="1:254">
      <c r="A430" s="63"/>
    </row>
    <row r="431" spans="1:254">
      <c r="A431" s="63"/>
    </row>
    <row r="432" spans="1:254">
      <c r="A432" s="63"/>
    </row>
    <row r="433" spans="1:254">
      <c r="A433" s="63"/>
    </row>
    <row r="434" spans="1:254">
      <c r="A434" s="63"/>
    </row>
    <row r="435" spans="1:254">
      <c r="A435" s="63"/>
    </row>
    <row r="436" spans="1:254">
      <c r="A436" s="63"/>
    </row>
    <row r="437" spans="1:254">
      <c r="A437" s="63"/>
    </row>
    <row r="438" spans="1:254">
      <c r="A438" s="63"/>
    </row>
    <row r="439" spans="1:254">
      <c r="A439" s="63"/>
    </row>
    <row r="440" spans="1:254">
      <c r="A440" s="63"/>
    </row>
    <row r="441" spans="1:254">
      <c r="A441" s="63"/>
    </row>
    <row r="442" spans="1:254">
      <c r="A442" s="63"/>
    </row>
    <row r="443" spans="1:254">
      <c r="A443" s="63"/>
    </row>
    <row r="444" spans="1:254">
      <c r="A444" s="63"/>
    </row>
    <row r="445" spans="1:254">
      <c r="A445" s="63"/>
    </row>
    <row r="446" spans="1:254">
      <c r="A446" s="63"/>
    </row>
    <row r="447" spans="1:254">
      <c r="A447" s="63"/>
    </row>
    <row r="448" spans="1:254">
      <c r="A448" s="63"/>
    </row>
    <row r="449" spans="1:254">
      <c r="A449" s="63"/>
    </row>
    <row r="450" spans="1:254">
      <c r="A450" s="63"/>
    </row>
    <row r="451" spans="1:254">
      <c r="A451" s="63"/>
    </row>
    <row r="452" spans="1:254">
      <c r="A452" s="63"/>
    </row>
    <row r="453" spans="1:254">
      <c r="A453" s="63"/>
    </row>
    <row r="454" spans="1:254">
      <c r="A454" s="63"/>
    </row>
    <row r="455" spans="1:254">
      <c r="A455" s="63"/>
    </row>
    <row r="456" spans="1:254">
      <c r="A456" s="63"/>
    </row>
    <row r="457" spans="1:254">
      <c r="A457" s="63"/>
    </row>
    <row r="458" spans="1:254">
      <c r="A458" s="63"/>
    </row>
    <row r="459" spans="1:254">
      <c r="A459" s="63"/>
    </row>
    <row r="460" spans="1:254">
      <c r="A460" s="63"/>
    </row>
    <row r="461" spans="1:254">
      <c r="A461" s="63"/>
    </row>
    <row r="462" spans="1:254">
      <c r="A462" s="63"/>
    </row>
    <row r="463" spans="1:254">
      <c r="A463" s="63"/>
    </row>
    <row r="464" spans="1:254">
      <c r="A464" s="63"/>
    </row>
    <row r="465" spans="1:254">
      <c r="A465" s="63"/>
    </row>
    <row r="466" spans="1:254">
      <c r="A466" s="63"/>
    </row>
    <row r="467" spans="1:254">
      <c r="A467" s="63"/>
    </row>
    <row r="468" spans="1:254">
      <c r="A468" s="63"/>
    </row>
    <row r="469" spans="1:254">
      <c r="A469" s="63"/>
    </row>
    <row r="470" spans="1:254">
      <c r="A470" s="63"/>
    </row>
    <row r="471" spans="1:254">
      <c r="A471" s="63"/>
    </row>
    <row r="472" spans="1:254">
      <c r="A472" s="63"/>
    </row>
    <row r="473" spans="1:254">
      <c r="A473" s="63"/>
    </row>
    <row r="474" spans="1:254">
      <c r="A474" s="63"/>
    </row>
    <row r="475" spans="1:254">
      <c r="A475" s="63"/>
    </row>
    <row r="476" spans="1:254">
      <c r="A476" s="63"/>
    </row>
    <row r="477" spans="1:254">
      <c r="A477" s="63"/>
    </row>
    <row r="478" spans="1:254">
      <c r="A478" s="63"/>
    </row>
    <row r="479" spans="1:254">
      <c r="A479" s="63"/>
    </row>
    <row r="480" spans="1:254">
      <c r="A480" s="63"/>
    </row>
    <row r="481" spans="1:254">
      <c r="A481" s="63"/>
    </row>
    <row r="482" spans="1:254">
      <c r="A482" s="63"/>
    </row>
    <row r="483" spans="1:254">
      <c r="A483" s="63"/>
    </row>
    <row r="484" spans="1:254">
      <c r="A484" s="63"/>
    </row>
    <row r="485" spans="1:254">
      <c r="A485" s="63"/>
    </row>
    <row r="486" spans="1:254">
      <c r="A486" s="63"/>
    </row>
    <row r="487" spans="1:254">
      <c r="A487" s="63"/>
    </row>
    <row r="488" spans="1:254">
      <c r="A488" s="63"/>
    </row>
    <row r="489" spans="1:254">
      <c r="A489" s="63"/>
    </row>
    <row r="490" spans="1:254">
      <c r="A490" s="63"/>
    </row>
    <row r="491" spans="1:254">
      <c r="A491" s="63"/>
    </row>
    <row r="492" spans="1:254">
      <c r="A492" s="63"/>
    </row>
    <row r="493" spans="1:254">
      <c r="A493" s="63"/>
    </row>
    <row r="494" spans="1:254">
      <c r="A494" s="63"/>
    </row>
    <row r="495" spans="1:254">
      <c r="A495" s="63"/>
    </row>
    <row r="496" spans="1:254">
      <c r="A496" s="63"/>
    </row>
    <row r="497" spans="1:254">
      <c r="A497" s="63"/>
    </row>
    <row r="498" spans="1:254">
      <c r="A498" s="63"/>
    </row>
    <row r="499" spans="1:254">
      <c r="A499" s="63"/>
    </row>
    <row r="500" spans="1:254">
      <c r="A500" s="63"/>
    </row>
    <row r="501" spans="1:254">
      <c r="A501" s="63"/>
    </row>
    <row r="502" spans="1:254">
      <c r="A502" s="63"/>
    </row>
    <row r="503" spans="1:254">
      <c r="A503" s="63"/>
    </row>
    <row r="504" spans="1:254">
      <c r="A504" s="63"/>
    </row>
    <row r="505" spans="1:254">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IT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 min="105" max="254" width="7" style="1" customWidth="1"/>
  </cols>
  <sheetData>
    <row r="1" spans="1:25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25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25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25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25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25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25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25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25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25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25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25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25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254"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254"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254"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254"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254"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254"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254"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254"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254"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254"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254"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254"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254"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254"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254"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254"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254"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254"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254"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254"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254"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254"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254"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254"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254"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254"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254"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254"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254"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254"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254"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254"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254"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254"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254"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254"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254"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254"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254"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254"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254"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254"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254"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254"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254"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254"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254"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254"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254"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254"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254"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254"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254"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254"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254"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254"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254"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254"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254"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254"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254"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254"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254"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254"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254"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254"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254"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254"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254"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254"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254"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254"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254"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254"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254"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254"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254"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254"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254"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254"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254"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254"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254"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254"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254"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254"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254"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254"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254"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254"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254"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254"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254"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254"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254"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254"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254"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254"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254"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254"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254"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254"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254"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254"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254"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254"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254"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254"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254"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254"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254"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254"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254"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254"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254"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254"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254"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254"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254"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254"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254"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254"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254"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254"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254"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254"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254"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254"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254"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254"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254"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254"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254"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254"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254"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254"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254"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254"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254"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254"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254"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254"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254"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254"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254"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254"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254"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254"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254"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254"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254"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254"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254"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254"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254"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254"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254"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254"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254"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254"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254"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254"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254"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254"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254"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254"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254"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254"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254"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254"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254"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254"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254"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254"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254"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254"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254"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254"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254"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254"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254"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254"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254"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254"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254"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254"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254"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254"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254"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254"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254"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254"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254"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254"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254"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254"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254"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254"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254"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254"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254"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254"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254"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254"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254"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254"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254" s="80" customFormat="1" ht="18.75" customHeight="1">
      <c r="A228" s="394" t="s">
        <v>441</v>
      </c>
      <c r="B228" s="80" t="str">
        <f>銘柄管理!C228</f>
        <v>セレス</v>
      </c>
      <c r="C228" s="80">
        <f>_xll.RssMarket("3696","出来高")</f>
        <v>103400</v>
      </c>
      <c r="D228" s="82">
        <f t="shared" si="3"/>
        <v>0</v>
      </c>
      <c r="E228" s="81">
        <v>103400</v>
      </c>
      <c r="F228" s="80">
        <v>103100</v>
      </c>
    </row>
    <row r="229" spans="1:254"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254"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254"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254"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254">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254">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254">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254">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254">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254">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254">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254">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254">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254">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254">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254">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254">
      <c r="A245" s="394" t="s">
        <v>458</v>
      </c>
      <c r="B245" s="1" t="str">
        <f>銘柄管理!C245</f>
        <v>グローバルウェイ</v>
      </c>
      <c r="C245" s="1">
        <f>_xll.RssMarket("3936","出来高")</f>
        <v>96800</v>
      </c>
      <c r="D245" s="82">
        <f t="shared" si="3"/>
        <v>0</v>
      </c>
      <c r="E245" s="1">
        <v>96800</v>
      </c>
      <c r="F245" s="1">
        <v>236500</v>
      </c>
    </row>
    <row r="246" spans="1:254">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254">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254">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254">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254">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254">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254">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254">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254">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254">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254">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254">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254">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254">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254">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254">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254">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254">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254">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254">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254">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254">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254">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254">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254">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254">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254">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254">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254">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254">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254">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254">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254">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254">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254">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254">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254">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254">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254">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254">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254">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254">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254">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254">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254">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254">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254">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254">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254">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254">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254">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254">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254">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254">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254">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254">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254">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254">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254">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254">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254">
      <c r="A306" s="396"/>
      <c r="D306" s="82">
        <f t="shared" si="5"/>
        <v>0</v>
      </c>
    </row>
    <row r="307" spans="1:254">
      <c r="A307" s="396"/>
      <c r="D307" s="82">
        <f t="shared" si="5"/>
        <v>0</v>
      </c>
    </row>
    <row r="308" spans="1:254">
      <c r="A308" s="396"/>
      <c r="D308" s="82">
        <f t="shared" si="5"/>
        <v>0</v>
      </c>
    </row>
    <row r="309" spans="1:254">
      <c r="A309" s="396"/>
      <c r="D309" s="82">
        <f t="shared" si="5"/>
        <v>0</v>
      </c>
    </row>
    <row r="310" spans="1:254">
      <c r="A310" s="396"/>
      <c r="D310" s="82">
        <f t="shared" si="5"/>
        <v>0</v>
      </c>
    </row>
    <row r="311" spans="1:254">
      <c r="A311" s="396"/>
      <c r="D311" s="82">
        <f t="shared" si="5"/>
        <v>0</v>
      </c>
    </row>
    <row r="312" spans="1:254">
      <c r="A312" s="396"/>
      <c r="D312" s="82">
        <f t="shared" si="5"/>
        <v>0</v>
      </c>
    </row>
    <row r="313" spans="1:254">
      <c r="A313" s="396"/>
      <c r="D313" s="82">
        <f t="shared" si="5"/>
        <v>0</v>
      </c>
    </row>
    <row r="314" spans="1:254">
      <c r="A314" s="396"/>
      <c r="D314" s="82">
        <f t="shared" si="5"/>
        <v>0</v>
      </c>
    </row>
    <row r="315" spans="1:254">
      <c r="A315" s="396"/>
      <c r="D315" s="82">
        <f t="shared" si="5"/>
        <v>0</v>
      </c>
    </row>
    <row r="316" spans="1:254">
      <c r="A316" s="396"/>
      <c r="D316" s="82">
        <f t="shared" si="5"/>
        <v>0</v>
      </c>
    </row>
    <row r="317" spans="1:254">
      <c r="A317" s="396"/>
      <c r="D317" s="82">
        <f t="shared" si="5"/>
        <v>0</v>
      </c>
    </row>
    <row r="318" spans="1:254">
      <c r="A318" s="396"/>
      <c r="D318" s="82">
        <f t="shared" si="5"/>
        <v>0</v>
      </c>
    </row>
    <row r="319" spans="1:254">
      <c r="A319" s="396"/>
      <c r="D319" s="82">
        <f t="shared" si="5"/>
        <v>0</v>
      </c>
    </row>
    <row r="320" spans="1:254">
      <c r="A320" s="396"/>
      <c r="D320" s="82">
        <f t="shared" si="5"/>
        <v>0</v>
      </c>
    </row>
    <row r="321" spans="1:254">
      <c r="A321" s="396"/>
      <c r="D321" s="82">
        <f t="shared" si="5"/>
        <v>0</v>
      </c>
    </row>
    <row r="322" spans="1:254">
      <c r="A322" s="396"/>
      <c r="D322" s="82">
        <f t="shared" si="5"/>
        <v>0</v>
      </c>
    </row>
    <row r="323" spans="1:254">
      <c r="A323" s="396"/>
      <c r="D323" s="82">
        <f t="shared" si="5"/>
        <v>0</v>
      </c>
    </row>
    <row r="324" spans="1:254">
      <c r="A324" s="396"/>
      <c r="D324" s="82">
        <f t="shared" si="5"/>
        <v>0</v>
      </c>
    </row>
    <row r="325" spans="1:254">
      <c r="A325" s="396"/>
      <c r="D325" s="82">
        <f t="shared" si="5"/>
        <v>0</v>
      </c>
    </row>
    <row r="326" spans="1:254">
      <c r="A326" s="396"/>
      <c r="D326" s="82">
        <f t="shared" si="5"/>
        <v>0</v>
      </c>
    </row>
    <row r="327" spans="1:254">
      <c r="A327" s="396"/>
      <c r="D327" s="82">
        <f t="shared" si="5"/>
        <v>0</v>
      </c>
    </row>
    <row r="328" spans="1:254">
      <c r="A328" s="396"/>
      <c r="D328" s="82">
        <f t="shared" si="5"/>
        <v>0</v>
      </c>
    </row>
    <row r="329" spans="1:254">
      <c r="A329" s="396"/>
      <c r="D329" s="82">
        <f t="shared" si="5"/>
        <v>0</v>
      </c>
    </row>
    <row r="330" spans="1:254">
      <c r="A330" s="396"/>
      <c r="D330" s="82">
        <f t="shared" si="5"/>
        <v>0</v>
      </c>
    </row>
    <row r="331" spans="1:254">
      <c r="A331" s="396"/>
      <c r="D331" s="82">
        <f t="shared" si="5"/>
        <v>0</v>
      </c>
    </row>
    <row r="332" spans="1:254">
      <c r="A332" s="396"/>
      <c r="D332" s="82">
        <f t="shared" si="5"/>
        <v>0</v>
      </c>
    </row>
    <row r="333" spans="1:254">
      <c r="A333" s="396"/>
      <c r="D333" s="82">
        <f t="shared" si="5"/>
        <v>0</v>
      </c>
    </row>
    <row r="334" spans="1:254">
      <c r="A334" s="396"/>
      <c r="D334" s="82">
        <f t="shared" si="5"/>
        <v>0</v>
      </c>
    </row>
    <row r="335" spans="1:254">
      <c r="A335" s="396"/>
      <c r="D335" s="82">
        <f t="shared" si="5"/>
        <v>0</v>
      </c>
    </row>
    <row r="336" spans="1:254">
      <c r="A336" s="396"/>
      <c r="D336" s="82">
        <f t="shared" si="5"/>
        <v>0</v>
      </c>
    </row>
    <row r="337" spans="1:254">
      <c r="A337" s="396"/>
      <c r="D337" s="82">
        <f t="shared" si="5"/>
        <v>0</v>
      </c>
    </row>
    <row r="338" spans="1:254">
      <c r="A338" s="396"/>
      <c r="D338" s="82">
        <f t="shared" si="5"/>
        <v>0</v>
      </c>
    </row>
    <row r="339" spans="1:254">
      <c r="A339" s="396"/>
      <c r="D339" s="82">
        <f t="shared" si="5"/>
        <v>0</v>
      </c>
    </row>
    <row r="340" spans="1:254">
      <c r="A340" s="396"/>
      <c r="D340" s="82">
        <f t="shared" si="5"/>
        <v>0</v>
      </c>
    </row>
    <row r="341" spans="1:254">
      <c r="A341" s="396"/>
      <c r="D341" s="82">
        <f t="shared" si="5"/>
        <v>0</v>
      </c>
    </row>
    <row r="342" spans="1:254">
      <c r="A342" s="396"/>
      <c r="D342" s="82">
        <f t="shared" si="5"/>
        <v>0</v>
      </c>
    </row>
    <row r="343" spans="1:254">
      <c r="A343" s="396"/>
      <c r="D343" s="82">
        <f t="shared" si="5"/>
        <v>0</v>
      </c>
    </row>
    <row r="344" spans="1:254">
      <c r="A344" s="396"/>
      <c r="D344" s="82">
        <f t="shared" si="5"/>
        <v>0</v>
      </c>
    </row>
    <row r="345" spans="1:254">
      <c r="A345" s="396"/>
      <c r="D345" s="82">
        <f t="shared" si="5"/>
        <v>0</v>
      </c>
    </row>
    <row r="346" spans="1:254">
      <c r="A346" s="396"/>
      <c r="D346" s="82">
        <f t="shared" si="5"/>
        <v>0</v>
      </c>
    </row>
    <row r="347" spans="1:254">
      <c r="A347" s="396"/>
      <c r="D347" s="82">
        <f t="shared" si="5"/>
        <v>0</v>
      </c>
    </row>
    <row r="348" spans="1:254">
      <c r="A348" s="396"/>
      <c r="D348" s="82">
        <f t="shared" si="5"/>
        <v>0</v>
      </c>
    </row>
    <row r="349" spans="1:254">
      <c r="A349" s="396"/>
      <c r="D349" s="82">
        <f t="shared" si="5"/>
        <v>0</v>
      </c>
    </row>
    <row r="350" spans="1:254">
      <c r="A350" s="396"/>
      <c r="D350" s="82">
        <f t="shared" si="5"/>
        <v>0</v>
      </c>
    </row>
    <row r="351" spans="1:254">
      <c r="A351" s="396"/>
      <c r="D351" s="82">
        <f t="shared" si="5"/>
        <v>0</v>
      </c>
    </row>
    <row r="352" spans="1:254">
      <c r="A352" s="396"/>
      <c r="D352" s="82">
        <f t="shared" si="5"/>
        <v>0</v>
      </c>
    </row>
    <row r="353" spans="1:254">
      <c r="A353" s="396"/>
      <c r="D353" s="82">
        <f t="shared" si="5"/>
        <v>0</v>
      </c>
    </row>
    <row r="354" spans="1:254">
      <c r="A354" s="396"/>
      <c r="D354" s="82">
        <f t="shared" si="5"/>
        <v>0</v>
      </c>
    </row>
    <row r="355" spans="1:254">
      <c r="A355" s="396"/>
      <c r="D355" s="82">
        <f t="shared" si="5"/>
        <v>0</v>
      </c>
    </row>
    <row r="356" spans="1:254">
      <c r="A356" s="396"/>
      <c r="D356" s="82">
        <f t="shared" si="5"/>
        <v>0</v>
      </c>
    </row>
    <row r="357" spans="1:254">
      <c r="A357" s="396"/>
      <c r="D357" s="82">
        <f t="shared" si="5"/>
        <v>0</v>
      </c>
    </row>
    <row r="358" spans="1:254">
      <c r="A358" s="396"/>
      <c r="D358" s="82">
        <f t="shared" si="5"/>
        <v>0</v>
      </c>
    </row>
    <row r="359" spans="1:254">
      <c r="A359" s="396"/>
      <c r="D359" s="82">
        <f t="shared" si="5"/>
        <v>0</v>
      </c>
    </row>
    <row r="360" spans="1:254">
      <c r="A360" s="396"/>
      <c r="D360" s="82">
        <f t="shared" si="5"/>
        <v>0</v>
      </c>
    </row>
    <row r="361" spans="1:254">
      <c r="A361" s="396"/>
      <c r="D361" s="82">
        <f t="shared" si="5"/>
        <v>0</v>
      </c>
    </row>
    <row r="362" spans="1:254">
      <c r="A362" s="396"/>
      <c r="D362" s="82">
        <f t="shared" si="5"/>
        <v>0</v>
      </c>
    </row>
    <row r="363" spans="1:254">
      <c r="A363" s="396"/>
      <c r="D363" s="82">
        <f t="shared" si="5"/>
        <v>0</v>
      </c>
    </row>
    <row r="364" spans="1:254">
      <c r="A364" s="396"/>
      <c r="D364" s="82">
        <f t="shared" si="5"/>
        <v>0</v>
      </c>
    </row>
    <row r="365" spans="1:254">
      <c r="A365" s="396"/>
      <c r="D365" s="82">
        <f t="shared" si="5"/>
        <v>0</v>
      </c>
    </row>
    <row r="366" spans="1:254">
      <c r="A366" s="396"/>
      <c r="D366" s="82">
        <f t="shared" si="5"/>
        <v>0</v>
      </c>
    </row>
    <row r="367" spans="1:254">
      <c r="A367" s="396"/>
      <c r="D367" s="82">
        <f t="shared" ref="D367:D430" si="6">C367-E367</f>
        <v>0</v>
      </c>
    </row>
    <row r="368" spans="1:254">
      <c r="A368" s="396"/>
      <c r="D368" s="82">
        <f t="shared" si="6"/>
        <v>0</v>
      </c>
    </row>
    <row r="369" spans="1:254">
      <c r="A369" s="396"/>
      <c r="D369" s="82">
        <f t="shared" si="6"/>
        <v>0</v>
      </c>
    </row>
    <row r="370" spans="1:254">
      <c r="A370" s="396"/>
      <c r="D370" s="82">
        <f t="shared" si="6"/>
        <v>0</v>
      </c>
    </row>
    <row r="371" spans="1:254">
      <c r="A371" s="396"/>
      <c r="D371" s="82">
        <f t="shared" si="6"/>
        <v>0</v>
      </c>
    </row>
    <row r="372" spans="1:254">
      <c r="A372" s="396"/>
      <c r="D372" s="82">
        <f t="shared" si="6"/>
        <v>0</v>
      </c>
    </row>
    <row r="373" spans="1:254">
      <c r="A373" s="396"/>
      <c r="D373" s="82">
        <f t="shared" si="6"/>
        <v>0</v>
      </c>
    </row>
    <row r="374" spans="1:254">
      <c r="A374" s="396"/>
      <c r="D374" s="82">
        <f t="shared" si="6"/>
        <v>0</v>
      </c>
    </row>
    <row r="375" spans="1:254">
      <c r="A375" s="396"/>
      <c r="D375" s="82">
        <f t="shared" si="6"/>
        <v>0</v>
      </c>
    </row>
    <row r="376" spans="1:254">
      <c r="A376" s="396"/>
      <c r="D376" s="82">
        <f t="shared" si="6"/>
        <v>0</v>
      </c>
    </row>
    <row r="377" spans="1:254">
      <c r="A377" s="396"/>
      <c r="D377" s="82">
        <f t="shared" si="6"/>
        <v>0</v>
      </c>
    </row>
    <row r="378" spans="1:254">
      <c r="A378" s="396"/>
      <c r="D378" s="82">
        <f t="shared" si="6"/>
        <v>0</v>
      </c>
    </row>
    <row r="379" spans="1:254">
      <c r="A379" s="396"/>
      <c r="D379" s="82">
        <f t="shared" si="6"/>
        <v>0</v>
      </c>
    </row>
    <row r="380" spans="1:254">
      <c r="A380" s="396"/>
      <c r="D380" s="82">
        <f t="shared" si="6"/>
        <v>0</v>
      </c>
    </row>
    <row r="381" spans="1:254">
      <c r="A381" s="396"/>
      <c r="D381" s="82">
        <f t="shared" si="6"/>
        <v>0</v>
      </c>
    </row>
    <row r="382" spans="1:254">
      <c r="A382" s="396"/>
      <c r="D382" s="82">
        <f t="shared" si="6"/>
        <v>0</v>
      </c>
    </row>
    <row r="383" spans="1:254">
      <c r="A383" s="396"/>
      <c r="D383" s="82">
        <f t="shared" si="6"/>
        <v>0</v>
      </c>
    </row>
    <row r="384" spans="1:254">
      <c r="A384" s="396"/>
      <c r="D384" s="82">
        <f t="shared" si="6"/>
        <v>0</v>
      </c>
    </row>
    <row r="385" spans="1:254">
      <c r="A385" s="396"/>
      <c r="D385" s="82">
        <f t="shared" si="6"/>
        <v>0</v>
      </c>
    </row>
    <row r="386" spans="1:254">
      <c r="A386" s="396"/>
      <c r="D386" s="82">
        <f t="shared" si="6"/>
        <v>0</v>
      </c>
    </row>
    <row r="387" spans="1:254">
      <c r="A387" s="396"/>
      <c r="D387" s="82">
        <f t="shared" si="6"/>
        <v>0</v>
      </c>
    </row>
    <row r="388" spans="1:254">
      <c r="A388" s="396"/>
      <c r="D388" s="82">
        <f t="shared" si="6"/>
        <v>0</v>
      </c>
    </row>
    <row r="389" spans="1:254">
      <c r="A389" s="396"/>
      <c r="D389" s="82">
        <f t="shared" si="6"/>
        <v>0</v>
      </c>
    </row>
    <row r="390" spans="1:254">
      <c r="A390" s="396"/>
      <c r="D390" s="82">
        <f t="shared" si="6"/>
        <v>0</v>
      </c>
    </row>
    <row r="391" spans="1:254">
      <c r="A391" s="396"/>
      <c r="D391" s="82">
        <f t="shared" si="6"/>
        <v>0</v>
      </c>
    </row>
    <row r="392" spans="1:254">
      <c r="A392" s="396"/>
      <c r="D392" s="82">
        <f t="shared" si="6"/>
        <v>0</v>
      </c>
    </row>
    <row r="393" spans="1:254">
      <c r="A393" s="396"/>
      <c r="D393" s="82">
        <f t="shared" si="6"/>
        <v>0</v>
      </c>
    </row>
    <row r="394" spans="1:254">
      <c r="A394" s="396"/>
      <c r="D394" s="82">
        <f t="shared" si="6"/>
        <v>0</v>
      </c>
    </row>
    <row r="395" spans="1:254">
      <c r="A395" s="396"/>
      <c r="D395" s="82">
        <f t="shared" si="6"/>
        <v>0</v>
      </c>
    </row>
    <row r="396" spans="1:254">
      <c r="A396" s="396"/>
      <c r="D396" s="82">
        <f t="shared" si="6"/>
        <v>0</v>
      </c>
    </row>
    <row r="397" spans="1:254">
      <c r="A397" s="396"/>
      <c r="D397" s="82">
        <f t="shared" si="6"/>
        <v>0</v>
      </c>
    </row>
    <row r="398" spans="1:254">
      <c r="A398" s="396"/>
      <c r="D398" s="82">
        <f t="shared" si="6"/>
        <v>0</v>
      </c>
    </row>
    <row r="399" spans="1:254">
      <c r="A399" s="396"/>
      <c r="D399" s="82">
        <f t="shared" si="6"/>
        <v>0</v>
      </c>
    </row>
    <row r="400" spans="1:254">
      <c r="A400" s="396"/>
      <c r="D400" s="82">
        <f t="shared" si="6"/>
        <v>0</v>
      </c>
    </row>
    <row r="401" spans="1:254">
      <c r="A401" s="396"/>
      <c r="D401" s="82">
        <f t="shared" si="6"/>
        <v>0</v>
      </c>
    </row>
    <row r="402" spans="1:254">
      <c r="A402" s="396"/>
      <c r="D402" s="82">
        <f t="shared" si="6"/>
        <v>0</v>
      </c>
    </row>
    <row r="403" spans="1:254">
      <c r="A403" s="396"/>
      <c r="D403" s="82">
        <f t="shared" si="6"/>
        <v>0</v>
      </c>
    </row>
    <row r="404" spans="1:254">
      <c r="A404" s="396"/>
      <c r="D404" s="82">
        <f t="shared" si="6"/>
        <v>0</v>
      </c>
    </row>
    <row r="405" spans="1:254">
      <c r="A405" s="396"/>
      <c r="D405" s="82">
        <f t="shared" si="6"/>
        <v>0</v>
      </c>
    </row>
    <row r="406" spans="1:254">
      <c r="A406" s="396"/>
      <c r="D406" s="82">
        <f t="shared" si="6"/>
        <v>0</v>
      </c>
    </row>
    <row r="407" spans="1:254">
      <c r="A407" s="396"/>
      <c r="D407" s="82">
        <f t="shared" si="6"/>
        <v>0</v>
      </c>
    </row>
    <row r="408" spans="1:254">
      <c r="A408" s="396"/>
      <c r="D408" s="82">
        <f t="shared" si="6"/>
        <v>0</v>
      </c>
    </row>
    <row r="409" spans="1:254">
      <c r="A409" s="396"/>
      <c r="D409" s="82">
        <f t="shared" si="6"/>
        <v>0</v>
      </c>
    </row>
    <row r="410" spans="1:254">
      <c r="A410" s="396"/>
      <c r="D410" s="82">
        <f t="shared" si="6"/>
        <v>0</v>
      </c>
    </row>
    <row r="411" spans="1:254">
      <c r="A411" s="396"/>
      <c r="D411" s="82">
        <f t="shared" si="6"/>
        <v>0</v>
      </c>
    </row>
    <row r="412" spans="1:254">
      <c r="A412" s="396"/>
      <c r="D412" s="82">
        <f t="shared" si="6"/>
        <v>0</v>
      </c>
    </row>
    <row r="413" spans="1:254">
      <c r="A413" s="396"/>
      <c r="D413" s="82">
        <f t="shared" si="6"/>
        <v>0</v>
      </c>
    </row>
    <row r="414" spans="1:254">
      <c r="A414" s="396"/>
      <c r="D414" s="82">
        <f t="shared" si="6"/>
        <v>0</v>
      </c>
    </row>
    <row r="415" spans="1:254">
      <c r="A415" s="396"/>
      <c r="D415" s="82">
        <f t="shared" si="6"/>
        <v>0</v>
      </c>
    </row>
    <row r="416" spans="1:254">
      <c r="A416" s="396"/>
      <c r="D416" s="82">
        <f t="shared" si="6"/>
        <v>0</v>
      </c>
    </row>
    <row r="417" spans="1:254">
      <c r="A417" s="396"/>
      <c r="D417" s="82">
        <f t="shared" si="6"/>
        <v>0</v>
      </c>
    </row>
    <row r="418" spans="1:254">
      <c r="A418" s="396"/>
      <c r="D418" s="82">
        <f t="shared" si="6"/>
        <v>0</v>
      </c>
    </row>
    <row r="419" spans="1:254">
      <c r="A419" s="396"/>
      <c r="D419" s="82">
        <f t="shared" si="6"/>
        <v>0</v>
      </c>
    </row>
    <row r="420" spans="1:254">
      <c r="A420" s="396"/>
      <c r="D420" s="82">
        <f t="shared" si="6"/>
        <v>0</v>
      </c>
    </row>
    <row r="421" spans="1:254">
      <c r="A421" s="396"/>
      <c r="D421" s="82">
        <f t="shared" si="6"/>
        <v>0</v>
      </c>
    </row>
    <row r="422" spans="1:254">
      <c r="A422" s="396"/>
      <c r="D422" s="82">
        <f t="shared" si="6"/>
        <v>0</v>
      </c>
    </row>
    <row r="423" spans="1:254">
      <c r="A423" s="396"/>
      <c r="D423" s="82">
        <f t="shared" si="6"/>
        <v>0</v>
      </c>
    </row>
    <row r="424" spans="1:254">
      <c r="A424" s="396"/>
      <c r="D424" s="82">
        <f t="shared" si="6"/>
        <v>0</v>
      </c>
    </row>
    <row r="425" spans="1:254">
      <c r="A425" s="396"/>
      <c r="D425" s="82">
        <f t="shared" si="6"/>
        <v>0</v>
      </c>
    </row>
    <row r="426" spans="1:254">
      <c r="A426" s="396"/>
      <c r="D426" s="82">
        <f t="shared" si="6"/>
        <v>0</v>
      </c>
    </row>
    <row r="427" spans="1:254">
      <c r="A427" s="396"/>
      <c r="D427" s="82">
        <f t="shared" si="6"/>
        <v>0</v>
      </c>
    </row>
    <row r="428" spans="1:254">
      <c r="A428" s="396"/>
      <c r="D428" s="82">
        <f t="shared" si="6"/>
        <v>0</v>
      </c>
    </row>
    <row r="429" spans="1:254">
      <c r="A429" s="396"/>
      <c r="D429" s="82">
        <f t="shared" si="6"/>
        <v>0</v>
      </c>
    </row>
    <row r="430" spans="1:254">
      <c r="A430" s="396"/>
      <c r="D430" s="82">
        <f t="shared" si="6"/>
        <v>0</v>
      </c>
    </row>
    <row r="431" spans="1:254">
      <c r="A431" s="396"/>
      <c r="D431" s="82">
        <f t="shared" ref="D431:D494" si="7">C431-E431</f>
        <v>0</v>
      </c>
    </row>
    <row r="432" spans="1:254">
      <c r="A432" s="396"/>
      <c r="D432" s="82">
        <f t="shared" si="7"/>
        <v>0</v>
      </c>
    </row>
    <row r="433" spans="1:254">
      <c r="A433" s="396"/>
      <c r="D433" s="82">
        <f t="shared" si="7"/>
        <v>0</v>
      </c>
    </row>
    <row r="434" spans="1:254">
      <c r="A434" s="396"/>
      <c r="D434" s="82">
        <f t="shared" si="7"/>
        <v>0</v>
      </c>
    </row>
    <row r="435" spans="1:254">
      <c r="A435" s="396"/>
      <c r="D435" s="82">
        <f t="shared" si="7"/>
        <v>0</v>
      </c>
    </row>
    <row r="436" spans="1:254">
      <c r="A436" s="396"/>
      <c r="D436" s="82">
        <f t="shared" si="7"/>
        <v>0</v>
      </c>
    </row>
    <row r="437" spans="1:254">
      <c r="A437" s="396"/>
      <c r="D437" s="82">
        <f t="shared" si="7"/>
        <v>0</v>
      </c>
    </row>
    <row r="438" spans="1:254">
      <c r="A438" s="396"/>
      <c r="D438" s="82">
        <f t="shared" si="7"/>
        <v>0</v>
      </c>
    </row>
    <row r="439" spans="1:254">
      <c r="A439" s="396"/>
      <c r="D439" s="82">
        <f t="shared" si="7"/>
        <v>0</v>
      </c>
    </row>
    <row r="440" spans="1:254">
      <c r="A440" s="396"/>
      <c r="D440" s="82">
        <f t="shared" si="7"/>
        <v>0</v>
      </c>
    </row>
    <row r="441" spans="1:254">
      <c r="A441" s="396"/>
      <c r="D441" s="82">
        <f t="shared" si="7"/>
        <v>0</v>
      </c>
    </row>
    <row r="442" spans="1:254">
      <c r="A442" s="396"/>
      <c r="D442" s="82">
        <f t="shared" si="7"/>
        <v>0</v>
      </c>
    </row>
    <row r="443" spans="1:254">
      <c r="A443" s="396"/>
      <c r="D443" s="82">
        <f t="shared" si="7"/>
        <v>0</v>
      </c>
    </row>
    <row r="444" spans="1:254">
      <c r="A444" s="396"/>
      <c r="D444" s="82">
        <f t="shared" si="7"/>
        <v>0</v>
      </c>
    </row>
    <row r="445" spans="1:254">
      <c r="A445" s="396"/>
      <c r="D445" s="82">
        <f t="shared" si="7"/>
        <v>0</v>
      </c>
    </row>
    <row r="446" spans="1:254">
      <c r="A446" s="396"/>
      <c r="D446" s="82">
        <f t="shared" si="7"/>
        <v>0</v>
      </c>
    </row>
    <row r="447" spans="1:254">
      <c r="A447" s="396"/>
      <c r="D447" s="82">
        <f t="shared" si="7"/>
        <v>0</v>
      </c>
    </row>
    <row r="448" spans="1:254">
      <c r="A448" s="396"/>
      <c r="D448" s="82">
        <f t="shared" si="7"/>
        <v>0</v>
      </c>
    </row>
    <row r="449" spans="1:254">
      <c r="A449" s="396"/>
      <c r="D449" s="82">
        <f t="shared" si="7"/>
        <v>0</v>
      </c>
    </row>
    <row r="450" spans="1:254">
      <c r="A450" s="396"/>
      <c r="D450" s="82">
        <f t="shared" si="7"/>
        <v>0</v>
      </c>
    </row>
    <row r="451" spans="1:254">
      <c r="A451" s="396"/>
      <c r="D451" s="82">
        <f t="shared" si="7"/>
        <v>0</v>
      </c>
    </row>
    <row r="452" spans="1:254">
      <c r="A452" s="396"/>
      <c r="D452" s="82">
        <f t="shared" si="7"/>
        <v>0</v>
      </c>
    </row>
    <row r="453" spans="1:254">
      <c r="A453" s="396"/>
      <c r="D453" s="82">
        <f t="shared" si="7"/>
        <v>0</v>
      </c>
    </row>
    <row r="454" spans="1:254">
      <c r="A454" s="396"/>
      <c r="D454" s="82">
        <f t="shared" si="7"/>
        <v>0</v>
      </c>
    </row>
    <row r="455" spans="1:254">
      <c r="A455" s="396"/>
      <c r="D455" s="82">
        <f t="shared" si="7"/>
        <v>0</v>
      </c>
    </row>
    <row r="456" spans="1:254">
      <c r="A456" s="396"/>
      <c r="D456" s="82">
        <f t="shared" si="7"/>
        <v>0</v>
      </c>
    </row>
    <row r="457" spans="1:254">
      <c r="A457" s="396"/>
      <c r="D457" s="82">
        <f t="shared" si="7"/>
        <v>0</v>
      </c>
    </row>
    <row r="458" spans="1:254">
      <c r="A458" s="396"/>
      <c r="D458" s="82">
        <f t="shared" si="7"/>
        <v>0</v>
      </c>
    </row>
    <row r="459" spans="1:254">
      <c r="A459" s="396"/>
      <c r="D459" s="82">
        <f t="shared" si="7"/>
        <v>0</v>
      </c>
    </row>
    <row r="460" spans="1:254">
      <c r="A460" s="396"/>
      <c r="D460" s="82">
        <f t="shared" si="7"/>
        <v>0</v>
      </c>
    </row>
    <row r="461" spans="1:254">
      <c r="A461" s="396"/>
      <c r="D461" s="82">
        <f t="shared" si="7"/>
        <v>0</v>
      </c>
    </row>
    <row r="462" spans="1:254">
      <c r="A462" s="396"/>
      <c r="D462" s="82">
        <f t="shared" si="7"/>
        <v>0</v>
      </c>
    </row>
    <row r="463" spans="1:254">
      <c r="A463" s="396"/>
      <c r="D463" s="82">
        <f t="shared" si="7"/>
        <v>0</v>
      </c>
    </row>
    <row r="464" spans="1:254">
      <c r="A464" s="396"/>
      <c r="D464" s="82">
        <f t="shared" si="7"/>
        <v>0</v>
      </c>
    </row>
    <row r="465" spans="1:254">
      <c r="A465" s="396"/>
      <c r="D465" s="82">
        <f t="shared" si="7"/>
        <v>0</v>
      </c>
    </row>
    <row r="466" spans="1:254">
      <c r="A466" s="396"/>
      <c r="D466" s="82">
        <f t="shared" si="7"/>
        <v>0</v>
      </c>
    </row>
    <row r="467" spans="1:254">
      <c r="A467" s="396"/>
      <c r="D467" s="82">
        <f t="shared" si="7"/>
        <v>0</v>
      </c>
    </row>
    <row r="468" spans="1:254">
      <c r="A468" s="396"/>
      <c r="D468" s="82">
        <f t="shared" si="7"/>
        <v>0</v>
      </c>
    </row>
    <row r="469" spans="1:254">
      <c r="A469" s="396"/>
      <c r="D469" s="82">
        <f t="shared" si="7"/>
        <v>0</v>
      </c>
    </row>
    <row r="470" spans="1:254">
      <c r="A470" s="396"/>
      <c r="D470" s="82">
        <f t="shared" si="7"/>
        <v>0</v>
      </c>
    </row>
    <row r="471" spans="1:254">
      <c r="A471" s="396"/>
      <c r="D471" s="82">
        <f t="shared" si="7"/>
        <v>0</v>
      </c>
    </row>
    <row r="472" spans="1:254">
      <c r="A472" s="396"/>
      <c r="D472" s="82">
        <f t="shared" si="7"/>
        <v>0</v>
      </c>
    </row>
    <row r="473" spans="1:254">
      <c r="A473" s="396"/>
      <c r="D473" s="82">
        <f t="shared" si="7"/>
        <v>0</v>
      </c>
    </row>
    <row r="474" spans="1:254">
      <c r="A474" s="396"/>
      <c r="D474" s="82">
        <f t="shared" si="7"/>
        <v>0</v>
      </c>
    </row>
    <row r="475" spans="1:254">
      <c r="A475" s="396"/>
      <c r="D475" s="82">
        <f t="shared" si="7"/>
        <v>0</v>
      </c>
    </row>
    <row r="476" spans="1:254">
      <c r="A476" s="396"/>
      <c r="D476" s="82">
        <f t="shared" si="7"/>
        <v>0</v>
      </c>
    </row>
    <row r="477" spans="1:254">
      <c r="A477" s="396"/>
      <c r="D477" s="82">
        <f t="shared" si="7"/>
        <v>0</v>
      </c>
    </row>
    <row r="478" spans="1:254">
      <c r="A478" s="396"/>
      <c r="D478" s="82">
        <f t="shared" si="7"/>
        <v>0</v>
      </c>
    </row>
    <row r="479" spans="1:254">
      <c r="A479" s="396"/>
      <c r="D479" s="82">
        <f t="shared" si="7"/>
        <v>0</v>
      </c>
    </row>
    <row r="480" spans="1:254">
      <c r="A480" s="396"/>
      <c r="D480" s="82">
        <f t="shared" si="7"/>
        <v>0</v>
      </c>
    </row>
    <row r="481" spans="1:254">
      <c r="A481" s="396"/>
      <c r="D481" s="82">
        <f t="shared" si="7"/>
        <v>0</v>
      </c>
    </row>
    <row r="482" spans="1:254">
      <c r="A482" s="396"/>
      <c r="D482" s="82">
        <f t="shared" si="7"/>
        <v>0</v>
      </c>
    </row>
    <row r="483" spans="1:254">
      <c r="A483" s="396"/>
      <c r="D483" s="82">
        <f t="shared" si="7"/>
        <v>0</v>
      </c>
    </row>
    <row r="484" spans="1:254">
      <c r="A484" s="396"/>
      <c r="D484" s="82">
        <f t="shared" si="7"/>
        <v>0</v>
      </c>
    </row>
    <row r="485" spans="1:254">
      <c r="A485" s="396"/>
      <c r="D485" s="82">
        <f t="shared" si="7"/>
        <v>0</v>
      </c>
    </row>
    <row r="486" spans="1:254">
      <c r="A486" s="396"/>
      <c r="D486" s="82">
        <f t="shared" si="7"/>
        <v>0</v>
      </c>
    </row>
    <row r="487" spans="1:254">
      <c r="A487" s="396"/>
      <c r="D487" s="82">
        <f t="shared" si="7"/>
        <v>0</v>
      </c>
    </row>
    <row r="488" spans="1:254">
      <c r="A488" s="396"/>
      <c r="D488" s="82">
        <f t="shared" si="7"/>
        <v>0</v>
      </c>
    </row>
    <row r="489" spans="1:254">
      <c r="A489" s="396"/>
      <c r="D489" s="82">
        <f t="shared" si="7"/>
        <v>0</v>
      </c>
    </row>
    <row r="490" spans="1:254">
      <c r="A490" s="396"/>
      <c r="D490" s="82">
        <f t="shared" si="7"/>
        <v>0</v>
      </c>
    </row>
    <row r="491" spans="1:254">
      <c r="A491" s="396"/>
      <c r="D491" s="82">
        <f t="shared" si="7"/>
        <v>0</v>
      </c>
    </row>
    <row r="492" spans="1:254">
      <c r="A492" s="396"/>
      <c r="D492" s="82">
        <f t="shared" si="7"/>
        <v>0</v>
      </c>
    </row>
    <row r="493" spans="1:254">
      <c r="A493" s="396"/>
      <c r="D493" s="82">
        <f t="shared" si="7"/>
        <v>0</v>
      </c>
    </row>
    <row r="494" spans="1:254">
      <c r="A494" s="396"/>
      <c r="D494" s="82">
        <f t="shared" si="7"/>
        <v>0</v>
      </c>
    </row>
    <row r="495" spans="1:254">
      <c r="A495" s="396"/>
      <c r="D495" s="82">
        <f t="shared" ref="D495:D506" si="8">C495-E495</f>
        <v>0</v>
      </c>
    </row>
    <row r="496" spans="1:254">
      <c r="A496" s="396"/>
      <c r="D496" s="82">
        <f t="shared" si="8"/>
        <v>0</v>
      </c>
    </row>
    <row r="497" spans="1:254">
      <c r="A497" s="396"/>
      <c r="D497" s="82">
        <f t="shared" si="8"/>
        <v>0</v>
      </c>
    </row>
    <row r="498" spans="1:254">
      <c r="A498" s="396"/>
      <c r="D498" s="82">
        <f t="shared" si="8"/>
        <v>0</v>
      </c>
    </row>
    <row r="499" spans="1:254">
      <c r="A499" s="396"/>
      <c r="D499" s="82">
        <f t="shared" si="8"/>
        <v>0</v>
      </c>
    </row>
    <row r="500" spans="1:254">
      <c r="A500" s="396"/>
      <c r="D500" s="82">
        <f t="shared" si="8"/>
        <v>0</v>
      </c>
    </row>
    <row r="501" spans="1:254">
      <c r="A501" s="396"/>
      <c r="D501" s="82">
        <f t="shared" si="8"/>
        <v>0</v>
      </c>
    </row>
    <row r="502" spans="1:254">
      <c r="A502" s="396"/>
      <c r="D502" s="82">
        <f t="shared" si="8"/>
        <v>0</v>
      </c>
    </row>
    <row r="503" spans="1:254">
      <c r="A503" s="396"/>
      <c r="D503" s="82">
        <f t="shared" si="8"/>
        <v>0</v>
      </c>
    </row>
    <row r="504" spans="1:254">
      <c r="A504" s="396"/>
      <c r="D504" s="82">
        <f t="shared" si="8"/>
        <v>0</v>
      </c>
    </row>
    <row r="505" spans="1:254">
      <c r="A505" s="396"/>
      <c r="D505" s="82">
        <f t="shared" si="8"/>
        <v>0</v>
      </c>
    </row>
    <row r="506" spans="1:25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