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<sst xmlns="http://schemas.openxmlformats.org/spreadsheetml/2006/main" count="4376" uniqueCount="1529">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</sst>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F1" t="inlineStr">
        <is>
          <t>⚙ リスク設定（AG列を変更）</t>
        </is>
      </c>
      <c r="AN1" s="601"/>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F2" t="inlineStr">
        <is>
          <t>損切幅</t>
        </is>
      </c>
      <c r="AG2">
        <v>0.03</v>
      </c>
      <c r="AN2" s="488" t="s">
        <v>1361</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t="inlineStr">
        <is>
          <t>重複警告</t>
        </is>
      </c>
      <c r="Z3" s="604" t="s">
        <v>537</v>
      </c>
      <c r="AA3" s="604" t="s">
        <v>538</v>
      </c>
      <c r="AB3" t="inlineStr">
        <is>
          <t>推奨株数</t>
        </is>
      </c>
      <c r="AC3" t="inlineStr">
        <is>
          <t>実質損益(手数料後)</t>
        </is>
      </c>
      <c r="AD3" s="606" t="s">
        <v>1259</v>
      </c>
      <c r="AE3" s="606" t="s">
        <v>1260</v>
      </c>
      <c r="AF3" t="inlineStr">
        <is>
          <t>利確幅</t>
        </is>
      </c>
      <c r="AG3">
        <v>0.08</v>
      </c>
      <c r="AH3" s="606" t="s">
        <v>860</v>
      </c>
      <c r="AI3" s="606" t="s">
        <v>1263</v>
      </c>
      <c r="AJ3" s="606" t="s">
        <v>1264</v>
      </c>
      <c r="AK3" s="606" t="s">
        <v>1265</v>
      </c>
      <c r="AN3" s="654" t="s">
        <v>1259</v>
      </c>
      <c r="AO3" s="655" t="s">
        <v>1282</v>
      </c>
      <c r="AP3" s="655" t="s">
        <v>1283</v>
      </c>
      <c r="AQ3" s="655" t="s">
        <v>1362</v>
      </c>
      <c r="AR3" s="655" t="s">
        <v>1167</v>
      </c>
      <c r="AS3" s="655" t="s">
        <v>1284</v>
      </c>
      <c r="AT3" s="656" t="s">
        <v>1285</v>
      </c>
      <c r="BB3" s="607" t="s">
        <v>1319</v>
      </c>
      <c r="BC3" s="607" t="s">
        <v>1320</v>
      </c>
      <c r="BE3" s="601"/>
    </row>
    <row r="4" spans="1:57" ht="35.4" customHeight="1">
      <c r="A4" s="619" t="str">
        <f t="shared" ref="A4:A67" si="0">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BT$3,0)=1,1,MATCH($E4,始値!$E$3:$BT$3,0)+1)),_xlpm.v,INDEX(始値!$C$6:$B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 t="shared" ref="K4:K9" ca="1" si="1">IF(OR(F4="",G4="",H4=""),"",IF(C4="売",(F4-H4)*G4,(H4-F4)*G4))</f>
        <v>-10350</v>
      </c>
      <c r="L4" s="705">
        <f t="shared" ref="L4:L9" ca="1" si="2">IF(OR(F4="",H4=""),"",IF(C4="売",(F4-H4)/F4,(H4-F4)/F4))</f>
        <v>-4.142485491294777E-2</v>
      </c>
      <c r="M4" s="485">
        <f>IF($F4="","",IF($C4="売",CEILING($F4*IF($C4="売",1-$AG$3,1+$AG$3),IF($F4*IF($C4="売",1-$AG$3,1+$AG$3)&lt;=3000,1,IF($F4*IF($C4="売",1-$AG$3,1+$AG$3)&lt;=5000,5,IF($F4*IF($C4="売",1-$AG$3,1+$AG$3)&lt;=30000,10,IF($F4*IF($C4="売",1-$AG$3,1+$AG$3)&lt;=50000,50,IF($F4*IF($C4="売",1-$AG$3,1+$AG$3)&lt;=300000,100,500)))))),FLOOR($F4*IF($C4="売",1-$AG$3,1+$AG$3),IF($F4*IF($C4="売",1-$AG$3,1+$AG$3)&lt;=3000,1,IF($F4*IF($C4="売",1-$AG$3,1+$AG$3)&lt;=5000,5,IF($F4*IF($C4="売",1-$AG$3,1+$AG$3)&lt;=30000,10,IF($F4*IF($C4="売",1-$AG$3,1+$AG$3)&lt;=50000,50,IF($F4*IF($C4="売",1-$AG$3,1+$AG$3)&lt;=300000,100,500))))))))</f>
      </c>
      <c r="N4" s="485">
        <f>IF($F4="","",IF($C4="売",CEILING($F4*IF($C4="売",1+$AG$2,1-$AG$2),IF($F4*IF($C4="売",1+$AG$2,1-$AG$2)&lt;=3000,1,IF($F4*IF($C4="売",1+$AG$2,1-$AG$2)&lt;=5000,5,IF($F4*IF($C4="売",1+$AG$2,1-$AG$2)&lt;=30000,10,IF($F4*IF($C4="売",1+$AG$2,1-$AG$2)&lt;=50000,50,IF($F4*IF($C4="売",1+$AG$2,1-$AG$2)&lt;=300000,100,500)))))),FLOOR($F4*IF($C4="売",1+$AG$2,1-$AG$2),IF($F4*IF($C4="売",1+$AG$2,1-$AG$2)&lt;=3000,1,IF($F4*IF($C4="売",1+$AG$2,1-$AG$2)&lt;=5000,5,IF($F4*IF($C4="売",1+$AG$2,1-$AG$2)&lt;=30000,10,IF($F4*IF($C4="売",1+$AG$2,1-$AG$2)&lt;=50000,50,IF($F4*IF($C4="売",1+$AG$2,1-$AG$2)&lt;=300000,100,500))))))))</f>
      </c>
      <c r="O4" s="486">
        <f>IF(OR($B4="",$F4="",$H4=""),"",IF($S4="✅売却済","―決済済―",IF($C4="売",  IF($H4&lt;=$M4,"🟢利確",  IF(AND($R4&lt;&gt;"",$H4&gt;=$R4),"🟠TRAIL決済",  IF($H4&gt;=$N4,"🔴損切",  IF($W4&gt;=$AG$5,"⏱時間決済",  IF($H4&gt;=$F4*(1+$AG$2*0.7),"⚠️損切接近","保持継続"))))),  IF($H4&gt;=$M4,"🟢利確",  IF(AND($R4&lt;&gt;"",$H4&lt;=$R4),"🟠TRAIL決済",  IF($H4&lt;=$N4,"🔴損切",  IF($W4&gt;=$AG$5,"⏱時間決済",  IF($H4&lt;=$F4*(1-$AG$2*0.7),"⚠️損切接近","保持継続")))))))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  IF($H4&gt;$F4*(1-$AG$2),$N4,CEILING(MIN($N4,IF($Q4="",$N4,$Q4*1.03)),IF($N4&lt;=3000,1,IF($N4&lt;=5000,5,IF($N4&lt;=30000,10,IF($N4&lt;=50000,50,IF($N4&lt;=300000,100,500))))))),  IF($H4&lt;$F4*(1+$AG$2),$N4,FLOOR(MAX($N4,IF($P4="",$N4,$P4*0.97)),IF($N4&lt;=3000,1,IF($N4&lt;=5000,5,IF($N4&lt;=30000,10,IF($N4&lt;=50000,50,IF($N4&lt;=300000,100,500))))))))))</f>
      </c>
      <c r="S4" s="585" t="str">
        <f t="shared" ref="S4:S9" ca="1" si="4">IF(B4="","",IF(T4&lt;&gt;"","✅売却済",IF(OR(H4="",L4=""),"📌保有中",IF(L4&gt;=0.06,"🟢利確推奨",IF(L4&gt;=0.05,"🟡利確直近",IF(L4&gt;=0.045,"🔵トレーリング検討",IF(L4&gt;-0.03,"📌保有中",IF(L4&gt;-0.04,"⚠️損切注意","🔴損切り"))))))))</f>
        <v>✅売却済</v>
      </c>
      <c r="T4" s="593">
        <f ca="1">IF(OR($AH4="",$AH4="保有中"),"",IF($AH4="日数制限",$AE4,IF($AH4="損切確定",IF(N($AG4)=0,TODAY(),$AG4),IF(N($AF4)=0,TODAY(),$AF4))))</f>
        <v>46234</v>
      </c>
      <c r="U4" s="485">
        <f ca="1">IF(OR($AH4="",$AH4="保有中"),"",ROUND(IF($AH4="日数制限",$AI4,IF($AH4="利益確定",$M4,$N4)),0))</f>
        <v>2399</v>
      </c>
      <c r="V4" s="700">
        <f t="shared" ref="V4:V9" ca="1" si="5">IF(OR(F4="",G4="",U4=""),"",IF(C4="売",(F4-U4)*G4,(U4-F4)*G4))</f>
        <v>-9950</v>
      </c>
      <c r="W4" s="487">
        <f ca="1">IF(OR($E4="",$B4=""),"",IF($T4&lt;&gt;"",$T4-$E4,TODAY()-$E4)+1)</f>
        <v>5</v>
      </c>
      <c r="X4" s="484" t="str">
        <f ca="1">IF(OR($AH4="",$AH4="保有中"),"",$AH4)</f>
        <v>損切確定</v>
      </c>
      <c r="Y4" s="488">
        <f>IF($B4="","",IF(COUNTIFS($B$4:$B4,$B4,$C$4:$C4,$C4)&gt;1,"⛔重複"&amp;COUNTIFS($B$4:$B4,$B4,$C$4:$C4,$C4)&amp;"回目",""))</f>
      </c>
      <c r="Z4" s="710" t="s">
        <v>1268</v>
      </c>
      <c r="AA4" s="600" t="s">
        <v>1269</v>
      </c>
      <c r="AB4">
        <f>IF($F4="","",MAX(100,ROUNDDOWN($AG$4/($F4*$AG$2)/100,0)*100))</f>
      </c>
      <c r="AC4">
        <f>IF(OR($F4="",$G4="",$U4=""),"",ROUND($V4-($F4+$U4)*$G4*$AG$6-IF($C4="売",$F4*$G4*$AG$7*$W4/365,0),0))</f>
      </c>
      <c r="AD4" s="608" t="s">
        <v>1267</v>
      </c>
      <c r="AE4" s="624">
        <f>IF($E4="","",WORKDAY($E4,12))</f>
        <v>46246</v>
      </c>
      <c r="AF4" t="inlineStr">
        <is>
          <t>1回の許容損失額(円)</t>
        </is>
      </c>
      <c r="AG4">
        <v>20000</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IFERROR(INDEX(始値!$E$6:$BT$305,MATCH(TEXT($B4,"0"),TEXT(銘柄管理!$B$6:$B$305,"0"),0),MATCH($AE4,始値!$E$3:$BT$3,0)),"")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BB4" s="600">
        <f>IF(N(買抽出v13!$C4)=0,"",N(買抽出v13!$Q4)+N(買抽出v13!$L4)/1000-ROW()/1000000)</f>
        <v>18.002396000000001</v>
      </c>
      <c r="BC4" s="600">
        <f>IF(N(売抽出v13!$C4)=0,"",N(売抽出v13!$Q4)+IFERROR(VALUE(SUBSTITUTE(売抽出v13!$L4,"倍","")),0)/1000-ROW()/1000000)</f>
        <v>13.001965999999999</v>
      </c>
      <c r="BE4" s="601"/>
    </row>
    <row r="5" spans="1:57" ht="35.4" customHeight="1">
      <c r="A5" s="619" t="str">
        <f t="shared" si="0"/>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BT$3,0)=1,1,MATCH($E5,始値!$E$3:$BT$3,0)+1)),_xlpm.v,INDEX(始値!$C$6:$B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 t="shared" ca="1" si="1"/>
        <v>-1550</v>
      </c>
      <c r="L5" s="705">
        <f t="shared" ca="1" si="2"/>
        <v>-1.2916666666666667E-2</v>
      </c>
      <c r="M5" s="485">
        <f>IF($F5="","",IF($C5="売",CEILING($F5*IF($C5="売",1-$AG$3,1+$AG$3),IF($F5*IF($C5="売",1-$AG$3,1+$AG$3)&lt;=3000,1,IF($F5*IF($C5="売",1-$AG$3,1+$AG$3)&lt;=5000,5,IF($F5*IF($C5="売",1-$AG$3,1+$AG$3)&lt;=30000,10,IF($F5*IF($C5="売",1-$AG$3,1+$AG$3)&lt;=50000,50,IF($F5*IF($C5="売",1-$AG$3,1+$AG$3)&lt;=300000,100,500)))))),FLOOR($F5*IF($C5="売",1-$AG$3,1+$AG$3),IF($F5*IF($C5="売",1-$AG$3,1+$AG$3)&lt;=3000,1,IF($F5*IF($C5="売",1-$AG$3,1+$AG$3)&lt;=5000,5,IF($F5*IF($C5="売",1-$AG$3,1+$AG$3)&lt;=30000,10,IF($F5*IF($C5="売",1-$AG$3,1+$AG$3)&lt;=50000,50,IF($F5*IF($C5="売",1-$AG$3,1+$AG$3)&lt;=300000,100,500))))))))</f>
      </c>
      <c r="N5" s="485">
        <f>IF($F5="","",IF($C5="売",CEILING($F5*IF($C5="売",1+$AG$2,1-$AG$2),IF($F5*IF($C5="売",1+$AG$2,1-$AG$2)&lt;=3000,1,IF($F5*IF($C5="売",1+$AG$2,1-$AG$2)&lt;=5000,5,IF($F5*IF($C5="売",1+$AG$2,1-$AG$2)&lt;=30000,10,IF($F5*IF($C5="売",1+$AG$2,1-$AG$2)&lt;=50000,50,IF($F5*IF($C5="売",1+$AG$2,1-$AG$2)&lt;=300000,100,500)))))),FLOOR($F5*IF($C5="売",1+$AG$2,1-$AG$2),IF($F5*IF($C5="売",1+$AG$2,1-$AG$2)&lt;=3000,1,IF($F5*IF($C5="売",1+$AG$2,1-$AG$2)&lt;=5000,5,IF($F5*IF($C5="売",1+$AG$2,1-$AG$2)&lt;=30000,10,IF($F5*IF($C5="売",1+$AG$2,1-$AG$2)&lt;=50000,50,IF($F5*IF($C5="売",1+$AG$2,1-$AG$2)&lt;=300000,100,500))))))))</f>
      </c>
      <c r="O5" s="486">
        <f>IF(OR($B5="",$F5="",$H5=""),"",IF($S5="✅売却済","―決済済―",IF($C5="売",  IF($H5&lt;=$M5,"🟢利確",  IF(AND($R5&lt;&gt;"",$H5&gt;=$R5),"🟠TRAIL決済",  IF($H5&gt;=$N5,"🔴損切",  IF($W5&gt;=$AG$5,"⏱時間決済",  IF($H5&gt;=$F5*(1+$AG$2*0.7),"⚠️損切接近","保持継続"))))),  IF($H5&gt;=$M5,"🟢利確",  IF(AND($R5&lt;&gt;"",$H5&lt;=$R5),"🟠TRAIL決済",  IF($H5&lt;=$N5,"🔴損切",  IF($W5&gt;=$AG$5,"⏱時間決済",  IF($H5&lt;=$F5*(1-$AG$2*0.7),"⚠️損切接近","保持継続")))))))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  IF($H5&gt;$F5*(1-$AG$2),$N5,CEILING(MIN($N5,IF($Q5="",$N5,$Q5*1.03)),IF($N5&lt;=3000,1,IF($N5&lt;=5000,5,IF($N5&lt;=30000,10,IF($N5&lt;=50000,50,IF($N5&lt;=300000,100,500))))))),  IF($H5&lt;$F5*(1+$AG$2),$N5,FLOOR(MAX($N5,IF($P5="",$N5,$P5*0.97)),IF($N5&lt;=3000,1,IF($N5&lt;=5000,5,IF($N5&lt;=30000,10,IF($N5&lt;=50000,50,IF($N5&lt;=300000,100,500))))))))))</f>
      </c>
      <c r="S5" s="585" t="str">
        <f t="shared" ca="1" si="4"/>
        <v>✅売却済</v>
      </c>
      <c r="T5" s="593">
        <f t="shared" ref="T5:T68" ca="1" si="9">IF(OR($AH5="",$AH5="保有中"),"",IF($AH5="日数制限",$AE5,IF($AH5="損切確定",IF(N($AG5)=0,TODAY(),$AG5),IF(N($AF5)=0,TODAY(),$AF5))))</f>
        <v>46232</v>
      </c>
      <c r="U5" s="485">
        <f t="shared" ref="U5:U68" ca="1" si="10">IF(OR($AH5="",$AH5="保有中"),"",ROUND(IF($AH5="日数制限",$AI5,IF($AH5="利益確定",$M5,$N5)),0))</f>
        <v>1152</v>
      </c>
      <c r="V5" s="700">
        <f t="shared" ca="1" si="5"/>
        <v>-4800</v>
      </c>
      <c r="W5" s="487">
        <f t="shared" ref="W5:W68" ca="1" si="11">IF(OR($E5="",$B5=""),"",IF($T5&lt;&gt;"",$T5-$E5,TODAY()-$E5)+1)</f>
        <v>3</v>
      </c>
      <c r="X5" s="484" t="str">
        <f t="shared" ref="X5:X68" ca="1" si="12">IF(OR($AH5="",$AH5="保有中"),"",$AH5)</f>
        <v>損切確定</v>
      </c>
      <c r="Y5" s="488">
        <f>IF($B5="","",IF(COUNTIFS($B$4:$B5,$B5,$C$4:$C5,$C5)&gt;1,"⛔重複"&amp;COUNTIFS($B$4:$B5,$B5,$C$4:$C5,$C5)&amp;"回目",""))</f>
      </c>
      <c r="Z5" s="710" t="s">
        <v>1271</v>
      </c>
      <c r="AA5" s="600" t="s">
        <v>1272</v>
      </c>
      <c r="AB5">
        <f>IF($F5="","",MAX(100,ROUNDDOWN($AG$4/($F5*$AG$2)/100,0)*100))</f>
      </c>
      <c r="AC5">
        <f>IF(OR($F5="",$G5="",$U5=""),"",ROUND($V5-($F5+$U5)*$G5*$AG$6-IF($C5="売",$F5*$G5*$AG$7*$W5/365,0),0))</f>
      </c>
      <c r="AD5" s="608" t="s">
        <v>1270</v>
      </c>
      <c r="AE5" s="624">
        <f t="shared" ref="AE5:AE68" si="13">IF($E5="","",WORKDAY($E5,12))</f>
        <v>46246</v>
      </c>
      <c r="AF5" t="inlineStr">
        <is>
          <t>時間決済(営業日)</t>
        </is>
      </c>
      <c r="AG5">
        <v>3</v>
      </c>
      <c r="AH5" s="600" t="str">
        <f t="shared" ref="AH5:AH68" ca="1" si="14">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IFERROR(INDEX(始値!$E$6:$BT$305,MATCH(TEXT($B5,"0"),TEXT(銘柄管理!$B$6:$B$305,"0"),0),MATCH($AE5,始値!$E$3:$BT$3,0)),"")</f>
        <v/>
      </c>
      <c r="AJ5" s="905">
        <f t="shared" ref="AJ5:AJ68" ca="1" si="15">IF(OR($V5="",$F5="",$G5=""),"",$V5/($F5*$G5))</f>
        <v>-0.04</v>
      </c>
      <c r="AK5" s="629" t="str">
        <f t="shared" ref="AK5:AK68" ca="1" si="16">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BB5" s="600">
        <f>IF(N(買抽出v13!$C5)=0,"",N(買抽出v13!$Q5)+N(買抽出v13!$L5)/1000-ROW()/1000000)</f>
        <v>17.001594999999998</v>
      </c>
      <c r="BC5" s="600">
        <f>IF(N(売抽出v13!$C5)=0,"",N(売抽出v13!$Q5)+IFERROR(VALUE(SUBSTITUTE(売抽出v13!$L5,"倍","")),0)/1000-ROW()/1000000)</f>
        <v>13.002995</v>
      </c>
    </row>
    <row r="6" spans="1:57" ht="35.4" customHeight="1">
      <c r="A6" s="619" t="str">
        <f t="shared" si="0"/>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BT$3,0)=1,1,MATCH($E6,始値!$E$3:$BT$3,0)+1)),_xlpm.v,INDEX(始値!$C$6:$B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 t="shared" ca="1" si="1"/>
        <v>6200</v>
      </c>
      <c r="L6" s="705">
        <f t="shared" ca="1" si="2"/>
        <v>3.994845360824742E-2</v>
      </c>
      <c r="M6" s="485">
        <f>IF($F6="","",IF($C6="売",CEILING($F6*IF($C6="売",1-$AG$3,1+$AG$3),IF($F6*IF($C6="売",1-$AG$3,1+$AG$3)&lt;=3000,1,IF($F6*IF($C6="売",1-$AG$3,1+$AG$3)&lt;=5000,5,IF($F6*IF($C6="売",1-$AG$3,1+$AG$3)&lt;=30000,10,IF($F6*IF($C6="売",1-$AG$3,1+$AG$3)&lt;=50000,50,IF($F6*IF($C6="売",1-$AG$3,1+$AG$3)&lt;=300000,100,500)))))),FLOOR($F6*IF($C6="売",1-$AG$3,1+$AG$3),IF($F6*IF($C6="売",1-$AG$3,1+$AG$3)&lt;=3000,1,IF($F6*IF($C6="売",1-$AG$3,1+$AG$3)&lt;=5000,5,IF($F6*IF($C6="売",1-$AG$3,1+$AG$3)&lt;=30000,10,IF($F6*IF($C6="売",1-$AG$3,1+$AG$3)&lt;=50000,50,IF($F6*IF($C6="売",1-$AG$3,1+$AG$3)&lt;=300000,100,500))))))))</f>
      </c>
      <c r="N6" s="485">
        <f>IF($F6="","",IF($C6="売",CEILING($F6*IF($C6="売",1+$AG$2,1-$AG$2),IF($F6*IF($C6="売",1+$AG$2,1-$AG$2)&lt;=3000,1,IF($F6*IF($C6="売",1+$AG$2,1-$AG$2)&lt;=5000,5,IF($F6*IF($C6="売",1+$AG$2,1-$AG$2)&lt;=30000,10,IF($F6*IF($C6="売",1+$AG$2,1-$AG$2)&lt;=50000,50,IF($F6*IF($C6="売",1+$AG$2,1-$AG$2)&lt;=300000,100,500)))))),FLOOR($F6*IF($C6="売",1+$AG$2,1-$AG$2),IF($F6*IF($C6="売",1+$AG$2,1-$AG$2)&lt;=3000,1,IF($F6*IF($C6="売",1+$AG$2,1-$AG$2)&lt;=5000,5,IF($F6*IF($C6="売",1+$AG$2,1-$AG$2)&lt;=30000,10,IF($F6*IF($C6="売",1+$AG$2,1-$AG$2)&lt;=50000,50,IF($F6*IF($C6="売",1+$AG$2,1-$AG$2)&lt;=300000,100,500))))))))</f>
      </c>
      <c r="O6" s="486">
        <f>IF(OR($B6="",$F6="",$H6=""),"",IF($S6="✅売却済","―決済済―",IF($C6="売",  IF($H6&lt;=$M6,"🟢利確",  IF(AND($R6&lt;&gt;"",$H6&gt;=$R6),"🟠TRAIL決済",  IF($H6&gt;=$N6,"🔴損切",  IF($W6&gt;=$AG$5,"⏱時間決済",  IF($H6&gt;=$F6*(1+$AG$2*0.7),"⚠️損切接近","保持継続"))))),  IF($H6&gt;=$M6,"🟢利確",  IF(AND($R6&lt;&gt;"",$H6&lt;=$R6),"🟠TRAIL決済",  IF($H6&lt;=$N6,"🔴損切",  IF($W6&gt;=$AG$5,"⏱時間決済",  IF($H6&lt;=$F6*(1-$AG$2*0.7),"⚠️損切接近","保持継続")))))))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  IF($H6&gt;$F6*(1-$AG$2),$N6,CEILING(MIN($N6,IF($Q6="",$N6,$Q6*1.03)),IF($N6&lt;=3000,1,IF($N6&lt;=5000,5,IF($N6&lt;=30000,10,IF($N6&lt;=50000,50,IF($N6&lt;=300000,100,500))))))),  IF($H6&lt;$F6*(1+$AG$2),$N6,FLOOR(MAX($N6,IF($P6="",$N6,$P6*0.97)),IF($N6&lt;=3000,1,IF($N6&lt;=5000,5,IF($N6&lt;=30000,10,IF($N6&lt;=50000,50,IF($N6&lt;=300000,100,500))))))))))</f>
      </c>
      <c r="S6" s="585" t="str">
        <f t="shared" ca="1" si="4"/>
        <v>✅売却済</v>
      </c>
      <c r="T6" s="593">
        <f t="shared" ca="1" si="9"/>
        <v>46231</v>
      </c>
      <c r="U6" s="485">
        <f t="shared" ca="1" si="10"/>
        <v>1490</v>
      </c>
      <c r="V6" s="700">
        <f t="shared" ca="1" si="5"/>
        <v>-6200</v>
      </c>
      <c r="W6" s="487">
        <f t="shared" ca="1" si="11"/>
        <v>2</v>
      </c>
      <c r="X6" s="484" t="str">
        <f t="shared" ca="1" si="12"/>
        <v>損切確定</v>
      </c>
      <c r="Y6" s="488">
        <f>IF($B6="","",IF(COUNTIFS($B$4:$B6,$B6,$C$4:$C6,$C6)&gt;1,"⛔重複"&amp;COUNTIFS($B$4:$B6,$B6,$C$4:$C6,$C6)&amp;"回目",""))</f>
      </c>
      <c r="Z6" s="710" t="s">
        <v>1274</v>
      </c>
      <c r="AA6" s="600" t="s">
        <v>1275</v>
      </c>
      <c r="AB6">
        <f>IF($F6="","",MAX(100,ROUNDDOWN($AG$4/($F6*$AG$2)/100,0)*100))</f>
      </c>
      <c r="AC6">
        <f>IF(OR($F6="",$G6="",$U6=""),"",ROUND($V6-($F6+$U6)*$G6*$AG$6-IF($C6="売",$F6*$G6*$AG$7*$W6/365,0),0))</f>
      </c>
      <c r="AD6" s="608" t="s">
        <v>1273</v>
      </c>
      <c r="AE6" s="624">
        <f t="shared" si="13"/>
        <v>46246</v>
      </c>
      <c r="AF6" t="inlineStr">
        <is>
          <t>片道手数料率</t>
        </is>
      </c>
      <c r="AG6">
        <v>0.0005</v>
      </c>
      <c r="AH6" s="600" t="str">
        <f t="shared" ca="1" si="14"/>
        <v>損切確定</v>
      </c>
      <c r="AI6" s="600" t="str" cm="1">
        <f t="array" ref="AI6">IFERROR(INDEX(始値!$E$6:$BT$305,MATCH(TEXT($B6,"0"),TEXT(銘柄管理!$B$6:$B$305,"0"),0),MATCH($AE6,始値!$E$3:$BT$3,0)),"")</f>
        <v/>
      </c>
      <c r="AJ6" s="905">
        <f t="shared" ca="1" si="15"/>
        <v>-3.994845360824742E-2</v>
      </c>
      <c r="AK6" s="629" t="str">
        <f t="shared" ca="1" si="16"/>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BB6" s="600">
        <f>IF(N(買抽出v13!$C6)=0,"",N(買抽出v13!$Q6)+N(買抽出v13!$L6)/1000-ROW()/1000000)</f>
        <v>15.001294</v>
      </c>
      <c r="BC6" s="600" t="str">
        <f>IF(N(売抽出v13!$C6)=0,"",N(売抽出v13!$Q6)+IFERROR(VALUE(SUBSTITUTE(売抽出v13!$L6,"倍","")),0)/1000-ROW()/1000000)</f>
        <v/>
      </c>
    </row>
    <row r="7" spans="1:57" ht="35.4" customHeight="1">
      <c r="A7" s="619" t="str">
        <f t="shared" si="0"/>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BT$3,0)=1,1,MATCH($E7,始値!$E$3:$BT$3,0)+1)),_xlpm.v,INDEX(始値!$C$6:$B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 t="shared" ca="1" si="1"/>
        <v>-459000</v>
      </c>
      <c r="L7" s="705">
        <f t="shared" ca="1" si="2"/>
        <v>-8.0526315789473682E-2</v>
      </c>
      <c r="M7" s="485">
        <f>IF($F7="","",IF($C7="売",CEILING($F7*IF($C7="売",1-$AG$3,1+$AG$3),IF($F7*IF($C7="売",1-$AG$3,1+$AG$3)&lt;=3000,1,IF($F7*IF($C7="売",1-$AG$3,1+$AG$3)&lt;=5000,5,IF($F7*IF($C7="売",1-$AG$3,1+$AG$3)&lt;=30000,10,IF($F7*IF($C7="売",1-$AG$3,1+$AG$3)&lt;=50000,50,IF($F7*IF($C7="売",1-$AG$3,1+$AG$3)&lt;=300000,100,500)))))),FLOOR($F7*IF($C7="売",1-$AG$3,1+$AG$3),IF($F7*IF($C7="売",1-$AG$3,1+$AG$3)&lt;=3000,1,IF($F7*IF($C7="売",1-$AG$3,1+$AG$3)&lt;=5000,5,IF($F7*IF($C7="売",1-$AG$3,1+$AG$3)&lt;=30000,10,IF($F7*IF($C7="売",1-$AG$3,1+$AG$3)&lt;=50000,50,IF($F7*IF($C7="売",1-$AG$3,1+$AG$3)&lt;=300000,100,500))))))))</f>
      </c>
      <c r="N7" s="485">
        <f>IF($F7="","",IF($C7="売",CEILING($F7*IF($C7="売",1+$AG$2,1-$AG$2),IF($F7*IF($C7="売",1+$AG$2,1-$AG$2)&lt;=3000,1,IF($F7*IF($C7="売",1+$AG$2,1-$AG$2)&lt;=5000,5,IF($F7*IF($C7="売",1+$AG$2,1-$AG$2)&lt;=30000,10,IF($F7*IF($C7="売",1+$AG$2,1-$AG$2)&lt;=50000,50,IF($F7*IF($C7="売",1+$AG$2,1-$AG$2)&lt;=300000,100,500)))))),FLOOR($F7*IF($C7="売",1+$AG$2,1-$AG$2),IF($F7*IF($C7="売",1+$AG$2,1-$AG$2)&lt;=3000,1,IF($F7*IF($C7="売",1+$AG$2,1-$AG$2)&lt;=5000,5,IF($F7*IF($C7="売",1+$AG$2,1-$AG$2)&lt;=30000,10,IF($F7*IF($C7="売",1+$AG$2,1-$AG$2)&lt;=50000,50,IF($F7*IF($C7="売",1+$AG$2,1-$AG$2)&lt;=300000,100,500))))))))</f>
      </c>
      <c r="O7" s="486">
        <f>IF(OR($B7="",$F7="",$H7=""),"",IF($S7="✅売却済","―決済済―",IF($C7="売",  IF($H7&lt;=$M7,"🟢利確",  IF(AND($R7&lt;&gt;"",$H7&gt;=$R7),"🟠TRAIL決済",  IF($H7&gt;=$N7,"🔴損切",  IF($W7&gt;=$AG$5,"⏱時間決済",  IF($H7&gt;=$F7*(1+$AG$2*0.7),"⚠️損切接近","保持継続"))))),  IF($H7&gt;=$M7,"🟢利確",  IF(AND($R7&lt;&gt;"",$H7&lt;=$R7),"🟠TRAIL決済",  IF($H7&lt;=$N7,"🔴損切",  IF($W7&gt;=$AG$5,"⏱時間決済",  IF($H7&lt;=$F7*(1-$AG$2*0.7),"⚠️損切接近","保持継続")))))))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  IF($H7&gt;$F7*(1-$AG$2),$N7,CEILING(MIN($N7,IF($Q7="",$N7,$Q7*1.03)),IF($N7&lt;=3000,1,IF($N7&lt;=5000,5,IF($N7&lt;=30000,10,IF($N7&lt;=50000,50,IF($N7&lt;=300000,100,500))))))),  IF($H7&lt;$F7*(1+$AG$2),$N7,FLOOR(MAX($N7,IF($P7="",$N7,$P7*0.97)),IF($N7&lt;=3000,1,IF($N7&lt;=5000,5,IF($N7&lt;=30000,10,IF($N7&lt;=50000,50,IF($N7&lt;=300000,100,500))))))))))</f>
      </c>
      <c r="S7" s="585" t="str">
        <f t="shared" ca="1" si="4"/>
        <v>✅売却済</v>
      </c>
      <c r="T7" s="593">
        <f t="shared" ca="1" si="9"/>
        <v>46232</v>
      </c>
      <c r="U7" s="485">
        <f t="shared" ca="1" si="10"/>
        <v>53580</v>
      </c>
      <c r="V7" s="700">
        <f t="shared" ca="1" si="5"/>
        <v>342000</v>
      </c>
      <c r="W7" s="487">
        <f t="shared" ca="1" si="11"/>
        <v>3</v>
      </c>
      <c r="X7" s="484" t="str">
        <f t="shared" ca="1" si="12"/>
        <v>利益確定</v>
      </c>
      <c r="Y7" s="494">
        <f>IF($B7="","",IF(COUNTIFS($B$4:$B7,$B7,$C$4:$C7,$C7)&gt;1,"⛔重複"&amp;COUNTIFS($B$4:$B7,$B7,$C$4:$C7,$C7)&amp;"回目",""))</f>
      </c>
      <c r="Z7" s="710" t="s">
        <v>1276</v>
      </c>
      <c r="AA7" s="600" t="s">
        <v>1277</v>
      </c>
      <c r="AB7">
        <f>IF($F7="","",MAX(100,ROUNDDOWN($AG$4/($F7*$AG$2)/100,0)*100))</f>
      </c>
      <c r="AC7">
        <f>IF(OR($F7="",$G7="",$U7=""),"",ROUND($V7-($F7+$U7)*$G7*$AG$6-IF($C7="売",$F7*$G7*$AG$7*$W7/365,0),0))</f>
      </c>
      <c r="AD7" s="608" t="s">
        <v>1267</v>
      </c>
      <c r="AE7" s="624">
        <f t="shared" si="13"/>
        <v>46246</v>
      </c>
      <c r="AF7" t="inlineStr">
        <is>
          <t>貸株料(年率)</t>
        </is>
      </c>
      <c r="AG7">
        <v>0.0115</v>
      </c>
      <c r="AH7" s="600" t="str">
        <f t="shared" ca="1" si="14"/>
        <v>利益確定</v>
      </c>
      <c r="AI7" s="600" t="str" cm="1">
        <f t="array" ref="AI7">IFERROR(INDEX(始値!$E$6:$BT$305,MATCH(TEXT($B7,"0"),TEXT(銘柄管理!$B$6:$B$305,"0"),0),MATCH($AE7,始値!$E$3:$BT$3,0)),"")</f>
        <v/>
      </c>
      <c r="AJ7" s="905">
        <f t="shared" ca="1" si="15"/>
        <v>0.06</v>
      </c>
      <c r="AK7" s="629" t="str">
        <f t="shared" ca="1" si="16"/>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BB7" s="600">
        <f>IF(N(買抽出v13!$C7)=0,"",N(買抽出v13!$Q7)+N(買抽出v13!$L7)/1000-ROW()/1000000)</f>
        <v>15.000893</v>
      </c>
      <c r="BC7" s="600" t="str">
        <f>IF(N(売抽出v13!$C7)=0,"",N(売抽出v13!$Q7)+IFERROR(VALUE(SUBSTITUTE(売抽出v13!$L7,"倍","")),0)/1000-ROW()/1000000)</f>
        <v/>
      </c>
    </row>
    <row r="8" spans="1:57" ht="35.4" customHeight="1" thickBot="1">
      <c r="A8" s="619" t="str">
        <f t="shared" si="0"/>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BT$3,0)=1,1,MATCH($E8,始値!$E$3:$BT$3,0)+1)),_xlpm.v,INDEX(始値!$C$6:$B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 t="shared" ca="1" si="1"/>
        <v>3300</v>
      </c>
      <c r="L8" s="705">
        <f t="shared" ca="1" si="2"/>
        <v>4.3363994743758211E-2</v>
      </c>
      <c r="M8" s="485">
        <f>IF($F8="","",IF($C8="売",CEILING($F8*IF($C8="売",1-$AG$3,1+$AG$3),IF($F8*IF($C8="売",1-$AG$3,1+$AG$3)&lt;=3000,1,IF($F8*IF($C8="売",1-$AG$3,1+$AG$3)&lt;=5000,5,IF($F8*IF($C8="売",1-$AG$3,1+$AG$3)&lt;=30000,10,IF($F8*IF($C8="売",1-$AG$3,1+$AG$3)&lt;=50000,50,IF($F8*IF($C8="売",1-$AG$3,1+$AG$3)&lt;=300000,100,500)))))),FLOOR($F8*IF($C8="売",1-$AG$3,1+$AG$3),IF($F8*IF($C8="売",1-$AG$3,1+$AG$3)&lt;=3000,1,IF($F8*IF($C8="売",1-$AG$3,1+$AG$3)&lt;=5000,5,IF($F8*IF($C8="売",1-$AG$3,1+$AG$3)&lt;=30000,10,IF($F8*IF($C8="売",1-$AG$3,1+$AG$3)&lt;=50000,50,IF($F8*IF($C8="売",1-$AG$3,1+$AG$3)&lt;=300000,100,500))))))))</f>
      </c>
      <c r="N8" s="485">
        <f>IF($F8="","",IF($C8="売",CEILING($F8*IF($C8="売",1+$AG$2,1-$AG$2),IF($F8*IF($C8="売",1+$AG$2,1-$AG$2)&lt;=3000,1,IF($F8*IF($C8="売",1+$AG$2,1-$AG$2)&lt;=5000,5,IF($F8*IF($C8="売",1+$AG$2,1-$AG$2)&lt;=30000,10,IF($F8*IF($C8="売",1+$AG$2,1-$AG$2)&lt;=50000,50,IF($F8*IF($C8="売",1+$AG$2,1-$AG$2)&lt;=300000,100,500)))))),FLOOR($F8*IF($C8="売",1+$AG$2,1-$AG$2),IF($F8*IF($C8="売",1+$AG$2,1-$AG$2)&lt;=3000,1,IF($F8*IF($C8="売",1+$AG$2,1-$AG$2)&lt;=5000,5,IF($F8*IF($C8="売",1+$AG$2,1-$AG$2)&lt;=30000,10,IF($F8*IF($C8="売",1+$AG$2,1-$AG$2)&lt;=50000,50,IF($F8*IF($C8="売",1+$AG$2,1-$AG$2)&lt;=300000,100,500))))))))</f>
      </c>
      <c r="O8" s="486">
        <f>IF(OR($B8="",$F8="",$H8=""),"",IF($S8="✅売却済","―決済済―",IF($C8="売",  IF($H8&lt;=$M8,"🟢利確",  IF(AND($R8&lt;&gt;"",$H8&gt;=$R8),"🟠TRAIL決済",  IF($H8&gt;=$N8,"🔴損切",  IF($W8&gt;=$AG$5,"⏱時間決済",  IF($H8&gt;=$F8*(1+$AG$2*0.7),"⚠️損切接近","保持継続"))))),  IF($H8&gt;=$M8,"🟢利確",  IF(AND($R8&lt;&gt;"",$H8&lt;=$R8),"🟠TRAIL決済",  IF($H8&lt;=$N8,"🔴損切",  IF($W8&gt;=$AG$5,"⏱時間決済",  IF($H8&lt;=$F8*(1-$AG$2*0.7),"⚠️損切接近","保持継続")))))))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  IF($H8&gt;$F8*(1-$AG$2),$N8,CEILING(MIN($N8,IF($Q8="",$N8,$Q8*1.03)),IF($N8&lt;=3000,1,IF($N8&lt;=5000,5,IF($N8&lt;=30000,10,IF($N8&lt;=50000,50,IF($N8&lt;=300000,100,500))))))),  IF($H8&lt;$F8*(1+$AG$2),$N8,FLOOR(MAX($N8,IF($P8="",$N8,$P8*0.97)),IF($N8&lt;=3000,1,IF($N8&lt;=5000,5,IF($N8&lt;=30000,10,IF($N8&lt;=50000,50,IF($N8&lt;=300000,100,500))))))))))</f>
      </c>
      <c r="S8" s="585" t="str">
        <f t="shared" ca="1" si="4"/>
        <v>✅売却済</v>
      </c>
      <c r="T8" s="593">
        <f t="shared" ca="1" si="9"/>
        <v>46232</v>
      </c>
      <c r="U8" s="485">
        <f t="shared" ca="1" si="10"/>
        <v>715</v>
      </c>
      <c r="V8" s="700">
        <f t="shared" ca="1" si="5"/>
        <v>4600</v>
      </c>
      <c r="W8" s="487">
        <f t="shared" ca="1" si="11"/>
        <v>3</v>
      </c>
      <c r="X8" s="484" t="str">
        <f t="shared" ca="1" si="12"/>
        <v>利益確定</v>
      </c>
      <c r="Y8" s="488">
        <f>IF($B8="","",IF(COUNTIFS($B$4:$B8,$B8,$C$4:$C8,$C8)&gt;1,"⛔重複"&amp;COUNTIFS($B$4:$B8,$B8,$C$4:$C8,$C8)&amp;"回目",""))</f>
      </c>
      <c r="Z8" s="710" t="s">
        <v>1278</v>
      </c>
      <c r="AA8" s="600" t="s">
        <v>1279</v>
      </c>
      <c r="AB8">
        <f>IF($F8="","",MAX(100,ROUNDDOWN($AG$4/($F8*$AG$2)/100,0)*100))</f>
      </c>
      <c r="AC8">
        <f>IF(OR($F8="",$G8="",$U8=""),"",ROUND($V8-($F8+$U8)*$G8*$AG$6-IF($C8="売",$F8*$G8*$AG$7*$W8/365,0),0))</f>
      </c>
      <c r="AD8" s="608" t="s">
        <v>1270</v>
      </c>
      <c r="AE8" s="624">
        <f t="shared" si="13"/>
        <v>46246</v>
      </c>
      <c r="AF8" s="626"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26"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00" t="str">
        <f t="shared" ca="1" si="14"/>
        <v>利益確定</v>
      </c>
      <c r="AI8" s="600" t="str" cm="1">
        <f t="array" ref="AI8">IFERROR(INDEX(始値!$E$6:$BT$305,MATCH(TEXT($B8,"0"),TEXT(銘柄管理!$B$6:$B$305,"0"),0),MATCH($AE8,始値!$E$3:$BT$3,0)),"")</f>
        <v/>
      </c>
      <c r="AJ8" s="905">
        <f t="shared" ca="1" si="15"/>
        <v>6.0446780551905388E-2</v>
      </c>
      <c r="AK8" s="629" t="str">
        <f t="shared" ca="1" si="16"/>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7" ht="35.4" customHeight="1" thickTop="1">
      <c r="A9" s="619" t="str">
        <f t="shared" si="0"/>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BT$3,0)=1,1,MATCH($E9,始値!$E$3:$BT$3,0)+1)),_xlpm.v,INDEX(始値!$C$6:$BT$305,_xlpm.r,_xlpm.c),IF(N(_xlpm.v)=0,"",_xlpm.v)),"")</f>
        <v>443</v>
      </c>
      <c r="G9" s="484">
        <v>100</v>
      </c>
      <c r="H9" s="485" cm="1">
        <f t="array" ref="H9">_xll.RssMarket(B9, "現在値")</f>
        <v>453</v>
      </c>
      <c r="I9" s="485" cm="1">
        <f t="array" ref="I9">_xll.RssMarket(B9, "出来高加重平均")</f>
        <v>458.88</v>
      </c>
      <c r="J9" s="700" cm="1">
        <f t="array" ref="J9">_xll.RssMarket($B9, "前日比")</f>
        <v>-22</v>
      </c>
      <c r="K9" s="700">
        <f t="shared" ca="1" si="1"/>
        <v>-1000</v>
      </c>
      <c r="L9" s="705">
        <f t="shared" ca="1" si="2"/>
        <v>-2.2573363431151242E-2</v>
      </c>
      <c r="M9" s="485">
        <f>IF($F9="","",IF($C9="売",CEILING($F9*IF($C9="売",1-$AG$3,1+$AG$3),IF($F9*IF($C9="売",1-$AG$3,1+$AG$3)&lt;=3000,1,IF($F9*IF($C9="売",1-$AG$3,1+$AG$3)&lt;=5000,5,IF($F9*IF($C9="売",1-$AG$3,1+$AG$3)&lt;=30000,10,IF($F9*IF($C9="売",1-$AG$3,1+$AG$3)&lt;=50000,50,IF($F9*IF($C9="売",1-$AG$3,1+$AG$3)&lt;=300000,100,500)))))),FLOOR($F9*IF($C9="売",1-$AG$3,1+$AG$3),IF($F9*IF($C9="売",1-$AG$3,1+$AG$3)&lt;=3000,1,IF($F9*IF($C9="売",1-$AG$3,1+$AG$3)&lt;=5000,5,IF($F9*IF($C9="売",1-$AG$3,1+$AG$3)&lt;=30000,10,IF($F9*IF($C9="売",1-$AG$3,1+$AG$3)&lt;=50000,50,IF($F9*IF($C9="売",1-$AG$3,1+$AG$3)&lt;=300000,100,500))))))))</f>
      </c>
      <c r="N9" s="485">
        <f>IF($F9="","",IF($C9="売",CEILING($F9*IF($C9="売",1+$AG$2,1-$AG$2),IF($F9*IF($C9="売",1+$AG$2,1-$AG$2)&lt;=3000,1,IF($F9*IF($C9="売",1+$AG$2,1-$AG$2)&lt;=5000,5,IF($F9*IF($C9="売",1+$AG$2,1-$AG$2)&lt;=30000,10,IF($F9*IF($C9="売",1+$AG$2,1-$AG$2)&lt;=50000,50,IF($F9*IF($C9="売",1+$AG$2,1-$AG$2)&lt;=300000,100,500)))))),FLOOR($F9*IF($C9="売",1+$AG$2,1-$AG$2),IF($F9*IF($C9="売",1+$AG$2,1-$AG$2)&lt;=3000,1,IF($F9*IF($C9="売",1+$AG$2,1-$AG$2)&lt;=5000,5,IF($F9*IF($C9="売",1+$AG$2,1-$AG$2)&lt;=30000,10,IF($F9*IF($C9="売",1+$AG$2,1-$AG$2)&lt;=50000,50,IF($F9*IF($C9="売",1+$AG$2,1-$AG$2)&lt;=300000,100,500))))))))</f>
      </c>
      <c r="O9" s="486">
        <f>IF(OR($B9="",$F9="",$H9=""),"",IF($S9="✅売却済","―決済済―",IF($C9="売",  IF($H9&lt;=$M9,"🟢利確",  IF(AND($R9&lt;&gt;"",$H9&gt;=$R9),"🟠TRAIL決済",  IF($H9&gt;=$N9,"🔴損切",  IF($W9&gt;=$AG$5,"⏱時間決済",  IF($H9&gt;=$F9*(1+$AG$2*0.7),"⚠️損切接近","保持継続"))))),  IF($H9&gt;=$M9,"🟢利確",  IF(AND($R9&lt;&gt;"",$H9&lt;=$R9),"🟠TRAIL決済",  IF($H9&lt;=$N9,"🔴損切",  IF($W9&gt;=$AG$5,"⏱時間決済",  IF($H9&lt;=$F9*(1-$AG$2*0.7),"⚠️損切接近","保持継続")))))))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  IF($H9&gt;$F9*(1-$AG$2),$N9,CEILING(MIN($N9,IF($Q9="",$N9,$Q9*1.03)),IF($N9&lt;=3000,1,IF($N9&lt;=5000,5,IF($N9&lt;=30000,10,IF($N9&lt;=50000,50,IF($N9&lt;=300000,100,500))))))),  IF($H9&lt;$F9*(1+$AG$2),$N9,FLOOR(MAX($N9,IF($P9="",$N9,$P9*0.97)),IF($N9&lt;=3000,1,IF($N9&lt;=5000,5,IF($N9&lt;=30000,10,IF($N9&lt;=50000,50,IF($N9&lt;=300000,100,500))))))))))</f>
      </c>
      <c r="S9" s="585" t="str">
        <f t="shared" ca="1" si="4"/>
        <v>✅売却済</v>
      </c>
      <c r="T9" s="593">
        <f t="shared" ca="1" si="9"/>
        <v>46232</v>
      </c>
      <c r="U9" s="485">
        <f t="shared" ca="1" si="10"/>
        <v>416</v>
      </c>
      <c r="V9" s="700">
        <f t="shared" ca="1" si="5"/>
        <v>2700</v>
      </c>
      <c r="W9" s="487">
        <f t="shared" ca="1" si="11"/>
        <v>3</v>
      </c>
      <c r="X9" s="484" t="str">
        <f t="shared" ca="1" si="12"/>
        <v>利益確定</v>
      </c>
      <c r="Y9" s="488">
        <f>IF($B9="","",IF(COUNTIFS($B$4:$B9,$B9,$C$4:$C9,$C9)&gt;1,"⛔重複"&amp;COUNTIFS($B$4:$B9,$B9,$C$4:$C9,$C9)&amp;"回目",""))</f>
      </c>
      <c r="Z9" s="710" t="s">
        <v>1280</v>
      </c>
      <c r="AA9" s="600" t="s">
        <v>1281</v>
      </c>
      <c r="AB9">
        <f>IF($F9="","",MAX(100,ROUNDDOWN($AG$4/($F9*$AG$2)/100,0)*100))</f>
      </c>
      <c r="AC9">
        <f>IF(OR($F9="",$G9="",$U9=""),"",ROUND($V9-($F9+$U9)*$G9*$AG$6-IF($C9="売",$F9*$G9*$AG$7*$W9/365,0),0))</f>
      </c>
      <c r="AD9" s="608" t="s">
        <v>1273</v>
      </c>
      <c r="AE9" s="624">
        <f t="shared" si="13"/>
        <v>46246</v>
      </c>
      <c r="AF9" s="626"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26"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46238</v>
      </c>
      <c r="AH9" s="600" t="str">
        <f t="shared" ca="1" si="14"/>
        <v>利益確定</v>
      </c>
      <c r="AI9" s="600" t="str" cm="1">
        <f t="array" ref="AI9">IFERROR(INDEX(始値!$E$6:$BT$305,MATCH(TEXT($B9,"0"),TEXT(銘柄管理!$B$6:$B$305,"0"),0),MATCH($AE9,始値!$E$3:$BT$3,0)),"")</f>
        <v/>
      </c>
      <c r="AJ9" s="905">
        <f t="shared" ca="1" si="15"/>
        <v>6.0948081264108354E-2</v>
      </c>
      <c r="AK9" s="629" t="str">
        <f t="shared" ca="1" si="16"/>
        <v>○勝</v>
      </c>
      <c r="AN9" s="609"/>
      <c r="BB9" s="600">
        <f>IF(N(買抽出v13!$C9)=0,"",N(買抽出v13!$Q9)+N(買抽出v13!$L9)/1000-ROW()/1000000)</f>
        <v>14.001590999999999</v>
      </c>
      <c r="BC9" s="600" t="str">
        <f>IF(N(売抽出v13!$C9)=0,"",N(売抽出v13!$Q9)+IFERROR(VALUE(SUBSTITUTE(売抽出v13!$L9,"倍","")),0)/1000-ROW()/1000000)</f>
        <v/>
      </c>
    </row>
    <row r="10" spans="1:57" ht="35.4" customHeight="1" thickBot="1">
      <c r="A10" s="619" t="str">
        <f t="shared" si="0"/>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BT$3,0)=1,1,MATCH($E10,始値!$E$3:$BT$3,0)+1)),_xlpm.v,INDEX(始値!$C$6:$B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 t="shared" ref="K10:K73" ca="1" si="17">IF(OR(F10="",G10="",H10=""),"",IF(C10="売",(F10-H10)*G10,(H10-F10)*G10))</f>
        <v>6000</v>
      </c>
      <c r="L10" s="705">
        <f t="shared" ref="L10:L73" ca="1" si="18">IF(OR(F10="",H10=""),"",IF(C10="売",(F10-H10)/F10,(H10-F10)/F10))</f>
        <v>1.5641293013555789E-2</v>
      </c>
      <c r="M10" s="485">
        <f>IF($F10="","",IF($C10="売",CEILING($F10*IF($C10="売",1-$AG$3,1+$AG$3),IF($F10*IF($C10="売",1-$AG$3,1+$AG$3)&lt;=3000,1,IF($F10*IF($C10="売",1-$AG$3,1+$AG$3)&lt;=5000,5,IF($F10*IF($C10="売",1-$AG$3,1+$AG$3)&lt;=30000,10,IF($F10*IF($C10="売",1-$AG$3,1+$AG$3)&lt;=50000,50,IF($F10*IF($C10="売",1-$AG$3,1+$AG$3)&lt;=300000,100,500)))))),FLOOR($F10*IF($C10="売",1-$AG$3,1+$AG$3),IF($F10*IF($C10="売",1-$AG$3,1+$AG$3)&lt;=3000,1,IF($F10*IF($C10="売",1-$AG$3,1+$AG$3)&lt;=5000,5,IF($F10*IF($C10="売",1-$AG$3,1+$AG$3)&lt;=30000,10,IF($F10*IF($C10="売",1-$AG$3,1+$AG$3)&lt;=50000,50,IF($F10*IF($C10="売",1-$AG$3,1+$AG$3)&lt;=300000,100,500))))))))</f>
      </c>
      <c r="N10" s="485">
        <f>IF($F10="","",IF($C10="売",CEILING($F10*IF($C10="売",1+$AG$2,1-$AG$2),IF($F10*IF($C10="売",1+$AG$2,1-$AG$2)&lt;=3000,1,IF($F10*IF($C10="売",1+$AG$2,1-$AG$2)&lt;=5000,5,IF($F10*IF($C10="売",1+$AG$2,1-$AG$2)&lt;=30000,10,IF($F10*IF($C10="売",1+$AG$2,1-$AG$2)&lt;=50000,50,IF($F10*IF($C10="売",1+$AG$2,1-$AG$2)&lt;=300000,100,500)))))),FLOOR($F10*IF($C10="売",1+$AG$2,1-$AG$2),IF($F10*IF($C10="売",1+$AG$2,1-$AG$2)&lt;=3000,1,IF($F10*IF($C10="売",1+$AG$2,1-$AG$2)&lt;=5000,5,IF($F10*IF($C10="売",1+$AG$2,1-$AG$2)&lt;=30000,10,IF($F10*IF($C10="売",1+$AG$2,1-$AG$2)&lt;=50000,50,IF($F10*IF($C10="売",1+$AG$2,1-$AG$2)&lt;=300000,100,500))))))))</f>
      </c>
      <c r="O10" s="486">
        <f>IF(OR($B10="",$F10="",$H10=""),"",IF($S10="✅売却済","―決済済―",IF($C10="売",  IF($H10&lt;=$M10,"🟢利確",  IF(AND($R10&lt;&gt;"",$H10&gt;=$R10),"🟠TRAIL決済",  IF($H10&gt;=$N10,"🔴損切",  IF($W10&gt;=$AG$5,"⏱時間決済",  IF($H10&gt;=$F10*(1+$AG$2*0.7),"⚠️損切接近","保持継続"))))),  IF($H10&gt;=$M10,"🟢利確",  IF(AND($R10&lt;&gt;"",$H10&lt;=$R10),"🟠TRAIL決済",  IF($H10&lt;=$N10,"🔴損切",  IF($W10&gt;=$AG$5,"⏱時間決済",  IF($H10&lt;=$F10*(1-$AG$2*0.7),"⚠️損切接近","保持継続")))))))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  IF($H10&gt;$F10*(1-$AG$2),$N10,CEILING(MIN($N10,IF($Q10="",$N10,$Q10*1.03)),IF($N10&lt;=3000,1,IF($N10&lt;=5000,5,IF($N10&lt;=30000,10,IF($N10&lt;=50000,50,IF($N10&lt;=300000,100,500))))))),  IF($H10&lt;$F10*(1+$AG$2),$N10,FLOOR(MAX($N10,IF($P10="",$N10,$P10*0.97)),IF($N10&lt;=3000,1,IF($N10&lt;=5000,5,IF($N10&lt;=30000,10,IF($N10&lt;=50000,50,IF($N10&lt;=300000,100,500))))))))))</f>
      </c>
      <c r="S10" s="585" t="str">
        <f t="shared" ref="S10:S73" ca="1" si="20">IF(B10="","",IF(T10&lt;&gt;"","✅売却済",IF(OR(H10="",L10=""),"📌保有中",IF(L10&gt;=0.06,"🟢利確推奨",IF(L10&gt;=0.05,"🟡利確直近",IF(L10&gt;=0.045,"🔵トレーリング検討",IF(L10&gt;-0.03,"📌保有中",IF(L10&gt;-0.04,"⚠️損切注意","🔴損切り"))))))))</f>
        <v>📌保有中</v>
      </c>
      <c r="T10" s="593" t="str">
        <f t="shared" ca="1" si="9"/>
        <v/>
      </c>
      <c r="U10" s="485" t="str">
        <f t="shared" ca="1" si="10"/>
        <v/>
      </c>
      <c r="V10" s="700" t="str">
        <f t="shared" ref="V10:V73" ca="1" si="21">IF(OR(F10="",G10="",U10=""),"",IF(C10="売",(F10-U10)*G10,(U10-F10)*G10))</f>
        <v/>
      </c>
      <c r="W10" s="487">
        <f t="shared" ca="1" si="11"/>
        <v>10</v>
      </c>
      <c r="X10" s="484" t="str">
        <f t="shared" ca="1" si="12"/>
        <v/>
      </c>
      <c r="Y10" s="488">
        <f>IF($B10="","",IF(COUNTIFS($B$4:$B10,$B10,$C$4:$C10,$C10)&gt;1,"⛔重複"&amp;COUNTIFS($B$4:$B10,$B10,$C$4:$C10,$C10)&amp;"回目",""))</f>
      </c>
      <c r="Z10" s="710">
        <v>13</v>
      </c>
      <c r="AA10" s="600" t="s">
        <v>1327</v>
      </c>
      <c r="AB10">
        <f>IF($F10="","",MAX(100,ROUNDDOWN($AG$4/($F10*$AG$2)/100,0)*100))</f>
      </c>
      <c r="AC10">
        <f>IF(OR($F10="",$G10="",$U10=""),"",ROUND($V10-($F10+$U10)*$G10*$AG$6-IF($C10="売",$F10*$G10*$AG$7*$W10/365,0),0))</f>
      </c>
      <c r="AD10" s="608" t="s">
        <v>1322</v>
      </c>
      <c r="AE10" s="624">
        <f t="shared" si="13"/>
        <v>46247</v>
      </c>
      <c r="AF10" s="626"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26"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00" t="str">
        <f t="shared" ca="1" si="14"/>
        <v>保有中</v>
      </c>
      <c r="AI10" s="600" t="str" cm="1">
        <f t="array" ref="AI10">IFERROR(INDEX(始値!$E$6:$BT$305,MATCH(TEXT($B10,"0"),TEXT(銘柄管理!$B$6:$B$305,"0"),0),MATCH($AE10,始値!$E$3:$BT$3,0)),"")</f>
        <v/>
      </c>
      <c r="AJ10" s="905" t="str">
        <f t="shared" ca="1" si="15"/>
        <v/>
      </c>
      <c r="AK10" s="629" t="str">
        <f t="shared" ca="1" si="16"/>
        <v/>
      </c>
      <c r="AL10" s="488" t="s">
        <v>1343</v>
      </c>
      <c r="AM10" s="610">
        <f>MAX(始値!$E$3:$BT$3)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7" ht="35.4" customHeight="1" thickTop="1">
      <c r="A11" s="619" t="str">
        <f t="shared" si="0"/>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BT$3,0)=1,1,MATCH($E11,始値!$E$3:$BT$3,0)+1)),_xlpm.v,INDEX(始値!$C$6:$B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 t="shared" ca="1" si="17"/>
        <v>2400</v>
      </c>
      <c r="L11" s="705">
        <f t="shared" ca="1" si="18"/>
        <v>9.3385214007782099E-3</v>
      </c>
      <c r="M11" s="485">
        <f>IF($F11="","",IF($C11="売",CEILING($F11*IF($C11="売",1-$AG$3,1+$AG$3),IF($F11*IF($C11="売",1-$AG$3,1+$AG$3)&lt;=3000,1,IF($F11*IF($C11="売",1-$AG$3,1+$AG$3)&lt;=5000,5,IF($F11*IF($C11="売",1-$AG$3,1+$AG$3)&lt;=30000,10,IF($F11*IF($C11="売",1-$AG$3,1+$AG$3)&lt;=50000,50,IF($F11*IF($C11="売",1-$AG$3,1+$AG$3)&lt;=300000,100,500)))))),FLOOR($F11*IF($C11="売",1-$AG$3,1+$AG$3),IF($F11*IF($C11="売",1-$AG$3,1+$AG$3)&lt;=3000,1,IF($F11*IF($C11="売",1-$AG$3,1+$AG$3)&lt;=5000,5,IF($F11*IF($C11="売",1-$AG$3,1+$AG$3)&lt;=30000,10,IF($F11*IF($C11="売",1-$AG$3,1+$AG$3)&lt;=50000,50,IF($F11*IF($C11="売",1-$AG$3,1+$AG$3)&lt;=300000,100,500))))))))</f>
      </c>
      <c r="N11" s="485">
        <f>IF($F11="","",IF($C11="売",CEILING($F11*IF($C11="売",1+$AG$2,1-$AG$2),IF($F11*IF($C11="売",1+$AG$2,1-$AG$2)&lt;=3000,1,IF($F11*IF($C11="売",1+$AG$2,1-$AG$2)&lt;=5000,5,IF($F11*IF($C11="売",1+$AG$2,1-$AG$2)&lt;=30000,10,IF($F11*IF($C11="売",1+$AG$2,1-$AG$2)&lt;=50000,50,IF($F11*IF($C11="売",1+$AG$2,1-$AG$2)&lt;=300000,100,500)))))),FLOOR($F11*IF($C11="売",1+$AG$2,1-$AG$2),IF($F11*IF($C11="売",1+$AG$2,1-$AG$2)&lt;=3000,1,IF($F11*IF($C11="売",1+$AG$2,1-$AG$2)&lt;=5000,5,IF($F11*IF($C11="売",1+$AG$2,1-$AG$2)&lt;=30000,10,IF($F11*IF($C11="売",1+$AG$2,1-$AG$2)&lt;=50000,50,IF($F11*IF($C11="売",1+$AG$2,1-$AG$2)&lt;=300000,100,500))))))))</f>
      </c>
      <c r="O11" s="486">
        <f>IF(OR($B11="",$F11="",$H11=""),"",IF($S11="✅売却済","―決済済―",IF($C11="売",  IF($H11&lt;=$M11,"🟢利確",  IF(AND($R11&lt;&gt;"",$H11&gt;=$R11),"🟠TRAIL決済",  IF($H11&gt;=$N11,"🔴損切",  IF($W11&gt;=$AG$5,"⏱時間決済",  IF($H11&gt;=$F11*(1+$AG$2*0.7),"⚠️損切接近","保持継続"))))),  IF($H11&gt;=$M11,"🟢利確",  IF(AND($R11&lt;&gt;"",$H11&lt;=$R11),"🟠TRAIL決済",  IF($H11&lt;=$N11,"🔴損切",  IF($W11&gt;=$AG$5,"⏱時間決済",  IF($H11&lt;=$F11*(1-$AG$2*0.7),"⚠️損切接近","保持継続")))))))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  IF($H11&gt;$F11*(1-$AG$2),$N11,CEILING(MIN($N11,IF($Q11="",$N11,$Q11*1.03)),IF($N11&lt;=3000,1,IF($N11&lt;=5000,5,IF($N11&lt;=30000,10,IF($N11&lt;=50000,50,IF($N11&lt;=300000,100,500))))))),  IF($H11&lt;$F11*(1+$AG$2),$N11,FLOOR(MAX($N11,IF($P11="",$N11,$P11*0.97)),IF($N11&lt;=3000,1,IF($N11&lt;=5000,5,IF($N11&lt;=30000,10,IF($N11&lt;=50000,50,IF($N11&lt;=300000,100,500))))))))))</f>
      </c>
      <c r="S11" s="585" t="str">
        <f t="shared" ca="1" si="20"/>
        <v>✅売却済</v>
      </c>
      <c r="T11" s="593">
        <f t="shared" ca="1" si="9"/>
        <v>46232</v>
      </c>
      <c r="U11" s="485">
        <f t="shared" ca="1" si="10"/>
        <v>2467</v>
      </c>
      <c r="V11" s="700">
        <f t="shared" ca="1" si="21"/>
        <v>-10300</v>
      </c>
      <c r="W11" s="487">
        <f t="shared" ca="1" si="11"/>
        <v>2</v>
      </c>
      <c r="X11" s="484" t="str">
        <f t="shared" ca="1" si="12"/>
        <v>損切確定</v>
      </c>
      <c r="Y11" s="488">
        <f>IF($B11="","",IF(COUNTIFS($B$4:$B11,$B11,$C$4:$C11,$C11)&gt;1,"⛔重複"&amp;COUNTIFS($B$4:$B11,$B11,$C$4:$C11,$C11)&amp;"回目",""))</f>
      </c>
      <c r="Z11" s="710">
        <v>13</v>
      </c>
      <c r="AA11" s="600" t="s">
        <v>1328</v>
      </c>
      <c r="AB11">
        <f>IF($F11="","",MAX(100,ROUNDDOWN($AG$4/($F11*$AG$2)/100,0)*100))</f>
      </c>
      <c r="AC11">
        <f>IF(OR($F11="",$G11="",$U11=""),"",ROUND($V11-($F11+$U11)*$G11*$AG$6-IF($C11="売",$F11*$G11*$AG$7*$W11/365,0),0))</f>
      </c>
      <c r="AD11" s="608" t="s">
        <v>1322</v>
      </c>
      <c r="AE11" s="624">
        <f t="shared" si="13"/>
        <v>46247</v>
      </c>
      <c r="AF11" s="626"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26"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00" t="str">
        <f t="shared" ca="1" si="14"/>
        <v>損切確定</v>
      </c>
      <c r="AI11" s="600" t="str" cm="1">
        <f t="array" ref="AI11">IFERROR(INDEX(始値!$E$6:$BT$305,MATCH(TEXT($B11,"0"),TEXT(銘柄管理!$B$6:$B$305,"0"),0),MATCH($AE11,始値!$E$3:$BT$3,0)),"")</f>
        <v/>
      </c>
      <c r="AJ11" s="905">
        <f t="shared" ca="1" si="15"/>
        <v>-4.0077821011673155E-2</v>
      </c>
      <c r="AK11" s="629" t="str">
        <f t="shared" ca="1" si="16"/>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7" ht="35.4" customHeight="1">
      <c r="A12" s="619" t="str">
        <f t="shared" si="0"/>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BT$3,0)=1,1,MATCH($E12,始値!$E$3:$BT$3,0)+1)),_xlpm.v,INDEX(始値!$C$6:$B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 t="shared" ca="1" si="17"/>
        <v>-86000</v>
      </c>
      <c r="L12" s="705">
        <f t="shared" ca="1" si="18"/>
        <v>-0.10201660735468565</v>
      </c>
      <c r="M12" s="485">
        <f>IF($F12="","",IF($C12="売",CEILING($F12*IF($C12="売",1-$AG$3,1+$AG$3),IF($F12*IF($C12="売",1-$AG$3,1+$AG$3)&lt;=3000,1,IF($F12*IF($C12="売",1-$AG$3,1+$AG$3)&lt;=5000,5,IF($F12*IF($C12="売",1-$AG$3,1+$AG$3)&lt;=30000,10,IF($F12*IF($C12="売",1-$AG$3,1+$AG$3)&lt;=50000,50,IF($F12*IF($C12="売",1-$AG$3,1+$AG$3)&lt;=300000,100,500)))))),FLOOR($F12*IF($C12="売",1-$AG$3,1+$AG$3),IF($F12*IF($C12="売",1-$AG$3,1+$AG$3)&lt;=3000,1,IF($F12*IF($C12="売",1-$AG$3,1+$AG$3)&lt;=5000,5,IF($F12*IF($C12="売",1-$AG$3,1+$AG$3)&lt;=30000,10,IF($F12*IF($C12="売",1-$AG$3,1+$AG$3)&lt;=50000,50,IF($F12*IF($C12="売",1-$AG$3,1+$AG$3)&lt;=300000,100,500))))))))</f>
      </c>
      <c r="N12" s="485">
        <f>IF($F12="","",IF($C12="売",CEILING($F12*IF($C12="売",1+$AG$2,1-$AG$2),IF($F12*IF($C12="売",1+$AG$2,1-$AG$2)&lt;=3000,1,IF($F12*IF($C12="売",1+$AG$2,1-$AG$2)&lt;=5000,5,IF($F12*IF($C12="売",1+$AG$2,1-$AG$2)&lt;=30000,10,IF($F12*IF($C12="売",1+$AG$2,1-$AG$2)&lt;=50000,50,IF($F12*IF($C12="売",1+$AG$2,1-$AG$2)&lt;=300000,100,500)))))),FLOOR($F12*IF($C12="売",1+$AG$2,1-$AG$2),IF($F12*IF($C12="売",1+$AG$2,1-$AG$2)&lt;=3000,1,IF($F12*IF($C12="売",1+$AG$2,1-$AG$2)&lt;=5000,5,IF($F12*IF($C12="売",1+$AG$2,1-$AG$2)&lt;=30000,10,IF($F12*IF($C12="売",1+$AG$2,1-$AG$2)&lt;=50000,50,IF($F12*IF($C12="売",1+$AG$2,1-$AG$2)&lt;=300000,100,500))))))))</f>
      </c>
      <c r="O12" s="486">
        <f>IF(OR($B12="",$F12="",$H12=""),"",IF($S12="✅売却済","―決済済―",IF($C12="売",  IF($H12&lt;=$M12,"🟢利確",  IF(AND($R12&lt;&gt;"",$H12&gt;=$R12),"🟠TRAIL決済",  IF($H12&gt;=$N12,"🔴損切",  IF($W12&gt;=$AG$5,"⏱時間決済",  IF($H12&gt;=$F12*(1+$AG$2*0.7),"⚠️損切接近","保持継続"))))),  IF($H12&gt;=$M12,"🟢利確",  IF(AND($R12&lt;&gt;"",$H12&lt;=$R12),"🟠TRAIL決済",  IF($H12&lt;=$N12,"🔴損切",  IF($W12&gt;=$AG$5,"⏱時間決済",  IF($H12&lt;=$F12*(1-$AG$2*0.7),"⚠️損切接近","保持継続")))))))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  IF($H12&gt;$F12*(1-$AG$2),$N12,CEILING(MIN($N12,IF($Q12="",$N12,$Q12*1.03)),IF($N12&lt;=3000,1,IF($N12&lt;=5000,5,IF($N12&lt;=30000,10,IF($N12&lt;=50000,50,IF($N12&lt;=300000,100,500))))))),  IF($H12&lt;$F12*(1+$AG$2),$N12,FLOOR(MAX($N12,IF($P12="",$N12,$P12*0.97)),IF($N12&lt;=3000,1,IF($N12&lt;=5000,5,IF($N12&lt;=30000,10,IF($N12&lt;=50000,50,IF($N12&lt;=300000,100,500))))))))))</f>
      </c>
      <c r="S12" s="585" t="str">
        <f t="shared" ca="1" si="20"/>
        <v>✅売却済</v>
      </c>
      <c r="T12" s="593">
        <f t="shared" ca="1" si="9"/>
        <v>46232</v>
      </c>
      <c r="U12" s="485">
        <f t="shared" ca="1" si="10"/>
        <v>7924</v>
      </c>
      <c r="V12" s="700">
        <f t="shared" ca="1" si="21"/>
        <v>50600</v>
      </c>
      <c r="W12" s="487">
        <f t="shared" ca="1" si="11"/>
        <v>2</v>
      </c>
      <c r="X12" s="484" t="str">
        <f t="shared" ca="1" si="12"/>
        <v>利益確定</v>
      </c>
      <c r="Y12" s="488">
        <f>IF($B12="","",IF(COUNTIFS($B$4:$B12,$B12,$C$4:$C12,$C12)&gt;1,"⛔重複"&amp;COUNTIFS($B$4:$B12,$B12,$C$4:$C12,$C12)&amp;"回目",""))</f>
      </c>
      <c r="Z12" s="710">
        <v>16</v>
      </c>
      <c r="AA12" s="600" t="s">
        <v>1329</v>
      </c>
      <c r="AB12">
        <f>IF($F12="","",MAX(100,ROUNDDOWN($AG$4/($F12*$AG$2)/100,0)*100))</f>
      </c>
      <c r="AC12">
        <f>IF(OR($F12="",$G12="",$U12=""),"",ROUND($V12-($F12+$U12)*$G12*$AG$6-IF($C12="売",$F12*$G12*$AG$7*$W12/365,0),0))</f>
      </c>
      <c r="AD12" s="608" t="s">
        <v>1323</v>
      </c>
      <c r="AE12" s="625">
        <f t="shared" si="13"/>
        <v>46247</v>
      </c>
      <c r="AF12" s="627"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27"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46234</v>
      </c>
      <c r="AH12" s="601" t="str">
        <f t="shared" ca="1" si="14"/>
        <v>利益確定</v>
      </c>
      <c r="AI12" s="601" t="str" cm="1">
        <f t="array" ref="AI12">IFERROR(INDEX(始値!$E$6:$BT$305,MATCH(TEXT($B12,"0"),TEXT(銘柄管理!$B$6:$B$305,"0"),0),MATCH($AE12,始値!$E$3:$BT$3,0)),"")</f>
        <v/>
      </c>
      <c r="AJ12" s="905">
        <f t="shared" ca="1" si="15"/>
        <v>6.0023724792408063E-2</v>
      </c>
      <c r="AK12" s="629" t="str">
        <f t="shared" ca="1" si="16"/>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7" ht="35.4" customHeight="1">
      <c r="A13" s="619" t="str">
        <f t="shared" si="0"/>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BT$3,0)=1,1,MATCH($E13,始値!$E$3:$BT$3,0)+1)),_xlpm.v,INDEX(始値!$C$6:$B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 t="shared" ca="1" si="17"/>
        <v>-61200</v>
      </c>
      <c r="L13" s="705">
        <f t="shared" ca="1" si="18"/>
        <v>-0.12040133779264214</v>
      </c>
      <c r="M13" s="485">
        <f>IF($F13="","",IF($C13="売",CEILING($F13*IF($C13="売",1-$AG$3,1+$AG$3),IF($F13*IF($C13="売",1-$AG$3,1+$AG$3)&lt;=3000,1,IF($F13*IF($C13="売",1-$AG$3,1+$AG$3)&lt;=5000,5,IF($F13*IF($C13="売",1-$AG$3,1+$AG$3)&lt;=30000,10,IF($F13*IF($C13="売",1-$AG$3,1+$AG$3)&lt;=50000,50,IF($F13*IF($C13="売",1-$AG$3,1+$AG$3)&lt;=300000,100,500)))))),FLOOR($F13*IF($C13="売",1-$AG$3,1+$AG$3),IF($F13*IF($C13="売",1-$AG$3,1+$AG$3)&lt;=3000,1,IF($F13*IF($C13="売",1-$AG$3,1+$AG$3)&lt;=5000,5,IF($F13*IF($C13="売",1-$AG$3,1+$AG$3)&lt;=30000,10,IF($F13*IF($C13="売",1-$AG$3,1+$AG$3)&lt;=50000,50,IF($F13*IF($C13="売",1-$AG$3,1+$AG$3)&lt;=300000,100,500))))))))</f>
      </c>
      <c r="N13" s="485">
        <f>IF($F13="","",IF($C13="売",CEILING($F13*IF($C13="売",1+$AG$2,1-$AG$2),IF($F13*IF($C13="売",1+$AG$2,1-$AG$2)&lt;=3000,1,IF($F13*IF($C13="売",1+$AG$2,1-$AG$2)&lt;=5000,5,IF($F13*IF($C13="売",1+$AG$2,1-$AG$2)&lt;=30000,10,IF($F13*IF($C13="売",1+$AG$2,1-$AG$2)&lt;=50000,50,IF($F13*IF($C13="売",1+$AG$2,1-$AG$2)&lt;=300000,100,500)))))),FLOOR($F13*IF($C13="売",1+$AG$2,1-$AG$2),IF($F13*IF($C13="売",1+$AG$2,1-$AG$2)&lt;=3000,1,IF($F13*IF($C13="売",1+$AG$2,1-$AG$2)&lt;=5000,5,IF($F13*IF($C13="売",1+$AG$2,1-$AG$2)&lt;=30000,10,IF($F13*IF($C13="売",1+$AG$2,1-$AG$2)&lt;=50000,50,IF($F13*IF($C13="売",1+$AG$2,1-$AG$2)&lt;=300000,100,500))))))))</f>
      </c>
      <c r="O13" s="486">
        <f>IF(OR($B13="",$F13="",$H13=""),"",IF($S13="✅売却済","―決済済―",IF($C13="売",  IF($H13&lt;=$M13,"🟢利確",  IF(AND($R13&lt;&gt;"",$H13&gt;=$R13),"🟠TRAIL決済",  IF($H13&gt;=$N13,"🔴損切",  IF($W13&gt;=$AG$5,"⏱時間決済",  IF($H13&gt;=$F13*(1+$AG$2*0.7),"⚠️損切接近","保持継続"))))),  IF($H13&gt;=$M13,"🟢利確",  IF(AND($R13&lt;&gt;"",$H13&lt;=$R13),"🟠TRAIL決済",  IF($H13&lt;=$N13,"🔴損切",  IF($W13&gt;=$AG$5,"⏱時間決済",  IF($H13&lt;=$F13*(1-$AG$2*0.7),"⚠️損切接近","保持継続")))))))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  IF($H13&gt;$F13*(1-$AG$2),$N13,CEILING(MIN($N13,IF($Q13="",$N13,$Q13*1.03)),IF($N13&lt;=3000,1,IF($N13&lt;=5000,5,IF($N13&lt;=30000,10,IF($N13&lt;=50000,50,IF($N13&lt;=300000,100,500))))))),  IF($H13&lt;$F13*(1+$AG$2),$N13,FLOOR(MAX($N13,IF($P13="",$N13,$P13*0.97)),IF($N13&lt;=3000,1,IF($N13&lt;=5000,5,IF($N13&lt;=30000,10,IF($N13&lt;=50000,50,IF($N13&lt;=300000,100,500))))))))))</f>
      </c>
      <c r="S13" s="585" t="str">
        <f t="shared" ca="1" si="20"/>
        <v>✅売却済</v>
      </c>
      <c r="T13" s="593">
        <f t="shared" ca="1" si="9"/>
        <v>46232</v>
      </c>
      <c r="U13" s="485">
        <f t="shared" ca="1" si="10"/>
        <v>4778</v>
      </c>
      <c r="V13" s="700">
        <f t="shared" ca="1" si="21"/>
        <v>30500</v>
      </c>
      <c r="W13" s="487">
        <f t="shared" ca="1" si="11"/>
        <v>2</v>
      </c>
      <c r="X13" s="484" t="str">
        <f t="shared" ca="1" si="12"/>
        <v>利益確定</v>
      </c>
      <c r="Y13" s="488">
        <f>IF($B13="","",IF(COUNTIFS($B$4:$B13,$B13,$C$4:$C13,$C13)&gt;1,"⛔重複"&amp;COUNTIFS($B$4:$B13,$B13,$C$4:$C13,$C13)&amp;"回目",""))</f>
      </c>
      <c r="Z13" s="710">
        <v>16</v>
      </c>
      <c r="AA13" s="600" t="s">
        <v>1330</v>
      </c>
      <c r="AB13">
        <f>IF($F13="","",MAX(100,ROUNDDOWN($AG$4/($F13*$AG$2)/100,0)*100))</f>
      </c>
      <c r="AC13">
        <f>IF(OR($F13="",$G13="",$U13=""),"",ROUND($V13-($F13+$U13)*$G13*$AG$6-IF($C13="売",$F13*$G13*$AG$7*$W13/365,0),0))</f>
      </c>
      <c r="AD13" s="608" t="s">
        <v>1323</v>
      </c>
      <c r="AE13" s="625">
        <f t="shared" si="13"/>
        <v>46247</v>
      </c>
      <c r="AF13" s="627"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27"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46234</v>
      </c>
      <c r="AH13" s="601" t="str">
        <f t="shared" ca="1" si="14"/>
        <v>利益確定</v>
      </c>
      <c r="AI13" s="601" t="str" cm="1">
        <f t="array" ref="AI13">IFERROR(INDEX(始値!$E$6:$BT$305,MATCH(TEXT($B13,"0"),TEXT(銘柄管理!$B$6:$B$305,"0"),0),MATCH($AE13,始値!$E$3:$BT$3,0)),"")</f>
        <v/>
      </c>
      <c r="AJ13" s="905">
        <f t="shared" ca="1" si="15"/>
        <v>6.0003934684241589E-2</v>
      </c>
      <c r="AK13" s="629" t="str">
        <f t="shared" ca="1" si="16"/>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7" ht="35.4" customHeight="1" thickBot="1">
      <c r="A14" s="619" t="str">
        <f t="shared" si="0"/>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BT$3,0)=1,1,MATCH($E14,始値!$E$3:$BT$3,0)+1)),_xlpm.v,INDEX(始値!$C$6:$B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 t="shared" ca="1" si="17"/>
        <v>-25500</v>
      </c>
      <c r="L14" s="705">
        <f t="shared" ca="1" si="18"/>
        <v>-7.7039274924471296E-2</v>
      </c>
      <c r="M14" s="485">
        <f>IF($F14="","",IF($C14="売",CEILING($F14*IF($C14="売",1-$AG$3,1+$AG$3),IF($F14*IF($C14="売",1-$AG$3,1+$AG$3)&lt;=3000,1,IF($F14*IF($C14="売",1-$AG$3,1+$AG$3)&lt;=5000,5,IF($F14*IF($C14="売",1-$AG$3,1+$AG$3)&lt;=30000,10,IF($F14*IF($C14="売",1-$AG$3,1+$AG$3)&lt;=50000,50,IF($F14*IF($C14="売",1-$AG$3,1+$AG$3)&lt;=300000,100,500)))))),FLOOR($F14*IF($C14="売",1-$AG$3,1+$AG$3),IF($F14*IF($C14="売",1-$AG$3,1+$AG$3)&lt;=3000,1,IF($F14*IF($C14="売",1-$AG$3,1+$AG$3)&lt;=5000,5,IF($F14*IF($C14="売",1-$AG$3,1+$AG$3)&lt;=30000,10,IF($F14*IF($C14="売",1-$AG$3,1+$AG$3)&lt;=50000,50,IF($F14*IF($C14="売",1-$AG$3,1+$AG$3)&lt;=300000,100,500))))))))</f>
      </c>
      <c r="N14" s="485">
        <f>IF($F14="","",IF($C14="売",CEILING($F14*IF($C14="売",1+$AG$2,1-$AG$2),IF($F14*IF($C14="売",1+$AG$2,1-$AG$2)&lt;=3000,1,IF($F14*IF($C14="売",1+$AG$2,1-$AG$2)&lt;=5000,5,IF($F14*IF($C14="売",1+$AG$2,1-$AG$2)&lt;=30000,10,IF($F14*IF($C14="売",1+$AG$2,1-$AG$2)&lt;=50000,50,IF($F14*IF($C14="売",1+$AG$2,1-$AG$2)&lt;=300000,100,500)))))),FLOOR($F14*IF($C14="売",1+$AG$2,1-$AG$2),IF($F14*IF($C14="売",1+$AG$2,1-$AG$2)&lt;=3000,1,IF($F14*IF($C14="売",1+$AG$2,1-$AG$2)&lt;=5000,5,IF($F14*IF($C14="売",1+$AG$2,1-$AG$2)&lt;=30000,10,IF($F14*IF($C14="売",1+$AG$2,1-$AG$2)&lt;=50000,50,IF($F14*IF($C14="売",1+$AG$2,1-$AG$2)&lt;=300000,100,500))))))))</f>
      </c>
      <c r="O14" s="486">
        <f>IF(OR($B14="",$F14="",$H14=""),"",IF($S14="✅売却済","―決済済―",IF($C14="売",  IF($H14&lt;=$M14,"🟢利確",  IF(AND($R14&lt;&gt;"",$H14&gt;=$R14),"🟠TRAIL決済",  IF($H14&gt;=$N14,"🔴損切",  IF($W14&gt;=$AG$5,"⏱時間決済",  IF($H14&gt;=$F14*(1+$AG$2*0.7),"⚠️損切接近","保持継続"))))),  IF($H14&gt;=$M14,"🟢利確",  IF(AND($R14&lt;&gt;"",$H14&lt;=$R14),"🟠TRAIL決済",  IF($H14&lt;=$N14,"🔴損切",  IF($W14&gt;=$AG$5,"⏱時間決済",  IF($H14&lt;=$F14*(1-$AG$2*0.7),"⚠️損切接近","保持継続")))))))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  IF($H14&gt;$F14*(1-$AG$2),$N14,CEILING(MIN($N14,IF($Q14="",$N14,$Q14*1.03)),IF($N14&lt;=3000,1,IF($N14&lt;=5000,5,IF($N14&lt;=30000,10,IF($N14&lt;=50000,50,IF($N14&lt;=300000,100,500))))))),  IF($H14&lt;$F14*(1+$AG$2),$N14,FLOOR(MAX($N14,IF($P14="",$N14,$P14*0.97)),IF($N14&lt;=3000,1,IF($N14&lt;=5000,5,IF($N14&lt;=30000,10,IF($N14&lt;=50000,50,IF($N14&lt;=300000,100,500))))))))))</f>
      </c>
      <c r="S14" s="585" t="str">
        <f t="shared" ca="1" si="20"/>
        <v>✅売却済</v>
      </c>
      <c r="T14" s="593">
        <f t="shared" ca="1" si="9"/>
        <v>46233</v>
      </c>
      <c r="U14" s="485">
        <f t="shared" ca="1" si="10"/>
        <v>3178</v>
      </c>
      <c r="V14" s="700">
        <f t="shared" ca="1" si="21"/>
        <v>-13200</v>
      </c>
      <c r="W14" s="487">
        <f t="shared" ca="1" si="11"/>
        <v>3</v>
      </c>
      <c r="X14" s="484" t="str">
        <f t="shared" ca="1" si="12"/>
        <v>損切確定</v>
      </c>
      <c r="Y14" s="488">
        <f>IF($B14="","",IF(COUNTIFS($B$4:$B14,$B14,$C$4:$C14,$C14)&gt;1,"⛔重複"&amp;COUNTIFS($B$4:$B14,$B14,$C$4:$C14,$C14)&amp;"回目",""))</f>
      </c>
      <c r="Z14" s="710">
        <v>21</v>
      </c>
      <c r="AA14" s="600" t="s">
        <v>1331</v>
      </c>
      <c r="AB14">
        <f>IF($F14="","",MAX(100,ROUNDDOWN($AG$4/($F14*$AG$2)/100,0)*100))</f>
      </c>
      <c r="AC14">
        <f>IF(OR($F14="",$G14="",$U14=""),"",ROUND($V14-($F14+$U14)*$G14*$AG$6-IF($C14="売",$F14*$G14*$AG$7*$W14/365,0),0))</f>
      </c>
      <c r="AD14" s="608" t="s">
        <v>1324</v>
      </c>
      <c r="AE14" s="625">
        <f t="shared" si="13"/>
        <v>46247</v>
      </c>
      <c r="AF14" s="627"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27"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01" t="str">
        <f t="shared" ca="1" si="14"/>
        <v>損切確定</v>
      </c>
      <c r="AI14" s="601" t="str" cm="1">
        <f t="array" ref="AI14">IFERROR(INDEX(始値!$E$6:$BT$305,MATCH(TEXT($B14,"0"),TEXT(銘柄管理!$B$6:$B$305,"0"),0),MATCH($AE14,始値!$E$3:$BT$3,0)),"")</f>
        <v/>
      </c>
      <c r="AJ14" s="905">
        <f t="shared" ca="1" si="15"/>
        <v>-3.9879154078549847E-2</v>
      </c>
      <c r="AK14" s="629" t="str">
        <f t="shared" ca="1" si="16"/>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7" ht="35.4" customHeight="1" thickTop="1">
      <c r="A15" s="619" t="str">
        <f t="shared" si="0"/>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BT$3,0)=1,1,MATCH($E15,始値!$E$3:$BT$3,0)+1)),_xlpm.v,INDEX(始値!$C$6:$B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 t="shared" ca="1" si="17"/>
        <v>-20800</v>
      </c>
      <c r="L15" s="705">
        <f t="shared" ca="1" si="18"/>
        <v>-5.2379753210778139E-2</v>
      </c>
      <c r="M15" s="485">
        <f>IF($F15="","",IF($C15="売",CEILING($F15*IF($C15="売",1-$AG$3,1+$AG$3),IF($F15*IF($C15="売",1-$AG$3,1+$AG$3)&lt;=3000,1,IF($F15*IF($C15="売",1-$AG$3,1+$AG$3)&lt;=5000,5,IF($F15*IF($C15="売",1-$AG$3,1+$AG$3)&lt;=30000,10,IF($F15*IF($C15="売",1-$AG$3,1+$AG$3)&lt;=50000,50,IF($F15*IF($C15="売",1-$AG$3,1+$AG$3)&lt;=300000,100,500)))))),FLOOR($F15*IF($C15="売",1-$AG$3,1+$AG$3),IF($F15*IF($C15="売",1-$AG$3,1+$AG$3)&lt;=3000,1,IF($F15*IF($C15="売",1-$AG$3,1+$AG$3)&lt;=5000,5,IF($F15*IF($C15="売",1-$AG$3,1+$AG$3)&lt;=30000,10,IF($F15*IF($C15="売",1-$AG$3,1+$AG$3)&lt;=50000,50,IF($F15*IF($C15="売",1-$AG$3,1+$AG$3)&lt;=300000,100,500))))))))</f>
      </c>
      <c r="N15" s="485">
        <f>IF($F15="","",IF($C15="売",CEILING($F15*IF($C15="売",1+$AG$2,1-$AG$2),IF($F15*IF($C15="売",1+$AG$2,1-$AG$2)&lt;=3000,1,IF($F15*IF($C15="売",1+$AG$2,1-$AG$2)&lt;=5000,5,IF($F15*IF($C15="売",1+$AG$2,1-$AG$2)&lt;=30000,10,IF($F15*IF($C15="売",1+$AG$2,1-$AG$2)&lt;=50000,50,IF($F15*IF($C15="売",1+$AG$2,1-$AG$2)&lt;=300000,100,500)))))),FLOOR($F15*IF($C15="売",1+$AG$2,1-$AG$2),IF($F15*IF($C15="売",1+$AG$2,1-$AG$2)&lt;=3000,1,IF($F15*IF($C15="売",1+$AG$2,1-$AG$2)&lt;=5000,5,IF($F15*IF($C15="売",1+$AG$2,1-$AG$2)&lt;=30000,10,IF($F15*IF($C15="売",1+$AG$2,1-$AG$2)&lt;=50000,50,IF($F15*IF($C15="売",1+$AG$2,1-$AG$2)&lt;=300000,100,500))))))))</f>
      </c>
      <c r="O15" s="486">
        <f>IF(OR($B15="",$F15="",$H15=""),"",IF($S15="✅売却済","―決済済―",IF($C15="売",  IF($H15&lt;=$M15,"🟢利確",  IF(AND($R15&lt;&gt;"",$H15&gt;=$R15),"🟠TRAIL決済",  IF($H15&gt;=$N15,"🔴損切",  IF($W15&gt;=$AG$5,"⏱時間決済",  IF($H15&gt;=$F15*(1+$AG$2*0.7),"⚠️損切接近","保持継続"))))),  IF($H15&gt;=$M15,"🟢利確",  IF(AND($R15&lt;&gt;"",$H15&lt;=$R15),"🟠TRAIL決済",  IF($H15&lt;=$N15,"🔴損切",  IF($W15&gt;=$AG$5,"⏱時間決済",  IF($H15&lt;=$F15*(1-$AG$2*0.7),"⚠️損切接近","保持継続")))))))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  IF($H15&gt;$F15*(1-$AG$2),$N15,CEILING(MIN($N15,IF($Q15="",$N15,$Q15*1.03)),IF($N15&lt;=3000,1,IF($N15&lt;=5000,5,IF($N15&lt;=30000,10,IF($N15&lt;=50000,50,IF($N15&lt;=300000,100,500))))))),  IF($H15&lt;$F15*(1+$AG$2),$N15,FLOOR(MAX($N15,IF($P15="",$N15,$P15*0.97)),IF($N15&lt;=3000,1,IF($N15&lt;=5000,5,IF($N15&lt;=30000,10,IF($N15&lt;=50000,50,IF($N15&lt;=300000,100,500))))))))))</f>
      </c>
      <c r="S15" s="585" t="str">
        <f t="shared" ca="1" si="20"/>
        <v>✅売却済</v>
      </c>
      <c r="T15" s="593">
        <f t="shared" ca="1" si="9"/>
        <v>46237</v>
      </c>
      <c r="U15" s="485">
        <f t="shared" ca="1" si="10"/>
        <v>3812</v>
      </c>
      <c r="V15" s="700">
        <f t="shared" ca="1" si="21"/>
        <v>-15900</v>
      </c>
      <c r="W15" s="487">
        <f t="shared" ca="1" si="11"/>
        <v>7</v>
      </c>
      <c r="X15" s="484" t="str">
        <f t="shared" ca="1" si="12"/>
        <v>損切確定</v>
      </c>
      <c r="Y15" s="488">
        <f>IF($B15="","",IF(COUNTIFS($B$4:$B15,$B15,$C$4:$C15,$C15)&gt;1,"⛔重複"&amp;COUNTIFS($B$4:$B15,$B15,$C$4:$C15,$C15)&amp;"回目",""))</f>
      </c>
      <c r="Z15" s="710">
        <v>20</v>
      </c>
      <c r="AA15" s="600" t="s">
        <v>1332</v>
      </c>
      <c r="AB15">
        <f>IF($F15="","",MAX(100,ROUNDDOWN($AG$4/($F15*$AG$2)/100,0)*100))</f>
      </c>
      <c r="AC15">
        <f>IF(OR($F15="",$G15="",$U15=""),"",ROUND($V15-($F15+$U15)*$G15*$AG$6-IF($C15="売",$F15*$G15*$AG$7*$W15/365,0),0))</f>
      </c>
      <c r="AD15" s="608" t="s">
        <v>1324</v>
      </c>
      <c r="AE15" s="625">
        <f t="shared" si="13"/>
        <v>46247</v>
      </c>
      <c r="AF15" s="627"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27"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46237</v>
      </c>
      <c r="AH15" s="601" t="str">
        <f t="shared" ca="1" si="14"/>
        <v>損切確定</v>
      </c>
      <c r="AI15" s="601" t="str" cm="1">
        <f t="array" ref="AI15">IFERROR(INDEX(始値!$E$6:$BT$305,MATCH(TEXT($B15,"0"),TEXT(銘柄管理!$B$6:$B$305,"0"),0),MATCH($AE15,始値!$E$3:$BT$3,0)),"")</f>
        <v/>
      </c>
      <c r="AJ15" s="905">
        <f t="shared" ca="1" si="15"/>
        <v>-4.0040292117854447E-2</v>
      </c>
      <c r="AK15" s="629" t="str">
        <f t="shared" ca="1" si="16"/>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7" ht="35.4" customHeight="1">
      <c r="A16" s="619" t="str">
        <f t="shared" si="0"/>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BT$3,0)=1,1,MATCH($E16,始値!$E$3:$BT$3,0)+1)),_xlpm.v,INDEX(始値!$C$6:$B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 t="shared" ca="1" si="17"/>
        <v>-29000</v>
      </c>
      <c r="L16" s="705">
        <f t="shared" ca="1" si="18"/>
        <v>-6.8883610451306407E-2</v>
      </c>
      <c r="M16" s="485">
        <f>IF($F16="","",IF($C16="売",CEILING($F16*IF($C16="売",1-$AG$3,1+$AG$3),IF($F16*IF($C16="売",1-$AG$3,1+$AG$3)&lt;=3000,1,IF($F16*IF($C16="売",1-$AG$3,1+$AG$3)&lt;=5000,5,IF($F16*IF($C16="売",1-$AG$3,1+$AG$3)&lt;=30000,10,IF($F16*IF($C16="売",1-$AG$3,1+$AG$3)&lt;=50000,50,IF($F16*IF($C16="売",1-$AG$3,1+$AG$3)&lt;=300000,100,500)))))),FLOOR($F16*IF($C16="売",1-$AG$3,1+$AG$3),IF($F16*IF($C16="売",1-$AG$3,1+$AG$3)&lt;=3000,1,IF($F16*IF($C16="売",1-$AG$3,1+$AG$3)&lt;=5000,5,IF($F16*IF($C16="売",1-$AG$3,1+$AG$3)&lt;=30000,10,IF($F16*IF($C16="売",1-$AG$3,1+$AG$3)&lt;=50000,50,IF($F16*IF($C16="売",1-$AG$3,1+$AG$3)&lt;=300000,100,500))))))))</f>
      </c>
      <c r="N16" s="485">
        <f>IF($F16="","",IF($C16="売",CEILING($F16*IF($C16="売",1+$AG$2,1-$AG$2),IF($F16*IF($C16="売",1+$AG$2,1-$AG$2)&lt;=3000,1,IF($F16*IF($C16="売",1+$AG$2,1-$AG$2)&lt;=5000,5,IF($F16*IF($C16="売",1+$AG$2,1-$AG$2)&lt;=30000,10,IF($F16*IF($C16="売",1+$AG$2,1-$AG$2)&lt;=50000,50,IF($F16*IF($C16="売",1+$AG$2,1-$AG$2)&lt;=300000,100,500)))))),FLOOR($F16*IF($C16="売",1+$AG$2,1-$AG$2),IF($F16*IF($C16="売",1+$AG$2,1-$AG$2)&lt;=3000,1,IF($F16*IF($C16="売",1+$AG$2,1-$AG$2)&lt;=5000,5,IF($F16*IF($C16="売",1+$AG$2,1-$AG$2)&lt;=30000,10,IF($F16*IF($C16="売",1+$AG$2,1-$AG$2)&lt;=50000,50,IF($F16*IF($C16="売",1+$AG$2,1-$AG$2)&lt;=300000,100,500))))))))</f>
      </c>
      <c r="O16" s="486">
        <f>IF(OR($B16="",$F16="",$H16=""),"",IF($S16="✅売却済","―決済済―",IF($C16="売",  IF($H16&lt;=$M16,"🟢利確",  IF(AND($R16&lt;&gt;"",$H16&gt;=$R16),"🟠TRAIL決済",  IF($H16&gt;=$N16,"🔴損切",  IF($W16&gt;=$AG$5,"⏱時間決済",  IF($H16&gt;=$F16*(1+$AG$2*0.7),"⚠️損切接近","保持継続"))))),  IF($H16&gt;=$M16,"🟢利確",  IF(AND($R16&lt;&gt;"",$H16&lt;=$R16),"🟠TRAIL決済",  IF($H16&lt;=$N16,"🔴損切",  IF($W16&gt;=$AG$5,"⏱時間決済",  IF($H16&lt;=$F16*(1-$AG$2*0.7),"⚠️損切接近","保持継続")))))))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  IF($H16&gt;$F16*(1-$AG$2),$N16,CEILING(MIN($N16,IF($Q16="",$N16,$Q16*1.03)),IF($N16&lt;=3000,1,IF($N16&lt;=5000,5,IF($N16&lt;=30000,10,IF($N16&lt;=50000,50,IF($N16&lt;=300000,100,500))))))),  IF($H16&lt;$F16*(1+$AG$2),$N16,FLOOR(MAX($N16,IF($P16="",$N16,$P16*0.97)),IF($N16&lt;=3000,1,IF($N16&lt;=5000,5,IF($N16&lt;=30000,10,IF($N16&lt;=50000,50,IF($N16&lt;=300000,100,500))))))))))</f>
      </c>
      <c r="S16" s="585" t="str">
        <f t="shared" ca="1" si="20"/>
        <v>✅売却済</v>
      </c>
      <c r="T16" s="593">
        <f t="shared" ca="1" si="9"/>
        <v>46238</v>
      </c>
      <c r="U16" s="485">
        <f t="shared" ca="1" si="10"/>
        <v>4378</v>
      </c>
      <c r="V16" s="700">
        <f t="shared" ca="1" si="21"/>
        <v>-16800</v>
      </c>
      <c r="W16" s="487">
        <f t="shared" ca="1" si="11"/>
        <v>8</v>
      </c>
      <c r="X16" s="484" t="str">
        <f t="shared" ca="1" si="12"/>
        <v>損切確定</v>
      </c>
      <c r="Y16" s="488">
        <f>IF($B16="","",IF(COUNTIFS($B$4:$B16,$B16,$C$4:$C16,$C16)&gt;1,"⛔重複"&amp;COUNTIFS($B$4:$B16,$B16,$C$4:$C16,$C16)&amp;"回目",""))</f>
      </c>
      <c r="Z16" s="710">
        <v>14</v>
      </c>
      <c r="AA16" s="600" t="s">
        <v>1333</v>
      </c>
      <c r="AB16">
        <f>IF($F16="","",MAX(100,ROUNDDOWN($AG$4/($F16*$AG$2)/100,0)*100))</f>
      </c>
      <c r="AC16">
        <f>IF(OR($F16="",$G16="",$U16=""),"",ROUND($V16-($F16+$U16)*$G16*$AG$6-IF($C16="売",$F16*$G16*$AG$7*$W16/365,0),0))</f>
      </c>
      <c r="AD16" s="608" t="s">
        <v>1325</v>
      </c>
      <c r="AE16" s="625">
        <f t="shared" si="13"/>
        <v>46247</v>
      </c>
      <c r="AF16" s="627"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27"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46238</v>
      </c>
      <c r="AH16" s="601" t="str">
        <f t="shared" ca="1" si="14"/>
        <v>損切確定</v>
      </c>
      <c r="AI16" s="601" t="str" cm="1">
        <f t="array" ref="AI16">IFERROR(INDEX(始値!$E$6:$BT$305,MATCH(TEXT($B16,"0"),TEXT(銘柄管理!$B$6:$B$305,"0"),0),MATCH($AE16,始値!$E$3:$BT$3,0)),"")</f>
        <v/>
      </c>
      <c r="AJ16" s="905">
        <f t="shared" ca="1" si="15"/>
        <v>-3.9904988123515436E-2</v>
      </c>
      <c r="AK16" s="629" t="str">
        <f t="shared" ca="1" si="16"/>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 t="shared" si="0"/>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BT$3,0)=1,1,MATCH($E17,始値!$E$3:$BT$3,0)+1)),_xlpm.v,INDEX(始値!$C$6:$B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 t="shared" ca="1" si="17"/>
        <v>-1900</v>
      </c>
      <c r="L17" s="705">
        <f t="shared" ca="1" si="18"/>
        <v>-4.8469387755102039E-2</v>
      </c>
      <c r="M17" s="485">
        <f>IF($F17="","",IF($C17="売",CEILING($F17*IF($C17="売",1-$AG$3,1+$AG$3),IF($F17*IF($C17="売",1-$AG$3,1+$AG$3)&lt;=3000,1,IF($F17*IF($C17="売",1-$AG$3,1+$AG$3)&lt;=5000,5,IF($F17*IF($C17="売",1-$AG$3,1+$AG$3)&lt;=30000,10,IF($F17*IF($C17="売",1-$AG$3,1+$AG$3)&lt;=50000,50,IF($F17*IF($C17="売",1-$AG$3,1+$AG$3)&lt;=300000,100,500)))))),FLOOR($F17*IF($C17="売",1-$AG$3,1+$AG$3),IF($F17*IF($C17="売",1-$AG$3,1+$AG$3)&lt;=3000,1,IF($F17*IF($C17="売",1-$AG$3,1+$AG$3)&lt;=5000,5,IF($F17*IF($C17="売",1-$AG$3,1+$AG$3)&lt;=30000,10,IF($F17*IF($C17="売",1-$AG$3,1+$AG$3)&lt;=50000,50,IF($F17*IF($C17="売",1-$AG$3,1+$AG$3)&lt;=300000,100,500))))))))</f>
      </c>
      <c r="N17" s="485">
        <f>IF($F17="","",IF($C17="売",CEILING($F17*IF($C17="売",1+$AG$2,1-$AG$2),IF($F17*IF($C17="売",1+$AG$2,1-$AG$2)&lt;=3000,1,IF($F17*IF($C17="売",1+$AG$2,1-$AG$2)&lt;=5000,5,IF($F17*IF($C17="売",1+$AG$2,1-$AG$2)&lt;=30000,10,IF($F17*IF($C17="売",1+$AG$2,1-$AG$2)&lt;=50000,50,IF($F17*IF($C17="売",1+$AG$2,1-$AG$2)&lt;=300000,100,500)))))),FLOOR($F17*IF($C17="売",1+$AG$2,1-$AG$2),IF($F17*IF($C17="売",1+$AG$2,1-$AG$2)&lt;=3000,1,IF($F17*IF($C17="売",1+$AG$2,1-$AG$2)&lt;=5000,5,IF($F17*IF($C17="売",1+$AG$2,1-$AG$2)&lt;=30000,10,IF($F17*IF($C17="売",1+$AG$2,1-$AG$2)&lt;=50000,50,IF($F17*IF($C17="売",1+$AG$2,1-$AG$2)&lt;=300000,100,500))))))))</f>
      </c>
      <c r="O17" s="486">
        <f>IF(OR($B17="",$F17="",$H17=""),"",IF($S17="✅売却済","―決済済―",IF($C17="売",  IF($H17&lt;=$M17,"🟢利確",  IF(AND($R17&lt;&gt;"",$H17&gt;=$R17),"🟠TRAIL決済",  IF($H17&gt;=$N17,"🔴損切",  IF($W17&gt;=$AG$5,"⏱時間決済",  IF($H17&gt;=$F17*(1+$AG$2*0.7),"⚠️損切接近","保持継続"))))),  IF($H17&gt;=$M17,"🟢利確",  IF(AND($R17&lt;&gt;"",$H17&lt;=$R17),"🟠TRAIL決済",  IF($H17&lt;=$N17,"🔴損切",  IF($W17&gt;=$AG$5,"⏱時間決済",  IF($H17&lt;=$F17*(1-$AG$2*0.7),"⚠️損切接近","保持継続")))))))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  IF($H17&gt;$F17*(1-$AG$2),$N17,CEILING(MIN($N17,IF($Q17="",$N17,$Q17*1.03)),IF($N17&lt;=3000,1,IF($N17&lt;=5000,5,IF($N17&lt;=30000,10,IF($N17&lt;=50000,50,IF($N17&lt;=300000,100,500))))))),  IF($H17&lt;$F17*(1+$AG$2),$N17,FLOOR(MAX($N17,IF($P17="",$N17,$P17*0.97)),IF($N17&lt;=3000,1,IF($N17&lt;=5000,5,IF($N17&lt;=30000,10,IF($N17&lt;=50000,50,IF($N17&lt;=300000,100,500))))))))))</f>
      </c>
      <c r="S17" s="585" t="str">
        <f t="shared" ca="1" si="20"/>
        <v>✅売却済</v>
      </c>
      <c r="T17" s="593">
        <f t="shared" ca="1" si="9"/>
        <v>46240</v>
      </c>
      <c r="U17" s="485">
        <f t="shared" ca="1" si="10"/>
        <v>408</v>
      </c>
      <c r="V17" s="700">
        <f t="shared" ca="1" si="21"/>
        <v>-1600</v>
      </c>
      <c r="W17" s="487">
        <f t="shared" ca="1" si="11"/>
        <v>10</v>
      </c>
      <c r="X17" s="484" t="str">
        <f t="shared" ca="1" si="12"/>
        <v>損切確定</v>
      </c>
      <c r="Y17" s="488">
        <f>IF($B17="","",IF(COUNTIFS($B$4:$B17,$B17,$C$4:$C17,$C17)&gt;1,"⛔重複"&amp;COUNTIFS($B$4:$B17,$B17,$C$4:$C17,$C17)&amp;"回目",""))</f>
      </c>
      <c r="Z17" s="710">
        <v>14</v>
      </c>
      <c r="AA17" s="600" t="s">
        <v>1334</v>
      </c>
      <c r="AB17">
        <f>IF($F17="","",MAX(100,ROUNDDOWN($AG$4/($F17*$AG$2)/100,0)*100))</f>
      </c>
      <c r="AC17">
        <f>IF(OR($F17="",$G17="",$U17=""),"",ROUND($V17-($F17+$U17)*$G17*$AG$6-IF($C17="売",$F17*$G17*$AG$7*$W17/365,0),0))</f>
      </c>
      <c r="AD17" s="608" t="s">
        <v>1325</v>
      </c>
      <c r="AE17" s="625">
        <f t="shared" si="13"/>
        <v>46247</v>
      </c>
      <c r="AF17" s="627"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27"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46240</v>
      </c>
      <c r="AH17" s="601" t="str">
        <f t="shared" ca="1" si="14"/>
        <v>損切確定</v>
      </c>
      <c r="AI17" s="601" t="str" cm="1">
        <f t="array" ref="AI17">IFERROR(INDEX(始値!$E$6:$BT$305,MATCH(TEXT($B17,"0"),TEXT(銘柄管理!$B$6:$B$305,"0"),0),MATCH($AE17,始値!$E$3:$BT$3,0)),"")</f>
        <v/>
      </c>
      <c r="AJ17" s="905">
        <f t="shared" ca="1" si="15"/>
        <v>-4.0816326530612242E-2</v>
      </c>
      <c r="AK17" s="629" t="str">
        <f t="shared" ca="1" si="16"/>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 t="shared" ref="AS17:AS24" ca="1" si="22">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 t="shared" si="0"/>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BT$3,0)=1,1,MATCH($E18,始値!$E$3:$BT$3,0)+1)),_xlpm.v,INDEX(始値!$C$6:$B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 t="shared" ca="1" si="17"/>
        <v>-81200</v>
      </c>
      <c r="L18" s="705">
        <f t="shared" ca="1" si="18"/>
        <v>-0.14630630630630631</v>
      </c>
      <c r="M18" s="485">
        <f>IF($F18="","",IF($C18="売",CEILING($F18*IF($C18="売",1-$AG$3,1+$AG$3),IF($F18*IF($C18="売",1-$AG$3,1+$AG$3)&lt;=3000,1,IF($F18*IF($C18="売",1-$AG$3,1+$AG$3)&lt;=5000,5,IF($F18*IF($C18="売",1-$AG$3,1+$AG$3)&lt;=30000,10,IF($F18*IF($C18="売",1-$AG$3,1+$AG$3)&lt;=50000,50,IF($F18*IF($C18="売",1-$AG$3,1+$AG$3)&lt;=300000,100,500)))))),FLOOR($F18*IF($C18="売",1-$AG$3,1+$AG$3),IF($F18*IF($C18="売",1-$AG$3,1+$AG$3)&lt;=3000,1,IF($F18*IF($C18="売",1-$AG$3,1+$AG$3)&lt;=5000,5,IF($F18*IF($C18="売",1-$AG$3,1+$AG$3)&lt;=30000,10,IF($F18*IF($C18="売",1-$AG$3,1+$AG$3)&lt;=50000,50,IF($F18*IF($C18="売",1-$AG$3,1+$AG$3)&lt;=300000,100,500))))))))</f>
      </c>
      <c r="N18" s="485">
        <f>IF($F18="","",IF($C18="売",CEILING($F18*IF($C18="売",1+$AG$2,1-$AG$2),IF($F18*IF($C18="売",1+$AG$2,1-$AG$2)&lt;=3000,1,IF($F18*IF($C18="売",1+$AG$2,1-$AG$2)&lt;=5000,5,IF($F18*IF($C18="売",1+$AG$2,1-$AG$2)&lt;=30000,10,IF($F18*IF($C18="売",1+$AG$2,1-$AG$2)&lt;=50000,50,IF($F18*IF($C18="売",1+$AG$2,1-$AG$2)&lt;=300000,100,500)))))),FLOOR($F18*IF($C18="売",1+$AG$2,1-$AG$2),IF($F18*IF($C18="売",1+$AG$2,1-$AG$2)&lt;=3000,1,IF($F18*IF($C18="売",1+$AG$2,1-$AG$2)&lt;=5000,5,IF($F18*IF($C18="売",1+$AG$2,1-$AG$2)&lt;=30000,10,IF($F18*IF($C18="売",1+$AG$2,1-$AG$2)&lt;=50000,50,IF($F18*IF($C18="売",1+$AG$2,1-$AG$2)&lt;=300000,100,500))))))))</f>
      </c>
      <c r="O18" s="486">
        <f>IF(OR($B18="",$F18="",$H18=""),"",IF($S18="✅売却済","―決済済―",IF($C18="売",  IF($H18&lt;=$M18,"🟢利確",  IF(AND($R18&lt;&gt;"",$H18&gt;=$R18),"🟠TRAIL決済",  IF($H18&gt;=$N18,"🔴損切",  IF($W18&gt;=$AG$5,"⏱時間決済",  IF($H18&gt;=$F18*(1+$AG$2*0.7),"⚠️損切接近","保持継続"))))),  IF($H18&gt;=$M18,"🟢利確",  IF(AND($R18&lt;&gt;"",$H18&lt;=$R18),"🟠TRAIL決済",  IF($H18&lt;=$N18,"🔴損切",  IF($W18&gt;=$AG$5,"⏱時間決済",  IF($H18&lt;=$F18*(1-$AG$2*0.7),"⚠️損切接近","保持継続")))))))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  IF($H18&gt;$F18*(1-$AG$2),$N18,CEILING(MIN($N18,IF($Q18="",$N18,$Q18*1.03)),IF($N18&lt;=3000,1,IF($N18&lt;=5000,5,IF($N18&lt;=30000,10,IF($N18&lt;=50000,50,IF($N18&lt;=300000,100,500))))))),  IF($H18&lt;$F18*(1+$AG$2),$N18,FLOOR(MAX($N18,IF($P18="",$N18,$P18*0.97)),IF($N18&lt;=3000,1,IF($N18&lt;=5000,5,IF($N18&lt;=30000,10,IF($N18&lt;=50000,50,IF($N18&lt;=300000,100,500))))))))))</f>
      </c>
      <c r="S18" s="585" t="str">
        <f t="shared" ca="1" si="20"/>
        <v>✅売却済</v>
      </c>
      <c r="T18" s="593">
        <f t="shared" ca="1" si="9"/>
        <v>46234</v>
      </c>
      <c r="U18" s="485">
        <f t="shared" ca="1" si="10"/>
        <v>5328</v>
      </c>
      <c r="V18" s="700">
        <f t="shared" ca="1" si="21"/>
        <v>-22200</v>
      </c>
      <c r="W18" s="487">
        <f t="shared" ca="1" si="11"/>
        <v>3</v>
      </c>
      <c r="X18" s="484" t="str">
        <f t="shared" ca="1" si="12"/>
        <v>損切確定</v>
      </c>
      <c r="Y18" s="488">
        <f>IF($B18="","",IF(COUNTIFS($B$4:$B18,$B18,$C$4:$C18,$C18)&gt;1,"⛔重複"&amp;COUNTIFS($B$4:$B18,$B18,$C$4:$C18,$C18)&amp;"回目",""))</f>
      </c>
      <c r="Z18" s="710">
        <v>13</v>
      </c>
      <c r="AA18" s="600" t="s">
        <v>1349</v>
      </c>
      <c r="AB18">
        <f>IF($F18="","",MAX(100,ROUNDDOWN($AG$4/($F18*$AG$2)/100,0)*100))</f>
      </c>
      <c r="AC18">
        <f>IF(OR($F18="",$G18="",$U18=""),"",ROUND($V18-($F18+$U18)*$G18*$AG$6-IF($C18="売",$F18*$G18*$AG$7*$W18/365,0),0))</f>
      </c>
      <c r="AD18" s="616" t="s">
        <v>1322</v>
      </c>
      <c r="AE18" s="625">
        <f t="shared" si="13"/>
        <v>46248</v>
      </c>
      <c r="AF18" s="627"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27"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46234</v>
      </c>
      <c r="AH18" s="601" t="str">
        <f t="shared" ca="1" si="14"/>
        <v>損切確定</v>
      </c>
      <c r="AI18" s="601" t="str" cm="1">
        <f t="array" ref="AI18">IFERROR(INDEX(始値!$E$6:$BT$305,MATCH(TEXT($B18,"0"),TEXT(銘柄管理!$B$6:$B$305,"0"),0),MATCH($AE18,始値!$E$3:$BT$3,0)),"")</f>
        <v/>
      </c>
      <c r="AJ18" s="905">
        <f t="shared" ca="1" si="15"/>
        <v>-0.04</v>
      </c>
      <c r="AK18" s="629" t="str">
        <f t="shared" ca="1" si="16"/>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 t="shared" ca="1" si="22"/>
        <v>✅追記済</v>
      </c>
      <c r="BB18" s="600" t="str">
        <f>IF(N(買抽出v13!$C18)=0,"",N(買抽出v13!$Q18)+N(買抽出v13!$L18)/1000-ROW()/1000000)</f>
        <v/>
      </c>
      <c r="BC18" s="600" t="str">
        <f>IF(N(売抽出v13!$C18)=0,"",N(売抽出v13!$Q18)+IFERROR(VALUE(SUBSTITUTE(売抽出v13!$L18,"倍","")),0)/1000-ROW()/1000000)</f>
        <v/>
      </c>
    </row>
    <row r="19" spans="1:55" ht="35.4" customHeight="1">
      <c r="A19" s="619" t="str">
        <f t="shared" si="0"/>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BT$3,0)=1,1,MATCH($E19,始値!$E$3:$BT$3,0)+1)),_xlpm.v,INDEX(始値!$C$6:$B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 t="shared" ca="1" si="17"/>
        <v>-15000</v>
      </c>
      <c r="L19" s="705">
        <f t="shared" ca="1" si="18"/>
        <v>-3.2873109796186718E-2</v>
      </c>
      <c r="M19" s="485">
        <f>IF($F19="","",IF($C19="売",CEILING($F19*IF($C19="売",1-$AG$3,1+$AG$3),IF($F19*IF($C19="売",1-$AG$3,1+$AG$3)&lt;=3000,1,IF($F19*IF($C19="売",1-$AG$3,1+$AG$3)&lt;=5000,5,IF($F19*IF($C19="売",1-$AG$3,1+$AG$3)&lt;=30000,10,IF($F19*IF($C19="売",1-$AG$3,1+$AG$3)&lt;=50000,50,IF($F19*IF($C19="売",1-$AG$3,1+$AG$3)&lt;=300000,100,500)))))),FLOOR($F19*IF($C19="売",1-$AG$3,1+$AG$3),IF($F19*IF($C19="売",1-$AG$3,1+$AG$3)&lt;=3000,1,IF($F19*IF($C19="売",1-$AG$3,1+$AG$3)&lt;=5000,5,IF($F19*IF($C19="売",1-$AG$3,1+$AG$3)&lt;=30000,10,IF($F19*IF($C19="売",1-$AG$3,1+$AG$3)&lt;=50000,50,IF($F19*IF($C19="売",1-$AG$3,1+$AG$3)&lt;=300000,100,500))))))))</f>
      </c>
      <c r="N19" s="485">
        <f>IF($F19="","",IF($C19="売",CEILING($F19*IF($C19="売",1+$AG$2,1-$AG$2),IF($F19*IF($C19="売",1+$AG$2,1-$AG$2)&lt;=3000,1,IF($F19*IF($C19="売",1+$AG$2,1-$AG$2)&lt;=5000,5,IF($F19*IF($C19="売",1+$AG$2,1-$AG$2)&lt;=30000,10,IF($F19*IF($C19="売",1+$AG$2,1-$AG$2)&lt;=50000,50,IF($F19*IF($C19="売",1+$AG$2,1-$AG$2)&lt;=300000,100,500)))))),FLOOR($F19*IF($C19="売",1+$AG$2,1-$AG$2),IF($F19*IF($C19="売",1+$AG$2,1-$AG$2)&lt;=3000,1,IF($F19*IF($C19="売",1+$AG$2,1-$AG$2)&lt;=5000,5,IF($F19*IF($C19="売",1+$AG$2,1-$AG$2)&lt;=30000,10,IF($F19*IF($C19="売",1+$AG$2,1-$AG$2)&lt;=50000,50,IF($F19*IF($C19="売",1+$AG$2,1-$AG$2)&lt;=300000,100,500))))))))</f>
      </c>
      <c r="O19" s="486">
        <f>IF(OR($B19="",$F19="",$H19=""),"",IF($S19="✅売却済","―決済済―",IF($C19="売",  IF($H19&lt;=$M19,"🟢利確",  IF(AND($R19&lt;&gt;"",$H19&gt;=$R19),"🟠TRAIL決済",  IF($H19&gt;=$N19,"🔴損切",  IF($W19&gt;=$AG$5,"⏱時間決済",  IF($H19&gt;=$F19*(1+$AG$2*0.7),"⚠️損切接近","保持継続"))))),  IF($H19&gt;=$M19,"🟢利確",  IF(AND($R19&lt;&gt;"",$H19&lt;=$R19),"🟠TRAIL決済",  IF($H19&lt;=$N19,"🔴損切",  IF($W19&gt;=$AG$5,"⏱時間決済",  IF($H19&lt;=$F19*(1-$AG$2*0.7),"⚠️損切接近","保持継続")))))))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  IF($H19&gt;$F19*(1-$AG$2),$N19,CEILING(MIN($N19,IF($Q19="",$N19,$Q19*1.03)),IF($N19&lt;=3000,1,IF($N19&lt;=5000,5,IF($N19&lt;=30000,10,IF($N19&lt;=50000,50,IF($N19&lt;=300000,100,500))))))),  IF($H19&lt;$F19*(1+$AG$2),$N19,FLOOR(MAX($N19,IF($P19="",$N19,$P19*0.97)),IF($N19&lt;=3000,1,IF($N19&lt;=5000,5,IF($N19&lt;=30000,10,IF($N19&lt;=50000,50,IF($N19&lt;=300000,100,500))))))))))</f>
      </c>
      <c r="S19" s="585" t="str">
        <f t="shared" ca="1" si="20"/>
        <v>✅売却済</v>
      </c>
      <c r="T19" s="593">
        <f t="shared" ca="1" si="9"/>
        <v>46238</v>
      </c>
      <c r="U19" s="485">
        <f t="shared" ca="1" si="10"/>
        <v>4380</v>
      </c>
      <c r="V19" s="700">
        <f t="shared" ca="1" si="21"/>
        <v>-18300</v>
      </c>
      <c r="W19" s="487">
        <f t="shared" ca="1" si="11"/>
        <v>7</v>
      </c>
      <c r="X19" s="484" t="str">
        <f t="shared" ca="1" si="12"/>
        <v>損切確定</v>
      </c>
      <c r="Y19" s="488">
        <f>IF($B19="","",IF(COUNTIFS($B$4:$B19,$B19,$C$4:$C19,$C19)&gt;1,"⛔重複"&amp;COUNTIFS($B$4:$B19,$B19,$C$4:$C19,$C19)&amp;"回目",""))</f>
      </c>
      <c r="Z19" s="710">
        <v>11</v>
      </c>
      <c r="AA19" s="600" t="s">
        <v>1350</v>
      </c>
      <c r="AB19">
        <f>IF($F19="","",MAX(100,ROUNDDOWN($AG$4/($F19*$AG$2)/100,0)*100))</f>
      </c>
      <c r="AC19">
        <f>IF(OR($F19="",$G19="",$U19=""),"",ROUND($V19-($F19+$U19)*$G19*$AG$6-IF($C19="売",$F19*$G19*$AG$7*$W19/365,0),0))</f>
      </c>
      <c r="AD19" s="616" t="s">
        <v>1322</v>
      </c>
      <c r="AE19" s="625">
        <f t="shared" si="13"/>
        <v>46248</v>
      </c>
      <c r="AF19" s="627"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27"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46238</v>
      </c>
      <c r="AH19" s="601" t="str">
        <f t="shared" ca="1" si="14"/>
        <v>損切確定</v>
      </c>
      <c r="AI19" s="601" t="str" cm="1">
        <f t="array" ref="AI19">IFERROR(INDEX(始値!$E$6:$BT$305,MATCH(TEXT($B19,"0"),TEXT(銘柄管理!$B$6:$B$305,"0"),0),MATCH($AE19,始値!$E$3:$BT$3,0)),"")</f>
        <v/>
      </c>
      <c r="AJ19" s="905">
        <f t="shared" ca="1" si="15"/>
        <v>-4.0105193951347796E-2</v>
      </c>
      <c r="AK19" s="629" t="str">
        <f t="shared" ca="1" si="16"/>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 t="shared" ca="1" si="22"/>
        <v>✅追記済</v>
      </c>
      <c r="BB19" s="600" t="str">
        <f>IF(N(買抽出v13!$C19)=0,"",N(買抽出v13!$Q19)+N(買抽出v13!$L19)/1000-ROW()/1000000)</f>
        <v/>
      </c>
      <c r="BC19" s="600" t="str">
        <f>IF(N(売抽出v13!$C19)=0,"",N(売抽出v13!$Q19)+IFERROR(VALUE(SUBSTITUTE(売抽出v13!$L19,"倍","")),0)/1000-ROW()/1000000)</f>
        <v/>
      </c>
    </row>
    <row r="20" spans="1:55" ht="35.4" customHeight="1">
      <c r="A20" s="619" t="str">
        <f t="shared" si="0"/>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BT$3,0)=1,1,MATCH($E20,始値!$E$3:$BT$3,0)+1)),_xlpm.v,INDEX(始値!$C$6:$B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 t="shared" ca="1" si="17"/>
        <v>-170000</v>
      </c>
      <c r="L20" s="705">
        <f t="shared" ca="1" si="18"/>
        <v>-0.31021897810218979</v>
      </c>
      <c r="M20" s="485">
        <f>IF($F20="","",IF($C20="売",CEILING($F20*IF($C20="売",1-$AG$3,1+$AG$3),IF($F20*IF($C20="売",1-$AG$3,1+$AG$3)&lt;=3000,1,IF($F20*IF($C20="売",1-$AG$3,1+$AG$3)&lt;=5000,5,IF($F20*IF($C20="売",1-$AG$3,1+$AG$3)&lt;=30000,10,IF($F20*IF($C20="売",1-$AG$3,1+$AG$3)&lt;=50000,50,IF($F20*IF($C20="売",1-$AG$3,1+$AG$3)&lt;=300000,100,500)))))),FLOOR($F20*IF($C20="売",1-$AG$3,1+$AG$3),IF($F20*IF($C20="売",1-$AG$3,1+$AG$3)&lt;=3000,1,IF($F20*IF($C20="売",1-$AG$3,1+$AG$3)&lt;=5000,5,IF($F20*IF($C20="売",1-$AG$3,1+$AG$3)&lt;=30000,10,IF($F20*IF($C20="売",1-$AG$3,1+$AG$3)&lt;=50000,50,IF($F20*IF($C20="売",1-$AG$3,1+$AG$3)&lt;=300000,100,500))))))))</f>
      </c>
      <c r="N20" s="485">
        <f>IF($F20="","",IF($C20="売",CEILING($F20*IF($C20="売",1+$AG$2,1-$AG$2),IF($F20*IF($C20="売",1+$AG$2,1-$AG$2)&lt;=3000,1,IF($F20*IF($C20="売",1+$AG$2,1-$AG$2)&lt;=5000,5,IF($F20*IF($C20="売",1+$AG$2,1-$AG$2)&lt;=30000,10,IF($F20*IF($C20="売",1+$AG$2,1-$AG$2)&lt;=50000,50,IF($F20*IF($C20="売",1+$AG$2,1-$AG$2)&lt;=300000,100,500)))))),FLOOR($F20*IF($C20="売",1+$AG$2,1-$AG$2),IF($F20*IF($C20="売",1+$AG$2,1-$AG$2)&lt;=3000,1,IF($F20*IF($C20="売",1+$AG$2,1-$AG$2)&lt;=5000,5,IF($F20*IF($C20="売",1+$AG$2,1-$AG$2)&lt;=30000,10,IF($F20*IF($C20="売",1+$AG$2,1-$AG$2)&lt;=50000,50,IF($F20*IF($C20="売",1+$AG$2,1-$AG$2)&lt;=300000,100,500))))))))</f>
      </c>
      <c r="O20" s="486">
        <f>IF(OR($B20="",$F20="",$H20=""),"",IF($S20="✅売却済","―決済済―",IF($C20="売",  IF($H20&lt;=$M20,"🟢利確",  IF(AND($R20&lt;&gt;"",$H20&gt;=$R20),"🟠TRAIL決済",  IF($H20&gt;=$N20,"🔴損切",  IF($W20&gt;=$AG$5,"⏱時間決済",  IF($H20&gt;=$F20*(1+$AG$2*0.7),"⚠️損切接近","保持継続"))))),  IF($H20&gt;=$M20,"🟢利確",  IF(AND($R20&lt;&gt;"",$H20&lt;=$R20),"🟠TRAIL決済",  IF($H20&lt;=$N20,"🔴損切",  IF($W20&gt;=$AG$5,"⏱時間決済",  IF($H20&lt;=$F20*(1-$AG$2*0.7),"⚠️損切接近","保持継続")))))))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  IF($H20&gt;$F20*(1-$AG$2),$N20,CEILING(MIN($N20,IF($Q20="",$N20,$Q20*1.03)),IF($N20&lt;=3000,1,IF($N20&lt;=5000,5,IF($N20&lt;=30000,10,IF($N20&lt;=50000,50,IF($N20&lt;=300000,100,500))))))),  IF($H20&lt;$F20*(1+$AG$2),$N20,FLOOR(MAX($N20,IF($P20="",$N20,$P20*0.97)),IF($N20&lt;=3000,1,IF($N20&lt;=5000,5,IF($N20&lt;=30000,10,IF($N20&lt;=50000,50,IF($N20&lt;=300000,100,500))))))))))</f>
      </c>
      <c r="S20" s="585" t="str">
        <f t="shared" ca="1" si="20"/>
        <v>✅売却済</v>
      </c>
      <c r="T20" s="593">
        <f t="shared" ca="1" si="9"/>
        <v>46233</v>
      </c>
      <c r="U20" s="485">
        <f t="shared" ca="1" si="10"/>
        <v>5699</v>
      </c>
      <c r="V20" s="700">
        <f t="shared" ca="1" si="21"/>
        <v>-21900</v>
      </c>
      <c r="W20" s="487">
        <f t="shared" ca="1" si="11"/>
        <v>2</v>
      </c>
      <c r="X20" s="484" t="str">
        <f t="shared" ca="1" si="12"/>
        <v>損切確定</v>
      </c>
      <c r="Y20" s="488">
        <f>IF($B20="","",IF(COUNTIFS($B$4:$B20,$B20,$C$4:$C20,$C20)&gt;1,"⛔重複"&amp;COUNTIFS($B$4:$B20,$B20,$C$4:$C20,$C20)&amp;"回目",""))</f>
      </c>
      <c r="Z20" s="710">
        <v>19</v>
      </c>
      <c r="AA20" s="600" t="s">
        <v>1351</v>
      </c>
      <c r="AB20">
        <f>IF($F20="","",MAX(100,ROUNDDOWN($AG$4/($F20*$AG$2)/100,0)*100))</f>
      </c>
      <c r="AC20">
        <f>IF(OR($F20="",$G20="",$U20=""),"",ROUND($V20-($F20+$U20)*$G20*$AG$6-IF($C20="売",$F20*$G20*$AG$7*$W20/365,0),0))</f>
      </c>
      <c r="AD20" s="616" t="s">
        <v>1323</v>
      </c>
      <c r="AE20" s="625">
        <f t="shared" si="13"/>
        <v>46248</v>
      </c>
      <c r="AF20" s="627"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27"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01" t="str">
        <f t="shared" ca="1" si="14"/>
        <v>損切確定</v>
      </c>
      <c r="AI20" s="601" t="str" cm="1">
        <f t="array" ref="AI20">IFERROR(INDEX(始値!$E$6:$BT$305,MATCH(TEXT($B20,"0"),TEXT(銘柄管理!$B$6:$B$305,"0"),0),MATCH($AE20,始値!$E$3:$BT$3,0)),"")</f>
        <v/>
      </c>
      <c r="AJ20" s="905">
        <f t="shared" ca="1" si="15"/>
        <v>-3.9963503649635038E-2</v>
      </c>
      <c r="AK20" s="629" t="str">
        <f t="shared" ca="1" si="16"/>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 t="shared" ca="1" si="22"/>
        <v>✅追記済</v>
      </c>
      <c r="BB20" s="600" t="str">
        <f>IF(N(買抽出v13!$C20)=0,"",N(買抽出v13!$Q20)+N(買抽出v13!$L20)/1000-ROW()/1000000)</f>
        <v/>
      </c>
      <c r="BC20" s="600" t="str">
        <f>IF(N(売抽出v13!$C20)=0,"",N(売抽出v13!$Q20)+IFERROR(VALUE(SUBSTITUTE(売抽出v13!$L20,"倍","")),0)/1000-ROW()/1000000)</f>
        <v/>
      </c>
    </row>
    <row r="21" spans="1:55" ht="35.4" customHeight="1">
      <c r="A21" s="619" t="str">
        <f t="shared" si="0"/>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BT$3,0)=1,1,MATCH($E21,始値!$E$3:$BT$3,0)+1)),_xlpm.v,INDEX(始値!$C$6:$B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 t="shared" ca="1" si="17"/>
        <v/>
      </c>
      <c r="L21" s="705" t="str">
        <f t="shared" ca="1" si="18"/>
        <v/>
      </c>
      <c r="M21" s="485">
        <f>IF($F21="","",IF($C21="売",CEILING($F21*IF($C21="売",1-$AG$3,1+$AG$3),IF($F21*IF($C21="売",1-$AG$3,1+$AG$3)&lt;=3000,1,IF($F21*IF($C21="売",1-$AG$3,1+$AG$3)&lt;=5000,5,IF($F21*IF($C21="売",1-$AG$3,1+$AG$3)&lt;=30000,10,IF($F21*IF($C21="売",1-$AG$3,1+$AG$3)&lt;=50000,50,IF($F21*IF($C21="売",1-$AG$3,1+$AG$3)&lt;=300000,100,500)))))),FLOOR($F21*IF($C21="売",1-$AG$3,1+$AG$3),IF($F21*IF($C21="売",1-$AG$3,1+$AG$3)&lt;=3000,1,IF($F21*IF($C21="売",1-$AG$3,1+$AG$3)&lt;=5000,5,IF($F21*IF($C21="売",1-$AG$3,1+$AG$3)&lt;=30000,10,IF($F21*IF($C21="売",1-$AG$3,1+$AG$3)&lt;=50000,50,IF($F21*IF($C21="売",1-$AG$3,1+$AG$3)&lt;=300000,100,500))))))))</f>
      </c>
      <c r="N21" s="485">
        <f>IF($F21="","",IF($C21="売",CEILING($F21*IF($C21="売",1+$AG$2,1-$AG$2),IF($F21*IF($C21="売",1+$AG$2,1-$AG$2)&lt;=3000,1,IF($F21*IF($C21="売",1+$AG$2,1-$AG$2)&lt;=5000,5,IF($F21*IF($C21="売",1+$AG$2,1-$AG$2)&lt;=30000,10,IF($F21*IF($C21="売",1+$AG$2,1-$AG$2)&lt;=50000,50,IF($F21*IF($C21="売",1+$AG$2,1-$AG$2)&lt;=300000,100,500)))))),FLOOR($F21*IF($C21="売",1+$AG$2,1-$AG$2),IF($F21*IF($C21="売",1+$AG$2,1-$AG$2)&lt;=3000,1,IF($F21*IF($C21="売",1+$AG$2,1-$AG$2)&lt;=5000,5,IF($F21*IF($C21="売",1+$AG$2,1-$AG$2)&lt;=30000,10,IF($F21*IF($C21="売",1+$AG$2,1-$AG$2)&lt;=50000,50,IF($F21*IF($C21="売",1+$AG$2,1-$AG$2)&lt;=300000,100,500))))))))</f>
      </c>
      <c r="O21" s="486">
        <f>IF(OR($B21="",$F21="",$H21=""),"",IF($S21="✅売却済","―決済済―",IF($C21="売",  IF($H21&lt;=$M21,"🟢利確",  IF(AND($R21&lt;&gt;"",$H21&gt;=$R21),"🟠TRAIL決済",  IF($H21&gt;=$N21,"🔴損切",  IF($W21&gt;=$AG$5,"⏱時間決済",  IF($H21&gt;=$F21*(1+$AG$2*0.7),"⚠️損切接近","保持継続"))))),  IF($H21&gt;=$M21,"🟢利確",  IF(AND($R21&lt;&gt;"",$H21&lt;=$R21),"🟠TRAIL決済",  IF($H21&lt;=$N21,"🔴損切",  IF($W21&gt;=$AG$5,"⏱時間決済",  IF($H21&lt;=$F21*(1-$AG$2*0.7),"⚠️損切接近","保持継続")))))))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  IF($H21&gt;$F21*(1-$AG$2),$N21,CEILING(MIN($N21,IF($Q21="",$N21,$Q21*1.03)),IF($N21&lt;=3000,1,IF($N21&lt;=5000,5,IF($N21&lt;=30000,10,IF($N21&lt;=50000,50,IF($N21&lt;=300000,100,500))))))),  IF($H21&lt;$F21*(1+$AG$2),$N21,FLOOR(MAX($N21,IF($P21="",$N21,$P21*0.97)),IF($N21&lt;=3000,1,IF($N21&lt;=5000,5,IF($N21&lt;=30000,10,IF($N21&lt;=50000,50,IF($N21&lt;=300000,100,500))))))))))</f>
      </c>
      <c r="S21" s="585" t="str">
        <f t="shared" ca="1" si="20"/>
        <v>📌保有中</v>
      </c>
      <c r="T21" s="593" t="str">
        <f t="shared" ca="1" si="9"/>
        <v/>
      </c>
      <c r="U21" s="485" t="str">
        <f t="shared" ca="1" si="10"/>
        <v/>
      </c>
      <c r="V21" s="700" t="str">
        <f t="shared" ca="1" si="21"/>
        <v/>
      </c>
      <c r="W21" s="487">
        <f t="shared" ca="1" si="11"/>
        <v>9</v>
      </c>
      <c r="X21" s="484" t="str">
        <f t="shared" ca="1" si="12"/>
        <v/>
      </c>
      <c r="Y21" s="488">
        <f>IF($B21="","",IF(COUNTIFS($B$4:$B21,$B21,$C$4:$C21,$C21)&gt;1,"⛔重複"&amp;COUNTIFS($B$4:$B21,$B21,$C$4:$C21,$C21)&amp;"回目",""))</f>
      </c>
      <c r="Z21" s="710">
        <v>19</v>
      </c>
      <c r="AA21" s="600" t="s">
        <v>1352</v>
      </c>
      <c r="AB21">
        <f>IF($F21="","",MAX(100,ROUNDDOWN($AG$4/($F21*$AG$2)/100,0)*100))</f>
      </c>
      <c r="AC21">
        <f>IF(OR($F21="",$G21="",$U21=""),"",ROUND($V21-($F21+$U21)*$G21*$AG$6-IF($C21="売",$F21*$G21*$AG$7*$W21/365,0),0))</f>
      </c>
      <c r="AD21" s="616" t="s">
        <v>1323</v>
      </c>
      <c r="AE21" s="625">
        <f t="shared" si="13"/>
        <v>46248</v>
      </c>
      <c r="AF21" s="627" t="str"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
      </c>
      <c r="AG21" s="627" t="str"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
      </c>
      <c r="AH21" s="601" t="str">
        <f t="shared" ca="1" si="14"/>
        <v/>
      </c>
      <c r="AI21" s="601" t="str" cm="1">
        <f t="array" ref="AI21">IFERROR(INDEX(始値!$E$6:$BT$305,MATCH(TEXT($B21,"0"),TEXT(銘柄管理!$B$6:$B$305,"0"),0),MATCH($AE21,始値!$E$3:$BT$3,0)),"")</f>
        <v/>
      </c>
      <c r="AJ21" s="905" t="str">
        <f t="shared" ca="1" si="15"/>
        <v/>
      </c>
      <c r="AK21" s="629" t="str">
        <f t="shared" ca="1" si="16"/>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 t="shared" ca="1" si="22"/>
        <v>✅追記済</v>
      </c>
      <c r="BB21" s="600" t="str">
        <f>IF(N(買抽出v13!$C21)=0,"",N(買抽出v13!$Q21)+N(買抽出v13!$L21)/1000-ROW()/1000000)</f>
        <v/>
      </c>
      <c r="BC21" s="600" t="str">
        <f>IF(N(売抽出v13!$C21)=0,"",N(売抽出v13!$Q21)+IFERROR(VALUE(SUBSTITUTE(売抽出v13!$L21,"倍","")),0)/1000-ROW()/1000000)</f>
        <v/>
      </c>
    </row>
    <row r="22" spans="1:55" ht="35.4" customHeight="1">
      <c r="A22" s="619" t="str">
        <f t="shared" si="0"/>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BT$3,0)=1,1,MATCH($E22,始値!$E$3:$BT$3,0)+1)),_xlpm.v,INDEX(始値!$C$6:$B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 t="shared" ca="1" si="17"/>
        <v>-43300</v>
      </c>
      <c r="L22" s="705">
        <f t="shared" ca="1" si="18"/>
        <v>-9.3722943722943722E-2</v>
      </c>
      <c r="M22" s="485">
        <f>IF($F22="","",IF($C22="売",CEILING($F22*IF($C22="売",1-$AG$3,1+$AG$3),IF($F22*IF($C22="売",1-$AG$3,1+$AG$3)&lt;=3000,1,IF($F22*IF($C22="売",1-$AG$3,1+$AG$3)&lt;=5000,5,IF($F22*IF($C22="売",1-$AG$3,1+$AG$3)&lt;=30000,10,IF($F22*IF($C22="売",1-$AG$3,1+$AG$3)&lt;=50000,50,IF($F22*IF($C22="売",1-$AG$3,1+$AG$3)&lt;=300000,100,500)))))),FLOOR($F22*IF($C22="売",1-$AG$3,1+$AG$3),IF($F22*IF($C22="売",1-$AG$3,1+$AG$3)&lt;=3000,1,IF($F22*IF($C22="売",1-$AG$3,1+$AG$3)&lt;=5000,5,IF($F22*IF($C22="売",1-$AG$3,1+$AG$3)&lt;=30000,10,IF($F22*IF($C22="売",1-$AG$3,1+$AG$3)&lt;=50000,50,IF($F22*IF($C22="売",1-$AG$3,1+$AG$3)&lt;=300000,100,500))))))))</f>
      </c>
      <c r="N22" s="485">
        <f>IF($F22="","",IF($C22="売",CEILING($F22*IF($C22="売",1+$AG$2,1-$AG$2),IF($F22*IF($C22="売",1+$AG$2,1-$AG$2)&lt;=3000,1,IF($F22*IF($C22="売",1+$AG$2,1-$AG$2)&lt;=5000,5,IF($F22*IF($C22="売",1+$AG$2,1-$AG$2)&lt;=30000,10,IF($F22*IF($C22="売",1+$AG$2,1-$AG$2)&lt;=50000,50,IF($F22*IF($C22="売",1+$AG$2,1-$AG$2)&lt;=300000,100,500)))))),FLOOR($F22*IF($C22="売",1+$AG$2,1-$AG$2),IF($F22*IF($C22="売",1+$AG$2,1-$AG$2)&lt;=3000,1,IF($F22*IF($C22="売",1+$AG$2,1-$AG$2)&lt;=5000,5,IF($F22*IF($C22="売",1+$AG$2,1-$AG$2)&lt;=30000,10,IF($F22*IF($C22="売",1+$AG$2,1-$AG$2)&lt;=50000,50,IF($F22*IF($C22="売",1+$AG$2,1-$AG$2)&lt;=300000,100,500))))))))</f>
      </c>
      <c r="O22" s="486">
        <f>IF(OR($B22="",$F22="",$H22=""),"",IF($S22="✅売却済","―決済済―",IF($C22="売",  IF($H22&lt;=$M22,"🟢利確",  IF(AND($R22&lt;&gt;"",$H22&gt;=$R22),"🟠TRAIL決済",  IF($H22&gt;=$N22,"🔴損切",  IF($W22&gt;=$AG$5,"⏱時間決済",  IF($H22&gt;=$F22*(1+$AG$2*0.7),"⚠️損切接近","保持継続"))))),  IF($H22&gt;=$M22,"🟢利確",  IF(AND($R22&lt;&gt;"",$H22&lt;=$R22),"🟠TRAIL決済",  IF($H22&lt;=$N22,"🔴損切",  IF($W22&gt;=$AG$5,"⏱時間決済",  IF($H22&lt;=$F22*(1-$AG$2*0.7),"⚠️損切接近","保持継続")))))))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  IF($H22&gt;$F22*(1-$AG$2),$N22,CEILING(MIN($N22,IF($Q22="",$N22,$Q22*1.03)),IF($N22&lt;=3000,1,IF($N22&lt;=5000,5,IF($N22&lt;=30000,10,IF($N22&lt;=50000,50,IF($N22&lt;=300000,100,500))))))),  IF($H22&lt;$F22*(1+$AG$2),$N22,FLOOR(MAX($N22,IF($P22="",$N22,$P22*0.97)),IF($N22&lt;=3000,1,IF($N22&lt;=5000,5,IF($N22&lt;=30000,10,IF($N22&lt;=50000,50,IF($N22&lt;=300000,100,500))))))))))</f>
      </c>
      <c r="S22" s="585" t="str">
        <f t="shared" ca="1" si="20"/>
        <v>✅売却済</v>
      </c>
      <c r="T22" s="593">
        <f t="shared" ca="1" si="9"/>
        <v>46234</v>
      </c>
      <c r="U22" s="485">
        <f t="shared" ca="1" si="10"/>
        <v>4435</v>
      </c>
      <c r="V22" s="700">
        <f t="shared" ca="1" si="21"/>
        <v>-18500</v>
      </c>
      <c r="W22" s="487">
        <f t="shared" ca="1" si="11"/>
        <v>3</v>
      </c>
      <c r="X22" s="484" t="str">
        <f t="shared" ca="1" si="12"/>
        <v>損切確定</v>
      </c>
      <c r="Y22" s="488">
        <f>IF($B22="","",IF(COUNTIFS($B$4:$B22,$B22,$C$4:$C22,$C22)&gt;1,"⛔重複"&amp;COUNTIFS($B$4:$B22,$B22,$C$4:$C22,$C22)&amp;"回目",""))</f>
      </c>
      <c r="Z22" s="710">
        <v>21</v>
      </c>
      <c r="AA22" s="600" t="s">
        <v>1353</v>
      </c>
      <c r="AB22">
        <f>IF($F22="","",MAX(100,ROUNDDOWN($AG$4/($F22*$AG$2)/100,0)*100))</f>
      </c>
      <c r="AC22">
        <f>IF(OR($F22="",$G22="",$U22=""),"",ROUND($V22-($F22+$U22)*$G22*$AG$6-IF($C22="売",$F22*$G22*$AG$7*$W22/365,0),0))</f>
      </c>
      <c r="AD22" s="616" t="s">
        <v>1324</v>
      </c>
      <c r="AE22" s="625">
        <f t="shared" si="13"/>
        <v>46248</v>
      </c>
      <c r="AF22" s="627"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27"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46234</v>
      </c>
      <c r="AH22" s="601" t="str">
        <f t="shared" ca="1" si="14"/>
        <v>損切確定</v>
      </c>
      <c r="AI22" s="601" t="str" cm="1">
        <f t="array" ref="AI22">IFERROR(INDEX(始値!$E$6:$BT$305,MATCH(TEXT($B22,"0"),TEXT(銘柄管理!$B$6:$B$305,"0"),0),MATCH($AE22,始値!$E$3:$BT$3,0)),"")</f>
        <v/>
      </c>
      <c r="AJ22" s="905">
        <f t="shared" ca="1" si="15"/>
        <v>-4.004329004329004E-2</v>
      </c>
      <c r="AK22" s="629" t="str">
        <f t="shared" ca="1" si="16"/>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 t="shared" ca="1" si="22"/>
        <v>✅追記済</v>
      </c>
      <c r="BB22" s="600" t="str">
        <f>IF(N(買抽出v13!$C22)=0,"",N(買抽出v13!$Q22)+N(買抽出v13!$L22)/1000-ROW()/1000000)</f>
        <v/>
      </c>
      <c r="BC22" s="600" t="str">
        <f>IF(N(売抽出v13!$C22)=0,"",N(売抽出v13!$Q22)+IFERROR(VALUE(SUBSTITUTE(売抽出v13!$L22,"倍","")),0)/1000-ROW()/1000000)</f>
        <v/>
      </c>
    </row>
    <row r="23" spans="1:55" ht="35.4" customHeight="1">
      <c r="A23" s="619" t="str">
        <f t="shared" si="0"/>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BT$3,0)=1,1,MATCH($E23,始値!$E$3:$BT$3,0)+1)),_xlpm.v,INDEX(始値!$C$6:$B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 t="shared" ca="1" si="17"/>
        <v>-23500</v>
      </c>
      <c r="L23" s="705">
        <f t="shared" ca="1" si="18"/>
        <v>-7.1428571428571425E-2</v>
      </c>
      <c r="M23" s="485">
        <f>IF($F23="","",IF($C23="売",CEILING($F23*IF($C23="売",1-$AG$3,1+$AG$3),IF($F23*IF($C23="売",1-$AG$3,1+$AG$3)&lt;=3000,1,IF($F23*IF($C23="売",1-$AG$3,1+$AG$3)&lt;=5000,5,IF($F23*IF($C23="売",1-$AG$3,1+$AG$3)&lt;=30000,10,IF($F23*IF($C23="売",1-$AG$3,1+$AG$3)&lt;=50000,50,IF($F23*IF($C23="売",1-$AG$3,1+$AG$3)&lt;=300000,100,500)))))),FLOOR($F23*IF($C23="売",1-$AG$3,1+$AG$3),IF($F23*IF($C23="売",1-$AG$3,1+$AG$3)&lt;=3000,1,IF($F23*IF($C23="売",1-$AG$3,1+$AG$3)&lt;=5000,5,IF($F23*IF($C23="売",1-$AG$3,1+$AG$3)&lt;=30000,10,IF($F23*IF($C23="売",1-$AG$3,1+$AG$3)&lt;=50000,50,IF($F23*IF($C23="売",1-$AG$3,1+$AG$3)&lt;=300000,100,500))))))))</f>
      </c>
      <c r="N23" s="485">
        <f>IF($F23="","",IF($C23="売",CEILING($F23*IF($C23="売",1+$AG$2,1-$AG$2),IF($F23*IF($C23="売",1+$AG$2,1-$AG$2)&lt;=3000,1,IF($F23*IF($C23="売",1+$AG$2,1-$AG$2)&lt;=5000,5,IF($F23*IF($C23="売",1+$AG$2,1-$AG$2)&lt;=30000,10,IF($F23*IF($C23="売",1+$AG$2,1-$AG$2)&lt;=50000,50,IF($F23*IF($C23="売",1+$AG$2,1-$AG$2)&lt;=300000,100,500)))))),FLOOR($F23*IF($C23="売",1+$AG$2,1-$AG$2),IF($F23*IF($C23="売",1+$AG$2,1-$AG$2)&lt;=3000,1,IF($F23*IF($C23="売",1+$AG$2,1-$AG$2)&lt;=5000,5,IF($F23*IF($C23="売",1+$AG$2,1-$AG$2)&lt;=30000,10,IF($F23*IF($C23="売",1+$AG$2,1-$AG$2)&lt;=50000,50,IF($F23*IF($C23="売",1+$AG$2,1-$AG$2)&lt;=300000,100,500))))))))</f>
      </c>
      <c r="O23" s="486">
        <f>IF(OR($B23="",$F23="",$H23=""),"",IF($S23="✅売却済","―決済済―",IF($C23="売",  IF($H23&lt;=$M23,"🟢利確",  IF(AND($R23&lt;&gt;"",$H23&gt;=$R23),"🟠TRAIL決済",  IF($H23&gt;=$N23,"🔴損切",  IF($W23&gt;=$AG$5,"⏱時間決済",  IF($H23&gt;=$F23*(1+$AG$2*0.7),"⚠️損切接近","保持継続"))))),  IF($H23&gt;=$M23,"🟢利確",  IF(AND($R23&lt;&gt;"",$H23&lt;=$R23),"🟠TRAIL決済",  IF($H23&lt;=$N23,"🔴損切",  IF($W23&gt;=$AG$5,"⏱時間決済",  IF($H23&lt;=$F23*(1-$AG$2*0.7),"⚠️損切接近","保持継続")))))))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  IF($H23&gt;$F23*(1-$AG$2),$N23,CEILING(MIN($N23,IF($Q23="",$N23,$Q23*1.03)),IF($N23&lt;=3000,1,IF($N23&lt;=5000,5,IF($N23&lt;=30000,10,IF($N23&lt;=50000,50,IF($N23&lt;=300000,100,500))))))),  IF($H23&lt;$F23*(1+$AG$2),$N23,FLOOR(MAX($N23,IF($P23="",$N23,$P23*0.97)),IF($N23&lt;=3000,1,IF($N23&lt;=5000,5,IF($N23&lt;=30000,10,IF($N23&lt;=50000,50,IF($N23&lt;=300000,100,500))))))))))</f>
      </c>
      <c r="S23" s="585" t="str">
        <f t="shared" ca="1" si="20"/>
        <v>✅売却済</v>
      </c>
      <c r="T23" s="593">
        <f t="shared" ca="1" si="9"/>
        <v>46233</v>
      </c>
      <c r="U23" s="485">
        <f t="shared" ca="1" si="10"/>
        <v>3158</v>
      </c>
      <c r="V23" s="700">
        <f t="shared" ca="1" si="21"/>
        <v>-13200</v>
      </c>
      <c r="W23" s="487">
        <f t="shared" ca="1" si="11"/>
        <v>2</v>
      </c>
      <c r="X23" s="484" t="str">
        <f t="shared" ca="1" si="12"/>
        <v>損切確定</v>
      </c>
      <c r="Y23" s="488">
        <f>IF($B23="","",IF(COUNTIFS($B$4:$B23,$B23,$C$4:$C23,$C23)&gt;1,"⛔重複"&amp;COUNTIFS($B$4:$B23,$B23,$C$4:$C23,$C23)&amp;"回目",""))</f>
      </c>
      <c r="Z23" s="710">
        <v>21</v>
      </c>
      <c r="AA23" s="600" t="s">
        <v>1331</v>
      </c>
      <c r="AB23">
        <f>IF($F23="","",MAX(100,ROUNDDOWN($AG$4/($F23*$AG$2)/100,0)*100))</f>
      </c>
      <c r="AC23">
        <f>IF(OR($F23="",$G23="",$U23=""),"",ROUND($V23-($F23+$U23)*$G23*$AG$6-IF($C23="売",$F23*$G23*$AG$7*$W23/365,0),0))</f>
      </c>
      <c r="AD23" s="616" t="s">
        <v>1324</v>
      </c>
      <c r="AE23" s="625">
        <f t="shared" si="13"/>
        <v>46248</v>
      </c>
      <c r="AF23" s="627"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27"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01" t="str">
        <f t="shared" ca="1" si="14"/>
        <v>損切確定</v>
      </c>
      <c r="AI23" s="601" t="str" cm="1">
        <f t="array" ref="AI23">IFERROR(INDEX(始値!$E$6:$BT$305,MATCH(TEXT($B23,"0"),TEXT(銘柄管理!$B$6:$B$305,"0"),0),MATCH($AE23,始値!$E$3:$BT$3,0)),"")</f>
        <v/>
      </c>
      <c r="AJ23" s="905">
        <f t="shared" ca="1" si="15"/>
        <v>-4.0121580547112463E-2</v>
      </c>
      <c r="AK23" s="629" t="str">
        <f t="shared" ca="1" si="16"/>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 t="shared" ca="1" si="22"/>
        <v>✅追記済</v>
      </c>
      <c r="BB23" s="600" t="str">
        <f>IF(N(買抽出v13!$C23)=0,"",N(買抽出v13!$Q23)+N(買抽出v13!$L23)/1000-ROW()/1000000)</f>
        <v/>
      </c>
      <c r="BC23" s="600" t="str">
        <f>IF(N(売抽出v13!$C23)=0,"",N(売抽出v13!$Q23)+IFERROR(VALUE(SUBSTITUTE(売抽出v13!$L23,"倍","")),0)/1000-ROW()/1000000)</f>
        <v/>
      </c>
    </row>
    <row r="24" spans="1:55" ht="35.4" customHeight="1">
      <c r="A24" s="619" t="str">
        <f t="shared" si="0"/>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BT$3,0)=1,1,MATCH($E24,始値!$E$3:$BT$3,0)+1)),_xlpm.v,INDEX(始値!$C$6:$B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 t="shared" ca="1" si="17"/>
        <v>-251000</v>
      </c>
      <c r="L24" s="705">
        <f t="shared" ca="1" si="18"/>
        <v>-0.21600688468158347</v>
      </c>
      <c r="M24" s="485">
        <f>IF($F24="","",IF($C24="売",CEILING($F24*IF($C24="売",1-$AG$3,1+$AG$3),IF($F24*IF($C24="売",1-$AG$3,1+$AG$3)&lt;=3000,1,IF($F24*IF($C24="売",1-$AG$3,1+$AG$3)&lt;=5000,5,IF($F24*IF($C24="売",1-$AG$3,1+$AG$3)&lt;=30000,10,IF($F24*IF($C24="売",1-$AG$3,1+$AG$3)&lt;=50000,50,IF($F24*IF($C24="売",1-$AG$3,1+$AG$3)&lt;=300000,100,500)))))),FLOOR($F24*IF($C24="売",1-$AG$3,1+$AG$3),IF($F24*IF($C24="売",1-$AG$3,1+$AG$3)&lt;=3000,1,IF($F24*IF($C24="売",1-$AG$3,1+$AG$3)&lt;=5000,5,IF($F24*IF($C24="売",1-$AG$3,1+$AG$3)&lt;=30000,10,IF($F24*IF($C24="売",1-$AG$3,1+$AG$3)&lt;=50000,50,IF($F24*IF($C24="売",1-$AG$3,1+$AG$3)&lt;=300000,100,500))))))))</f>
      </c>
      <c r="N24" s="485">
        <f>IF($F24="","",IF($C24="売",CEILING($F24*IF($C24="売",1+$AG$2,1-$AG$2),IF($F24*IF($C24="売",1+$AG$2,1-$AG$2)&lt;=3000,1,IF($F24*IF($C24="売",1+$AG$2,1-$AG$2)&lt;=5000,5,IF($F24*IF($C24="売",1+$AG$2,1-$AG$2)&lt;=30000,10,IF($F24*IF($C24="売",1+$AG$2,1-$AG$2)&lt;=50000,50,IF($F24*IF($C24="売",1+$AG$2,1-$AG$2)&lt;=300000,100,500)))))),FLOOR($F24*IF($C24="売",1+$AG$2,1-$AG$2),IF($F24*IF($C24="売",1+$AG$2,1-$AG$2)&lt;=3000,1,IF($F24*IF($C24="売",1+$AG$2,1-$AG$2)&lt;=5000,5,IF($F24*IF($C24="売",1+$AG$2,1-$AG$2)&lt;=30000,10,IF($F24*IF($C24="売",1+$AG$2,1-$AG$2)&lt;=50000,50,IF($F24*IF($C24="売",1+$AG$2,1-$AG$2)&lt;=300000,100,500))))))))</f>
      </c>
      <c r="O24" s="486">
        <f>IF(OR($B24="",$F24="",$H24=""),"",IF($S24="✅売却済","―決済済―",IF($C24="売",  IF($H24&lt;=$M24,"🟢利確",  IF(AND($R24&lt;&gt;"",$H24&gt;=$R24),"🟠TRAIL決済",  IF($H24&gt;=$N24,"🔴損切",  IF($W24&gt;=$AG$5,"⏱時間決済",  IF($H24&gt;=$F24*(1+$AG$2*0.7),"⚠️損切接近","保持継続"))))),  IF($H24&gt;=$M24,"🟢利確",  IF(AND($R24&lt;&gt;"",$H24&lt;=$R24),"🟠TRAIL決済",  IF($H24&lt;=$N24,"🔴損切",  IF($W24&gt;=$AG$5,"⏱時間決済",  IF($H24&lt;=$F24*(1-$AG$2*0.7),"⚠️損切接近","保持継続")))))))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  IF($H24&gt;$F24*(1-$AG$2),$N24,CEILING(MIN($N24,IF($Q24="",$N24,$Q24*1.03)),IF($N24&lt;=3000,1,IF($N24&lt;=5000,5,IF($N24&lt;=30000,10,IF($N24&lt;=50000,50,IF($N24&lt;=300000,100,500))))))),  IF($H24&lt;$F24*(1+$AG$2),$N24,FLOOR(MAX($N24,IF($P24="",$N24,$P24*0.97)),IF($N24&lt;=3000,1,IF($N24&lt;=5000,5,IF($N24&lt;=30000,10,IF($N24&lt;=50000,50,IF($N24&lt;=300000,100,500))))))))))</f>
      </c>
      <c r="S24" s="585" t="str">
        <f t="shared" ca="1" si="20"/>
        <v>✅売却済</v>
      </c>
      <c r="T24" s="593">
        <f t="shared" ca="1" si="9"/>
        <v>46233</v>
      </c>
      <c r="U24" s="485">
        <f t="shared" ca="1" si="10"/>
        <v>12085</v>
      </c>
      <c r="V24" s="700">
        <f t="shared" ca="1" si="21"/>
        <v>-46500</v>
      </c>
      <c r="W24" s="487">
        <f t="shared" ca="1" si="11"/>
        <v>2</v>
      </c>
      <c r="X24" s="484" t="str">
        <f t="shared" ca="1" si="12"/>
        <v>損切確定</v>
      </c>
      <c r="Y24" s="488">
        <f>IF($B24="","",IF(COUNTIFS($B$4:$B24,$B24,$C$4:$C24,$C24)&gt;1,"⛔重複"&amp;COUNTIFS($B$4:$B24,$B24,$C$4:$C24,$C24)&amp;"回目",""))</f>
      </c>
      <c r="Z24" s="710">
        <v>21</v>
      </c>
      <c r="AA24" s="600" t="s">
        <v>1354</v>
      </c>
      <c r="AB24">
        <f>IF($F24="","",MAX(100,ROUNDDOWN($AG$4/($F24*$AG$2)/100,0)*100))</f>
      </c>
      <c r="AC24">
        <f>IF(OR($F24="",$G24="",$U24=""),"",ROUND($V24-($F24+$U24)*$G24*$AG$6-IF($C24="売",$F24*$G24*$AG$7*$W24/365,0),0))</f>
      </c>
      <c r="AD24" s="608" t="s">
        <v>1325</v>
      </c>
      <c r="AE24" s="624">
        <f t="shared" si="13"/>
        <v>46248</v>
      </c>
      <c r="AF24" s="626"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26"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00" t="str">
        <f t="shared" ca="1" si="14"/>
        <v>損切確定</v>
      </c>
      <c r="AI24" s="600" t="str" cm="1">
        <f t="array" ref="AI24">IFERROR(INDEX(始値!$E$6:$BT$305,MATCH(TEXT($B24,"0"),TEXT(銘柄管理!$B$6:$B$305,"0"),0),MATCH($AE24,始値!$E$3:$BT$3,0)),"")</f>
        <v/>
      </c>
      <c r="AJ24" s="905">
        <f t="shared" ca="1" si="15"/>
        <v>-4.0017211703958694E-2</v>
      </c>
      <c r="AK24" s="629" t="str">
        <f t="shared" ca="1" si="16"/>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 t="shared" ca="1" si="22"/>
        <v>✅追記済</v>
      </c>
      <c r="BB24" s="600" t="str">
        <f>IF(N(買抽出v13!$C24)=0,"",N(買抽出v13!$Q24)+N(買抽出v13!$L24)/1000-ROW()/1000000)</f>
        <v/>
      </c>
      <c r="BC24" s="600" t="str">
        <f>IF(N(売抽出v13!$C24)=0,"",N(売抽出v13!$Q24)+IFERROR(VALUE(SUBSTITUTE(売抽出v13!$L24,"倍","")),0)/1000-ROW()/1000000)</f>
        <v/>
      </c>
    </row>
    <row r="25" spans="1:55" ht="35.4" customHeight="1">
      <c r="A25" s="619" t="str">
        <f t="shared" si="0"/>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BT$3,0)=1,1,MATCH($E25,始値!$E$3:$BT$3,0)+1)),_xlpm.v,INDEX(始値!$C$6:$B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 t="shared" ca="1" si="17"/>
        <v>-45500</v>
      </c>
      <c r="L25" s="705">
        <f t="shared" ca="1" si="18"/>
        <v>-7.9656862745098034E-2</v>
      </c>
      <c r="M25" s="485">
        <f>IF($F25="","",IF($C25="売",CEILING($F25*IF($C25="売",1-$AG$3,1+$AG$3),IF($F25*IF($C25="売",1-$AG$3,1+$AG$3)&lt;=3000,1,IF($F25*IF($C25="売",1-$AG$3,1+$AG$3)&lt;=5000,5,IF($F25*IF($C25="売",1-$AG$3,1+$AG$3)&lt;=30000,10,IF($F25*IF($C25="売",1-$AG$3,1+$AG$3)&lt;=50000,50,IF($F25*IF($C25="売",1-$AG$3,1+$AG$3)&lt;=300000,100,500)))))),FLOOR($F25*IF($C25="売",1-$AG$3,1+$AG$3),IF($F25*IF($C25="売",1-$AG$3,1+$AG$3)&lt;=3000,1,IF($F25*IF($C25="売",1-$AG$3,1+$AG$3)&lt;=5000,5,IF($F25*IF($C25="売",1-$AG$3,1+$AG$3)&lt;=30000,10,IF($F25*IF($C25="売",1-$AG$3,1+$AG$3)&lt;=50000,50,IF($F25*IF($C25="売",1-$AG$3,1+$AG$3)&lt;=300000,100,500))))))))</f>
      </c>
      <c r="N25" s="485">
        <f>IF($F25="","",IF($C25="売",CEILING($F25*IF($C25="売",1+$AG$2,1-$AG$2),IF($F25*IF($C25="売",1+$AG$2,1-$AG$2)&lt;=3000,1,IF($F25*IF($C25="売",1+$AG$2,1-$AG$2)&lt;=5000,5,IF($F25*IF($C25="売",1+$AG$2,1-$AG$2)&lt;=30000,10,IF($F25*IF($C25="売",1+$AG$2,1-$AG$2)&lt;=50000,50,IF($F25*IF($C25="売",1+$AG$2,1-$AG$2)&lt;=300000,100,500)))))),FLOOR($F25*IF($C25="売",1+$AG$2,1-$AG$2),IF($F25*IF($C25="売",1+$AG$2,1-$AG$2)&lt;=3000,1,IF($F25*IF($C25="売",1+$AG$2,1-$AG$2)&lt;=5000,5,IF($F25*IF($C25="売",1+$AG$2,1-$AG$2)&lt;=30000,10,IF($F25*IF($C25="売",1+$AG$2,1-$AG$2)&lt;=50000,50,IF($F25*IF($C25="売",1+$AG$2,1-$AG$2)&lt;=300000,100,500))))))))</f>
      </c>
      <c r="O25" s="486">
        <f>IF(OR($B25="",$F25="",$H25=""),"",IF($S25="✅売却済","―決済済―",IF($C25="売",  IF($H25&lt;=$M25,"🟢利確",  IF(AND($R25&lt;&gt;"",$H25&gt;=$R25),"🟠TRAIL決済",  IF($H25&gt;=$N25,"🔴損切",  IF($W25&gt;=$AG$5,"⏱時間決済",  IF($H25&gt;=$F25*(1+$AG$2*0.7),"⚠️損切接近","保持継続"))))),  IF($H25&gt;=$M25,"🟢利確",  IF(AND($R25&lt;&gt;"",$H25&lt;=$R25),"🟠TRAIL決済",  IF($H25&lt;=$N25,"🔴損切",  IF($W25&gt;=$AG$5,"⏱時間決済",  IF($H25&lt;=$F25*(1-$AG$2*0.7),"⚠️損切接近","保持継続")))))))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  IF($H25&gt;$F25*(1-$AG$2),$N25,CEILING(MIN($N25,IF($Q25="",$N25,$Q25*1.03)),IF($N25&lt;=3000,1,IF($N25&lt;=5000,5,IF($N25&lt;=30000,10,IF($N25&lt;=50000,50,IF($N25&lt;=300000,100,500))))))),  IF($H25&lt;$F25*(1+$AG$2),$N25,FLOOR(MAX($N25,IF($P25="",$N25,$P25*0.97)),IF($N25&lt;=3000,1,IF($N25&lt;=5000,5,IF($N25&lt;=30000,10,IF($N25&lt;=50000,50,IF($N25&lt;=300000,100,500))))))))))</f>
      </c>
      <c r="S25" s="585" t="str">
        <f t="shared" ca="1" si="20"/>
        <v>✅売却済</v>
      </c>
      <c r="T25" s="593">
        <f t="shared" ca="1" si="9"/>
        <v>46234</v>
      </c>
      <c r="U25" s="485">
        <f t="shared" ca="1" si="10"/>
        <v>5940</v>
      </c>
      <c r="V25" s="700">
        <f t="shared" ca="1" si="21"/>
        <v>-22800</v>
      </c>
      <c r="W25" s="487">
        <f t="shared" ca="1" si="11"/>
        <v>3</v>
      </c>
      <c r="X25" s="484" t="str">
        <f t="shared" ca="1" si="12"/>
        <v>損切確定</v>
      </c>
      <c r="Y25" s="488">
        <f>IF($B25="","",IF(COUNTIFS($B$4:$B25,$B25,$C$4:$C25,$C25)&gt;1,"⛔重複"&amp;COUNTIFS($B$4:$B25,$B25,$C$4:$C25,$C25)&amp;"回目",""))</f>
      </c>
      <c r="Z25" s="710">
        <v>21</v>
      </c>
      <c r="AA25" s="600" t="s">
        <v>1355</v>
      </c>
      <c r="AB25">
        <f>IF($F25="","",MAX(100,ROUNDDOWN($AG$4/($F25*$AG$2)/100,0)*100))</f>
      </c>
      <c r="AC25">
        <f>IF(OR($F25="",$G25="",$U25=""),"",ROUND($V25-($F25+$U25)*$G25*$AG$6-IF($C25="売",$F25*$G25*$AG$7*$W25/365,0),0))</f>
      </c>
      <c r="AD25" s="608" t="s">
        <v>1325</v>
      </c>
      <c r="AE25" s="624">
        <f t="shared" si="13"/>
        <v>46248</v>
      </c>
      <c r="AF25" s="626"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26"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46234</v>
      </c>
      <c r="AH25" s="600" t="str">
        <f t="shared" ca="1" si="14"/>
        <v>損切確定</v>
      </c>
      <c r="AI25" s="600" t="str" cm="1">
        <f t="array" ref="AI25">IFERROR(INDEX(始値!$E$6:$BT$305,MATCH(TEXT($B25,"0"),TEXT(銘柄管理!$B$6:$B$305,"0"),0),MATCH($AE25,始値!$E$3:$BT$3,0)),"")</f>
        <v/>
      </c>
      <c r="AJ25" s="905">
        <f t="shared" ca="1" si="15"/>
        <v>-3.9915966386554619E-2</v>
      </c>
      <c r="AK25" s="629" t="str">
        <f t="shared" ca="1" si="16"/>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 t="shared" si="0"/>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BT$3,0)=1,1,MATCH($E26,始値!$E$3:$BT$3,0)+1)),_xlpm.v,INDEX(始値!$C$6:$B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 t="shared" ca="1" si="17"/>
        <v>-3650</v>
      </c>
      <c r="L26" s="705">
        <f t="shared" ca="1" si="18"/>
        <v>-2.4931693989071038E-2</v>
      </c>
      <c r="M26" s="485">
        <f>IF($F26="","",IF($C26="売",CEILING($F26*IF($C26="売",1-$AG$3,1+$AG$3),IF($F26*IF($C26="売",1-$AG$3,1+$AG$3)&lt;=3000,1,IF($F26*IF($C26="売",1-$AG$3,1+$AG$3)&lt;=5000,5,IF($F26*IF($C26="売",1-$AG$3,1+$AG$3)&lt;=30000,10,IF($F26*IF($C26="売",1-$AG$3,1+$AG$3)&lt;=50000,50,IF($F26*IF($C26="売",1-$AG$3,1+$AG$3)&lt;=300000,100,500)))))),FLOOR($F26*IF($C26="売",1-$AG$3,1+$AG$3),IF($F26*IF($C26="売",1-$AG$3,1+$AG$3)&lt;=3000,1,IF($F26*IF($C26="売",1-$AG$3,1+$AG$3)&lt;=5000,5,IF($F26*IF($C26="売",1-$AG$3,1+$AG$3)&lt;=30000,10,IF($F26*IF($C26="売",1-$AG$3,1+$AG$3)&lt;=50000,50,IF($F26*IF($C26="売",1-$AG$3,1+$AG$3)&lt;=300000,100,500))))))))</f>
      </c>
      <c r="N26" s="485">
        <f>IF($F26="","",IF($C26="売",CEILING($F26*IF($C26="売",1+$AG$2,1-$AG$2),IF($F26*IF($C26="売",1+$AG$2,1-$AG$2)&lt;=3000,1,IF($F26*IF($C26="売",1+$AG$2,1-$AG$2)&lt;=5000,5,IF($F26*IF($C26="売",1+$AG$2,1-$AG$2)&lt;=30000,10,IF($F26*IF($C26="売",1+$AG$2,1-$AG$2)&lt;=50000,50,IF($F26*IF($C26="売",1+$AG$2,1-$AG$2)&lt;=300000,100,500)))))),FLOOR($F26*IF($C26="売",1+$AG$2,1-$AG$2),IF($F26*IF($C26="売",1+$AG$2,1-$AG$2)&lt;=3000,1,IF($F26*IF($C26="売",1+$AG$2,1-$AG$2)&lt;=5000,5,IF($F26*IF($C26="売",1+$AG$2,1-$AG$2)&lt;=30000,10,IF($F26*IF($C26="売",1+$AG$2,1-$AG$2)&lt;=50000,50,IF($F26*IF($C26="売",1+$AG$2,1-$AG$2)&lt;=300000,100,500))))))))</f>
      </c>
      <c r="O26" s="486">
        <f>IF(OR($B26="",$F26="",$H26=""),"",IF($S26="✅売却済","―決済済―",IF($C26="売",  IF($H26&lt;=$M26,"🟢利確",  IF(AND($R26&lt;&gt;"",$H26&gt;=$R26),"🟠TRAIL決済",  IF($H26&gt;=$N26,"🔴損切",  IF($W26&gt;=$AG$5,"⏱時間決済",  IF($H26&gt;=$F26*(1+$AG$2*0.7),"⚠️損切接近","保持継続"))))),  IF($H26&gt;=$M26,"🟢利確",  IF(AND($R26&lt;&gt;"",$H26&lt;=$R26),"🟠TRAIL決済",  IF($H26&lt;=$N26,"🔴損切",  IF($W26&gt;=$AG$5,"⏱時間決済",  IF($H26&lt;=$F26*(1-$AG$2*0.7),"⚠️損切接近","保持継続")))))))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  IF($H26&gt;$F26*(1-$AG$2),$N26,CEILING(MIN($N26,IF($Q26="",$N26,$Q26*1.03)),IF($N26&lt;=3000,1,IF($N26&lt;=5000,5,IF($N26&lt;=30000,10,IF($N26&lt;=50000,50,IF($N26&lt;=300000,100,500))))))),  IF($H26&lt;$F26*(1+$AG$2),$N26,FLOOR(MAX($N26,IF($P26="",$N26,$P26*0.97)),IF($N26&lt;=3000,1,IF($N26&lt;=5000,5,IF($N26&lt;=30000,10,IF($N26&lt;=50000,50,IF($N26&lt;=300000,100,500))))))))))</f>
      </c>
      <c r="S26" s="585" t="str">
        <f t="shared" ca="1" si="20"/>
        <v>✅売却済</v>
      </c>
      <c r="T26" s="593">
        <f t="shared" ca="1" si="9"/>
        <v>46237</v>
      </c>
      <c r="U26" s="485">
        <f t="shared" ca="1" si="10"/>
        <v>1405</v>
      </c>
      <c r="V26" s="700">
        <f t="shared" ca="1" si="21"/>
        <v>-5900</v>
      </c>
      <c r="W26" s="487">
        <f t="shared" ca="1" si="11"/>
        <v>5</v>
      </c>
      <c r="X26" s="484" t="str">
        <f t="shared" ca="1" si="12"/>
        <v>損切確定</v>
      </c>
      <c r="Y26" s="488">
        <f>IF($B26="","",IF(COUNTIFS($B$4:$B26,$B26,$C$4:$C26,$C26)&gt;1,"⛔重複"&amp;COUNTIFS($B$4:$B26,$B26,$C$4:$C26,$C26)&amp;"回目",""))</f>
      </c>
      <c r="Z26" s="710">
        <v>16</v>
      </c>
      <c r="AA26" s="600" t="s">
        <v>1356</v>
      </c>
      <c r="AB26">
        <f>IF($F26="","",MAX(100,ROUNDDOWN($AG$4/($F26*$AG$2)/100,0)*100))</f>
      </c>
      <c r="AC26">
        <f>IF(OR($F26="",$G26="",$U26=""),"",ROUND($V26-($F26+$U26)*$G26*$AG$6-IF($C26="売",$F26*$G26*$AG$7*$W26/365,0),0))</f>
      </c>
      <c r="AD26" s="608" t="s">
        <v>1322</v>
      </c>
      <c r="AE26" s="624">
        <f t="shared" si="13"/>
        <v>46251</v>
      </c>
      <c r="AF26" s="626"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0</v>
      </c>
      <c r="AG26" s="626"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46237</v>
      </c>
      <c r="AH26" s="600" t="str">
        <f t="shared" ca="1" si="14"/>
        <v>損切確定</v>
      </c>
      <c r="AI26" s="600" t="str" cm="1">
        <f t="array" ref="AI26">IFERROR(INDEX(始値!$E$6:$BT$305,MATCH(TEXT($B26,"0"),TEXT(銘柄管理!$B$6:$B$305,"0"),0),MATCH($AE26,始値!$E$3:$BT$3,0)),"")</f>
        <v/>
      </c>
      <c r="AJ26" s="905">
        <f ca="1">IF(OR($V26="",$F26="",$G26=""),"",$V26/($F26*$G26))</f>
        <v>-4.0300546448087435E-2</v>
      </c>
      <c r="AK26" s="629" t="str">
        <f t="shared" ca="1" si="16"/>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 t="shared" si="0"/>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BT$3,0)=1,1,MATCH($E27,始値!$E$3:$BT$3,0)+1)),_xlpm.v,INDEX(始値!$C$6:$B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 t="shared" ca="1" si="17"/>
        <v>-20900</v>
      </c>
      <c r="L27" s="705">
        <f t="shared" ca="1" si="18"/>
        <v>-4.2653061224489794E-2</v>
      </c>
      <c r="M27" s="485">
        <f>IF($F27="","",IF($C27="売",CEILING($F27*IF($C27="売",1-$AG$3,1+$AG$3),IF($F27*IF($C27="売",1-$AG$3,1+$AG$3)&lt;=3000,1,IF($F27*IF($C27="売",1-$AG$3,1+$AG$3)&lt;=5000,5,IF($F27*IF($C27="売",1-$AG$3,1+$AG$3)&lt;=30000,10,IF($F27*IF($C27="売",1-$AG$3,1+$AG$3)&lt;=50000,50,IF($F27*IF($C27="売",1-$AG$3,1+$AG$3)&lt;=300000,100,500)))))),FLOOR($F27*IF($C27="売",1-$AG$3,1+$AG$3),IF($F27*IF($C27="売",1-$AG$3,1+$AG$3)&lt;=3000,1,IF($F27*IF($C27="売",1-$AG$3,1+$AG$3)&lt;=5000,5,IF($F27*IF($C27="売",1-$AG$3,1+$AG$3)&lt;=30000,10,IF($F27*IF($C27="売",1-$AG$3,1+$AG$3)&lt;=50000,50,IF($F27*IF($C27="売",1-$AG$3,1+$AG$3)&lt;=300000,100,500))))))))</f>
      </c>
      <c r="N27" s="485">
        <f>IF($F27="","",IF($C27="売",CEILING($F27*IF($C27="売",1+$AG$2,1-$AG$2),IF($F27*IF($C27="売",1+$AG$2,1-$AG$2)&lt;=3000,1,IF($F27*IF($C27="売",1+$AG$2,1-$AG$2)&lt;=5000,5,IF($F27*IF($C27="売",1+$AG$2,1-$AG$2)&lt;=30000,10,IF($F27*IF($C27="売",1+$AG$2,1-$AG$2)&lt;=50000,50,IF($F27*IF($C27="売",1+$AG$2,1-$AG$2)&lt;=300000,100,500)))))),FLOOR($F27*IF($C27="売",1+$AG$2,1-$AG$2),IF($F27*IF($C27="売",1+$AG$2,1-$AG$2)&lt;=3000,1,IF($F27*IF($C27="売",1+$AG$2,1-$AG$2)&lt;=5000,5,IF($F27*IF($C27="売",1+$AG$2,1-$AG$2)&lt;=30000,10,IF($F27*IF($C27="売",1+$AG$2,1-$AG$2)&lt;=50000,50,IF($F27*IF($C27="売",1+$AG$2,1-$AG$2)&lt;=300000,100,500))))))))</f>
      </c>
      <c r="O27" s="486">
        <f>IF(OR($B27="",$F27="",$H27=""),"",IF($S27="✅売却済","―決済済―",IF($C27="売",  IF($H27&lt;=$M27,"🟢利確",  IF(AND($R27&lt;&gt;"",$H27&gt;=$R27),"🟠TRAIL決済",  IF($H27&gt;=$N27,"🔴損切",  IF($W27&gt;=$AG$5,"⏱時間決済",  IF($H27&gt;=$F27*(1+$AG$2*0.7),"⚠️損切接近","保持継続"))))),  IF($H27&gt;=$M27,"🟢利確",  IF(AND($R27&lt;&gt;"",$H27&lt;=$R27),"🟠TRAIL決済",  IF($H27&lt;=$N27,"🔴損切",  IF($W27&gt;=$AG$5,"⏱時間決済",  IF($H27&lt;=$F27*(1-$AG$2*0.7),"⚠️損切接近","保持継続")))))))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  IF($H27&gt;$F27*(1-$AG$2),$N27,CEILING(MIN($N27,IF($Q27="",$N27,$Q27*1.03)),IF($N27&lt;=3000,1,IF($N27&lt;=5000,5,IF($N27&lt;=30000,10,IF($N27&lt;=50000,50,IF($N27&lt;=300000,100,500))))))),  IF($H27&lt;$F27*(1+$AG$2),$N27,FLOOR(MAX($N27,IF($P27="",$N27,$P27*0.97)),IF($N27&lt;=3000,1,IF($N27&lt;=5000,5,IF($N27&lt;=30000,10,IF($N27&lt;=50000,50,IF($N27&lt;=300000,100,500))))))))))</f>
      </c>
      <c r="S27" s="585" t="str">
        <f t="shared" ca="1" si="20"/>
        <v>✅売却済</v>
      </c>
      <c r="T27" s="593">
        <f t="shared" ca="1" si="9"/>
        <v>46237</v>
      </c>
      <c r="U27" s="485">
        <f t="shared" ca="1" si="10"/>
        <v>4704</v>
      </c>
      <c r="V27" s="700">
        <f t="shared" ca="1" si="21"/>
        <v>-19600</v>
      </c>
      <c r="W27" s="487">
        <f t="shared" ca="1" si="11"/>
        <v>5</v>
      </c>
      <c r="X27" s="484" t="str">
        <f t="shared" ca="1" si="12"/>
        <v>損切確定</v>
      </c>
      <c r="Y27" s="488">
        <f>IF($B27="","",IF(COUNTIFS($B$4:$B27,$B27,$C$4:$C27,$C27)&gt;1,"⛔重複"&amp;COUNTIFS($B$4:$B27,$B27,$C$4:$C27,$C27)&amp;"回目",""))</f>
      </c>
      <c r="Z27" s="710">
        <v>16</v>
      </c>
      <c r="AA27" s="600" t="s">
        <v>1357</v>
      </c>
      <c r="AB27">
        <f>IF($F27="","",MAX(100,ROUNDDOWN($AG$4/($F27*$AG$2)/100,0)*100))</f>
      </c>
      <c r="AC27">
        <f>IF(OR($F27="",$G27="",$U27=""),"",ROUND($V27-($F27+$U27)*$G27*$AG$6-IF($C27="売",$F27*$G27*$AG$7*$W27/365,0),0))</f>
      </c>
      <c r="AD27" s="608" t="s">
        <v>1322</v>
      </c>
      <c r="AE27" s="624">
        <f t="shared" si="13"/>
        <v>46251</v>
      </c>
      <c r="AF27" s="626"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0</v>
      </c>
      <c r="AG27" s="626"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46237</v>
      </c>
      <c r="AH27" s="600" t="str">
        <f t="shared" ca="1" si="14"/>
        <v>損切確定</v>
      </c>
      <c r="AI27" s="600" t="str" cm="1">
        <f t="array" ref="AI27">IFERROR(INDEX(始値!$E$6:$BT$305,MATCH(TEXT($B27,"0"),TEXT(銘柄管理!$B$6:$B$305,"0"),0),MATCH($AE27,始値!$E$3:$BT$3,0)),"")</f>
        <v/>
      </c>
      <c r="AJ27" s="905">
        <f t="shared" ca="1" si="15"/>
        <v>-0.04</v>
      </c>
      <c r="AK27" s="629" t="str">
        <f t="shared" ca="1" si="16"/>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 t="shared" si="0"/>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BT$3,0)=1,1,MATCH($E28,始値!$E$3:$BT$3,0)+1)),_xlpm.v,INDEX(始値!$C$6:$B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 t="shared" ca="1" si="17"/>
        <v>-17300</v>
      </c>
      <c r="L28" s="706">
        <f t="shared" ca="1" si="18"/>
        <v>-9.897025171624714E-2</v>
      </c>
      <c r="M28" s="491">
        <f>IF($F28="","",IF($C28="売",CEILING($F28*IF($C28="売",1-$AG$3,1+$AG$3),IF($F28*IF($C28="売",1-$AG$3,1+$AG$3)&lt;=3000,1,IF($F28*IF($C28="売",1-$AG$3,1+$AG$3)&lt;=5000,5,IF($F28*IF($C28="売",1-$AG$3,1+$AG$3)&lt;=30000,10,IF($F28*IF($C28="売",1-$AG$3,1+$AG$3)&lt;=50000,50,IF($F28*IF($C28="売",1-$AG$3,1+$AG$3)&lt;=300000,100,500)))))),FLOOR($F28*IF($C28="売",1-$AG$3,1+$AG$3),IF($F28*IF($C28="売",1-$AG$3,1+$AG$3)&lt;=3000,1,IF($F28*IF($C28="売",1-$AG$3,1+$AG$3)&lt;=5000,5,IF($F28*IF($C28="売",1-$AG$3,1+$AG$3)&lt;=30000,10,IF($F28*IF($C28="売",1-$AG$3,1+$AG$3)&lt;=50000,50,IF($F28*IF($C28="売",1-$AG$3,1+$AG$3)&lt;=300000,100,500))))))))</f>
      </c>
      <c r="N28" s="491">
        <f>IF($F28="","",IF($C28="売",CEILING($F28*IF($C28="売",1+$AG$2,1-$AG$2),IF($F28*IF($C28="売",1+$AG$2,1-$AG$2)&lt;=3000,1,IF($F28*IF($C28="売",1+$AG$2,1-$AG$2)&lt;=5000,5,IF($F28*IF($C28="売",1+$AG$2,1-$AG$2)&lt;=30000,10,IF($F28*IF($C28="売",1+$AG$2,1-$AG$2)&lt;=50000,50,IF($F28*IF($C28="売",1+$AG$2,1-$AG$2)&lt;=300000,100,500)))))),FLOOR($F28*IF($C28="売",1+$AG$2,1-$AG$2),IF($F28*IF($C28="売",1+$AG$2,1-$AG$2)&lt;=3000,1,IF($F28*IF($C28="売",1+$AG$2,1-$AG$2)&lt;=5000,5,IF($F28*IF($C28="売",1+$AG$2,1-$AG$2)&lt;=30000,10,IF($F28*IF($C28="売",1+$AG$2,1-$AG$2)&lt;=50000,50,IF($F28*IF($C28="売",1+$AG$2,1-$AG$2)&lt;=300000,100,500))))))))</f>
      </c>
      <c r="O28" s="492">
        <f>IF(OR($B28="",$F28="",$H28=""),"",IF($S28="✅売却済","―決済済―",IF($C28="売",  IF($H28&lt;=$M28,"🟢利確",  IF(AND($R28&lt;&gt;"",$H28&gt;=$R28),"🟠TRAIL決済",  IF($H28&gt;=$N28,"🔴損切",  IF($W28&gt;=$AG$5,"⏱時間決済",  IF($H28&gt;=$F28*(1+$AG$2*0.7),"⚠️損切接近","保持継続"))))),  IF($H28&gt;=$M28,"🟢利確",  IF(AND($R28&lt;&gt;"",$H28&lt;=$R28),"🟠TRAIL決済",  IF($H28&lt;=$N28,"🔴損切",  IF($W28&gt;=$AG$5,"⏱時間決済",  IF($H28&lt;=$F28*(1-$AG$2*0.7),"⚠️損切接近","保持継続")))))))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  IF($H28&gt;$F28*(1-$AG$2),$N28,CEILING(MIN($N28,IF($Q28="",$N28,$Q28*1.03)),IF($N28&lt;=3000,1,IF($N28&lt;=5000,5,IF($N28&lt;=30000,10,IF($N28&lt;=50000,50,IF($N28&lt;=300000,100,500))))))),  IF($H28&lt;$F28*(1+$AG$2),$N28,FLOOR(MAX($N28,IF($P28="",$N28,$P28*0.97)),IF($N28&lt;=3000,1,IF($N28&lt;=5000,5,IF($N28&lt;=30000,10,IF($N28&lt;=50000,50,IF($N28&lt;=300000,100,500))))))))))</f>
      </c>
      <c r="S28" s="586" t="str">
        <f t="shared" ca="1" si="20"/>
        <v>✅売却済</v>
      </c>
      <c r="T28" s="594">
        <f t="shared" ca="1" si="9"/>
        <v>46237</v>
      </c>
      <c r="U28" s="491">
        <f t="shared" ca="1" si="10"/>
        <v>1818</v>
      </c>
      <c r="V28" s="701">
        <f t="shared" ca="1" si="21"/>
        <v>-7000</v>
      </c>
      <c r="W28" s="493">
        <f t="shared" ca="1" si="11"/>
        <v>5</v>
      </c>
      <c r="X28" s="489" t="str">
        <f t="shared" ca="1" si="12"/>
        <v>損切確定</v>
      </c>
      <c r="Y28" s="488">
        <f>IF($B28="","",IF(COUNTIFS($B$4:$B28,$B28,$C$4:$C28,$C28)&gt;1,"⛔重複"&amp;COUNTIFS($B$4:$B28,$B28,$C$4:$C28,$C28)&amp;"回目",""))</f>
      </c>
      <c r="Z28" s="710">
        <v>21</v>
      </c>
      <c r="AA28" s="600" t="s">
        <v>1358</v>
      </c>
      <c r="AB28">
        <f>IF($F28="","",MAX(100,ROUNDDOWN($AG$4/($F28*$AG$2)/100,0)*100))</f>
      </c>
      <c r="AC28">
        <f>IF(OR($F28="",$G28="",$U28=""),"",ROUND($V28-($F28+$U28)*$G28*$AG$6-IF($C28="売",$F28*$G28*$AG$7*$W28/365,0),0))</f>
      </c>
      <c r="AD28" s="608" t="s">
        <v>1323</v>
      </c>
      <c r="AE28" s="624">
        <f t="shared" si="13"/>
        <v>46251</v>
      </c>
      <c r="AF28" s="626"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0</v>
      </c>
      <c r="AG28" s="626"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46237</v>
      </c>
      <c r="AH28" s="600" t="str">
        <f t="shared" ca="1" si="14"/>
        <v>損切確定</v>
      </c>
      <c r="AI28" s="600" t="str" cm="1">
        <f t="array" ref="AI28">IFERROR(INDEX(始値!$E$6:$BT$305,MATCH(TEXT($B28,"0"),TEXT(銘柄管理!$B$6:$B$305,"0"),0),MATCH($AE28,始値!$E$3:$BT$3,0)),"")</f>
        <v/>
      </c>
      <c r="AJ28" s="905">
        <f t="shared" ca="1" si="15"/>
        <v>-4.0045766590389019E-2</v>
      </c>
      <c r="AK28" s="629" t="str">
        <f t="shared" ca="1" si="16"/>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 t="shared" si="0"/>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BT$3,0)=1,1,MATCH($E29,始値!$E$3:$BT$3,0)+1)),_xlpm.v,INDEX(始値!$C$6:$B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 t="shared" ca="1" si="17"/>
        <v>-55000</v>
      </c>
      <c r="L29" s="706">
        <f t="shared" ca="1" si="18"/>
        <v>-8.2956259426847659E-2</v>
      </c>
      <c r="M29" s="491">
        <f>IF($F29="","",IF($C29="売",CEILING($F29*IF($C29="売",1-$AG$3,1+$AG$3),IF($F29*IF($C29="売",1-$AG$3,1+$AG$3)&lt;=3000,1,IF($F29*IF($C29="売",1-$AG$3,1+$AG$3)&lt;=5000,5,IF($F29*IF($C29="売",1-$AG$3,1+$AG$3)&lt;=30000,10,IF($F29*IF($C29="売",1-$AG$3,1+$AG$3)&lt;=50000,50,IF($F29*IF($C29="売",1-$AG$3,1+$AG$3)&lt;=300000,100,500)))))),FLOOR($F29*IF($C29="売",1-$AG$3,1+$AG$3),IF($F29*IF($C29="売",1-$AG$3,1+$AG$3)&lt;=3000,1,IF($F29*IF($C29="売",1-$AG$3,1+$AG$3)&lt;=5000,5,IF($F29*IF($C29="売",1-$AG$3,1+$AG$3)&lt;=30000,10,IF($F29*IF($C29="売",1-$AG$3,1+$AG$3)&lt;=50000,50,IF($F29*IF($C29="売",1-$AG$3,1+$AG$3)&lt;=300000,100,500))))))))</f>
      </c>
      <c r="N29" s="491">
        <f>IF($F29="","",IF($C29="売",CEILING($F29*IF($C29="売",1+$AG$2,1-$AG$2),IF($F29*IF($C29="売",1+$AG$2,1-$AG$2)&lt;=3000,1,IF($F29*IF($C29="売",1+$AG$2,1-$AG$2)&lt;=5000,5,IF($F29*IF($C29="売",1+$AG$2,1-$AG$2)&lt;=30000,10,IF($F29*IF($C29="売",1+$AG$2,1-$AG$2)&lt;=50000,50,IF($F29*IF($C29="売",1+$AG$2,1-$AG$2)&lt;=300000,100,500)))))),FLOOR($F29*IF($C29="売",1+$AG$2,1-$AG$2),IF($F29*IF($C29="売",1+$AG$2,1-$AG$2)&lt;=3000,1,IF($F29*IF($C29="売",1+$AG$2,1-$AG$2)&lt;=5000,5,IF($F29*IF($C29="売",1+$AG$2,1-$AG$2)&lt;=30000,10,IF($F29*IF($C29="売",1+$AG$2,1-$AG$2)&lt;=50000,50,IF($F29*IF($C29="売",1+$AG$2,1-$AG$2)&lt;=300000,100,500))))))))</f>
      </c>
      <c r="O29" s="492">
        <f>IF(OR($B29="",$F29="",$H29=""),"",IF($S29="✅売却済","―決済済―",IF($C29="売",  IF($H29&lt;=$M29,"🟢利確",  IF(AND($R29&lt;&gt;"",$H29&gt;=$R29),"🟠TRAIL決済",  IF($H29&gt;=$N29,"🔴損切",  IF($W29&gt;=$AG$5,"⏱時間決済",  IF($H29&gt;=$F29*(1+$AG$2*0.7),"⚠️損切接近","保持継続"))))),  IF($H29&gt;=$M29,"🟢利確",  IF(AND($R29&lt;&gt;"",$H29&lt;=$R29),"🟠TRAIL決済",  IF($H29&lt;=$N29,"🔴損切",  IF($W29&gt;=$AG$5,"⏱時間決済",  IF($H29&lt;=$F29*(1-$AG$2*0.7),"⚠️損切接近","保持継続")))))))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  IF($H29&gt;$F29*(1-$AG$2),$N29,CEILING(MIN($N29,IF($Q29="",$N29,$Q29*1.03)),IF($N29&lt;=3000,1,IF($N29&lt;=5000,5,IF($N29&lt;=30000,10,IF($N29&lt;=50000,50,IF($N29&lt;=300000,100,500))))))),  IF($H29&lt;$F29*(1+$AG$2),$N29,FLOOR(MAX($N29,IF($P29="",$N29,$P29*0.97)),IF($N29&lt;=3000,1,IF($N29&lt;=5000,5,IF($N29&lt;=30000,10,IF($N29&lt;=50000,50,IF($N29&lt;=300000,100,500))))))))))</f>
      </c>
      <c r="S29" s="586" t="str">
        <f t="shared" ca="1" si="20"/>
        <v>✅売却済</v>
      </c>
      <c r="T29" s="594">
        <f t="shared" ca="1" si="9"/>
        <v>46237</v>
      </c>
      <c r="U29" s="491">
        <f t="shared" ca="1" si="10"/>
        <v>6895</v>
      </c>
      <c r="V29" s="701">
        <f t="shared" ca="1" si="21"/>
        <v>-26500</v>
      </c>
      <c r="W29" s="493">
        <f t="shared" ca="1" si="11"/>
        <v>5</v>
      </c>
      <c r="X29" s="489" t="str">
        <f t="shared" ca="1" si="12"/>
        <v>損切確定</v>
      </c>
      <c r="Y29" s="488">
        <f>IF($B29="","",IF(COUNTIFS($B$4:$B29,$B29,$C$4:$C29,$C29)&gt;1,"⛔重複"&amp;COUNTIFS($B$4:$B29,$B29,$C$4:$C29,$C29)&amp;"回目",""))</f>
      </c>
      <c r="Z29" s="710">
        <v>21</v>
      </c>
      <c r="AA29" s="600" t="s">
        <v>1359</v>
      </c>
      <c r="AB29">
        <f>IF($F29="","",MAX(100,ROUNDDOWN($AG$4/($F29*$AG$2)/100,0)*100))</f>
      </c>
      <c r="AC29">
        <f>IF(OR($F29="",$G29="",$U29=""),"",ROUND($V29-($F29+$U29)*$G29*$AG$6-IF($C29="売",$F29*$G29*$AG$7*$W29/365,0),0))</f>
      </c>
      <c r="AD29" s="608" t="s">
        <v>1323</v>
      </c>
      <c r="AE29" s="624">
        <f t="shared" si="13"/>
        <v>46251</v>
      </c>
      <c r="AF29" s="626"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0</v>
      </c>
      <c r="AG29" s="626"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46237</v>
      </c>
      <c r="AH29" s="600" t="str">
        <f t="shared" ca="1" si="14"/>
        <v>損切確定</v>
      </c>
      <c r="AI29" s="600" t="str" cm="1">
        <f t="array" ref="AI29">IFERROR(INDEX(始値!$E$6:$BT$305,MATCH(TEXT($B29,"0"),TEXT(銘柄管理!$B$6:$B$305,"0"),0),MATCH($AE29,始値!$E$3:$BT$3,0)),"")</f>
        <v/>
      </c>
      <c r="AJ29" s="905">
        <f t="shared" ca="1" si="15"/>
        <v>-3.9969834087481143E-2</v>
      </c>
      <c r="AK29" s="629" t="str">
        <f t="shared" ca="1" si="16"/>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 t="shared" si="0"/>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BT$3,0)=1,1,MATCH($E30,始値!$E$3:$BT$3,0)+1)),_xlpm.v,INDEX(始値!$C$6:$B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 t="shared" ca="1" si="17"/>
        <v>-16400</v>
      </c>
      <c r="L30" s="706">
        <f t="shared" ca="1" si="18"/>
        <v>-3.7692484486324986E-2</v>
      </c>
      <c r="M30" s="491">
        <f>IF($F30="","",IF($C30="売",CEILING($F30*IF($C30="売",1-$AG$3,1+$AG$3),IF($F30*IF($C30="売",1-$AG$3,1+$AG$3)&lt;=3000,1,IF($F30*IF($C30="売",1-$AG$3,1+$AG$3)&lt;=5000,5,IF($F30*IF($C30="売",1-$AG$3,1+$AG$3)&lt;=30000,10,IF($F30*IF($C30="売",1-$AG$3,1+$AG$3)&lt;=50000,50,IF($F30*IF($C30="売",1-$AG$3,1+$AG$3)&lt;=300000,100,500)))))),FLOOR($F30*IF($C30="売",1-$AG$3,1+$AG$3),IF($F30*IF($C30="売",1-$AG$3,1+$AG$3)&lt;=3000,1,IF($F30*IF($C30="売",1-$AG$3,1+$AG$3)&lt;=5000,5,IF($F30*IF($C30="売",1-$AG$3,1+$AG$3)&lt;=30000,10,IF($F30*IF($C30="売",1-$AG$3,1+$AG$3)&lt;=50000,50,IF($F30*IF($C30="売",1-$AG$3,1+$AG$3)&lt;=300000,100,500))))))))</f>
      </c>
      <c r="N30" s="491">
        <f>IF($F30="","",IF($C30="売",CEILING($F30*IF($C30="売",1+$AG$2,1-$AG$2),IF($F30*IF($C30="売",1+$AG$2,1-$AG$2)&lt;=3000,1,IF($F30*IF($C30="売",1+$AG$2,1-$AG$2)&lt;=5000,5,IF($F30*IF($C30="売",1+$AG$2,1-$AG$2)&lt;=30000,10,IF($F30*IF($C30="売",1+$AG$2,1-$AG$2)&lt;=50000,50,IF($F30*IF($C30="売",1+$AG$2,1-$AG$2)&lt;=300000,100,500)))))),FLOOR($F30*IF($C30="売",1+$AG$2,1-$AG$2),IF($F30*IF($C30="売",1+$AG$2,1-$AG$2)&lt;=3000,1,IF($F30*IF($C30="売",1+$AG$2,1-$AG$2)&lt;=5000,5,IF($F30*IF($C30="売",1+$AG$2,1-$AG$2)&lt;=30000,10,IF($F30*IF($C30="売",1+$AG$2,1-$AG$2)&lt;=50000,50,IF($F30*IF($C30="売",1+$AG$2,1-$AG$2)&lt;=300000,100,500))))))))</f>
      </c>
      <c r="O30" s="492">
        <f>IF(OR($B30="",$F30="",$H30=""),"",IF($S30="✅売却済","―決済済―",IF($C30="売",  IF($H30&lt;=$M30,"🟢利確",  IF(AND($R30&lt;&gt;"",$H30&gt;=$R30),"🟠TRAIL決済",  IF($H30&gt;=$N30,"🔴損切",  IF($W30&gt;=$AG$5,"⏱時間決済",  IF($H30&gt;=$F30*(1+$AG$2*0.7),"⚠️損切接近","保持継続"))))),  IF($H30&gt;=$M30,"🟢利確",  IF(AND($R30&lt;&gt;"",$H30&lt;=$R30),"🟠TRAIL決済",  IF($H30&lt;=$N30,"🔴損切",  IF($W30&gt;=$AG$5,"⏱時間決済",  IF($H30&lt;=$F30*(1-$AG$2*0.7),"⚠️損切接近","保持継続")))))))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  IF($H30&gt;$F30*(1-$AG$2),$N30,CEILING(MIN($N30,IF($Q30="",$N30,$Q30*1.03)),IF($N30&lt;=3000,1,IF($N30&lt;=5000,5,IF($N30&lt;=30000,10,IF($N30&lt;=50000,50,IF($N30&lt;=300000,100,500))))))),  IF($H30&lt;$F30*(1+$AG$2),$N30,FLOOR(MAX($N30,IF($P30="",$N30,$P30*0.97)),IF($N30&lt;=3000,1,IF($N30&lt;=5000,5,IF($N30&lt;=30000,10,IF($N30&lt;=50000,50,IF($N30&lt;=300000,100,500))))))))))</f>
      </c>
      <c r="S30" s="586" t="str">
        <f t="shared" ca="1" si="20"/>
        <v>✅売却済</v>
      </c>
      <c r="T30" s="594">
        <f t="shared" ca="1" si="9"/>
        <v>46238</v>
      </c>
      <c r="U30" s="491">
        <f t="shared" ca="1" si="10"/>
        <v>4177</v>
      </c>
      <c r="V30" s="701">
        <f t="shared" ca="1" si="21"/>
        <v>-17400</v>
      </c>
      <c r="W30" s="493">
        <f t="shared" ca="1" si="11"/>
        <v>6</v>
      </c>
      <c r="X30" s="489" t="str">
        <f t="shared" ca="1" si="12"/>
        <v>損切確定</v>
      </c>
      <c r="Y30" s="488">
        <f>IF($B30="","",IF(COUNTIFS($B$4:$B30,$B30,$C$4:$C30,$C30)&gt;1,"⛔重複"&amp;COUNTIFS($B$4:$B30,$B30,$C$4:$C30,$C30)&amp;"回目",""))</f>
      </c>
      <c r="Z30" s="710">
        <v>21</v>
      </c>
      <c r="AA30" s="600" t="s">
        <v>1353</v>
      </c>
      <c r="AB30">
        <f>IF($F30="","",MAX(100,ROUNDDOWN($AG$4/($F30*$AG$2)/100,0)*100))</f>
      </c>
      <c r="AC30">
        <f>IF(OR($F30="",$G30="",$U30=""),"",ROUND($V30-($F30+$U30)*$G30*$AG$6-IF($C30="売",$F30*$G30*$AG$7*$W30/365,0),0))</f>
      </c>
      <c r="AD30" s="608" t="s">
        <v>1324</v>
      </c>
      <c r="AE30" s="624">
        <f t="shared" si="13"/>
        <v>46251</v>
      </c>
      <c r="AF30" s="626"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0</v>
      </c>
      <c r="AG30" s="626"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46238</v>
      </c>
      <c r="AH30" s="600" t="str">
        <f t="shared" ca="1" si="14"/>
        <v>損切確定</v>
      </c>
      <c r="AI30" s="600" t="str" cm="1">
        <f t="array" ref="AI30">IFERROR(INDEX(始値!$E$6:$BT$305,MATCH(TEXT($B30,"0"),TEXT(銘柄管理!$B$6:$B$305,"0"),0),MATCH($AE30,始値!$E$3:$BT$3,0)),"")</f>
        <v/>
      </c>
      <c r="AJ30" s="905">
        <f t="shared" ca="1" si="15"/>
        <v>-3.9990806711100897E-2</v>
      </c>
      <c r="AK30" s="629" t="str">
        <f t="shared" ca="1" si="16"/>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 t="shared" si="0"/>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BT$3,0)=1,1,MATCH($E31,始値!$E$3:$BT$3,0)+1)),_xlpm.v,INDEX(始値!$C$6:$B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 t="shared" ca="1" si="17"/>
        <v>3000</v>
      </c>
      <c r="L31" s="706">
        <f t="shared" ca="1" si="18"/>
        <v>9.9173553719008271E-3</v>
      </c>
      <c r="M31" s="491">
        <f>IF($F31="","",IF($C31="売",CEILING($F31*IF($C31="売",1-$AG$3,1+$AG$3),IF($F31*IF($C31="売",1-$AG$3,1+$AG$3)&lt;=3000,1,IF($F31*IF($C31="売",1-$AG$3,1+$AG$3)&lt;=5000,5,IF($F31*IF($C31="売",1-$AG$3,1+$AG$3)&lt;=30000,10,IF($F31*IF($C31="売",1-$AG$3,1+$AG$3)&lt;=50000,50,IF($F31*IF($C31="売",1-$AG$3,1+$AG$3)&lt;=300000,100,500)))))),FLOOR($F31*IF($C31="売",1-$AG$3,1+$AG$3),IF($F31*IF($C31="売",1-$AG$3,1+$AG$3)&lt;=3000,1,IF($F31*IF($C31="売",1-$AG$3,1+$AG$3)&lt;=5000,5,IF($F31*IF($C31="売",1-$AG$3,1+$AG$3)&lt;=30000,10,IF($F31*IF($C31="売",1-$AG$3,1+$AG$3)&lt;=50000,50,IF($F31*IF($C31="売",1-$AG$3,1+$AG$3)&lt;=300000,100,500))))))))</f>
      </c>
      <c r="N31" s="491">
        <f>IF($F31="","",IF($C31="売",CEILING($F31*IF($C31="売",1+$AG$2,1-$AG$2),IF($F31*IF($C31="売",1+$AG$2,1-$AG$2)&lt;=3000,1,IF($F31*IF($C31="売",1+$AG$2,1-$AG$2)&lt;=5000,5,IF($F31*IF($C31="売",1+$AG$2,1-$AG$2)&lt;=30000,10,IF($F31*IF($C31="売",1+$AG$2,1-$AG$2)&lt;=50000,50,IF($F31*IF($C31="売",1+$AG$2,1-$AG$2)&lt;=300000,100,500)))))),FLOOR($F31*IF($C31="売",1+$AG$2,1-$AG$2),IF($F31*IF($C31="売",1+$AG$2,1-$AG$2)&lt;=3000,1,IF($F31*IF($C31="売",1+$AG$2,1-$AG$2)&lt;=5000,5,IF($F31*IF($C31="売",1+$AG$2,1-$AG$2)&lt;=30000,10,IF($F31*IF($C31="売",1+$AG$2,1-$AG$2)&lt;=50000,50,IF($F31*IF($C31="売",1+$AG$2,1-$AG$2)&lt;=300000,100,500))))))))</f>
      </c>
      <c r="O31" s="492">
        <f>IF(OR($B31="",$F31="",$H31=""),"",IF($S31="✅売却済","―決済済―",IF($C31="売",  IF($H31&lt;=$M31,"🟢利確",  IF(AND($R31&lt;&gt;"",$H31&gt;=$R31),"🟠TRAIL決済",  IF($H31&gt;=$N31,"🔴損切",  IF($W31&gt;=$AG$5,"⏱時間決済",  IF($H31&gt;=$F31*(1+$AG$2*0.7),"⚠️損切接近","保持継続"))))),  IF($H31&gt;=$M31,"🟢利確",  IF(AND($R31&lt;&gt;"",$H31&lt;=$R31),"🟠TRAIL決済",  IF($H31&lt;=$N31,"🔴損切",  IF($W31&gt;=$AG$5,"⏱時間決済",  IF($H31&lt;=$F31*(1-$AG$2*0.7),"⚠️損切接近","保持継続")))))))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  IF($H31&gt;$F31*(1-$AG$2),$N31,CEILING(MIN($N31,IF($Q31="",$N31,$Q31*1.03)),IF($N31&lt;=3000,1,IF($N31&lt;=5000,5,IF($N31&lt;=30000,10,IF($N31&lt;=50000,50,IF($N31&lt;=300000,100,500))))))),  IF($H31&lt;$F31*(1+$AG$2),$N31,FLOOR(MAX($N31,IF($P31="",$N31,$P31*0.97)),IF($N31&lt;=3000,1,IF($N31&lt;=5000,5,IF($N31&lt;=30000,10,IF($N31&lt;=50000,50,IF($N31&lt;=300000,100,500))))))))))</f>
      </c>
      <c r="S31" s="586" t="str">
        <f t="shared" ca="1" si="20"/>
        <v>📌保有中</v>
      </c>
      <c r="T31" s="594" t="str">
        <f t="shared" ca="1" si="9"/>
        <v/>
      </c>
      <c r="U31" s="491" t="str">
        <f t="shared" ca="1" si="10"/>
        <v/>
      </c>
      <c r="V31" s="701" t="str">
        <f t="shared" ca="1" si="21"/>
        <v/>
      </c>
      <c r="W31" s="493">
        <f t="shared" ca="1" si="11"/>
        <v>8</v>
      </c>
      <c r="X31" s="489" t="str">
        <f t="shared" ca="1" si="12"/>
        <v/>
      </c>
      <c r="Y31" s="488">
        <f>IF($B31="","",IF(COUNTIFS($B$4:$B31,$B31,$C$4:$C31,$C31)&gt;1,"⛔重複"&amp;COUNTIFS($B$4:$B31,$B31,$C$4:$C31,$C31)&amp;"回目",""))</f>
      </c>
      <c r="Z31" s="710">
        <v>21</v>
      </c>
      <c r="AA31" s="600" t="s">
        <v>1331</v>
      </c>
      <c r="AB31">
        <f>IF($F31="","",MAX(100,ROUNDDOWN($AG$4/($F31*$AG$2)/100,0)*100))</f>
      </c>
      <c r="AC31">
        <f>IF(OR($F31="",$G31="",$U31=""),"",ROUND($V31-($F31+$U31)*$G31*$AG$6-IF($C31="売",$F31*$G31*$AG$7*$W31/365,0),0))</f>
      </c>
      <c r="AD31" s="608" t="s">
        <v>1324</v>
      </c>
      <c r="AE31" s="624">
        <f t="shared" si="13"/>
        <v>46251</v>
      </c>
      <c r="AF31" s="626"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0</v>
      </c>
      <c r="AG31" s="626"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0</v>
      </c>
      <c r="AH31" s="600" t="str">
        <f t="shared" ca="1" si="14"/>
        <v>保有中</v>
      </c>
      <c r="AI31" s="600" t="str" cm="1">
        <f t="array" ref="AI31">IFERROR(INDEX(始値!$E$6:$BT$305,MATCH(TEXT($B31,"0"),TEXT(銘柄管理!$B$6:$B$305,"0"),0),MATCH($AE31,始値!$E$3:$BT$3,0)),"")</f>
        <v/>
      </c>
      <c r="AJ31" s="905" t="str">
        <f t="shared" ca="1" si="15"/>
        <v/>
      </c>
      <c r="AK31" s="629" t="str">
        <f t="shared" ca="1" si="16"/>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 t="shared" si="0"/>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BT$3,0)=1,1,MATCH($E32,始値!$E$3:$BT$3,0)+1)),_xlpm.v,INDEX(始値!$C$6:$B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 t="shared" ca="1" si="17"/>
        <v>-63000</v>
      </c>
      <c r="L32" s="706">
        <f t="shared" ca="1" si="18"/>
        <v>-4.6666666666666669E-2</v>
      </c>
      <c r="M32" s="491">
        <f>IF($F32="","",IF($C32="売",CEILING($F32*IF($C32="売",1-$AG$3,1+$AG$3),IF($F32*IF($C32="売",1-$AG$3,1+$AG$3)&lt;=3000,1,IF($F32*IF($C32="売",1-$AG$3,1+$AG$3)&lt;=5000,5,IF($F32*IF($C32="売",1-$AG$3,1+$AG$3)&lt;=30000,10,IF($F32*IF($C32="売",1-$AG$3,1+$AG$3)&lt;=50000,50,IF($F32*IF($C32="売",1-$AG$3,1+$AG$3)&lt;=300000,100,500)))))),FLOOR($F32*IF($C32="売",1-$AG$3,1+$AG$3),IF($F32*IF($C32="売",1-$AG$3,1+$AG$3)&lt;=3000,1,IF($F32*IF($C32="売",1-$AG$3,1+$AG$3)&lt;=5000,5,IF($F32*IF($C32="売",1-$AG$3,1+$AG$3)&lt;=30000,10,IF($F32*IF($C32="売",1-$AG$3,1+$AG$3)&lt;=50000,50,IF($F32*IF($C32="売",1-$AG$3,1+$AG$3)&lt;=300000,100,500))))))))</f>
      </c>
      <c r="N32" s="491">
        <f>IF($F32="","",IF($C32="売",CEILING($F32*IF($C32="売",1+$AG$2,1-$AG$2),IF($F32*IF($C32="売",1+$AG$2,1-$AG$2)&lt;=3000,1,IF($F32*IF($C32="売",1+$AG$2,1-$AG$2)&lt;=5000,5,IF($F32*IF($C32="売",1+$AG$2,1-$AG$2)&lt;=30000,10,IF($F32*IF($C32="売",1+$AG$2,1-$AG$2)&lt;=50000,50,IF($F32*IF($C32="売",1+$AG$2,1-$AG$2)&lt;=300000,100,500)))))),FLOOR($F32*IF($C32="売",1+$AG$2,1-$AG$2),IF($F32*IF($C32="売",1+$AG$2,1-$AG$2)&lt;=3000,1,IF($F32*IF($C32="売",1+$AG$2,1-$AG$2)&lt;=5000,5,IF($F32*IF($C32="売",1+$AG$2,1-$AG$2)&lt;=30000,10,IF($F32*IF($C32="売",1+$AG$2,1-$AG$2)&lt;=50000,50,IF($F32*IF($C32="売",1+$AG$2,1-$AG$2)&lt;=300000,100,500))))))))</f>
      </c>
      <c r="O32" s="492">
        <f>IF(OR($B32="",$F32="",$H32=""),"",IF($S32="✅売却済","―決済済―",IF($C32="売",  IF($H32&lt;=$M32,"🟢利確",  IF(AND($R32&lt;&gt;"",$H32&gt;=$R32),"🟠TRAIL決済",  IF($H32&gt;=$N32,"🔴損切",  IF($W32&gt;=$AG$5,"⏱時間決済",  IF($H32&gt;=$F32*(1+$AG$2*0.7),"⚠️損切接近","保持継続"))))),  IF($H32&gt;=$M32,"🟢利確",  IF(AND($R32&lt;&gt;"",$H32&lt;=$R32),"🟠TRAIL決済",  IF($H32&lt;=$N32,"🔴損切",  IF($W32&gt;=$AG$5,"⏱時間決済",  IF($H32&lt;=$F32*(1-$AG$2*0.7),"⚠️損切接近","保持継続")))))))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  IF($H32&gt;$F32*(1-$AG$2),$N32,CEILING(MIN($N32,IF($Q32="",$N32,$Q32*1.03)),IF($N32&lt;=3000,1,IF($N32&lt;=5000,5,IF($N32&lt;=30000,10,IF($N32&lt;=50000,50,IF($N32&lt;=300000,100,500))))))),  IF($H32&lt;$F32*(1+$AG$2),$N32,FLOOR(MAX($N32,IF($P32="",$N32,$P32*0.97)),IF($N32&lt;=3000,1,IF($N32&lt;=5000,5,IF($N32&lt;=30000,10,IF($N32&lt;=50000,50,IF($N32&lt;=300000,100,500))))))))))</f>
      </c>
      <c r="S32" s="586" t="str">
        <f t="shared" ca="1" si="20"/>
        <v>✅売却済</v>
      </c>
      <c r="T32" s="594">
        <f t="shared" ca="1" si="9"/>
        <v>46238</v>
      </c>
      <c r="U32" s="491">
        <f t="shared" ca="1" si="10"/>
        <v>14040</v>
      </c>
      <c r="V32" s="701">
        <f t="shared" ca="1" si="21"/>
        <v>-54000</v>
      </c>
      <c r="W32" s="493">
        <f t="shared" ca="1" si="11"/>
        <v>6</v>
      </c>
      <c r="X32" s="489" t="str">
        <f t="shared" ca="1" si="12"/>
        <v>損切確定</v>
      </c>
      <c r="Y32" s="488">
        <f>IF($B32="","",IF(COUNTIFS($B$4:$B32,$B32,$C$4:$C32,$C32)&gt;1,"⛔重複"&amp;COUNTIFS($B$4:$B32,$B32,$C$4:$C32,$C32)&amp;"回目",""))</f>
      </c>
      <c r="Z32" s="710">
        <v>21</v>
      </c>
      <c r="AA32" s="600" t="s">
        <v>1354</v>
      </c>
      <c r="AB32">
        <f>IF($F32="","",MAX(100,ROUNDDOWN($AG$4/($F32*$AG$2)/100,0)*100))</f>
      </c>
      <c r="AC32">
        <f>IF(OR($F32="",$G32="",$U32=""),"",ROUND($V32-($F32+$U32)*$G32*$AG$6-IF($C32="売",$F32*$G32*$AG$7*$W32/365,0),0))</f>
      </c>
      <c r="AD32" s="608" t="s">
        <v>1325</v>
      </c>
      <c r="AE32" s="624">
        <f t="shared" si="13"/>
        <v>46251</v>
      </c>
      <c r="AF32" s="626"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0</v>
      </c>
      <c r="AG32" s="626"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46238</v>
      </c>
      <c r="AH32" s="600" t="str">
        <f t="shared" ca="1" si="14"/>
        <v>損切確定</v>
      </c>
      <c r="AI32" s="600" t="str" cm="1">
        <f t="array" ref="AI32">IFERROR(INDEX(始値!$E$6:$BT$305,MATCH(TEXT($B32,"0"),TEXT(銘柄管理!$B$6:$B$305,"0"),0),MATCH($AE32,始値!$E$3:$BT$3,0)),"")</f>
        <v/>
      </c>
      <c r="AJ32" s="905">
        <f t="shared" ca="1" si="15"/>
        <v>-0.04</v>
      </c>
      <c r="AK32" s="629" t="str">
        <f t="shared" ca="1" si="16"/>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 t="shared" si="0"/>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BT$3,0)=1,1,MATCH($E33,始値!$E$3:$BT$3,0)+1)),_xlpm.v,INDEX(始値!$C$6:$B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 t="shared" ca="1" si="17"/>
        <v>-26200</v>
      </c>
      <c r="L33" s="706">
        <f t="shared" ca="1" si="18"/>
        <v>-0.11022297013041649</v>
      </c>
      <c r="M33" s="491">
        <f>IF($F33="","",IF($C33="売",CEILING($F33*IF($C33="売",1-$AG$3,1+$AG$3),IF($F33*IF($C33="売",1-$AG$3,1+$AG$3)&lt;=3000,1,IF($F33*IF($C33="売",1-$AG$3,1+$AG$3)&lt;=5000,5,IF($F33*IF($C33="売",1-$AG$3,1+$AG$3)&lt;=30000,10,IF($F33*IF($C33="売",1-$AG$3,1+$AG$3)&lt;=50000,50,IF($F33*IF($C33="売",1-$AG$3,1+$AG$3)&lt;=300000,100,500)))))),FLOOR($F33*IF($C33="売",1-$AG$3,1+$AG$3),IF($F33*IF($C33="売",1-$AG$3,1+$AG$3)&lt;=3000,1,IF($F33*IF($C33="売",1-$AG$3,1+$AG$3)&lt;=5000,5,IF($F33*IF($C33="売",1-$AG$3,1+$AG$3)&lt;=30000,10,IF($F33*IF($C33="売",1-$AG$3,1+$AG$3)&lt;=50000,50,IF($F33*IF($C33="売",1-$AG$3,1+$AG$3)&lt;=300000,100,500))))))))</f>
      </c>
      <c r="N33" s="491">
        <f>IF($F33="","",IF($C33="売",CEILING($F33*IF($C33="売",1+$AG$2,1-$AG$2),IF($F33*IF($C33="売",1+$AG$2,1-$AG$2)&lt;=3000,1,IF($F33*IF($C33="売",1+$AG$2,1-$AG$2)&lt;=5000,5,IF($F33*IF($C33="売",1+$AG$2,1-$AG$2)&lt;=30000,10,IF($F33*IF($C33="売",1+$AG$2,1-$AG$2)&lt;=50000,50,IF($F33*IF($C33="売",1+$AG$2,1-$AG$2)&lt;=300000,100,500)))))),FLOOR($F33*IF($C33="売",1+$AG$2,1-$AG$2),IF($F33*IF($C33="売",1+$AG$2,1-$AG$2)&lt;=3000,1,IF($F33*IF($C33="売",1+$AG$2,1-$AG$2)&lt;=5000,5,IF($F33*IF($C33="売",1+$AG$2,1-$AG$2)&lt;=30000,10,IF($F33*IF($C33="売",1+$AG$2,1-$AG$2)&lt;=50000,50,IF($F33*IF($C33="売",1+$AG$2,1-$AG$2)&lt;=300000,100,500))))))))</f>
      </c>
      <c r="O33" s="492">
        <f>IF(OR($B33="",$F33="",$H33=""),"",IF($S33="✅売却済","―決済済―",IF($C33="売",  IF($H33&lt;=$M33,"🟢利確",  IF(AND($R33&lt;&gt;"",$H33&gt;=$R33),"🟠TRAIL決済",  IF($H33&gt;=$N33,"🔴損切",  IF($W33&gt;=$AG$5,"⏱時間決済",  IF($H33&gt;=$F33*(1+$AG$2*0.7),"⚠️損切接近","保持継続"))))),  IF($H33&gt;=$M33,"🟢利確",  IF(AND($R33&lt;&gt;"",$H33&lt;=$R33),"🟠TRAIL決済",  IF($H33&lt;=$N33,"🔴損切",  IF($W33&gt;=$AG$5,"⏱時間決済",  IF($H33&lt;=$F33*(1-$AG$2*0.7),"⚠️損切接近","保持継続")))))))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  IF($H33&gt;$F33*(1-$AG$2),$N33,CEILING(MIN($N33,IF($Q33="",$N33,$Q33*1.03)),IF($N33&lt;=3000,1,IF($N33&lt;=5000,5,IF($N33&lt;=30000,10,IF($N33&lt;=50000,50,IF($N33&lt;=300000,100,500))))))),  IF($H33&lt;$F33*(1+$AG$2),$N33,FLOOR(MAX($N33,IF($P33="",$N33,$P33*0.97)),IF($N33&lt;=3000,1,IF($N33&lt;=5000,5,IF($N33&lt;=30000,10,IF($N33&lt;=50000,50,IF($N33&lt;=300000,100,500))))))))))</f>
      </c>
      <c r="S33" s="586" t="str">
        <f t="shared" ca="1" si="20"/>
        <v>✅売却済</v>
      </c>
      <c r="T33" s="594">
        <f t="shared" ca="1" si="9"/>
        <v>46238</v>
      </c>
      <c r="U33" s="491">
        <f t="shared" ca="1" si="10"/>
        <v>2472</v>
      </c>
      <c r="V33" s="701">
        <f t="shared" ca="1" si="21"/>
        <v>-9500</v>
      </c>
      <c r="W33" s="493">
        <f t="shared" ca="1" si="11"/>
        <v>6</v>
      </c>
      <c r="X33" s="489" t="str">
        <f t="shared" ca="1" si="12"/>
        <v>損切確定</v>
      </c>
      <c r="Y33" s="488">
        <f>IF($B33="","",IF(COUNTIFS($B$4:$B33,$B33,$C$4:$C33,$C33)&gt;1,"⛔重複"&amp;COUNTIFS($B$4:$B33,$B33,$C$4:$C33,$C33)&amp;"回目",""))</f>
      </c>
      <c r="Z33" s="710">
        <v>18</v>
      </c>
      <c r="AA33" s="600" t="s">
        <v>1360</v>
      </c>
      <c r="AB33">
        <f>IF($F33="","",MAX(100,ROUNDDOWN($AG$4/($F33*$AG$2)/100,0)*100))</f>
      </c>
      <c r="AC33">
        <f>IF(OR($F33="",$G33="",$U33=""),"",ROUND($V33-($F33+$U33)*$G33*$AG$6-IF($C33="売",$F33*$G33*$AG$7*$W33/365,0),0))</f>
      </c>
      <c r="AD33" s="608" t="s">
        <v>1325</v>
      </c>
      <c r="AE33" s="624">
        <f t="shared" si="13"/>
        <v>46251</v>
      </c>
      <c r="AF33" s="626"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0</v>
      </c>
      <c r="AG33" s="626"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46238</v>
      </c>
      <c r="AH33" s="600" t="str">
        <f t="shared" ca="1" si="14"/>
        <v>損切確定</v>
      </c>
      <c r="AI33" s="600" t="str" cm="1">
        <f t="array" ref="AI33">IFERROR(INDEX(始値!$E$6:$BT$305,MATCH(TEXT($B33,"0"),TEXT(銘柄管理!$B$6:$B$305,"0"),0),MATCH($AE33,始値!$E$3:$BT$3,0)),"")</f>
        <v/>
      </c>
      <c r="AJ33" s="905">
        <f t="shared" ca="1" si="15"/>
        <v>-3.9966344131257887E-2</v>
      </c>
      <c r="AK33" s="629" t="str">
        <f t="shared" ca="1" si="16"/>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 t="shared" si="0"/>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BT$3,0)=1,1,MATCH($E34,始値!$E$3:$BT$3,0)+1)),_xlpm.v,INDEX(始値!$C$6:$B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 t="shared" ca="1" si="17"/>
        <v>-400</v>
      </c>
      <c r="L34" s="706">
        <f t="shared" ca="1" si="18"/>
        <v>-4.0444893832153692E-3</v>
      </c>
      <c r="M34" s="491">
        <f>IF($F34="","",IF($C34="売",CEILING($F34*IF($C34="売",1-$AG$3,1+$AG$3),IF($F34*IF($C34="売",1-$AG$3,1+$AG$3)&lt;=3000,1,IF($F34*IF($C34="売",1-$AG$3,1+$AG$3)&lt;=5000,5,IF($F34*IF($C34="売",1-$AG$3,1+$AG$3)&lt;=30000,10,IF($F34*IF($C34="売",1-$AG$3,1+$AG$3)&lt;=50000,50,IF($F34*IF($C34="売",1-$AG$3,1+$AG$3)&lt;=300000,100,500)))))),FLOOR($F34*IF($C34="売",1-$AG$3,1+$AG$3),IF($F34*IF($C34="売",1-$AG$3,1+$AG$3)&lt;=3000,1,IF($F34*IF($C34="売",1-$AG$3,1+$AG$3)&lt;=5000,5,IF($F34*IF($C34="売",1-$AG$3,1+$AG$3)&lt;=30000,10,IF($F34*IF($C34="売",1-$AG$3,1+$AG$3)&lt;=50000,50,IF($F34*IF($C34="売",1-$AG$3,1+$AG$3)&lt;=300000,100,500))))))))</f>
      </c>
      <c r="N34" s="491">
        <f>IF($F34="","",IF($C34="売",CEILING($F34*IF($C34="売",1+$AG$2,1-$AG$2),IF($F34*IF($C34="売",1+$AG$2,1-$AG$2)&lt;=3000,1,IF($F34*IF($C34="売",1+$AG$2,1-$AG$2)&lt;=5000,5,IF($F34*IF($C34="売",1+$AG$2,1-$AG$2)&lt;=30000,10,IF($F34*IF($C34="売",1+$AG$2,1-$AG$2)&lt;=50000,50,IF($F34*IF($C34="売",1+$AG$2,1-$AG$2)&lt;=300000,100,500)))))),FLOOR($F34*IF($C34="売",1+$AG$2,1-$AG$2),IF($F34*IF($C34="売",1+$AG$2,1-$AG$2)&lt;=3000,1,IF($F34*IF($C34="売",1+$AG$2,1-$AG$2)&lt;=5000,5,IF($F34*IF($C34="売",1+$AG$2,1-$AG$2)&lt;=30000,10,IF($F34*IF($C34="売",1+$AG$2,1-$AG$2)&lt;=50000,50,IF($F34*IF($C34="売",1+$AG$2,1-$AG$2)&lt;=300000,100,500))))))))</f>
      </c>
      <c r="O34" s="492">
        <f>IF(OR($B34="",$F34="",$H34=""),"",IF($S34="✅売却済","―決済済―",IF($C34="売",  IF($H34&lt;=$M34,"🟢利確",  IF(AND($R34&lt;&gt;"",$H34&gt;=$R34),"🟠TRAIL決済",  IF($H34&gt;=$N34,"🔴損切",  IF($W34&gt;=$AG$5,"⏱時間決済",  IF($H34&gt;=$F34*(1+$AG$2*0.7),"⚠️損切接近","保持継続"))))),  IF($H34&gt;=$M34,"🟢利確",  IF(AND($R34&lt;&gt;"",$H34&lt;=$R34),"🟠TRAIL決済",  IF($H34&lt;=$N34,"🔴損切",  IF($W34&gt;=$AG$5,"⏱時間決済",  IF($H34&lt;=$F34*(1-$AG$2*0.7),"⚠️損切接近","保持継続")))))))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  IF($H34&gt;$F34*(1-$AG$2),$N34,CEILING(MIN($N34,IF($Q34="",$N34,$Q34*1.03)),IF($N34&lt;=3000,1,IF($N34&lt;=5000,5,IF($N34&lt;=30000,10,IF($N34&lt;=50000,50,IF($N34&lt;=300000,100,500))))))),  IF($H34&lt;$F34*(1+$AG$2),$N34,FLOOR(MAX($N34,IF($P34="",$N34,$P34*0.97)),IF($N34&lt;=3000,1,IF($N34&lt;=5000,5,IF($N34&lt;=30000,10,IF($N34&lt;=50000,50,IF($N34&lt;=300000,100,500))))))))))</f>
      </c>
      <c r="S34" s="586" t="str">
        <f t="shared" ca="1" si="20"/>
        <v>📌保有中</v>
      </c>
      <c r="T34" s="594" t="str">
        <f t="shared" ca="1" si="9"/>
        <v/>
      </c>
      <c r="U34" s="491" t="str">
        <f t="shared" ca="1" si="10"/>
        <v/>
      </c>
      <c r="V34" s="701" t="str">
        <f t="shared" ca="1" si="21"/>
        <v/>
      </c>
      <c r="W34" s="493">
        <f t="shared" ca="1" si="11"/>
        <v>8</v>
      </c>
      <c r="X34" s="489" t="str">
        <f t="shared" ca="1" si="12"/>
        <v/>
      </c>
      <c r="Y34" s="488">
        <f>IF($B34="","",IF(COUNTIFS($B$4:$B34,$B34,$C$4:$C34,$C34)&gt;1,"⛔重複"&amp;COUNTIFS($B$4:$B34,$B34,$C$4:$C34,$C34)&amp;"回目",""))</f>
      </c>
      <c r="Z34" s="710">
        <v>18</v>
      </c>
      <c r="AB34">
        <f>IF($F34="","",MAX(100,ROUNDDOWN($AG$4/($F34*$AG$2)/100,0)*100))</f>
      </c>
      <c r="AC34">
        <f>IF(OR($F34="",$G34="",$U34=""),"",ROUND($V34-($F34+$U34)*$G34*$AG$6-IF($C34="売",$F34*$G34*$AG$7*$W34/365,0),0))</f>
      </c>
      <c r="AD34" s="608" t="s">
        <v>1324</v>
      </c>
      <c r="AE34" s="624">
        <f t="shared" si="13"/>
        <v>46251</v>
      </c>
      <c r="AF34" s="626"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0</v>
      </c>
      <c r="AG34" s="626"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0</v>
      </c>
      <c r="AH34" s="600" t="str">
        <f t="shared" ca="1" si="14"/>
        <v>保有中</v>
      </c>
      <c r="AI34" s="600" t="str" cm="1">
        <f t="array" ref="AI34">IFERROR(INDEX(始値!$E$6:$BT$305,MATCH(TEXT($B34,"0"),TEXT(銘柄管理!$B$6:$B$305,"0"),0),MATCH($AE34,始値!$E$3:$BT$3,0)),"")</f>
        <v/>
      </c>
      <c r="AJ34" s="905" t="str">
        <f t="shared" ca="1" si="15"/>
        <v/>
      </c>
      <c r="AK34" s="629" t="str">
        <f t="shared" ca="1" si="16"/>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 t="shared" si="0"/>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BT$3,0)=1,1,MATCH($E35,始値!$E$3:$BT$3,0)+1)),_xlpm.v,INDEX(始値!$C$6:$B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 t="shared" ca="1" si="17"/>
        <v>16000</v>
      </c>
      <c r="L35" s="706">
        <f t="shared" ca="1" si="18"/>
        <v>4.7477744807121663E-2</v>
      </c>
      <c r="M35" s="491">
        <f>IF($F35="","",IF($C35="売",CEILING($F35*IF($C35="売",1-$AG$3,1+$AG$3),IF($F35*IF($C35="売",1-$AG$3,1+$AG$3)&lt;=3000,1,IF($F35*IF($C35="売",1-$AG$3,1+$AG$3)&lt;=5000,5,IF($F35*IF($C35="売",1-$AG$3,1+$AG$3)&lt;=30000,10,IF($F35*IF($C35="売",1-$AG$3,1+$AG$3)&lt;=50000,50,IF($F35*IF($C35="売",1-$AG$3,1+$AG$3)&lt;=300000,100,500)))))),FLOOR($F35*IF($C35="売",1-$AG$3,1+$AG$3),IF($F35*IF($C35="売",1-$AG$3,1+$AG$3)&lt;=3000,1,IF($F35*IF($C35="売",1-$AG$3,1+$AG$3)&lt;=5000,5,IF($F35*IF($C35="売",1-$AG$3,1+$AG$3)&lt;=30000,10,IF($F35*IF($C35="売",1-$AG$3,1+$AG$3)&lt;=50000,50,IF($F35*IF($C35="売",1-$AG$3,1+$AG$3)&lt;=300000,100,500))))))))</f>
      </c>
      <c r="N35" s="491">
        <f>IF($F35="","",IF($C35="売",CEILING($F35*IF($C35="売",1+$AG$2,1-$AG$2),IF($F35*IF($C35="売",1+$AG$2,1-$AG$2)&lt;=3000,1,IF($F35*IF($C35="売",1+$AG$2,1-$AG$2)&lt;=5000,5,IF($F35*IF($C35="売",1+$AG$2,1-$AG$2)&lt;=30000,10,IF($F35*IF($C35="売",1+$AG$2,1-$AG$2)&lt;=50000,50,IF($F35*IF($C35="売",1+$AG$2,1-$AG$2)&lt;=300000,100,500)))))),FLOOR($F35*IF($C35="売",1+$AG$2,1-$AG$2),IF($F35*IF($C35="売",1+$AG$2,1-$AG$2)&lt;=3000,1,IF($F35*IF($C35="売",1+$AG$2,1-$AG$2)&lt;=5000,5,IF($F35*IF($C35="売",1+$AG$2,1-$AG$2)&lt;=30000,10,IF($F35*IF($C35="売",1+$AG$2,1-$AG$2)&lt;=50000,50,IF($F35*IF($C35="売",1+$AG$2,1-$AG$2)&lt;=300000,100,500))))))))</f>
      </c>
      <c r="O35" s="492">
        <f>IF(OR($B35="",$F35="",$H35=""),"",IF($S35="✅売却済","―決済済―",IF($C35="売",  IF($H35&lt;=$M35,"🟢利確",  IF(AND($R35&lt;&gt;"",$H35&gt;=$R35),"🟠TRAIL決済",  IF($H35&gt;=$N35,"🔴損切",  IF($W35&gt;=$AG$5,"⏱時間決済",  IF($H35&gt;=$F35*(1+$AG$2*0.7),"⚠️損切接近","保持継続"))))),  IF($H35&gt;=$M35,"🟢利確",  IF(AND($R35&lt;&gt;"",$H35&lt;=$R35),"🟠TRAIL決済",  IF($H35&lt;=$N35,"🔴損切",  IF($W35&gt;=$AG$5,"⏱時間決済",  IF($H35&lt;=$F35*(1-$AG$2*0.7),"⚠️損切接近","保持継続")))))))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  IF($H35&gt;$F35*(1-$AG$2),$N35,CEILING(MIN($N35,IF($Q35="",$N35,$Q35*1.03)),IF($N35&lt;=3000,1,IF($N35&lt;=5000,5,IF($N35&lt;=30000,10,IF($N35&lt;=50000,50,IF($N35&lt;=300000,100,500))))))),  IF($H35&lt;$F35*(1+$AG$2),$N35,FLOOR(MAX($N35,IF($P35="",$N35,$P35*0.97)),IF($N35&lt;=3000,1,IF($N35&lt;=5000,5,IF($N35&lt;=30000,10,IF($N35&lt;=50000,50,IF($N35&lt;=300000,100,500))))))))))</f>
      </c>
      <c r="S35" s="586" t="str">
        <f t="shared" ca="1" si="20"/>
        <v>✅売却済</v>
      </c>
      <c r="T35" s="594">
        <f t="shared" ca="1" si="9"/>
        <v>46238</v>
      </c>
      <c r="U35" s="491">
        <f t="shared" ca="1" si="10"/>
        <v>3572</v>
      </c>
      <c r="V35" s="701">
        <f t="shared" ca="1" si="21"/>
        <v>20200</v>
      </c>
      <c r="W35" s="493">
        <f t="shared" ca="1" si="11"/>
        <v>6</v>
      </c>
      <c r="X35" s="489" t="str">
        <f t="shared" ca="1" si="12"/>
        <v>利益確定</v>
      </c>
      <c r="Y35" s="488">
        <f>IF($B35="","",IF(COUNTIFS($B$4:$B35,$B35,$C$4:$C35,$C35)&gt;1,"⛔重複"&amp;COUNTIFS($B$4:$B35,$B35,$C$4:$C35,$C35)&amp;"回目",""))</f>
      </c>
      <c r="Z35" s="710">
        <v>15</v>
      </c>
      <c r="AB35">
        <f>IF($F35="","",MAX(100,ROUNDDOWN($AG$4/($F35*$AG$2)/100,0)*100))</f>
      </c>
      <c r="AC35">
        <f>IF(OR($F35="",$G35="",$U35=""),"",ROUND($V35-($F35+$U35)*$G35*$AG$6-IF($C35="売",$F35*$G35*$AG$7*$W35/365,0),0))</f>
      </c>
      <c r="AD35" s="608" t="s">
        <v>1324</v>
      </c>
      <c r="AE35" s="624">
        <f t="shared" si="13"/>
        <v>46251</v>
      </c>
      <c r="AF35" s="626"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46238</v>
      </c>
      <c r="AG35" s="626"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0</v>
      </c>
      <c r="AH35" s="600" t="str">
        <f t="shared" ca="1" si="14"/>
        <v>利益確定</v>
      </c>
      <c r="AI35" s="600" t="str" cm="1">
        <f t="array" ref="AI35">IFERROR(INDEX(始値!$E$6:$BT$305,MATCH(TEXT($B35,"0"),TEXT(銘柄管理!$B$6:$B$305,"0"),0),MATCH($AE35,始値!$E$3:$BT$3,0)),"")</f>
        <v/>
      </c>
      <c r="AJ35" s="905">
        <f t="shared" ca="1" si="15"/>
        <v>5.9940652818991101E-2</v>
      </c>
      <c r="AK35" s="629" t="str">
        <f t="shared" ca="1" si="16"/>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 t="shared" si="0"/>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BT$3,0)=1,1,MATCH($E36,始値!$E$3:$BT$3,0)+1)),_xlpm.v,INDEX(始値!$C$6:$B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 t="shared" ca="1" si="17"/>
        <v>-28500</v>
      </c>
      <c r="L36" s="706">
        <f t="shared" ca="1" si="18"/>
        <v>-0.13902439024390245</v>
      </c>
      <c r="M36" s="491">
        <f>IF($F36="","",IF($C36="売",CEILING($F36*IF($C36="売",1-$AG$3,1+$AG$3),IF($F36*IF($C36="売",1-$AG$3,1+$AG$3)&lt;=3000,1,IF($F36*IF($C36="売",1-$AG$3,1+$AG$3)&lt;=5000,5,IF($F36*IF($C36="売",1-$AG$3,1+$AG$3)&lt;=30000,10,IF($F36*IF($C36="売",1-$AG$3,1+$AG$3)&lt;=50000,50,IF($F36*IF($C36="売",1-$AG$3,1+$AG$3)&lt;=300000,100,500)))))),FLOOR($F36*IF($C36="売",1-$AG$3,1+$AG$3),IF($F36*IF($C36="売",1-$AG$3,1+$AG$3)&lt;=3000,1,IF($F36*IF($C36="売",1-$AG$3,1+$AG$3)&lt;=5000,5,IF($F36*IF($C36="売",1-$AG$3,1+$AG$3)&lt;=30000,10,IF($F36*IF($C36="売",1-$AG$3,1+$AG$3)&lt;=50000,50,IF($F36*IF($C36="売",1-$AG$3,1+$AG$3)&lt;=300000,100,500))))))))</f>
      </c>
      <c r="N36" s="491">
        <f>IF($F36="","",IF($C36="売",CEILING($F36*IF($C36="売",1+$AG$2,1-$AG$2),IF($F36*IF($C36="売",1+$AG$2,1-$AG$2)&lt;=3000,1,IF($F36*IF($C36="売",1+$AG$2,1-$AG$2)&lt;=5000,5,IF($F36*IF($C36="売",1+$AG$2,1-$AG$2)&lt;=30000,10,IF($F36*IF($C36="売",1+$AG$2,1-$AG$2)&lt;=50000,50,IF($F36*IF($C36="売",1+$AG$2,1-$AG$2)&lt;=300000,100,500)))))),FLOOR($F36*IF($C36="売",1+$AG$2,1-$AG$2),IF($F36*IF($C36="売",1+$AG$2,1-$AG$2)&lt;=3000,1,IF($F36*IF($C36="売",1+$AG$2,1-$AG$2)&lt;=5000,5,IF($F36*IF($C36="売",1+$AG$2,1-$AG$2)&lt;=30000,10,IF($F36*IF($C36="売",1+$AG$2,1-$AG$2)&lt;=50000,50,IF($F36*IF($C36="売",1+$AG$2,1-$AG$2)&lt;=300000,100,500))))))))</f>
      </c>
      <c r="O36" s="492">
        <f>IF(OR($B36="",$F36="",$H36=""),"",IF($S36="✅売却済","―決済済―",IF($C36="売",  IF($H36&lt;=$M36,"🟢利確",  IF(AND($R36&lt;&gt;"",$H36&gt;=$R36),"🟠TRAIL決済",  IF($H36&gt;=$N36,"🔴損切",  IF($W36&gt;=$AG$5,"⏱時間決済",  IF($H36&gt;=$F36*(1+$AG$2*0.7),"⚠️損切接近","保持継続"))))),  IF($H36&gt;=$M36,"🟢利確",  IF(AND($R36&lt;&gt;"",$H36&lt;=$R36),"🟠TRAIL決済",  IF($H36&lt;=$N36,"🔴損切",  IF($W36&gt;=$AG$5,"⏱時間決済",  IF($H36&lt;=$F36*(1-$AG$2*0.7),"⚠️損切接近","保持継続")))))))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  IF($H36&gt;$F36*(1-$AG$2),$N36,CEILING(MIN($N36,IF($Q36="",$N36,$Q36*1.03)),IF($N36&lt;=3000,1,IF($N36&lt;=5000,5,IF($N36&lt;=30000,10,IF($N36&lt;=50000,50,IF($N36&lt;=300000,100,500))))))),  IF($H36&lt;$F36*(1+$AG$2),$N36,FLOOR(MAX($N36,IF($P36="",$N36,$P36*0.97)),IF($N36&lt;=3000,1,IF($N36&lt;=5000,5,IF($N36&lt;=30000,10,IF($N36&lt;=50000,50,IF($N36&lt;=300000,100,500))))))))))</f>
      </c>
      <c r="S36" s="586" t="str">
        <f t="shared" ca="1" si="20"/>
        <v>✅売却済</v>
      </c>
      <c r="T36" s="594">
        <f t="shared" ca="1" si="9"/>
        <v>46238</v>
      </c>
      <c r="U36" s="491">
        <f t="shared" ca="1" si="10"/>
        <v>2132</v>
      </c>
      <c r="V36" s="701">
        <f t="shared" ca="1" si="21"/>
        <v>-8200</v>
      </c>
      <c r="W36" s="493">
        <f t="shared" ca="1" si="11"/>
        <v>6</v>
      </c>
      <c r="X36" s="489" t="str">
        <f t="shared" ca="1" si="12"/>
        <v>損切確定</v>
      </c>
      <c r="Y36" s="488">
        <f>IF($B36="","",IF(COUNTIFS($B$4:$B36,$B36,$C$4:$C36,$C36)&gt;1,"⛔重複"&amp;COUNTIFS($B$4:$B36,$B36,$C$4:$C36,$C36)&amp;"回目",""))</f>
      </c>
      <c r="Z36" s="710">
        <v>22</v>
      </c>
      <c r="AB36">
        <f>IF($F36="","",MAX(100,ROUNDDOWN($AG$4/($F36*$AG$2)/100,0)*100))</f>
      </c>
      <c r="AC36">
        <f>IF(OR($F36="",$G36="",$U36=""),"",ROUND($V36-($F36+$U36)*$G36*$AG$6-IF($C36="売",$F36*$G36*$AG$7*$W36/365,0),0))</f>
      </c>
      <c r="AD36" s="608" t="s">
        <v>1325</v>
      </c>
      <c r="AE36" s="624">
        <f t="shared" si="13"/>
        <v>46251</v>
      </c>
      <c r="AF36" s="626"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0</v>
      </c>
      <c r="AG36" s="626"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46238</v>
      </c>
      <c r="AH36" s="600" t="str">
        <f t="shared" ca="1" si="14"/>
        <v>損切確定</v>
      </c>
      <c r="AI36" s="600" t="str" cm="1">
        <f t="array" ref="AI36">IFERROR(INDEX(始値!$E$6:$BT$305,MATCH(TEXT($B36,"0"),TEXT(銘柄管理!$B$6:$B$305,"0"),0),MATCH($AE36,始値!$E$3:$BT$3,0)),"")</f>
        <v/>
      </c>
      <c r="AJ36" s="905">
        <f t="shared" ca="1" si="15"/>
        <v>-0.04</v>
      </c>
      <c r="AK36" s="629" t="str">
        <f t="shared" ca="1" si="16"/>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 t="shared" si="0"/>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BT$3,0)=1,1,MATCH($E37,始値!$E$3:$BT$3,0)+1)),_xlpm.v,INDEX(始値!$C$6:$B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 t="shared" ca="1" si="17"/>
        <v>5300</v>
      </c>
      <c r="L37" s="706">
        <f t="shared" ca="1" si="18"/>
        <v>4.6840477242598322E-2</v>
      </c>
      <c r="M37" s="491">
        <f>IF($F37="","",IF($C37="売",CEILING($F37*IF($C37="売",1-$AG$3,1+$AG$3),IF($F37*IF($C37="売",1-$AG$3,1+$AG$3)&lt;=3000,1,IF($F37*IF($C37="売",1-$AG$3,1+$AG$3)&lt;=5000,5,IF($F37*IF($C37="売",1-$AG$3,1+$AG$3)&lt;=30000,10,IF($F37*IF($C37="売",1-$AG$3,1+$AG$3)&lt;=50000,50,IF($F37*IF($C37="売",1-$AG$3,1+$AG$3)&lt;=300000,100,500)))))),FLOOR($F37*IF($C37="売",1-$AG$3,1+$AG$3),IF($F37*IF($C37="売",1-$AG$3,1+$AG$3)&lt;=3000,1,IF($F37*IF($C37="売",1-$AG$3,1+$AG$3)&lt;=5000,5,IF($F37*IF($C37="売",1-$AG$3,1+$AG$3)&lt;=30000,10,IF($F37*IF($C37="売",1-$AG$3,1+$AG$3)&lt;=50000,50,IF($F37*IF($C37="売",1-$AG$3,1+$AG$3)&lt;=300000,100,500))))))))</f>
      </c>
      <c r="N37" s="491">
        <f>IF($F37="","",IF($C37="売",CEILING($F37*IF($C37="売",1+$AG$2,1-$AG$2),IF($F37*IF($C37="売",1+$AG$2,1-$AG$2)&lt;=3000,1,IF($F37*IF($C37="売",1+$AG$2,1-$AG$2)&lt;=5000,5,IF($F37*IF($C37="売",1+$AG$2,1-$AG$2)&lt;=30000,10,IF($F37*IF($C37="売",1+$AG$2,1-$AG$2)&lt;=50000,50,IF($F37*IF($C37="売",1+$AG$2,1-$AG$2)&lt;=300000,100,500)))))),FLOOR($F37*IF($C37="売",1+$AG$2,1-$AG$2),IF($F37*IF($C37="売",1+$AG$2,1-$AG$2)&lt;=3000,1,IF($F37*IF($C37="売",1+$AG$2,1-$AG$2)&lt;=5000,5,IF($F37*IF($C37="売",1+$AG$2,1-$AG$2)&lt;=30000,10,IF($F37*IF($C37="売",1+$AG$2,1-$AG$2)&lt;=50000,50,IF($F37*IF($C37="売",1+$AG$2,1-$AG$2)&lt;=300000,100,500))))))))</f>
      </c>
      <c r="O37" s="492">
        <f>IF(OR($B37="",$F37="",$H37=""),"",IF($S37="✅売却済","―決済済―",IF($C37="売",  IF($H37&lt;=$M37,"🟢利確",  IF(AND($R37&lt;&gt;"",$H37&gt;=$R37),"🟠TRAIL決済",  IF($H37&gt;=$N37,"🔴損切",  IF($W37&gt;=$AG$5,"⏱時間決済",  IF($H37&gt;=$F37*(1+$AG$2*0.7),"⚠️損切接近","保持継続"))))),  IF($H37&gt;=$M37,"🟢利確",  IF(AND($R37&lt;&gt;"",$H37&lt;=$R37),"🟠TRAIL決済",  IF($H37&lt;=$N37,"🔴損切",  IF($W37&gt;=$AG$5,"⏱時間決済",  IF($H37&lt;=$F37*(1-$AG$2*0.7),"⚠️損切接近","保持継続")))))))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  IF($H37&gt;$F37*(1-$AG$2),$N37,CEILING(MIN($N37,IF($Q37="",$N37,$Q37*1.03)),IF($N37&lt;=3000,1,IF($N37&lt;=5000,5,IF($N37&lt;=30000,10,IF($N37&lt;=50000,50,IF($N37&lt;=300000,100,500))))))),  IF($H37&lt;$F37*(1+$AG$2),$N37,FLOOR(MAX($N37,IF($P37="",$N37,$P37*0.97)),IF($N37&lt;=3000,1,IF($N37&lt;=5000,5,IF($N37&lt;=30000,10,IF($N37&lt;=50000,50,IF($N37&lt;=300000,100,500))))))))))</f>
      </c>
      <c r="S37" s="586" t="str">
        <f t="shared" ca="1" si="20"/>
        <v>🔵トレーリング検討</v>
      </c>
      <c r="T37" s="594" t="str">
        <f t="shared" ca="1" si="9"/>
        <v/>
      </c>
      <c r="U37" s="491" t="str">
        <f t="shared" ca="1" si="10"/>
        <v/>
      </c>
      <c r="V37" s="701" t="str">
        <f t="shared" ca="1" si="21"/>
        <v/>
      </c>
      <c r="W37" s="493">
        <f t="shared" ca="1" si="11"/>
        <v>4</v>
      </c>
      <c r="X37" s="489" t="str">
        <f t="shared" ca="1" si="12"/>
        <v/>
      </c>
      <c r="Y37" s="488">
        <f>IF($B37="","",IF(COUNTIFS($B$4:$B37,$B37,$C$4:$C37,$C37)&gt;1,"⛔重複"&amp;COUNTIFS($B$4:$B37,$B37,$C$4:$C37,$C37)&amp;"回目",""))</f>
      </c>
      <c r="Z37" s="710">
        <v>17</v>
      </c>
      <c r="AB37">
        <f>IF($F37="","",MAX(100,ROUNDDOWN($AG$4/($F37*$AG$2)/100,0)*100))</f>
      </c>
      <c r="AC37">
        <f>IF(OR($F37="",$G37="",$U37=""),"",ROUND($V37-($F37+$U37)*$G37*$AG$6-IF($C37="売",$F37*$G37*$AG$7*$W37/365,0),0))</f>
      </c>
      <c r="AD37" s="608" t="s">
        <v>1322</v>
      </c>
      <c r="AE37" s="624">
        <f t="shared" si="13"/>
        <v>46253</v>
      </c>
      <c r="AF37" s="626"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0</v>
      </c>
      <c r="AG37" s="626"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0</v>
      </c>
      <c r="AH37" s="600" t="str">
        <f t="shared" ca="1" si="14"/>
        <v>保有中</v>
      </c>
      <c r="AI37" s="600" t="str" cm="1">
        <f t="array" ref="AI37">IFERROR(INDEX(始値!$E$6:$BT$305,MATCH(TEXT($B37,"0"),TEXT(銘柄管理!$B$6:$B$305,"0"),0),MATCH($AE37,始値!$E$3:$BT$3,0)),"")</f>
        <v/>
      </c>
      <c r="AJ37" s="905" t="str">
        <f t="shared" ca="1" si="15"/>
        <v/>
      </c>
      <c r="AK37" s="629" t="str">
        <f t="shared" ca="1" si="16"/>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 t="shared" si="0"/>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BT$3,0)=1,1,MATCH($E38,始値!$E$3:$BT$3,0)+1)),_xlpm.v,INDEX(始値!$C$6:$B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 t="shared" ca="1" si="17"/>
        <v>13000</v>
      </c>
      <c r="L38" s="706">
        <f t="shared" ca="1" si="18"/>
        <v>1.8840579710144929E-2</v>
      </c>
      <c r="M38" s="491">
        <f>IF($F38="","",IF($C38="売",CEILING($F38*IF($C38="売",1-$AG$3,1+$AG$3),IF($F38*IF($C38="売",1-$AG$3,1+$AG$3)&lt;=3000,1,IF($F38*IF($C38="売",1-$AG$3,1+$AG$3)&lt;=5000,5,IF($F38*IF($C38="売",1-$AG$3,1+$AG$3)&lt;=30000,10,IF($F38*IF($C38="売",1-$AG$3,1+$AG$3)&lt;=50000,50,IF($F38*IF($C38="売",1-$AG$3,1+$AG$3)&lt;=300000,100,500)))))),FLOOR($F38*IF($C38="売",1-$AG$3,1+$AG$3),IF($F38*IF($C38="売",1-$AG$3,1+$AG$3)&lt;=3000,1,IF($F38*IF($C38="売",1-$AG$3,1+$AG$3)&lt;=5000,5,IF($F38*IF($C38="売",1-$AG$3,1+$AG$3)&lt;=30000,10,IF($F38*IF($C38="売",1-$AG$3,1+$AG$3)&lt;=50000,50,IF($F38*IF($C38="売",1-$AG$3,1+$AG$3)&lt;=300000,100,500))))))))</f>
      </c>
      <c r="N38" s="491">
        <f>IF($F38="","",IF($C38="売",CEILING($F38*IF($C38="売",1+$AG$2,1-$AG$2),IF($F38*IF($C38="売",1+$AG$2,1-$AG$2)&lt;=3000,1,IF($F38*IF($C38="売",1+$AG$2,1-$AG$2)&lt;=5000,5,IF($F38*IF($C38="売",1+$AG$2,1-$AG$2)&lt;=30000,10,IF($F38*IF($C38="売",1+$AG$2,1-$AG$2)&lt;=50000,50,IF($F38*IF($C38="売",1+$AG$2,1-$AG$2)&lt;=300000,100,500)))))),FLOOR($F38*IF($C38="売",1+$AG$2,1-$AG$2),IF($F38*IF($C38="売",1+$AG$2,1-$AG$2)&lt;=3000,1,IF($F38*IF($C38="売",1+$AG$2,1-$AG$2)&lt;=5000,5,IF($F38*IF($C38="売",1+$AG$2,1-$AG$2)&lt;=30000,10,IF($F38*IF($C38="売",1+$AG$2,1-$AG$2)&lt;=50000,50,IF($F38*IF($C38="売",1+$AG$2,1-$AG$2)&lt;=300000,100,500))))))))</f>
      </c>
      <c r="O38" s="492">
        <f>IF(OR($B38="",$F38="",$H38=""),"",IF($S38="✅売却済","―決済済―",IF($C38="売",  IF($H38&lt;=$M38,"🟢利確",  IF(AND($R38&lt;&gt;"",$H38&gt;=$R38),"🟠TRAIL決済",  IF($H38&gt;=$N38,"🔴損切",  IF($W38&gt;=$AG$5,"⏱時間決済",  IF($H38&gt;=$F38*(1+$AG$2*0.7),"⚠️損切接近","保持継続"))))),  IF($H38&gt;=$M38,"🟢利確",  IF(AND($R38&lt;&gt;"",$H38&lt;=$R38),"🟠TRAIL決済",  IF($H38&lt;=$N38,"🔴損切",  IF($W38&gt;=$AG$5,"⏱時間決済",  IF($H38&lt;=$F38*(1-$AG$2*0.7),"⚠️損切接近","保持継続")))))))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  IF($H38&gt;$F38*(1-$AG$2),$N38,CEILING(MIN($N38,IF($Q38="",$N38,$Q38*1.03)),IF($N38&lt;=3000,1,IF($N38&lt;=5000,5,IF($N38&lt;=30000,10,IF($N38&lt;=50000,50,IF($N38&lt;=300000,100,500))))))),  IF($H38&lt;$F38*(1+$AG$2),$N38,FLOOR(MAX($N38,IF($P38="",$N38,$P38*0.97)),IF($N38&lt;=3000,1,IF($N38&lt;=5000,5,IF($N38&lt;=30000,10,IF($N38&lt;=50000,50,IF($N38&lt;=300000,100,500))))))))))</f>
      </c>
      <c r="S38" s="586" t="str">
        <f t="shared" ca="1" si="20"/>
        <v>📌保有中</v>
      </c>
      <c r="T38" s="594" t="str">
        <f t="shared" ca="1" si="9"/>
        <v/>
      </c>
      <c r="U38" s="491" t="str">
        <f t="shared" ca="1" si="10"/>
        <v/>
      </c>
      <c r="V38" s="701" t="str">
        <f t="shared" ca="1" si="21"/>
        <v/>
      </c>
      <c r="W38" s="493">
        <f t="shared" ca="1" si="11"/>
        <v>4</v>
      </c>
      <c r="X38" s="489" t="str">
        <f t="shared" ca="1" si="12"/>
        <v/>
      </c>
      <c r="Y38" s="488">
        <f>IF($B38="","",IF(COUNTIFS($B$4:$B38,$B38,$C$4:$C38,$C38)&gt;1,"⛔重複"&amp;COUNTIFS($B$4:$B38,$B38,$C$4:$C38,$C38)&amp;"回目",""))</f>
      </c>
      <c r="Z38" s="710">
        <v>17</v>
      </c>
      <c r="AB38">
        <f>IF($F38="","",MAX(100,ROUNDDOWN($AG$4/($F38*$AG$2)/100,0)*100))</f>
      </c>
      <c r="AC38">
        <f>IF(OR($F38="",$G38="",$U38=""),"",ROUND($V38-($F38+$U38)*$G38*$AG$6-IF($C38="売",$F38*$G38*$AG$7*$W38/365,0),0))</f>
      </c>
      <c r="AD38" s="608" t="s">
        <v>1322</v>
      </c>
      <c r="AE38" s="624">
        <f t="shared" si="13"/>
        <v>46253</v>
      </c>
      <c r="AF38" s="626"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0</v>
      </c>
      <c r="AG38" s="626"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0</v>
      </c>
      <c r="AH38" s="600" t="str">
        <f t="shared" ca="1" si="14"/>
        <v>保有中</v>
      </c>
      <c r="AI38" s="600" t="str" cm="1">
        <f t="array" ref="AI38">IFERROR(INDEX(始値!$E$6:$BT$305,MATCH(TEXT($B38,"0"),TEXT(銘柄管理!$B$6:$B$305,"0"),0),MATCH($AE38,始値!$E$3:$BT$3,0)),"")</f>
        <v/>
      </c>
      <c r="AJ38" s="905" t="str">
        <f t="shared" ca="1" si="15"/>
        <v/>
      </c>
      <c r="AK38" s="629" t="str">
        <f t="shared" ca="1" si="16"/>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 t="shared" si="0"/>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BT$3,0)=1,1,MATCH($E39,始値!$E$3:$BT$3,0)+1)),_xlpm.v,INDEX(始値!$C$6:$B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 t="shared" ca="1" si="17"/>
        <v>-30900</v>
      </c>
      <c r="L39" s="706">
        <f t="shared" ca="1" si="18"/>
        <v>-5.7941121320082507E-2</v>
      </c>
      <c r="M39" s="491">
        <f>IF($F39="","",IF($C39="売",CEILING($F39*IF($C39="売",1-$AG$3,1+$AG$3),IF($F39*IF($C39="売",1-$AG$3,1+$AG$3)&lt;=3000,1,IF($F39*IF($C39="売",1-$AG$3,1+$AG$3)&lt;=5000,5,IF($F39*IF($C39="売",1-$AG$3,1+$AG$3)&lt;=30000,10,IF($F39*IF($C39="売",1-$AG$3,1+$AG$3)&lt;=50000,50,IF($F39*IF($C39="売",1-$AG$3,1+$AG$3)&lt;=300000,100,500)))))),FLOOR($F39*IF($C39="売",1-$AG$3,1+$AG$3),IF($F39*IF($C39="売",1-$AG$3,1+$AG$3)&lt;=3000,1,IF($F39*IF($C39="売",1-$AG$3,1+$AG$3)&lt;=5000,5,IF($F39*IF($C39="売",1-$AG$3,1+$AG$3)&lt;=30000,10,IF($F39*IF($C39="売",1-$AG$3,1+$AG$3)&lt;=50000,50,IF($F39*IF($C39="売",1-$AG$3,1+$AG$3)&lt;=300000,100,500))))))))</f>
      </c>
      <c r="N39" s="491">
        <f>IF($F39="","",IF($C39="売",CEILING($F39*IF($C39="売",1+$AG$2,1-$AG$2),IF($F39*IF($C39="売",1+$AG$2,1-$AG$2)&lt;=3000,1,IF($F39*IF($C39="売",1+$AG$2,1-$AG$2)&lt;=5000,5,IF($F39*IF($C39="売",1+$AG$2,1-$AG$2)&lt;=30000,10,IF($F39*IF($C39="売",1+$AG$2,1-$AG$2)&lt;=50000,50,IF($F39*IF($C39="売",1+$AG$2,1-$AG$2)&lt;=300000,100,500)))))),FLOOR($F39*IF($C39="売",1+$AG$2,1-$AG$2),IF($F39*IF($C39="売",1+$AG$2,1-$AG$2)&lt;=3000,1,IF($F39*IF($C39="売",1+$AG$2,1-$AG$2)&lt;=5000,5,IF($F39*IF($C39="売",1+$AG$2,1-$AG$2)&lt;=30000,10,IF($F39*IF($C39="売",1+$AG$2,1-$AG$2)&lt;=50000,50,IF($F39*IF($C39="売",1+$AG$2,1-$AG$2)&lt;=300000,100,500))))))))</f>
      </c>
      <c r="O39" s="492">
        <f>IF(OR($B39="",$F39="",$H39=""),"",IF($S39="✅売却済","―決済済―",IF($C39="売",  IF($H39&lt;=$M39,"🟢利確",  IF(AND($R39&lt;&gt;"",$H39&gt;=$R39),"🟠TRAIL決済",  IF($H39&gt;=$N39,"🔴損切",  IF($W39&gt;=$AG$5,"⏱時間決済",  IF($H39&gt;=$F39*(1+$AG$2*0.7),"⚠️損切接近","保持継続"))))),  IF($H39&gt;=$M39,"🟢利確",  IF(AND($R39&lt;&gt;"",$H39&lt;=$R39),"🟠TRAIL決済",  IF($H39&lt;=$N39,"🔴損切",  IF($W39&gt;=$AG$5,"⏱時間決済",  IF($H39&lt;=$F39*(1-$AG$2*0.7),"⚠️損切接近","保持継続")))))))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  IF($H39&gt;$F39*(1-$AG$2),$N39,CEILING(MIN($N39,IF($Q39="",$N39,$Q39*1.03)),IF($N39&lt;=3000,1,IF($N39&lt;=5000,5,IF($N39&lt;=30000,10,IF($N39&lt;=50000,50,IF($N39&lt;=300000,100,500))))))),  IF($H39&lt;$F39*(1+$AG$2),$N39,FLOOR(MAX($N39,IF($P39="",$N39,$P39*0.97)),IF($N39&lt;=3000,1,IF($N39&lt;=5000,5,IF($N39&lt;=30000,10,IF($N39&lt;=50000,50,IF($N39&lt;=300000,100,500))))))))))</f>
      </c>
      <c r="S39" s="586" t="str">
        <f t="shared" ca="1" si="20"/>
        <v>✅売却済</v>
      </c>
      <c r="T39" s="594">
        <f t="shared" ca="1" si="9"/>
        <v>46239</v>
      </c>
      <c r="U39" s="491">
        <f t="shared" ca="1" si="10"/>
        <v>5546</v>
      </c>
      <c r="V39" s="701">
        <f t="shared" ca="1" si="21"/>
        <v>-21300</v>
      </c>
      <c r="W39" s="493">
        <f t="shared" ca="1" si="11"/>
        <v>3</v>
      </c>
      <c r="X39" s="489" t="str">
        <f t="shared" ca="1" si="12"/>
        <v>損切確定</v>
      </c>
      <c r="Y39" s="488">
        <f>IF($B39="","",IF(COUNTIFS($B$4:$B39,$B39,$C$4:$C39,$C39)&gt;1,"⛔重複"&amp;COUNTIFS($B$4:$B39,$B39,$C$4:$C39,$C39)&amp;"回目",""))</f>
      </c>
      <c r="Z39" s="710">
        <v>16</v>
      </c>
      <c r="AB39">
        <f>IF($F39="","",MAX(100,ROUNDDOWN($AG$4/($F39*$AG$2)/100,0)*100))</f>
      </c>
      <c r="AC39">
        <f>IF(OR($F39="",$G39="",$U39=""),"",ROUND($V39-($F39+$U39)*$G39*$AG$6-IF($C39="売",$F39*$G39*$AG$7*$W39/365,0),0))</f>
      </c>
      <c r="AD39" s="608" t="s">
        <v>1323</v>
      </c>
      <c r="AE39" s="624">
        <f t="shared" si="13"/>
        <v>46253</v>
      </c>
      <c r="AF39" s="626"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0</v>
      </c>
      <c r="AG39" s="626"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46239</v>
      </c>
      <c r="AH39" s="600" t="str">
        <f t="shared" ca="1" si="14"/>
        <v>損切確定</v>
      </c>
      <c r="AI39" s="600" t="str" cm="1">
        <f t="array" ref="AI39">IFERROR(INDEX(始値!$E$6:$BT$305,MATCH(TEXT($B39,"0"),TEXT(銘柄管理!$B$6:$B$305,"0"),0),MATCH($AE39,始値!$E$3:$BT$3,0)),"")</f>
        <v/>
      </c>
      <c r="AJ39" s="905">
        <f t="shared" ca="1" si="15"/>
        <v>-3.9939996249765609E-2</v>
      </c>
      <c r="AK39" s="629" t="str">
        <f t="shared" ca="1" si="16"/>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 t="shared" si="0"/>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BT$3,0)=1,1,MATCH($E40,始値!$E$3:$BT$3,0)+1)),_xlpm.v,INDEX(始値!$C$6:$B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 t="shared" ca="1" si="17"/>
        <v>-45000</v>
      </c>
      <c r="L40" s="706">
        <f t="shared" ca="1" si="18"/>
        <v>-0.15517241379310345</v>
      </c>
      <c r="M40" s="491">
        <f>IF($F40="","",IF($C40="売",CEILING($F40*IF($C40="売",1-$AG$3,1+$AG$3),IF($F40*IF($C40="売",1-$AG$3,1+$AG$3)&lt;=3000,1,IF($F40*IF($C40="売",1-$AG$3,1+$AG$3)&lt;=5000,5,IF($F40*IF($C40="売",1-$AG$3,1+$AG$3)&lt;=30000,10,IF($F40*IF($C40="売",1-$AG$3,1+$AG$3)&lt;=50000,50,IF($F40*IF($C40="売",1-$AG$3,1+$AG$3)&lt;=300000,100,500)))))),FLOOR($F40*IF($C40="売",1-$AG$3,1+$AG$3),IF($F40*IF($C40="売",1-$AG$3,1+$AG$3)&lt;=3000,1,IF($F40*IF($C40="売",1-$AG$3,1+$AG$3)&lt;=5000,5,IF($F40*IF($C40="売",1-$AG$3,1+$AG$3)&lt;=30000,10,IF($F40*IF($C40="売",1-$AG$3,1+$AG$3)&lt;=50000,50,IF($F40*IF($C40="売",1-$AG$3,1+$AG$3)&lt;=300000,100,500))))))))</f>
      </c>
      <c r="N40" s="491">
        <f>IF($F40="","",IF($C40="売",CEILING($F40*IF($C40="売",1+$AG$2,1-$AG$2),IF($F40*IF($C40="売",1+$AG$2,1-$AG$2)&lt;=3000,1,IF($F40*IF($C40="売",1+$AG$2,1-$AG$2)&lt;=5000,5,IF($F40*IF($C40="売",1+$AG$2,1-$AG$2)&lt;=30000,10,IF($F40*IF($C40="売",1+$AG$2,1-$AG$2)&lt;=50000,50,IF($F40*IF($C40="売",1+$AG$2,1-$AG$2)&lt;=300000,100,500)))))),FLOOR($F40*IF($C40="売",1+$AG$2,1-$AG$2),IF($F40*IF($C40="売",1+$AG$2,1-$AG$2)&lt;=3000,1,IF($F40*IF($C40="売",1+$AG$2,1-$AG$2)&lt;=5000,5,IF($F40*IF($C40="売",1+$AG$2,1-$AG$2)&lt;=30000,10,IF($F40*IF($C40="売",1+$AG$2,1-$AG$2)&lt;=50000,50,IF($F40*IF($C40="売",1+$AG$2,1-$AG$2)&lt;=300000,100,500))))))))</f>
      </c>
      <c r="O40" s="492">
        <f>IF(OR($B40="",$F40="",$H40=""),"",IF($S40="✅売却済","―決済済―",IF($C40="売",  IF($H40&lt;=$M40,"🟢利確",  IF(AND($R40&lt;&gt;"",$H40&gt;=$R40),"🟠TRAIL決済",  IF($H40&gt;=$N40,"🔴損切",  IF($W40&gt;=$AG$5,"⏱時間決済",  IF($H40&gt;=$F40*(1+$AG$2*0.7),"⚠️損切接近","保持継続"))))),  IF($H40&gt;=$M40,"🟢利確",  IF(AND($R40&lt;&gt;"",$H40&lt;=$R40),"🟠TRAIL決済",  IF($H40&lt;=$N40,"🔴損切",  IF($W40&gt;=$AG$5,"⏱時間決済",  IF($H40&lt;=$F40*(1-$AG$2*0.7),"⚠️損切接近","保持継続")))))))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  IF($H40&gt;$F40*(1-$AG$2),$N40,CEILING(MIN($N40,IF($Q40="",$N40,$Q40*1.03)),IF($N40&lt;=3000,1,IF($N40&lt;=5000,5,IF($N40&lt;=30000,10,IF($N40&lt;=50000,50,IF($N40&lt;=300000,100,500))))))),  IF($H40&lt;$F40*(1+$AG$2),$N40,FLOOR(MAX($N40,IF($P40="",$N40,$P40*0.97)),IF($N40&lt;=3000,1,IF($N40&lt;=5000,5,IF($N40&lt;=30000,10,IF($N40&lt;=50000,50,IF($N40&lt;=300000,100,500))))))))))</f>
      </c>
      <c r="S40" s="586" t="str">
        <f t="shared" ca="1" si="20"/>
        <v>✅売却済</v>
      </c>
      <c r="T40" s="594">
        <f t="shared" ca="1" si="9"/>
        <v>46238</v>
      </c>
      <c r="U40" s="491">
        <f t="shared" ca="1" si="10"/>
        <v>3016</v>
      </c>
      <c r="V40" s="701">
        <f t="shared" ca="1" si="21"/>
        <v>-11600</v>
      </c>
      <c r="W40" s="493">
        <f t="shared" ca="1" si="11"/>
        <v>2</v>
      </c>
      <c r="X40" s="489" t="str">
        <f t="shared" ca="1" si="12"/>
        <v>損切確定</v>
      </c>
      <c r="Y40" s="488">
        <f>IF($B40="","",IF(COUNTIFS($B$4:$B40,$B40,$C$4:$C40,$C40)&gt;1,"⛔重複"&amp;COUNTIFS($B$4:$B40,$B40,$C$4:$C40,$C40)&amp;"回目",""))</f>
      </c>
      <c r="Z40" s="710">
        <v>16</v>
      </c>
      <c r="AB40">
        <f>IF($F40="","",MAX(100,ROUNDDOWN($AG$4/($F40*$AG$2)/100,0)*100))</f>
      </c>
      <c r="AC40">
        <f>IF(OR($F40="",$G40="",$U40=""),"",ROUND($V40-($F40+$U40)*$G40*$AG$6-IF($C40="売",$F40*$G40*$AG$7*$W40/365,0),0))</f>
      </c>
      <c r="AD40" s="608" t="s">
        <v>1323</v>
      </c>
      <c r="AE40" s="624">
        <f t="shared" si="13"/>
        <v>46253</v>
      </c>
      <c r="AF40" s="626"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0</v>
      </c>
      <c r="AG40" s="626"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46238</v>
      </c>
      <c r="AH40" s="600" t="str">
        <f t="shared" ca="1" si="14"/>
        <v>損切確定</v>
      </c>
      <c r="AI40" s="600" t="str" cm="1">
        <f t="array" ref="AI40">IFERROR(INDEX(始値!$E$6:$BT$305,MATCH(TEXT($B40,"0"),TEXT(銘柄管理!$B$6:$B$305,"0"),0),MATCH($AE40,始値!$E$3:$BT$3,0)),"")</f>
        <v/>
      </c>
      <c r="AJ40" s="905">
        <f t="shared" ca="1" si="15"/>
        <v>-0.04</v>
      </c>
      <c r="AK40" s="629" t="str">
        <f t="shared" ca="1" si="16"/>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 t="shared" si="0"/>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BT$3,0)=1,1,MATCH($E41,始値!$E$3:$BT$3,0)+1)),_xlpm.v,INDEX(始値!$C$6:$B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 t="shared" ca="1" si="17"/>
        <v>-10400</v>
      </c>
      <c r="L41" s="706">
        <f t="shared" ca="1" si="18"/>
        <v>-3.4009156311314584E-2</v>
      </c>
      <c r="M41" s="491">
        <f>IF($F41="","",IF($C41="売",CEILING($F41*IF($C41="売",1-$AG$3,1+$AG$3),IF($F41*IF($C41="売",1-$AG$3,1+$AG$3)&lt;=3000,1,IF($F41*IF($C41="売",1-$AG$3,1+$AG$3)&lt;=5000,5,IF($F41*IF($C41="売",1-$AG$3,1+$AG$3)&lt;=30000,10,IF($F41*IF($C41="売",1-$AG$3,1+$AG$3)&lt;=50000,50,IF($F41*IF($C41="売",1-$AG$3,1+$AG$3)&lt;=300000,100,500)))))),FLOOR($F41*IF($C41="売",1-$AG$3,1+$AG$3),IF($F41*IF($C41="売",1-$AG$3,1+$AG$3)&lt;=3000,1,IF($F41*IF($C41="売",1-$AG$3,1+$AG$3)&lt;=5000,5,IF($F41*IF($C41="売",1-$AG$3,1+$AG$3)&lt;=30000,10,IF($F41*IF($C41="売",1-$AG$3,1+$AG$3)&lt;=50000,50,IF($F41*IF($C41="売",1-$AG$3,1+$AG$3)&lt;=300000,100,500))))))))</f>
      </c>
      <c r="N41" s="491">
        <f>IF($F41="","",IF($C41="売",CEILING($F41*IF($C41="売",1+$AG$2,1-$AG$2),IF($F41*IF($C41="売",1+$AG$2,1-$AG$2)&lt;=3000,1,IF($F41*IF($C41="売",1+$AG$2,1-$AG$2)&lt;=5000,5,IF($F41*IF($C41="売",1+$AG$2,1-$AG$2)&lt;=30000,10,IF($F41*IF($C41="売",1+$AG$2,1-$AG$2)&lt;=50000,50,IF($F41*IF($C41="売",1+$AG$2,1-$AG$2)&lt;=300000,100,500)))))),FLOOR($F41*IF($C41="売",1+$AG$2,1-$AG$2),IF($F41*IF($C41="売",1+$AG$2,1-$AG$2)&lt;=3000,1,IF($F41*IF($C41="売",1+$AG$2,1-$AG$2)&lt;=5000,5,IF($F41*IF($C41="売",1+$AG$2,1-$AG$2)&lt;=30000,10,IF($F41*IF($C41="売",1+$AG$2,1-$AG$2)&lt;=50000,50,IF($F41*IF($C41="売",1+$AG$2,1-$AG$2)&lt;=300000,100,500))))))))</f>
      </c>
      <c r="O41" s="492">
        <f>IF(OR($B41="",$F41="",$H41=""),"",IF($S41="✅売却済","―決済済―",IF($C41="売",  IF($H41&lt;=$M41,"🟢利確",  IF(AND($R41&lt;&gt;"",$H41&gt;=$R41),"🟠TRAIL決済",  IF($H41&gt;=$N41,"🔴損切",  IF($W41&gt;=$AG$5,"⏱時間決済",  IF($H41&gt;=$F41*(1+$AG$2*0.7),"⚠️損切接近","保持継続"))))),  IF($H41&gt;=$M41,"🟢利確",  IF(AND($R41&lt;&gt;"",$H41&lt;=$R41),"🟠TRAIL決済",  IF($H41&lt;=$N41,"🔴損切",  IF($W41&gt;=$AG$5,"⏱時間決済",  IF($H41&lt;=$F41*(1-$AG$2*0.7),"⚠️損切接近","保持継続")))))))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  IF($H41&gt;$F41*(1-$AG$2),$N41,CEILING(MIN($N41,IF($Q41="",$N41,$Q41*1.03)),IF($N41&lt;=3000,1,IF($N41&lt;=5000,5,IF($N41&lt;=30000,10,IF($N41&lt;=50000,50,IF($N41&lt;=300000,100,500))))))),  IF($H41&lt;$F41*(1+$AG$2),$N41,FLOOR(MAX($N41,IF($P41="",$N41,$P41*0.97)),IF($N41&lt;=3000,1,IF($N41&lt;=5000,5,IF($N41&lt;=30000,10,IF($N41&lt;=50000,50,IF($N41&lt;=300000,100,500))))))))))</f>
      </c>
      <c r="S41" s="586" t="str">
        <f t="shared" ca="1" si="20"/>
        <v>✅売却済</v>
      </c>
      <c r="T41" s="594">
        <f t="shared" ca="1" si="9"/>
        <v>46238</v>
      </c>
      <c r="U41" s="491">
        <f t="shared" ca="1" si="10"/>
        <v>2936</v>
      </c>
      <c r="V41" s="701">
        <f t="shared" ca="1" si="21"/>
        <v>-12200</v>
      </c>
      <c r="W41" s="493">
        <f t="shared" ca="1" si="11"/>
        <v>2</v>
      </c>
      <c r="X41" s="489" t="str">
        <f t="shared" ca="1" si="12"/>
        <v>損切確定</v>
      </c>
      <c r="Y41" s="488">
        <f>IF($B41="","",IF(COUNTIFS($B$4:$B41,$B41,$C$4:$C41,$C41)&gt;1,"⛔重複"&amp;COUNTIFS($B$4:$B41,$B41,$C$4:$C41,$C41)&amp;"回目",""))</f>
      </c>
      <c r="Z41" s="710">
        <v>15</v>
      </c>
      <c r="AB41">
        <f>IF($F41="","",MAX(100,ROUNDDOWN($AG$4/($F41*$AG$2)/100,0)*100))</f>
      </c>
      <c r="AC41">
        <f>IF(OR($F41="",$G41="",$U41=""),"",ROUND($V41-($F41+$U41)*$G41*$AG$6-IF($C41="売",$F41*$G41*$AG$7*$W41/365,0),0))</f>
      </c>
      <c r="AD41" s="608" t="s">
        <v>1324</v>
      </c>
      <c r="AE41" s="624">
        <f t="shared" si="13"/>
        <v>46253</v>
      </c>
      <c r="AF41" s="626"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0</v>
      </c>
      <c r="AG41" s="626"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46238</v>
      </c>
      <c r="AH41" s="600" t="str">
        <f t="shared" ca="1" si="14"/>
        <v>損切確定</v>
      </c>
      <c r="AI41" s="600" t="str" cm="1">
        <f t="array" ref="AI41">IFERROR(INDEX(始値!$E$6:$BT$305,MATCH(TEXT($B41,"0"),TEXT(銘柄管理!$B$6:$B$305,"0"),0),MATCH($AE41,始値!$E$3:$BT$3,0)),"")</f>
        <v/>
      </c>
      <c r="AJ41" s="905">
        <f t="shared" ca="1" si="15"/>
        <v>-3.9895356442119029E-2</v>
      </c>
      <c r="AK41" s="629" t="str">
        <f t="shared" ca="1" si="16"/>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 t="shared" si="0"/>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BT$3,0)=1,1,MATCH($E42,始値!$E$3:$BT$3,0)+1)),_xlpm.v,INDEX(始値!$C$6:$B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 t="shared" ca="1" si="17"/>
        <v>127700</v>
      </c>
      <c r="L42" s="706">
        <f t="shared" ca="1" si="18"/>
        <v>0.16348738957879913</v>
      </c>
      <c r="M42" s="491">
        <f>IF($F42="","",IF($C42="売",CEILING($F42*IF($C42="売",1-$AG$3,1+$AG$3),IF($F42*IF($C42="売",1-$AG$3,1+$AG$3)&lt;=3000,1,IF($F42*IF($C42="売",1-$AG$3,1+$AG$3)&lt;=5000,5,IF($F42*IF($C42="売",1-$AG$3,1+$AG$3)&lt;=30000,10,IF($F42*IF($C42="売",1-$AG$3,1+$AG$3)&lt;=50000,50,IF($F42*IF($C42="売",1-$AG$3,1+$AG$3)&lt;=300000,100,500)))))),FLOOR($F42*IF($C42="売",1-$AG$3,1+$AG$3),IF($F42*IF($C42="売",1-$AG$3,1+$AG$3)&lt;=3000,1,IF($F42*IF($C42="売",1-$AG$3,1+$AG$3)&lt;=5000,5,IF($F42*IF($C42="売",1-$AG$3,1+$AG$3)&lt;=30000,10,IF($F42*IF($C42="売",1-$AG$3,1+$AG$3)&lt;=50000,50,IF($F42*IF($C42="売",1-$AG$3,1+$AG$3)&lt;=300000,100,500))))))))</f>
      </c>
      <c r="N42" s="491">
        <f>IF($F42="","",IF($C42="売",CEILING($F42*IF($C42="売",1+$AG$2,1-$AG$2),IF($F42*IF($C42="売",1+$AG$2,1-$AG$2)&lt;=3000,1,IF($F42*IF($C42="売",1+$AG$2,1-$AG$2)&lt;=5000,5,IF($F42*IF($C42="売",1+$AG$2,1-$AG$2)&lt;=30000,10,IF($F42*IF($C42="売",1+$AG$2,1-$AG$2)&lt;=50000,50,IF($F42*IF($C42="売",1+$AG$2,1-$AG$2)&lt;=300000,100,500)))))),FLOOR($F42*IF($C42="売",1+$AG$2,1-$AG$2),IF($F42*IF($C42="売",1+$AG$2,1-$AG$2)&lt;=3000,1,IF($F42*IF($C42="売",1+$AG$2,1-$AG$2)&lt;=5000,5,IF($F42*IF($C42="売",1+$AG$2,1-$AG$2)&lt;=30000,10,IF($F42*IF($C42="売",1+$AG$2,1-$AG$2)&lt;=50000,50,IF($F42*IF($C42="売",1+$AG$2,1-$AG$2)&lt;=300000,100,500))))))))</f>
      </c>
      <c r="O42" s="492">
        <f>IF(OR($B42="",$F42="",$H42=""),"",IF($S42="✅売却済","―決済済―",IF($C42="売",  IF($H42&lt;=$M42,"🟢利確",  IF(AND($R42&lt;&gt;"",$H42&gt;=$R42),"🟠TRAIL決済",  IF($H42&gt;=$N42,"🔴損切",  IF($W42&gt;=$AG$5,"⏱時間決済",  IF($H42&gt;=$F42*(1+$AG$2*0.7),"⚠️損切接近","保持継続"))))),  IF($H42&gt;=$M42,"🟢利確",  IF(AND($R42&lt;&gt;"",$H42&lt;=$R42),"🟠TRAIL決済",  IF($H42&lt;=$N42,"🔴損切",  IF($W42&gt;=$AG$5,"⏱時間決済",  IF($H42&lt;=$F42*(1-$AG$2*0.7),"⚠️損切接近","保持継続")))))))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  IF($H42&gt;$F42*(1-$AG$2),$N42,CEILING(MIN($N42,IF($Q42="",$N42,$Q42*1.03)),IF($N42&lt;=3000,1,IF($N42&lt;=5000,5,IF($N42&lt;=30000,10,IF($N42&lt;=50000,50,IF($N42&lt;=300000,100,500))))))),  IF($H42&lt;$F42*(1+$AG$2),$N42,FLOOR(MAX($N42,IF($P42="",$N42,$P42*0.97)),IF($N42&lt;=3000,1,IF($N42&lt;=5000,5,IF($N42&lt;=30000,10,IF($N42&lt;=50000,50,IF($N42&lt;=300000,100,500))))))))))</f>
      </c>
      <c r="S42" s="586" t="str">
        <f t="shared" ca="1" si="20"/>
        <v>✅売却済</v>
      </c>
      <c r="T42" s="594">
        <f t="shared" ca="1" si="9"/>
        <v>46239</v>
      </c>
      <c r="U42" s="491">
        <f t="shared" ca="1" si="10"/>
        <v>8280</v>
      </c>
      <c r="V42" s="701">
        <f t="shared" ca="1" si="21"/>
        <v>46900</v>
      </c>
      <c r="W42" s="493">
        <f t="shared" ca="1" si="11"/>
        <v>3</v>
      </c>
      <c r="X42" s="489" t="str">
        <f t="shared" ca="1" si="12"/>
        <v>利益確定</v>
      </c>
      <c r="Y42" s="488">
        <f>IF($B42="","",IF(COUNTIFS($B$4:$B42,$B42,$C$4:$C42,$C42)&gt;1,"⛔重複"&amp;COUNTIFS($B$4:$B42,$B42,$C$4:$C42,$C42)&amp;"回目",""))</f>
      </c>
      <c r="Z42" s="710">
        <v>13</v>
      </c>
      <c r="AB42">
        <f>IF($F42="","",MAX(100,ROUNDDOWN($AG$4/($F42*$AG$2)/100,0)*100))</f>
      </c>
      <c r="AC42">
        <f>IF(OR($F42="",$G42="",$U42=""),"",ROUND($V42-($F42+$U42)*$G42*$AG$6-IF($C42="売",$F42*$G42*$AG$7*$W42/365,0),0))</f>
      </c>
      <c r="AD42" s="608" t="s">
        <v>1324</v>
      </c>
      <c r="AE42" s="624">
        <f t="shared" si="13"/>
        <v>46253</v>
      </c>
      <c r="AF42" s="626"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46239</v>
      </c>
      <c r="AG42" s="626"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0</v>
      </c>
      <c r="AH42" s="600" t="str">
        <f t="shared" ca="1" si="14"/>
        <v>利益確定</v>
      </c>
      <c r="AI42" s="600" t="str" cm="1">
        <f t="array" ref="AI42">IFERROR(INDEX(始値!$E$6:$BT$305,MATCH(TEXT($B42,"0"),TEXT(銘柄管理!$B$6:$B$305,"0"),0),MATCH($AE42,始値!$E$3:$BT$3,0)),"")</f>
        <v/>
      </c>
      <c r="AJ42" s="905">
        <f t="shared" ca="1" si="15"/>
        <v>6.0043528357444628E-2</v>
      </c>
      <c r="AK42" s="629" t="str">
        <f t="shared" ca="1" si="16"/>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 t="shared" si="0"/>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BT$3,0)=1,1,MATCH($E43,始値!$E$3:$BT$3,0)+1)),_xlpm.v,INDEX(始値!$C$6:$B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 t="shared" ca="1" si="17"/>
        <v>2000</v>
      </c>
      <c r="L43" s="706">
        <f t="shared" ca="1" si="18"/>
        <v>6.1443932411674347E-3</v>
      </c>
      <c r="M43" s="491">
        <f>IF($F43="","",IF($C43="売",CEILING($F43*IF($C43="売",1-$AG$3,1+$AG$3),IF($F43*IF($C43="売",1-$AG$3,1+$AG$3)&lt;=3000,1,IF($F43*IF($C43="売",1-$AG$3,1+$AG$3)&lt;=5000,5,IF($F43*IF($C43="売",1-$AG$3,1+$AG$3)&lt;=30000,10,IF($F43*IF($C43="売",1-$AG$3,1+$AG$3)&lt;=50000,50,IF($F43*IF($C43="売",1-$AG$3,1+$AG$3)&lt;=300000,100,500)))))),FLOOR($F43*IF($C43="売",1-$AG$3,1+$AG$3),IF($F43*IF($C43="売",1-$AG$3,1+$AG$3)&lt;=3000,1,IF($F43*IF($C43="売",1-$AG$3,1+$AG$3)&lt;=5000,5,IF($F43*IF($C43="売",1-$AG$3,1+$AG$3)&lt;=30000,10,IF($F43*IF($C43="売",1-$AG$3,1+$AG$3)&lt;=50000,50,IF($F43*IF($C43="売",1-$AG$3,1+$AG$3)&lt;=300000,100,500))))))))</f>
      </c>
      <c r="N43" s="491">
        <f>IF($F43="","",IF($C43="売",CEILING($F43*IF($C43="売",1+$AG$2,1-$AG$2),IF($F43*IF($C43="売",1+$AG$2,1-$AG$2)&lt;=3000,1,IF($F43*IF($C43="売",1+$AG$2,1-$AG$2)&lt;=5000,5,IF($F43*IF($C43="売",1+$AG$2,1-$AG$2)&lt;=30000,10,IF($F43*IF($C43="売",1+$AG$2,1-$AG$2)&lt;=50000,50,IF($F43*IF($C43="売",1+$AG$2,1-$AG$2)&lt;=300000,100,500)))))),FLOOR($F43*IF($C43="売",1+$AG$2,1-$AG$2),IF($F43*IF($C43="売",1+$AG$2,1-$AG$2)&lt;=3000,1,IF($F43*IF($C43="売",1+$AG$2,1-$AG$2)&lt;=5000,5,IF($F43*IF($C43="売",1+$AG$2,1-$AG$2)&lt;=30000,10,IF($F43*IF($C43="売",1+$AG$2,1-$AG$2)&lt;=50000,50,IF($F43*IF($C43="売",1+$AG$2,1-$AG$2)&lt;=300000,100,500))))))))</f>
      </c>
      <c r="O43" s="492">
        <f>IF(OR($B43="",$F43="",$H43=""),"",IF($S43="✅売却済","―決済済―",IF($C43="売",  IF($H43&lt;=$M43,"🟢利確",  IF(AND($R43&lt;&gt;"",$H43&gt;=$R43),"🟠TRAIL決済",  IF($H43&gt;=$N43,"🔴損切",  IF($W43&gt;=$AG$5,"⏱時間決済",  IF($H43&gt;=$F43*(1+$AG$2*0.7),"⚠️損切接近","保持継続"))))),  IF($H43&gt;=$M43,"🟢利確",  IF(AND($R43&lt;&gt;"",$H43&lt;=$R43),"🟠TRAIL決済",  IF($H43&lt;=$N43,"🔴損切",  IF($W43&gt;=$AG$5,"⏱時間決済",  IF($H43&lt;=$F43*(1-$AG$2*0.7),"⚠️損切接近","保持継続")))))))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  IF($H43&gt;$F43*(1-$AG$2),$N43,CEILING(MIN($N43,IF($Q43="",$N43,$Q43*1.03)),IF($N43&lt;=3000,1,IF($N43&lt;=5000,5,IF($N43&lt;=30000,10,IF($N43&lt;=50000,50,IF($N43&lt;=300000,100,500))))))),  IF($H43&lt;$F43*(1+$AG$2),$N43,FLOOR(MAX($N43,IF($P43="",$N43,$P43*0.97)),IF($N43&lt;=3000,1,IF($N43&lt;=5000,5,IF($N43&lt;=30000,10,IF($N43&lt;=50000,50,IF($N43&lt;=300000,100,500))))))))))</f>
      </c>
      <c r="S43" s="586" t="str">
        <f t="shared" ca="1" si="20"/>
        <v>📌保有中</v>
      </c>
      <c r="T43" s="594" t="str">
        <f t="shared" ca="1" si="9"/>
        <v/>
      </c>
      <c r="U43" s="491" t="str">
        <f t="shared" ca="1" si="10"/>
        <v/>
      </c>
      <c r="V43" s="701" t="str">
        <f t="shared" ca="1" si="21"/>
        <v/>
      </c>
      <c r="W43" s="493">
        <f t="shared" ca="1" si="11"/>
        <v>4</v>
      </c>
      <c r="X43" s="489" t="str">
        <f t="shared" ca="1" si="12"/>
        <v/>
      </c>
      <c r="Y43" s="488">
        <f>IF($B43="","",IF(COUNTIFS($B$4:$B43,$B43,$C$4:$C43,$C43)&gt;1,"⛔重複"&amp;COUNTIFS($B$4:$B43,$B43,$C$4:$C43,$C43)&amp;"回目",""))</f>
      </c>
      <c r="Z43" s="710">
        <v>17</v>
      </c>
      <c r="AB43">
        <f>IF($F43="","",MAX(100,ROUNDDOWN($AG$4/($F43*$AG$2)/100,0)*100))</f>
      </c>
      <c r="AC43">
        <f>IF(OR($F43="",$G43="",$U43=""),"",ROUND($V43-($F43+$U43)*$G43*$AG$6-IF($C43="売",$F43*$G43*$AG$7*$W43/365,0),0))</f>
      </c>
      <c r="AD43" s="608" t="s">
        <v>1325</v>
      </c>
      <c r="AE43" s="624">
        <f t="shared" si="13"/>
        <v>46253</v>
      </c>
      <c r="AF43" s="626"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0</v>
      </c>
      <c r="AG43" s="626"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0</v>
      </c>
      <c r="AH43" s="600" t="str">
        <f t="shared" ca="1" si="14"/>
        <v>保有中</v>
      </c>
      <c r="AI43" s="600" t="str" cm="1">
        <f t="array" ref="AI43">IFERROR(INDEX(始値!$E$6:$BT$305,MATCH(TEXT($B43,"0"),TEXT(銘柄管理!$B$6:$B$305,"0"),0),MATCH($AE43,始値!$E$3:$BT$3,0)),"")</f>
        <v/>
      </c>
      <c r="AJ43" s="905" t="str">
        <f t="shared" ca="1" si="15"/>
        <v/>
      </c>
      <c r="AK43" s="629" t="str">
        <f t="shared" ca="1" si="16"/>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 t="shared" si="0"/>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BT$3,0)=1,1,MATCH($E44,始値!$E$3:$BT$3,0)+1)),_xlpm.v,INDEX(始値!$C$6:$B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 t="shared" ca="1" si="17"/>
        <v>2800</v>
      </c>
      <c r="L44" s="706">
        <f t="shared" ca="1" si="18"/>
        <v>7.2388831437435368E-3</v>
      </c>
      <c r="M44" s="491">
        <f>IF($F44="","",IF($C44="売",CEILING($F44*IF($C44="売",1-$AG$3,1+$AG$3),IF($F44*IF($C44="売",1-$AG$3,1+$AG$3)&lt;=3000,1,IF($F44*IF($C44="売",1-$AG$3,1+$AG$3)&lt;=5000,5,IF($F44*IF($C44="売",1-$AG$3,1+$AG$3)&lt;=30000,10,IF($F44*IF($C44="売",1-$AG$3,1+$AG$3)&lt;=50000,50,IF($F44*IF($C44="売",1-$AG$3,1+$AG$3)&lt;=300000,100,500)))))),FLOOR($F44*IF($C44="売",1-$AG$3,1+$AG$3),IF($F44*IF($C44="売",1-$AG$3,1+$AG$3)&lt;=3000,1,IF($F44*IF($C44="売",1-$AG$3,1+$AG$3)&lt;=5000,5,IF($F44*IF($C44="売",1-$AG$3,1+$AG$3)&lt;=30000,10,IF($F44*IF($C44="売",1-$AG$3,1+$AG$3)&lt;=50000,50,IF($F44*IF($C44="売",1-$AG$3,1+$AG$3)&lt;=300000,100,500))))))))</f>
      </c>
      <c r="N44" s="491">
        <f>IF($F44="","",IF($C44="売",CEILING($F44*IF($C44="売",1+$AG$2,1-$AG$2),IF($F44*IF($C44="売",1+$AG$2,1-$AG$2)&lt;=3000,1,IF($F44*IF($C44="売",1+$AG$2,1-$AG$2)&lt;=5000,5,IF($F44*IF($C44="売",1+$AG$2,1-$AG$2)&lt;=30000,10,IF($F44*IF($C44="売",1+$AG$2,1-$AG$2)&lt;=50000,50,IF($F44*IF($C44="売",1+$AG$2,1-$AG$2)&lt;=300000,100,500)))))),FLOOR($F44*IF($C44="売",1+$AG$2,1-$AG$2),IF($F44*IF($C44="売",1+$AG$2,1-$AG$2)&lt;=3000,1,IF($F44*IF($C44="売",1+$AG$2,1-$AG$2)&lt;=5000,5,IF($F44*IF($C44="売",1+$AG$2,1-$AG$2)&lt;=30000,10,IF($F44*IF($C44="売",1+$AG$2,1-$AG$2)&lt;=50000,50,IF($F44*IF($C44="売",1+$AG$2,1-$AG$2)&lt;=300000,100,500))))))))</f>
      </c>
      <c r="O44" s="492">
        <f>IF(OR($B44="",$F44="",$H44=""),"",IF($S44="✅売却済","―決済済―",IF($C44="売",  IF($H44&lt;=$M44,"🟢利確",  IF(AND($R44&lt;&gt;"",$H44&gt;=$R44),"🟠TRAIL決済",  IF($H44&gt;=$N44,"🔴損切",  IF($W44&gt;=$AG$5,"⏱時間決済",  IF($H44&gt;=$F44*(1+$AG$2*0.7),"⚠️損切接近","保持継続"))))),  IF($H44&gt;=$M44,"🟢利確",  IF(AND($R44&lt;&gt;"",$H44&lt;=$R44),"🟠TRAIL決済",  IF($H44&lt;=$N44,"🔴損切",  IF($W44&gt;=$AG$5,"⏱時間決済",  IF($H44&lt;=$F44*(1-$AG$2*0.7),"⚠️損切接近","保持継続")))))))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  IF($H44&gt;$F44*(1-$AG$2),$N44,CEILING(MIN($N44,IF($Q44="",$N44,$Q44*1.03)),IF($N44&lt;=3000,1,IF($N44&lt;=5000,5,IF($N44&lt;=30000,10,IF($N44&lt;=50000,50,IF($N44&lt;=300000,100,500))))))),  IF($H44&lt;$F44*(1+$AG$2),$N44,FLOOR(MAX($N44,IF($P44="",$N44,$P44*0.97)),IF($N44&lt;=3000,1,IF($N44&lt;=5000,5,IF($N44&lt;=30000,10,IF($N44&lt;=50000,50,IF($N44&lt;=300000,100,500))))))))))</f>
      </c>
      <c r="S44" s="586" t="str">
        <f t="shared" ca="1" si="20"/>
        <v>📌保有中</v>
      </c>
      <c r="T44" s="594" t="str">
        <f t="shared" ca="1" si="9"/>
        <v/>
      </c>
      <c r="U44" s="491" t="str">
        <f t="shared" ca="1" si="10"/>
        <v/>
      </c>
      <c r="V44" s="701" t="str">
        <f t="shared" ca="1" si="21"/>
        <v/>
      </c>
      <c r="W44" s="493">
        <f t="shared" ca="1" si="11"/>
        <v>3</v>
      </c>
      <c r="X44" s="489" t="str">
        <f t="shared" ca="1" si="12"/>
        <v/>
      </c>
      <c r="Y44" s="488">
        <f>IF($B44="","",IF(COUNTIFS($B$4:$B44,$B44,$C$4:$C44,$C44)&gt;1,"⛔重複"&amp;COUNTIFS($B$4:$B44,$B44,$C$4:$C44,$C44)&amp;"回目",""))</f>
      </c>
      <c r="Z44" s="710">
        <v>14</v>
      </c>
      <c r="AB44">
        <f>IF($F44="","",MAX(100,ROUNDDOWN($AG$4/($F44*$AG$2)/100,0)*100))</f>
      </c>
      <c r="AC44">
        <f>IF(OR($F44="",$G44="",$U44=""),"",ROUND($V44-($F44+$U44)*$G44*$AG$6-IF($C44="売",$F44*$G44*$AG$7*$W44/365,0),0))</f>
      </c>
      <c r="AD44" s="608" t="s">
        <v>1324</v>
      </c>
      <c r="AE44" s="624">
        <f t="shared" si="13"/>
        <v>46254</v>
      </c>
      <c r="AF44" s="626"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0</v>
      </c>
      <c r="AG44" s="626"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0</v>
      </c>
      <c r="AH44" s="600" t="str">
        <f t="shared" ca="1" si="14"/>
        <v>保有中</v>
      </c>
      <c r="AI44" s="600" t="str" cm="1">
        <f t="array" ref="AI44">IFERROR(INDEX(始値!$E$6:$BT$305,MATCH(TEXT($B44,"0"),TEXT(銘柄管理!$B$6:$B$305,"0"),0),MATCH($AE44,始値!$E$3:$BT$3,0)),"")</f>
        <v/>
      </c>
      <c r="AJ44" s="905" t="str">
        <f t="shared" ca="1" si="15"/>
        <v/>
      </c>
      <c r="AK44" s="629" t="str">
        <f t="shared" ca="1" si="16"/>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 t="shared" si="0"/>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BT$3,0)=1,1,MATCH($E45,始値!$E$3:$BT$3,0)+1)),_xlpm.v,INDEX(始値!$C$6:$B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 t="shared" ca="1" si="17"/>
        <v>-4000</v>
      </c>
      <c r="L45" s="706">
        <f t="shared" ca="1" si="18"/>
        <v>-1.7256255392579811E-2</v>
      </c>
      <c r="M45" s="491">
        <f>IF($F45="","",IF($C45="売",CEILING($F45*IF($C45="売",1-$AG$3,1+$AG$3),IF($F45*IF($C45="売",1-$AG$3,1+$AG$3)&lt;=3000,1,IF($F45*IF($C45="売",1-$AG$3,1+$AG$3)&lt;=5000,5,IF($F45*IF($C45="売",1-$AG$3,1+$AG$3)&lt;=30000,10,IF($F45*IF($C45="売",1-$AG$3,1+$AG$3)&lt;=50000,50,IF($F45*IF($C45="売",1-$AG$3,1+$AG$3)&lt;=300000,100,500)))))),FLOOR($F45*IF($C45="売",1-$AG$3,1+$AG$3),IF($F45*IF($C45="売",1-$AG$3,1+$AG$3)&lt;=3000,1,IF($F45*IF($C45="売",1-$AG$3,1+$AG$3)&lt;=5000,5,IF($F45*IF($C45="売",1-$AG$3,1+$AG$3)&lt;=30000,10,IF($F45*IF($C45="売",1-$AG$3,1+$AG$3)&lt;=50000,50,IF($F45*IF($C45="売",1-$AG$3,1+$AG$3)&lt;=300000,100,500))))))))</f>
      </c>
      <c r="N45" s="491">
        <f>IF($F45="","",IF($C45="売",CEILING($F45*IF($C45="売",1+$AG$2,1-$AG$2),IF($F45*IF($C45="売",1+$AG$2,1-$AG$2)&lt;=3000,1,IF($F45*IF($C45="売",1+$AG$2,1-$AG$2)&lt;=5000,5,IF($F45*IF($C45="売",1+$AG$2,1-$AG$2)&lt;=30000,10,IF($F45*IF($C45="売",1+$AG$2,1-$AG$2)&lt;=50000,50,IF($F45*IF($C45="売",1+$AG$2,1-$AG$2)&lt;=300000,100,500)))))),FLOOR($F45*IF($C45="売",1+$AG$2,1-$AG$2),IF($F45*IF($C45="売",1+$AG$2,1-$AG$2)&lt;=3000,1,IF($F45*IF($C45="売",1+$AG$2,1-$AG$2)&lt;=5000,5,IF($F45*IF($C45="売",1+$AG$2,1-$AG$2)&lt;=30000,10,IF($F45*IF($C45="売",1+$AG$2,1-$AG$2)&lt;=50000,50,IF($F45*IF($C45="売",1+$AG$2,1-$AG$2)&lt;=300000,100,500))))))))</f>
      </c>
      <c r="O45" s="492">
        <f>IF(OR($B45="",$F45="",$H45=""),"",IF($S45="✅売却済","―決済済―",IF($C45="売",  IF($H45&lt;=$M45,"🟢利確",  IF(AND($R45&lt;&gt;"",$H45&gt;=$R45),"🟠TRAIL決済",  IF($H45&gt;=$N45,"🔴損切",  IF($W45&gt;=$AG$5,"⏱時間決済",  IF($H45&gt;=$F45*(1+$AG$2*0.7),"⚠️損切接近","保持継続"))))),  IF($H45&gt;=$M45,"🟢利確",  IF(AND($R45&lt;&gt;"",$H45&lt;=$R45),"🟠TRAIL決済",  IF($H45&lt;=$N45,"🔴損切",  IF($W45&gt;=$AG$5,"⏱時間決済",  IF($H45&lt;=$F45*(1-$AG$2*0.7),"⚠️損切接近","保持継続")))))))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  IF($H45&gt;$F45*(1-$AG$2),$N45,CEILING(MIN($N45,IF($Q45="",$N45,$Q45*1.03)),IF($N45&lt;=3000,1,IF($N45&lt;=5000,5,IF($N45&lt;=30000,10,IF($N45&lt;=50000,50,IF($N45&lt;=300000,100,500))))))),  IF($H45&lt;$F45*(1+$AG$2),$N45,FLOOR(MAX($N45,IF($P45="",$N45,$P45*0.97)),IF($N45&lt;=3000,1,IF($N45&lt;=5000,5,IF($N45&lt;=30000,10,IF($N45&lt;=50000,50,IF($N45&lt;=300000,100,500))))))))))</f>
      </c>
      <c r="S45" s="586" t="str">
        <f t="shared" ca="1" si="20"/>
        <v>✅売却済</v>
      </c>
      <c r="T45" s="594">
        <f t="shared" ca="1" si="9"/>
        <v>46240</v>
      </c>
      <c r="U45" s="491">
        <f t="shared" ca="1" si="10"/>
        <v>2411</v>
      </c>
      <c r="V45" s="701">
        <f t="shared" ca="1" si="21"/>
        <v>-9300</v>
      </c>
      <c r="W45" s="493">
        <f t="shared" ca="1" si="11"/>
        <v>3</v>
      </c>
      <c r="X45" s="489" t="str">
        <f t="shared" ca="1" si="12"/>
        <v>損切確定</v>
      </c>
      <c r="Y45" s="488">
        <f>IF($B45="","",IF(COUNTIFS($B$4:$B45,$B45,$C$4:$C45,$C45)&gt;1,"⛔重複"&amp;COUNTIFS($B$4:$B45,$B45,$C$4:$C45,$C45)&amp;"回目",""))</f>
      </c>
      <c r="Z45" s="710">
        <v>12</v>
      </c>
      <c r="AB45">
        <f>IF($F45="","",MAX(100,ROUNDDOWN($AG$4/($F45*$AG$2)/100,0)*100))</f>
      </c>
      <c r="AC45">
        <f>IF(OR($F45="",$G45="",$U45=""),"",ROUND($V45-($F45+$U45)*$G45*$AG$6-IF($C45="売",$F45*$G45*$AG$7*$W45/365,0),0))</f>
      </c>
      <c r="AD45" s="608" t="s">
        <v>1325</v>
      </c>
      <c r="AE45" s="624">
        <f t="shared" si="13"/>
        <v>46254</v>
      </c>
      <c r="AF45" s="626"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0</v>
      </c>
      <c r="AG45" s="626"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46240</v>
      </c>
      <c r="AH45" s="600" t="str">
        <f t="shared" ca="1" si="14"/>
        <v>損切確定</v>
      </c>
      <c r="AI45" s="600" t="str" cm="1">
        <f t="array" ref="AI45">IFERROR(INDEX(始値!$E$6:$BT$305,MATCH(TEXT($B45,"0"),TEXT(銘柄管理!$B$6:$B$305,"0"),0),MATCH($AE45,始値!$E$3:$BT$3,0)),"")</f>
        <v/>
      </c>
      <c r="AJ45" s="905">
        <f t="shared" ca="1" si="15"/>
        <v>-4.0120793787748056E-2</v>
      </c>
      <c r="AK45" s="629" t="str">
        <f t="shared" ca="1" si="16"/>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 t="shared" si="0"/>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BT$3,0)=1,1,MATCH($E46,始値!$E$3:$BT$3,0)+1)),_xlpm.v,INDEX(始値!$C$6:$B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 t="shared" ca="1" si="17"/>
        <v>5700</v>
      </c>
      <c r="L46" s="706">
        <f t="shared" ca="1" si="18"/>
        <v>8.7868043779867431E-3</v>
      </c>
      <c r="M46" s="491">
        <f>IF($F46="","",IF($C46="売",CEILING($F46*IF($C46="売",1-$AG$3,1+$AG$3),IF($F46*IF($C46="売",1-$AG$3,1+$AG$3)&lt;=3000,1,IF($F46*IF($C46="売",1-$AG$3,1+$AG$3)&lt;=5000,5,IF($F46*IF($C46="売",1-$AG$3,1+$AG$3)&lt;=30000,10,IF($F46*IF($C46="売",1-$AG$3,1+$AG$3)&lt;=50000,50,IF($F46*IF($C46="売",1-$AG$3,1+$AG$3)&lt;=300000,100,500)))))),FLOOR($F46*IF($C46="売",1-$AG$3,1+$AG$3),IF($F46*IF($C46="売",1-$AG$3,1+$AG$3)&lt;=3000,1,IF($F46*IF($C46="売",1-$AG$3,1+$AG$3)&lt;=5000,5,IF($F46*IF($C46="売",1-$AG$3,1+$AG$3)&lt;=30000,10,IF($F46*IF($C46="売",1-$AG$3,1+$AG$3)&lt;=50000,50,IF($F46*IF($C46="売",1-$AG$3,1+$AG$3)&lt;=300000,100,500))))))))</f>
      </c>
      <c r="N46" s="491">
        <f>IF($F46="","",IF($C46="売",CEILING($F46*IF($C46="売",1+$AG$2,1-$AG$2),IF($F46*IF($C46="売",1+$AG$2,1-$AG$2)&lt;=3000,1,IF($F46*IF($C46="売",1+$AG$2,1-$AG$2)&lt;=5000,5,IF($F46*IF($C46="売",1+$AG$2,1-$AG$2)&lt;=30000,10,IF($F46*IF($C46="売",1+$AG$2,1-$AG$2)&lt;=50000,50,IF($F46*IF($C46="売",1+$AG$2,1-$AG$2)&lt;=300000,100,500)))))),FLOOR($F46*IF($C46="売",1+$AG$2,1-$AG$2),IF($F46*IF($C46="売",1+$AG$2,1-$AG$2)&lt;=3000,1,IF($F46*IF($C46="売",1+$AG$2,1-$AG$2)&lt;=5000,5,IF($F46*IF($C46="売",1+$AG$2,1-$AG$2)&lt;=30000,10,IF($F46*IF($C46="売",1+$AG$2,1-$AG$2)&lt;=50000,50,IF($F46*IF($C46="売",1+$AG$2,1-$AG$2)&lt;=300000,100,500))))))))</f>
      </c>
      <c r="O46" s="492">
        <f>IF(OR($B46="",$F46="",$H46=""),"",IF($S46="✅売却済","―決済済―",IF($C46="売",  IF($H46&lt;=$M46,"🟢利確",  IF(AND($R46&lt;&gt;"",$H46&gt;=$R46),"🟠TRAIL決済",  IF($H46&gt;=$N46,"🔴損切",  IF($W46&gt;=$AG$5,"⏱時間決済",  IF($H46&gt;=$F46*(1+$AG$2*0.7),"⚠️損切接近","保持継続"))))),  IF($H46&gt;=$M46,"🟢利確",  IF(AND($R46&lt;&gt;"",$H46&lt;=$R46),"🟠TRAIL決済",  IF($H46&lt;=$N46,"🔴損切",  IF($W46&gt;=$AG$5,"⏱時間決済",  IF($H46&lt;=$F46*(1-$AG$2*0.7),"⚠️損切接近","保持継続")))))))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  IF($H46&gt;$F46*(1-$AG$2),$N46,CEILING(MIN($N46,IF($Q46="",$N46,$Q46*1.03)),IF($N46&lt;=3000,1,IF($N46&lt;=5000,5,IF($N46&lt;=30000,10,IF($N46&lt;=50000,50,IF($N46&lt;=300000,100,500))))))),  IF($H46&lt;$F46*(1+$AG$2),$N46,FLOOR(MAX($N46,IF($P46="",$N46,$P46*0.97)),IF($N46&lt;=3000,1,IF($N46&lt;=5000,5,IF($N46&lt;=30000,10,IF($N46&lt;=50000,50,IF($N46&lt;=300000,100,500))))))))))</f>
      </c>
      <c r="S46" s="586" t="str">
        <f t="shared" ca="1" si="20"/>
        <v>📌保有中</v>
      </c>
      <c r="T46" s="594" t="str">
        <f t="shared" ca="1" si="9"/>
        <v/>
      </c>
      <c r="U46" s="491" t="str">
        <f t="shared" ca="1" si="10"/>
        <v/>
      </c>
      <c r="V46" s="701" t="str">
        <f t="shared" ca="1" si="21"/>
        <v/>
      </c>
      <c r="W46" s="493">
        <f t="shared" ca="1" si="11"/>
        <v>3</v>
      </c>
      <c r="X46" s="489" t="str">
        <f t="shared" ca="1" si="12"/>
        <v/>
      </c>
      <c r="Y46" s="488">
        <f>IF($B46="","",IF(COUNTIFS($B$4:$B46,$B46,$C$4:$C46,$C46)&gt;1,"⛔重複"&amp;COUNTIFS($B$4:$B46,$B46,$C$4:$C46,$C46)&amp;"回目",""))</f>
      </c>
      <c r="Z46" s="710">
        <v>11</v>
      </c>
      <c r="AB46">
        <f>IF($F46="","",MAX(100,ROUNDDOWN($AG$4/($F46*$AG$2)/100,0)*100))</f>
      </c>
      <c r="AC46">
        <f>IF(OR($F46="",$G46="",$U46=""),"",ROUND($V46-($F46+$U46)*$G46*$AG$6-IF($C46="売",$F46*$G46*$AG$7*$W46/365,0),0))</f>
      </c>
      <c r="AD46" s="608" t="s">
        <v>1325</v>
      </c>
      <c r="AE46" s="624">
        <f t="shared" si="13"/>
        <v>46254</v>
      </c>
      <c r="AF46" s="626"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0</v>
      </c>
      <c r="AG46" s="626"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0</v>
      </c>
      <c r="AH46" s="600" t="str">
        <f t="shared" ca="1" si="14"/>
        <v>保有中</v>
      </c>
      <c r="AI46" s="600" t="str" cm="1">
        <f t="array" ref="AI46">IFERROR(INDEX(始値!$E$6:$BT$305,MATCH(TEXT($B46,"0"),TEXT(銘柄管理!$B$6:$B$305,"0"),0),MATCH($AE46,始値!$E$3:$BT$3,0)),"")</f>
        <v/>
      </c>
      <c r="AJ46" s="905" t="str">
        <f t="shared" ca="1" si="15"/>
        <v/>
      </c>
      <c r="AK46" s="629" t="str">
        <f t="shared" ca="1" si="16"/>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 t="shared" si="0"/>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BT$3,0)=1,1,MATCH($E47,始値!$E$3:$BT$3,0)+1)),_xlpm.v,INDEX(始値!$C$6:$B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 t="shared" ca="1" si="17"/>
        <v>8400</v>
      </c>
      <c r="L47" s="706">
        <f t="shared" ca="1" si="18"/>
        <v>1.5996952961340696E-2</v>
      </c>
      <c r="M47" s="491">
        <f>IF($F47="","",IF($C47="売",CEILING($F47*IF($C47="売",1-$AG$3,1+$AG$3),IF($F47*IF($C47="売",1-$AG$3,1+$AG$3)&lt;=3000,1,IF($F47*IF($C47="売",1-$AG$3,1+$AG$3)&lt;=5000,5,IF($F47*IF($C47="売",1-$AG$3,1+$AG$3)&lt;=30000,10,IF($F47*IF($C47="売",1-$AG$3,1+$AG$3)&lt;=50000,50,IF($F47*IF($C47="売",1-$AG$3,1+$AG$3)&lt;=300000,100,500)))))),FLOOR($F47*IF($C47="売",1-$AG$3,1+$AG$3),IF($F47*IF($C47="売",1-$AG$3,1+$AG$3)&lt;=3000,1,IF($F47*IF($C47="売",1-$AG$3,1+$AG$3)&lt;=5000,5,IF($F47*IF($C47="売",1-$AG$3,1+$AG$3)&lt;=30000,10,IF($F47*IF($C47="売",1-$AG$3,1+$AG$3)&lt;=50000,50,IF($F47*IF($C47="売",1-$AG$3,1+$AG$3)&lt;=300000,100,500))))))))</f>
      </c>
      <c r="N47" s="491">
        <f>IF($F47="","",IF($C47="売",CEILING($F47*IF($C47="売",1+$AG$2,1-$AG$2),IF($F47*IF($C47="売",1+$AG$2,1-$AG$2)&lt;=3000,1,IF($F47*IF($C47="売",1+$AG$2,1-$AG$2)&lt;=5000,5,IF($F47*IF($C47="売",1+$AG$2,1-$AG$2)&lt;=30000,10,IF($F47*IF($C47="売",1+$AG$2,1-$AG$2)&lt;=50000,50,IF($F47*IF($C47="売",1+$AG$2,1-$AG$2)&lt;=300000,100,500)))))),FLOOR($F47*IF($C47="売",1+$AG$2,1-$AG$2),IF($F47*IF($C47="売",1+$AG$2,1-$AG$2)&lt;=3000,1,IF($F47*IF($C47="売",1+$AG$2,1-$AG$2)&lt;=5000,5,IF($F47*IF($C47="売",1+$AG$2,1-$AG$2)&lt;=30000,10,IF($F47*IF($C47="売",1+$AG$2,1-$AG$2)&lt;=50000,50,IF($F47*IF($C47="売",1+$AG$2,1-$AG$2)&lt;=300000,100,500))))))))</f>
      </c>
      <c r="O47" s="492">
        <f>IF(OR($B47="",$F47="",$H47=""),"",IF($S47="✅売却済","―決済済―",IF($C47="売",  IF($H47&lt;=$M47,"🟢利確",  IF(AND($R47&lt;&gt;"",$H47&gt;=$R47),"🟠TRAIL決済",  IF($H47&gt;=$N47,"🔴損切",  IF($W47&gt;=$AG$5,"⏱時間決済",  IF($H47&gt;=$F47*(1+$AG$2*0.7),"⚠️損切接近","保持継続"))))),  IF($H47&gt;=$M47,"🟢利確",  IF(AND($R47&lt;&gt;"",$H47&lt;=$R47),"🟠TRAIL決済",  IF($H47&lt;=$N47,"🔴損切",  IF($W47&gt;=$AG$5,"⏱時間決済",  IF($H47&lt;=$F47*(1-$AG$2*0.7),"⚠️損切接近","保持継続")))))))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  IF($H47&gt;$F47*(1-$AG$2),$N47,CEILING(MIN($N47,IF($Q47="",$N47,$Q47*1.03)),IF($N47&lt;=3000,1,IF($N47&lt;=5000,5,IF($N47&lt;=30000,10,IF($N47&lt;=50000,50,IF($N47&lt;=300000,100,500))))))),  IF($H47&lt;$F47*(1+$AG$2),$N47,FLOOR(MAX($N47,IF($P47="",$N47,$P47*0.97)),IF($N47&lt;=3000,1,IF($N47&lt;=5000,5,IF($N47&lt;=30000,10,IF($N47&lt;=50000,50,IF($N47&lt;=300000,100,500))))))))))</f>
      </c>
      <c r="S47" s="586" t="str">
        <f t="shared" ca="1" si="20"/>
        <v>📌保有中</v>
      </c>
      <c r="T47" s="594" t="str">
        <f t="shared" ca="1" si="9"/>
        <v/>
      </c>
      <c r="U47" s="491" t="str">
        <f t="shared" ca="1" si="10"/>
        <v/>
      </c>
      <c r="V47" s="701" t="str">
        <f t="shared" ca="1" si="21"/>
        <v/>
      </c>
      <c r="W47" s="493">
        <f t="shared" ca="1" si="11"/>
        <v>2</v>
      </c>
      <c r="X47" s="489" t="str">
        <f t="shared" ca="1" si="12"/>
        <v/>
      </c>
      <c r="Y47" s="488">
        <f>IF($B47="","",IF(COUNTIFS($B$4:$B47,$B47,$C$4:$C47,$C47)&gt;1,"⛔重複"&amp;COUNTIFS($B$4:$B47,$B47,$C$4:$C47,$C47)&amp;"回目",""))</f>
      </c>
      <c r="Z47" s="710">
        <v>13</v>
      </c>
      <c r="AB47">
        <f>IF($F47="","",MAX(100,ROUNDDOWN($AG$4/($F47*$AG$2)/100,0)*100))</f>
      </c>
      <c r="AC47">
        <f>IF(OR($F47="",$G47="",$U47=""),"",ROUND($V47-($F47+$U47)*$G47*$AG$6-IF($C47="売",$F47*$G47*$AG$7*$W47/365,0),0))</f>
      </c>
      <c r="AD47" s="608" t="s">
        <v>1322</v>
      </c>
      <c r="AE47" s="624">
        <f t="shared" si="13"/>
        <v>46255</v>
      </c>
      <c r="AF47" s="626"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0</v>
      </c>
      <c r="AG47" s="626"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0</v>
      </c>
      <c r="AH47" s="600" t="str">
        <f t="shared" ca="1" si="14"/>
        <v>保有中</v>
      </c>
      <c r="AI47" s="600" t="str" cm="1">
        <f t="array" ref="AI47">IFERROR(INDEX(始値!$E$6:$BT$305,MATCH(TEXT($B47,"0"),TEXT(銘柄管理!$B$6:$B$305,"0"),0),MATCH($AE47,始値!$E$3:$BT$3,0)),"")</f>
        <v/>
      </c>
      <c r="AJ47" s="905" t="str">
        <f t="shared" ca="1" si="15"/>
        <v/>
      </c>
      <c r="AK47" s="629" t="str">
        <f t="shared" ca="1" si="16"/>
        <v/>
      </c>
      <c r="BB47" s="600" t="str">
        <f>IF(N(買抽出v13!$C47)=0,"",N(買抽出v13!$Q47)+N(買抽出v13!$L47)/1000-ROW()/1000000)</f>
        <v/>
      </c>
      <c r="BC47" s="600" t="str">
        <f>IF(N(売抽出v13!$C47)=0,"",N(売抽出v13!$Q47)+IFERROR(VALUE(SUBSTITUTE(売抽出v13!$L47,"倍","")),0)/1000-ROW()/1000000)</f>
        <v/>
      </c>
    </row>
    <row r="48" spans="1:55" ht="35.4" customHeight="1">
      <c r="A48" s="619" t="str">
        <f t="shared" si="0"/>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BT$3,0)=1,1,MATCH($E48,始値!$E$3:$BT$3,0)+1)),_xlpm.v,INDEX(始値!$C$6:$B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 t="shared" ca="1" si="17"/>
        <v>-10800</v>
      </c>
      <c r="L48" s="706">
        <f t="shared" ca="1" si="18"/>
        <v>-4.5957446808510639E-2</v>
      </c>
      <c r="M48" s="491">
        <f>IF($F48="","",IF($C48="売",CEILING($F48*IF($C48="売",1-$AG$3,1+$AG$3),IF($F48*IF($C48="売",1-$AG$3,1+$AG$3)&lt;=3000,1,IF($F48*IF($C48="売",1-$AG$3,1+$AG$3)&lt;=5000,5,IF($F48*IF($C48="売",1-$AG$3,1+$AG$3)&lt;=30000,10,IF($F48*IF($C48="売",1-$AG$3,1+$AG$3)&lt;=50000,50,IF($F48*IF($C48="売",1-$AG$3,1+$AG$3)&lt;=300000,100,500)))))),FLOOR($F48*IF($C48="売",1-$AG$3,1+$AG$3),IF($F48*IF($C48="売",1-$AG$3,1+$AG$3)&lt;=3000,1,IF($F48*IF($C48="売",1-$AG$3,1+$AG$3)&lt;=5000,5,IF($F48*IF($C48="売",1-$AG$3,1+$AG$3)&lt;=30000,10,IF($F48*IF($C48="売",1-$AG$3,1+$AG$3)&lt;=50000,50,IF($F48*IF($C48="売",1-$AG$3,1+$AG$3)&lt;=300000,100,500))))))))</f>
      </c>
      <c r="N48" s="491">
        <f>IF($F48="","",IF($C48="売",CEILING($F48*IF($C48="売",1+$AG$2,1-$AG$2),IF($F48*IF($C48="売",1+$AG$2,1-$AG$2)&lt;=3000,1,IF($F48*IF($C48="売",1+$AG$2,1-$AG$2)&lt;=5000,5,IF($F48*IF($C48="売",1+$AG$2,1-$AG$2)&lt;=30000,10,IF($F48*IF($C48="売",1+$AG$2,1-$AG$2)&lt;=50000,50,IF($F48*IF($C48="売",1+$AG$2,1-$AG$2)&lt;=300000,100,500)))))),FLOOR($F48*IF($C48="売",1+$AG$2,1-$AG$2),IF($F48*IF($C48="売",1+$AG$2,1-$AG$2)&lt;=3000,1,IF($F48*IF($C48="売",1+$AG$2,1-$AG$2)&lt;=5000,5,IF($F48*IF($C48="売",1+$AG$2,1-$AG$2)&lt;=30000,10,IF($F48*IF($C48="売",1+$AG$2,1-$AG$2)&lt;=50000,50,IF($F48*IF($C48="売",1+$AG$2,1-$AG$2)&lt;=300000,100,500))))))))</f>
      </c>
      <c r="O48" s="492">
        <f>IF(OR($B48="",$F48="",$H48=""),"",IF($S48="✅売却済","―決済済―",IF($C48="売",  IF($H48&lt;=$M48,"🟢利確",  IF(AND($R48&lt;&gt;"",$H48&gt;=$R48),"🟠TRAIL決済",  IF($H48&gt;=$N48,"🔴損切",  IF($W48&gt;=$AG$5,"⏱時間決済",  IF($H48&gt;=$F48*(1+$AG$2*0.7),"⚠️損切接近","保持継続"))))),  IF($H48&gt;=$M48,"🟢利確",  IF(AND($R48&lt;&gt;"",$H48&lt;=$R48),"🟠TRAIL決済",  IF($H48&lt;=$N48,"🔴損切",  IF($W48&gt;=$AG$5,"⏱時間決済",  IF($H48&lt;=$F48*(1-$AG$2*0.7),"⚠️損切接近","保持継続")))))))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  IF($H48&gt;$F48*(1-$AG$2),$N48,CEILING(MIN($N48,IF($Q48="",$N48,$Q48*1.03)),IF($N48&lt;=3000,1,IF($N48&lt;=5000,5,IF($N48&lt;=30000,10,IF($N48&lt;=50000,50,IF($N48&lt;=300000,100,500))))))),  IF($H48&lt;$F48*(1+$AG$2),$N48,FLOOR(MAX($N48,IF($P48="",$N48,$P48*0.97)),IF($N48&lt;=3000,1,IF($N48&lt;=5000,5,IF($N48&lt;=30000,10,IF($N48&lt;=50000,50,IF($N48&lt;=300000,100,500))))))))))</f>
      </c>
      <c r="S48" s="586" t="str">
        <f t="shared" ca="1" si="20"/>
        <v>✅売却済</v>
      </c>
      <c r="T48" s="594">
        <f t="shared" ca="1" si="9"/>
        <v>46240</v>
      </c>
      <c r="U48" s="491">
        <f t="shared" ca="1" si="10"/>
        <v>2256</v>
      </c>
      <c r="V48" s="701">
        <f t="shared" ca="1" si="21"/>
        <v>-9400</v>
      </c>
      <c r="W48" s="493">
        <f t="shared" ca="1" si="11"/>
        <v>2</v>
      </c>
      <c r="X48" s="489" t="str">
        <f t="shared" ca="1" si="12"/>
        <v>損切確定</v>
      </c>
      <c r="Y48" s="488">
        <f>IF($B48="","",IF(COUNTIFS($B$4:$B48,$B48,$C$4:$C48,$C48)&gt;1,"⛔重複"&amp;COUNTIFS($B$4:$B48,$B48,$C$4:$C48,$C48)&amp;"回目",""))</f>
      </c>
      <c r="Z48" s="710">
        <v>12</v>
      </c>
      <c r="AB48">
        <f>IF($F48="","",MAX(100,ROUNDDOWN($AG$4/($F48*$AG$2)/100,0)*100))</f>
      </c>
      <c r="AC48">
        <f>IF(OR($F48="",$G48="",$U48=""),"",ROUND($V48-($F48+$U48)*$G48*$AG$6-IF($C48="売",$F48*$G48*$AG$7*$W48/365,0),0))</f>
      </c>
      <c r="AD48" s="608" t="s">
        <v>1322</v>
      </c>
      <c r="AE48" s="624">
        <f t="shared" si="13"/>
        <v>46255</v>
      </c>
      <c r="AF48" s="626"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0</v>
      </c>
      <c r="AG48" s="626"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46240</v>
      </c>
      <c r="AH48" s="600" t="str">
        <f t="shared" ca="1" si="14"/>
        <v>損切確定</v>
      </c>
      <c r="AI48" s="600" t="str" cm="1">
        <f t="array" ref="AI48">IFERROR(INDEX(始値!$E$6:$BT$305,MATCH(TEXT($B48,"0"),TEXT(銘柄管理!$B$6:$B$305,"0"),0),MATCH($AE48,始値!$E$3:$BT$3,0)),"")</f>
        <v/>
      </c>
      <c r="AJ48" s="905">
        <f t="shared" ca="1" si="15"/>
        <v>-0.04</v>
      </c>
      <c r="AK48" s="629" t="str">
        <f t="shared" ca="1" si="16"/>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 t="shared" si="0"/>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BT$3,0)=1,1,MATCH($E49,始値!$E$3:$BT$3,0)+1)),_xlpm.v,INDEX(始値!$C$6:$B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 t="shared" ca="1" si="17"/>
        <v>5500</v>
      </c>
      <c r="L49" s="706">
        <f t="shared" ca="1" si="18"/>
        <v>1.7454776261504285E-2</v>
      </c>
      <c r="M49" s="491">
        <f>IF($F49="","",IF($C49="売",CEILING($F49*IF($C49="売",1-$AG$3,1+$AG$3),IF($F49*IF($C49="売",1-$AG$3,1+$AG$3)&lt;=3000,1,IF($F49*IF($C49="売",1-$AG$3,1+$AG$3)&lt;=5000,5,IF($F49*IF($C49="売",1-$AG$3,1+$AG$3)&lt;=30000,10,IF($F49*IF($C49="売",1-$AG$3,1+$AG$3)&lt;=50000,50,IF($F49*IF($C49="売",1-$AG$3,1+$AG$3)&lt;=300000,100,500)))))),FLOOR($F49*IF($C49="売",1-$AG$3,1+$AG$3),IF($F49*IF($C49="売",1-$AG$3,1+$AG$3)&lt;=3000,1,IF($F49*IF($C49="売",1-$AG$3,1+$AG$3)&lt;=5000,5,IF($F49*IF($C49="売",1-$AG$3,1+$AG$3)&lt;=30000,10,IF($F49*IF($C49="売",1-$AG$3,1+$AG$3)&lt;=50000,50,IF($F49*IF($C49="売",1-$AG$3,1+$AG$3)&lt;=300000,100,500))))))))</f>
      </c>
      <c r="N49" s="491">
        <f>IF($F49="","",IF($C49="売",CEILING($F49*IF($C49="売",1+$AG$2,1-$AG$2),IF($F49*IF($C49="売",1+$AG$2,1-$AG$2)&lt;=3000,1,IF($F49*IF($C49="売",1+$AG$2,1-$AG$2)&lt;=5000,5,IF($F49*IF($C49="売",1+$AG$2,1-$AG$2)&lt;=30000,10,IF($F49*IF($C49="売",1+$AG$2,1-$AG$2)&lt;=50000,50,IF($F49*IF($C49="売",1+$AG$2,1-$AG$2)&lt;=300000,100,500)))))),FLOOR($F49*IF($C49="売",1+$AG$2,1-$AG$2),IF($F49*IF($C49="売",1+$AG$2,1-$AG$2)&lt;=3000,1,IF($F49*IF($C49="売",1+$AG$2,1-$AG$2)&lt;=5000,5,IF($F49*IF($C49="売",1+$AG$2,1-$AG$2)&lt;=30000,10,IF($F49*IF($C49="売",1+$AG$2,1-$AG$2)&lt;=50000,50,IF($F49*IF($C49="売",1+$AG$2,1-$AG$2)&lt;=300000,100,500))))))))</f>
      </c>
      <c r="O49" s="492">
        <f>IF(OR($B49="",$F49="",$H49=""),"",IF($S49="✅売却済","―決済済―",IF($C49="売",  IF($H49&lt;=$M49,"🟢利確",  IF(AND($R49&lt;&gt;"",$H49&gt;=$R49),"🟠TRAIL決済",  IF($H49&gt;=$N49,"🔴損切",  IF($W49&gt;=$AG$5,"⏱時間決済",  IF($H49&gt;=$F49*(1+$AG$2*0.7),"⚠️損切接近","保持継続"))))),  IF($H49&gt;=$M49,"🟢利確",  IF(AND($R49&lt;&gt;"",$H49&lt;=$R49),"🟠TRAIL決済",  IF($H49&lt;=$N49,"🔴損切",  IF($W49&gt;=$AG$5,"⏱時間決済",  IF($H49&lt;=$F49*(1-$AG$2*0.7),"⚠️損切接近","保持継続")))))))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  IF($H49&gt;$F49*(1-$AG$2),$N49,CEILING(MIN($N49,IF($Q49="",$N49,$Q49*1.03)),IF($N49&lt;=3000,1,IF($N49&lt;=5000,5,IF($N49&lt;=30000,10,IF($N49&lt;=50000,50,IF($N49&lt;=300000,100,500))))))),  IF($H49&lt;$F49*(1+$AG$2),$N49,FLOOR(MAX($N49,IF($P49="",$N49,$P49*0.97)),IF($N49&lt;=3000,1,IF($N49&lt;=5000,5,IF($N49&lt;=30000,10,IF($N49&lt;=50000,50,IF($N49&lt;=300000,100,500))))))))))</f>
      </c>
      <c r="S49" s="586" t="str">
        <f t="shared" ca="1" si="20"/>
        <v>📌保有中</v>
      </c>
      <c r="T49" s="594" t="str">
        <f t="shared" ca="1" si="9"/>
        <v/>
      </c>
      <c r="U49" s="491" t="str">
        <f t="shared" ca="1" si="10"/>
        <v/>
      </c>
      <c r="V49" s="701" t="str">
        <f t="shared" ca="1" si="21"/>
        <v/>
      </c>
      <c r="W49" s="493">
        <f t="shared" ca="1" si="11"/>
        <v>2</v>
      </c>
      <c r="X49" s="489" t="str">
        <f t="shared" ca="1" si="12"/>
        <v/>
      </c>
      <c r="Y49" s="488">
        <f>IF($B49="","",IF(COUNTIFS($B$4:$B49,$B49,$C$4:$C49,$C49)&gt;1,"⛔重複"&amp;COUNTIFS($B$4:$B49,$B49,$C$4:$C49,$C49)&amp;"回目",""))</f>
      </c>
      <c r="Z49" s="710">
        <v>17</v>
      </c>
      <c r="AB49">
        <f>IF($F49="","",MAX(100,ROUNDDOWN($AG$4/($F49*$AG$2)/100,0)*100))</f>
      </c>
      <c r="AC49">
        <f>IF(OR($F49="",$G49="",$U49=""),"",ROUND($V49-($F49+$U49)*$G49*$AG$6-IF($C49="売",$F49*$G49*$AG$7*$W49/365,0),0))</f>
      </c>
      <c r="AD49" s="608" t="s">
        <v>1323</v>
      </c>
      <c r="AE49" s="624">
        <f t="shared" si="13"/>
        <v>46255</v>
      </c>
      <c r="AF49" s="626"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0</v>
      </c>
      <c r="AG49" s="626"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0</v>
      </c>
      <c r="AH49" s="600" t="str">
        <f t="shared" ca="1" si="14"/>
        <v>保有中</v>
      </c>
      <c r="AI49" s="600" t="str" cm="1">
        <f t="array" ref="AI49">IFERROR(INDEX(始値!$E$6:$BT$305,MATCH(TEXT($B49,"0"),TEXT(銘柄管理!$B$6:$B$305,"0"),0),MATCH($AE49,始値!$E$3:$BT$3,0)),"")</f>
        <v/>
      </c>
      <c r="AJ49" s="905" t="str">
        <f t="shared" ca="1" si="15"/>
        <v/>
      </c>
      <c r="AK49" s="629" t="str">
        <f t="shared" ca="1" si="16"/>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 t="shared" si="0"/>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BT$3,0)=1,1,MATCH($E50,始値!$E$3:$BT$3,0)+1)),_xlpm.v,INDEX(始値!$C$6:$B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 t="shared" ca="1" si="17"/>
        <v>-5200</v>
      </c>
      <c r="L50" s="706">
        <f t="shared" ca="1" si="18"/>
        <v>-1.2839506172839505E-2</v>
      </c>
      <c r="M50" s="491">
        <f>IF($F50="","",IF($C50="売",CEILING($F50*IF($C50="売",1-$AG$3,1+$AG$3),IF($F50*IF($C50="売",1-$AG$3,1+$AG$3)&lt;=3000,1,IF($F50*IF($C50="売",1-$AG$3,1+$AG$3)&lt;=5000,5,IF($F50*IF($C50="売",1-$AG$3,1+$AG$3)&lt;=30000,10,IF($F50*IF($C50="売",1-$AG$3,1+$AG$3)&lt;=50000,50,IF($F50*IF($C50="売",1-$AG$3,1+$AG$3)&lt;=300000,100,500)))))),FLOOR($F50*IF($C50="売",1-$AG$3,1+$AG$3),IF($F50*IF($C50="売",1-$AG$3,1+$AG$3)&lt;=3000,1,IF($F50*IF($C50="売",1-$AG$3,1+$AG$3)&lt;=5000,5,IF($F50*IF($C50="売",1-$AG$3,1+$AG$3)&lt;=30000,10,IF($F50*IF($C50="売",1-$AG$3,1+$AG$3)&lt;=50000,50,IF($F50*IF($C50="売",1-$AG$3,1+$AG$3)&lt;=300000,100,500))))))))</f>
      </c>
      <c r="N50" s="491">
        <f>IF($F50="","",IF($C50="売",CEILING($F50*IF($C50="売",1+$AG$2,1-$AG$2),IF($F50*IF($C50="売",1+$AG$2,1-$AG$2)&lt;=3000,1,IF($F50*IF($C50="売",1+$AG$2,1-$AG$2)&lt;=5000,5,IF($F50*IF($C50="売",1+$AG$2,1-$AG$2)&lt;=30000,10,IF($F50*IF($C50="売",1+$AG$2,1-$AG$2)&lt;=50000,50,IF($F50*IF($C50="売",1+$AG$2,1-$AG$2)&lt;=300000,100,500)))))),FLOOR($F50*IF($C50="売",1+$AG$2,1-$AG$2),IF($F50*IF($C50="売",1+$AG$2,1-$AG$2)&lt;=3000,1,IF($F50*IF($C50="売",1+$AG$2,1-$AG$2)&lt;=5000,5,IF($F50*IF($C50="売",1+$AG$2,1-$AG$2)&lt;=30000,10,IF($F50*IF($C50="売",1+$AG$2,1-$AG$2)&lt;=50000,50,IF($F50*IF($C50="売",1+$AG$2,1-$AG$2)&lt;=300000,100,500))))))))</f>
      </c>
      <c r="O50" s="492">
        <f>IF(OR($B50="",$F50="",$H50=""),"",IF($S50="✅売却済","―決済済―",IF($C50="売",  IF($H50&lt;=$M50,"🟢利確",  IF(AND($R50&lt;&gt;"",$H50&gt;=$R50),"🟠TRAIL決済",  IF($H50&gt;=$N50,"🔴損切",  IF($W50&gt;=$AG$5,"⏱時間決済",  IF($H50&gt;=$F50*(1+$AG$2*0.7),"⚠️損切接近","保持継続"))))),  IF($H50&gt;=$M50,"🟢利確",  IF(AND($R50&lt;&gt;"",$H50&lt;=$R50),"🟠TRAIL決済",  IF($H50&lt;=$N50,"🔴損切",  IF($W50&gt;=$AG$5,"⏱時間決済",  IF($H50&lt;=$F50*(1-$AG$2*0.7),"⚠️損切接近","保持継続")))))))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  IF($H50&gt;$F50*(1-$AG$2),$N50,CEILING(MIN($N50,IF($Q50="",$N50,$Q50*1.03)),IF($N50&lt;=3000,1,IF($N50&lt;=5000,5,IF($N50&lt;=30000,10,IF($N50&lt;=50000,50,IF($N50&lt;=300000,100,500))))))),  IF($H50&lt;$F50*(1+$AG$2),$N50,FLOOR(MAX($N50,IF($P50="",$N50,$P50*0.97)),IF($N50&lt;=3000,1,IF($N50&lt;=5000,5,IF($N50&lt;=30000,10,IF($N50&lt;=50000,50,IF($N50&lt;=300000,100,500))))))))))</f>
      </c>
      <c r="S50" s="586" t="str">
        <f t="shared" ca="1" si="20"/>
        <v>📌保有中</v>
      </c>
      <c r="T50" s="594" t="str">
        <f t="shared" ca="1" si="9"/>
        <v/>
      </c>
      <c r="U50" s="491" t="str">
        <f t="shared" ca="1" si="10"/>
        <v/>
      </c>
      <c r="V50" s="701" t="str">
        <f t="shared" ca="1" si="21"/>
        <v/>
      </c>
      <c r="W50" s="493">
        <f t="shared" ca="1" si="11"/>
        <v>2</v>
      </c>
      <c r="X50" s="489" t="str">
        <f t="shared" ca="1" si="12"/>
        <v/>
      </c>
      <c r="Y50" s="488">
        <f>IF($B50="","",IF(COUNTIFS($B$4:$B50,$B50,$C$4:$C50,$C50)&gt;1,"⛔重複"&amp;COUNTIFS($B$4:$B50,$B50,$C$4:$C50,$C50)&amp;"回目",""))</f>
      </c>
      <c r="Z50" s="710">
        <v>21</v>
      </c>
      <c r="AB50">
        <f>IF($F50="","",MAX(100,ROUNDDOWN($AG$4/($F50*$AG$2)/100,0)*100))</f>
      </c>
      <c r="AC50">
        <f>IF(OR($F50="",$G50="",$U50=""),"",ROUND($V50-($F50+$U50)*$G50*$AG$6-IF($C50="売",$F50*$G50*$AG$7*$W50/365,0),0))</f>
      </c>
      <c r="AD50" s="608" t="s">
        <v>1324</v>
      </c>
      <c r="AE50" s="624">
        <f t="shared" si="13"/>
        <v>46255</v>
      </c>
      <c r="AF50" s="626"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0</v>
      </c>
      <c r="AG50" s="626"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0</v>
      </c>
      <c r="AH50" s="600" t="str">
        <f t="shared" ca="1" si="14"/>
        <v>保有中</v>
      </c>
      <c r="AI50" s="600" t="str" cm="1">
        <f t="array" ref="AI50">IFERROR(INDEX(始値!$E$6:$BT$305,MATCH(TEXT($B50,"0"),TEXT(銘柄管理!$B$6:$B$305,"0"),0),MATCH($AE50,始値!$E$3:$BT$3,0)),"")</f>
        <v/>
      </c>
      <c r="AJ50" s="905" t="str">
        <f t="shared" ca="1" si="15"/>
        <v/>
      </c>
      <c r="AK50" s="629" t="str">
        <f t="shared" ca="1" si="16"/>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 t="shared" si="0"/>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BT$3,0)=1,1,MATCH($E51,始値!$E$3:$BT$3,0)+1)),_xlpm.v,INDEX(始値!$C$6:$B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 t="shared" ca="1" si="17"/>
        <v>-7500</v>
      </c>
      <c r="L51" s="706">
        <f t="shared" ca="1" si="18"/>
        <v>-1.3132551216949746E-2</v>
      </c>
      <c r="M51" s="491">
        <f>IF($F51="","",IF($C51="売",CEILING($F51*IF($C51="売",1-$AG$3,1+$AG$3),IF($F51*IF($C51="売",1-$AG$3,1+$AG$3)&lt;=3000,1,IF($F51*IF($C51="売",1-$AG$3,1+$AG$3)&lt;=5000,5,IF($F51*IF($C51="売",1-$AG$3,1+$AG$3)&lt;=30000,10,IF($F51*IF($C51="売",1-$AG$3,1+$AG$3)&lt;=50000,50,IF($F51*IF($C51="売",1-$AG$3,1+$AG$3)&lt;=300000,100,500)))))),FLOOR($F51*IF($C51="売",1-$AG$3,1+$AG$3),IF($F51*IF($C51="売",1-$AG$3,1+$AG$3)&lt;=3000,1,IF($F51*IF($C51="売",1-$AG$3,1+$AG$3)&lt;=5000,5,IF($F51*IF($C51="売",1-$AG$3,1+$AG$3)&lt;=30000,10,IF($F51*IF($C51="売",1-$AG$3,1+$AG$3)&lt;=50000,50,IF($F51*IF($C51="売",1-$AG$3,1+$AG$3)&lt;=300000,100,500))))))))</f>
      </c>
      <c r="N51" s="491">
        <f>IF($F51="","",IF($C51="売",CEILING($F51*IF($C51="売",1+$AG$2,1-$AG$2),IF($F51*IF($C51="売",1+$AG$2,1-$AG$2)&lt;=3000,1,IF($F51*IF($C51="売",1+$AG$2,1-$AG$2)&lt;=5000,5,IF($F51*IF($C51="売",1+$AG$2,1-$AG$2)&lt;=30000,10,IF($F51*IF($C51="売",1+$AG$2,1-$AG$2)&lt;=50000,50,IF($F51*IF($C51="売",1+$AG$2,1-$AG$2)&lt;=300000,100,500)))))),FLOOR($F51*IF($C51="売",1+$AG$2,1-$AG$2),IF($F51*IF($C51="売",1+$AG$2,1-$AG$2)&lt;=3000,1,IF($F51*IF($C51="売",1+$AG$2,1-$AG$2)&lt;=5000,5,IF($F51*IF($C51="売",1+$AG$2,1-$AG$2)&lt;=30000,10,IF($F51*IF($C51="売",1+$AG$2,1-$AG$2)&lt;=50000,50,IF($F51*IF($C51="売",1+$AG$2,1-$AG$2)&lt;=300000,100,500))))))))</f>
      </c>
      <c r="O51" s="492">
        <f>IF(OR($B51="",$F51="",$H51=""),"",IF($S51="✅売却済","―決済済―",IF($C51="売",  IF($H51&lt;=$M51,"🟢利確",  IF(AND($R51&lt;&gt;"",$H51&gt;=$R51),"🟠TRAIL決済",  IF($H51&gt;=$N51,"🔴損切",  IF($W51&gt;=$AG$5,"⏱時間決済",  IF($H51&gt;=$F51*(1+$AG$2*0.7),"⚠️損切接近","保持継続"))))),  IF($H51&gt;=$M51,"🟢利確",  IF(AND($R51&lt;&gt;"",$H51&lt;=$R51),"🟠TRAIL決済",  IF($H51&lt;=$N51,"🔴損切",  IF($W51&gt;=$AG$5,"⏱時間決済",  IF($H51&lt;=$F51*(1-$AG$2*0.7),"⚠️損切接近","保持継続")))))))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  IF($H51&gt;$F51*(1-$AG$2),$N51,CEILING(MIN($N51,IF($Q51="",$N51,$Q51*1.03)),IF($N51&lt;=3000,1,IF($N51&lt;=5000,5,IF($N51&lt;=30000,10,IF($N51&lt;=50000,50,IF($N51&lt;=300000,100,500))))))),  IF($H51&lt;$F51*(1+$AG$2),$N51,FLOOR(MAX($N51,IF($P51="",$N51,$P51*0.97)),IF($N51&lt;=3000,1,IF($N51&lt;=5000,5,IF($N51&lt;=30000,10,IF($N51&lt;=50000,50,IF($N51&lt;=300000,100,500))))))))))</f>
      </c>
      <c r="S51" s="586" t="str">
        <f t="shared" ca="1" si="20"/>
        <v>📌保有中</v>
      </c>
      <c r="T51" s="594" t="str">
        <f t="shared" ca="1" si="9"/>
        <v/>
      </c>
      <c r="U51" s="491" t="str">
        <f t="shared" ca="1" si="10"/>
        <v/>
      </c>
      <c r="V51" s="701" t="str">
        <f t="shared" ca="1" si="21"/>
        <v/>
      </c>
      <c r="W51" s="493">
        <f t="shared" ca="1" si="11"/>
        <v>2</v>
      </c>
      <c r="X51" s="489" t="str">
        <f t="shared" ca="1" si="12"/>
        <v/>
      </c>
      <c r="Y51" s="488">
        <f>IF($B51="","",IF(COUNTIFS($B$4:$B51,$B51,$C$4:$C51,$C51)&gt;1,"⛔重複"&amp;COUNTIFS($B$4:$B51,$B51,$C$4:$C51,$C51)&amp;"回目",""))</f>
      </c>
      <c r="Z51" s="710">
        <v>14</v>
      </c>
      <c r="AB51">
        <f>IF($F51="","",MAX(100,ROUNDDOWN($AG$4/($F51*$AG$2)/100,0)*100))</f>
      </c>
      <c r="AC51">
        <f>IF(OR($F51="",$G51="",$U51=""),"",ROUND($V51-($F51+$U51)*$G51*$AG$6-IF($C51="売",$F51*$G51*$AG$7*$W51/365,0),0))</f>
      </c>
      <c r="AD51" s="608" t="s">
        <v>1325</v>
      </c>
      <c r="AE51" s="624">
        <f t="shared" si="13"/>
        <v>46255</v>
      </c>
      <c r="AF51" s="626"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0</v>
      </c>
      <c r="AG51" s="626"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0</v>
      </c>
      <c r="AH51" s="600" t="str">
        <f t="shared" ca="1" si="14"/>
        <v>保有中</v>
      </c>
      <c r="AI51" s="600" t="str" cm="1">
        <f t="array" ref="AI51">IFERROR(INDEX(始値!$E$6:$BT$305,MATCH(TEXT($B51,"0"),TEXT(銘柄管理!$B$6:$B$305,"0"),0),MATCH($AE51,始値!$E$3:$BT$3,0)),"")</f>
        <v/>
      </c>
      <c r="AJ51" s="905" t="str">
        <f t="shared" ca="1" si="15"/>
        <v/>
      </c>
      <c r="AK51" s="629" t="str">
        <f t="shared" ca="1" si="16"/>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 t="shared" si="0"/>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BT$3,0)=1,1,MATCH($E52,始値!$E$3:$BT$3,0)+1)),_xlpm.v,INDEX(始値!$C$6:$B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 t="shared" ca="1" si="17"/>
        <v>900</v>
      </c>
      <c r="L52" s="706">
        <f t="shared" ca="1" si="18"/>
        <v>9.6359743040685224E-3</v>
      </c>
      <c r="M52" s="491">
        <f>IF($F52="","",IF($C52="売",CEILING($F52*IF($C52="売",1-$AG$3,1+$AG$3),IF($F52*IF($C52="売",1-$AG$3,1+$AG$3)&lt;=3000,1,IF($F52*IF($C52="売",1-$AG$3,1+$AG$3)&lt;=5000,5,IF($F52*IF($C52="売",1-$AG$3,1+$AG$3)&lt;=30000,10,IF($F52*IF($C52="売",1-$AG$3,1+$AG$3)&lt;=50000,50,IF($F52*IF($C52="売",1-$AG$3,1+$AG$3)&lt;=300000,100,500)))))),FLOOR($F52*IF($C52="売",1-$AG$3,1+$AG$3),IF($F52*IF($C52="売",1-$AG$3,1+$AG$3)&lt;=3000,1,IF($F52*IF($C52="売",1-$AG$3,1+$AG$3)&lt;=5000,5,IF($F52*IF($C52="売",1-$AG$3,1+$AG$3)&lt;=30000,10,IF($F52*IF($C52="売",1-$AG$3,1+$AG$3)&lt;=50000,50,IF($F52*IF($C52="売",1-$AG$3,1+$AG$3)&lt;=300000,100,500))))))))</f>
      </c>
      <c r="N52" s="491">
        <f>IF($F52="","",IF($C52="売",CEILING($F52*IF($C52="売",1+$AG$2,1-$AG$2),IF($F52*IF($C52="売",1+$AG$2,1-$AG$2)&lt;=3000,1,IF($F52*IF($C52="売",1+$AG$2,1-$AG$2)&lt;=5000,5,IF($F52*IF($C52="売",1+$AG$2,1-$AG$2)&lt;=30000,10,IF($F52*IF($C52="売",1+$AG$2,1-$AG$2)&lt;=50000,50,IF($F52*IF($C52="売",1+$AG$2,1-$AG$2)&lt;=300000,100,500)))))),FLOOR($F52*IF($C52="売",1+$AG$2,1-$AG$2),IF($F52*IF($C52="売",1+$AG$2,1-$AG$2)&lt;=3000,1,IF($F52*IF($C52="売",1+$AG$2,1-$AG$2)&lt;=5000,5,IF($F52*IF($C52="売",1+$AG$2,1-$AG$2)&lt;=30000,10,IF($F52*IF($C52="売",1+$AG$2,1-$AG$2)&lt;=50000,50,IF($F52*IF($C52="売",1+$AG$2,1-$AG$2)&lt;=300000,100,500))))))))</f>
      </c>
      <c r="O52" s="492">
        <f>IF(OR($B52="",$F52="",$H52=""),"",IF($S52="✅売却済","―決済済―",IF($C52="売",  IF($H52&lt;=$M52,"🟢利確",  IF(AND($R52&lt;&gt;"",$H52&gt;=$R52),"🟠TRAIL決済",  IF($H52&gt;=$N52,"🔴損切",  IF($W52&gt;=$AG$5,"⏱時間決済",  IF($H52&gt;=$F52*(1+$AG$2*0.7),"⚠️損切接近","保持継続"))))),  IF($H52&gt;=$M52,"🟢利確",  IF(AND($R52&lt;&gt;"",$H52&lt;=$R52),"🟠TRAIL決済",  IF($H52&lt;=$N52,"🔴損切",  IF($W52&gt;=$AG$5,"⏱時間決済",  IF($H52&lt;=$F52*(1-$AG$2*0.7),"⚠️損切接近","保持継続")))))))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  IF($H52&gt;$F52*(1-$AG$2),$N52,CEILING(MIN($N52,IF($Q52="",$N52,$Q52*1.03)),IF($N52&lt;=3000,1,IF($N52&lt;=5000,5,IF($N52&lt;=30000,10,IF($N52&lt;=50000,50,IF($N52&lt;=300000,100,500))))))),  IF($H52&lt;$F52*(1+$AG$2),$N52,FLOOR(MAX($N52,IF($P52="",$N52,$P52*0.97)),IF($N52&lt;=3000,1,IF($N52&lt;=5000,5,IF($N52&lt;=30000,10,IF($N52&lt;=50000,50,IF($N52&lt;=300000,100,500))))))))))</f>
      </c>
      <c r="S52" s="586" t="str">
        <f t="shared" ca="1" si="20"/>
        <v>📌保有中</v>
      </c>
      <c r="T52" s="594" t="str">
        <f t="shared" ca="1" si="9"/>
        <v/>
      </c>
      <c r="U52" s="491" t="str">
        <f t="shared" ca="1" si="10"/>
        <v/>
      </c>
      <c r="V52" s="701" t="str">
        <f t="shared" ca="1" si="21"/>
        <v/>
      </c>
      <c r="W52" s="493">
        <f t="shared" ca="1" si="11"/>
        <v>2</v>
      </c>
      <c r="X52" s="489" t="str">
        <f t="shared" ca="1" si="12"/>
        <v/>
      </c>
      <c r="Y52" s="488">
        <f>IF($B52="","",IF(COUNTIFS($B$4:$B52,$B52,$C$4:$C52,$C52)&gt;1,"⛔重複"&amp;COUNTIFS($B$4:$B52,$B52,$C$4:$C52,$C52)&amp;"回目",""))</f>
      </c>
      <c r="Z52" s="710">
        <v>12</v>
      </c>
      <c r="AB52">
        <f>IF($F52="","",MAX(100,ROUNDDOWN($AG$4/($F52*$AG$2)/100,0)*100))</f>
      </c>
      <c r="AC52">
        <f>IF(OR($F52="",$G52="",$U52=""),"",ROUND($V52-($F52+$U52)*$G52*$AG$6-IF($C52="売",$F52*$G52*$AG$7*$W52/365,0),0))</f>
      </c>
      <c r="AD52" s="608" t="s">
        <v>1325</v>
      </c>
      <c r="AE52" s="624">
        <f t="shared" si="13"/>
        <v>46255</v>
      </c>
      <c r="AF52" s="626"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0</v>
      </c>
      <c r="AG52" s="626"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0</v>
      </c>
      <c r="AH52" s="600" t="str">
        <f t="shared" ca="1" si="14"/>
        <v>保有中</v>
      </c>
      <c r="AI52" s="600" t="str" cm="1">
        <f t="array" ref="AI52">IFERROR(INDEX(始値!$E$6:$BT$305,MATCH(TEXT($B52,"0"),TEXT(銘柄管理!$B$6:$B$305,"0"),0),MATCH($AE52,始値!$E$3:$BT$3,0)),"")</f>
        <v/>
      </c>
      <c r="AJ52" s="905" t="str">
        <f t="shared" ca="1" si="15"/>
        <v/>
      </c>
      <c r="AK52" s="629" t="str">
        <f t="shared" ca="1" si="16"/>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 t="shared" si="0"/>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BT$3,0)=1,1,MATCH($E53,始値!$E$3:$BT$3,0)+1)),_xlpm.v,INDEX(始値!$C$6:$B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 t="shared" ca="1" si="17"/>
        <v/>
      </c>
      <c r="L53" s="706" t="str">
        <f t="shared" ca="1" si="18"/>
        <v/>
      </c>
      <c r="M53" s="491">
        <f>IF($F53="","",IF($C53="売",CEILING($F53*IF($C53="売",1-$AG$3,1+$AG$3),IF($F53*IF($C53="売",1-$AG$3,1+$AG$3)&lt;=3000,1,IF($F53*IF($C53="売",1-$AG$3,1+$AG$3)&lt;=5000,5,IF($F53*IF($C53="売",1-$AG$3,1+$AG$3)&lt;=30000,10,IF($F53*IF($C53="売",1-$AG$3,1+$AG$3)&lt;=50000,50,IF($F53*IF($C53="売",1-$AG$3,1+$AG$3)&lt;=300000,100,500)))))),FLOOR($F53*IF($C53="売",1-$AG$3,1+$AG$3),IF($F53*IF($C53="売",1-$AG$3,1+$AG$3)&lt;=3000,1,IF($F53*IF($C53="売",1-$AG$3,1+$AG$3)&lt;=5000,5,IF($F53*IF($C53="売",1-$AG$3,1+$AG$3)&lt;=30000,10,IF($F53*IF($C53="売",1-$AG$3,1+$AG$3)&lt;=50000,50,IF($F53*IF($C53="売",1-$AG$3,1+$AG$3)&lt;=300000,100,500))))))))</f>
      </c>
      <c r="N53" s="491">
        <f>IF($F53="","",IF($C53="売",CEILING($F53*IF($C53="売",1+$AG$2,1-$AG$2),IF($F53*IF($C53="売",1+$AG$2,1-$AG$2)&lt;=3000,1,IF($F53*IF($C53="売",1+$AG$2,1-$AG$2)&lt;=5000,5,IF($F53*IF($C53="売",1+$AG$2,1-$AG$2)&lt;=30000,10,IF($F53*IF($C53="売",1+$AG$2,1-$AG$2)&lt;=50000,50,IF($F53*IF($C53="売",1+$AG$2,1-$AG$2)&lt;=300000,100,500)))))),FLOOR($F53*IF($C53="売",1+$AG$2,1-$AG$2),IF($F53*IF($C53="売",1+$AG$2,1-$AG$2)&lt;=3000,1,IF($F53*IF($C53="売",1+$AG$2,1-$AG$2)&lt;=5000,5,IF($F53*IF($C53="売",1+$AG$2,1-$AG$2)&lt;=30000,10,IF($F53*IF($C53="売",1+$AG$2,1-$AG$2)&lt;=50000,50,IF($F53*IF($C53="売",1+$AG$2,1-$AG$2)&lt;=300000,100,500))))))))</f>
      </c>
      <c r="O53" s="492">
        <f>IF(OR($B53="",$F53="",$H53=""),"",IF($S53="✅売却済","―決済済―",IF($C53="売",  IF($H53&lt;=$M53,"🟢利確",  IF(AND($R53&lt;&gt;"",$H53&gt;=$R53),"🟠TRAIL決済",  IF($H53&gt;=$N53,"🔴損切",  IF($W53&gt;=$AG$5,"⏱時間決済",  IF($H53&gt;=$F53*(1+$AG$2*0.7),"⚠️損切接近","保持継続"))))),  IF($H53&gt;=$M53,"🟢利確",  IF(AND($R53&lt;&gt;"",$H53&lt;=$R53),"🟠TRAIL決済",  IF($H53&lt;=$N53,"🔴損切",  IF($W53&gt;=$AG$5,"⏱時間決済",  IF($H53&lt;=$F53*(1-$AG$2*0.7),"⚠️損切接近","保持継続")))))))</f>
      </c>
      <c r="P53" s="491"/>
      <c r="Q53" s="491"/>
      <c r="R53" s="491">
        <f>IF(OR($F53="",$H53="",$N53=""),"",IF($S53="✅売却済","",IF($C53="売",  IF($H53&gt;$F53*(1-$AG$2),$N53,CEILING(MIN($N53,IF($Q53="",$N53,$Q53*1.03)),IF($N53&lt;=3000,1,IF($N53&lt;=5000,5,IF($N53&lt;=30000,10,IF($N53&lt;=50000,50,IF($N53&lt;=300000,100,500))))))),  IF($H53&lt;$F53*(1+$AG$2),$N53,FLOOR(MAX($N53,IF($P53="",$N53,$P53*0.97)),IF($N53&lt;=3000,1,IF($N53&lt;=5000,5,IF($N53&lt;=30000,10,IF($N53&lt;=50000,50,IF($N53&lt;=300000,100,500))))))))))</f>
      </c>
      <c r="S53" s="586" t="str">
        <f t="shared" ca="1" si="20"/>
        <v>📌保有中</v>
      </c>
      <c r="T53" s="594" t="str">
        <f t="shared" ca="1" si="9"/>
        <v/>
      </c>
      <c r="U53" s="491" t="str">
        <f t="shared" ca="1" si="10"/>
        <v/>
      </c>
      <c r="V53" s="701" t="str">
        <f t="shared" ca="1" si="21"/>
        <v/>
      </c>
      <c r="W53" s="493">
        <f t="shared" ca="1" si="11"/>
        <v>0</v>
      </c>
      <c r="X53" s="489" t="str">
        <f t="shared" ca="1" si="12"/>
        <v/>
      </c>
      <c r="Y53" s="488">
        <f>IF($B53="","",IF(COUNTIFS($B$4:$B53,$B53,$C$4:$C53,$C53)&gt;1,"⛔重複"&amp;COUNTIFS($B$4:$B53,$B53,$C$4:$C53,$C53)&amp;"回目",""))</f>
      </c>
      <c r="Z53" s="710">
        <v>19</v>
      </c>
      <c r="AB53">
        <f>IF($F53="","",MAX(100,ROUNDDOWN($AG$4/($F53*$AG$2)/100,0)*100))</f>
      </c>
      <c r="AC53">
        <f>IF(OR($F53="",$G53="",$U53=""),"",ROUND($V53-($F53+$U53)*$G53*$AG$6-IF($C53="売",$F53*$G53*$AG$7*$W53/365,0),0))</f>
      </c>
      <c r="AD53" s="608" t="s">
        <v>1322</v>
      </c>
      <c r="AE53" s="624">
        <f t="shared" si="13"/>
        <v>46259</v>
      </c>
      <c r="AF53" s="626"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26"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00" t="str">
        <f t="shared" ca="1" si="14"/>
        <v/>
      </c>
      <c r="AI53" s="600" t="str" cm="1">
        <f t="array" ref="AI53">IFERROR(INDEX(始値!$E$6:$BT$305,MATCH(TEXT($B53,"0"),TEXT(銘柄管理!$B$6:$B$305,"0"),0),MATCH($AE53,始値!$E$3:$BT$3,0)),"")</f>
        <v/>
      </c>
      <c r="AJ53" s="905" t="str">
        <f t="shared" ca="1" si="15"/>
        <v/>
      </c>
      <c r="AK53" s="629" t="str">
        <f t="shared" ca="1" si="16"/>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 t="shared" si="0"/>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BT$3,0)=1,1,MATCH($E54,始値!$E$3:$BT$3,0)+1)),_xlpm.v,INDEX(始値!$C$6:$B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 t="shared" ca="1" si="17"/>
        <v/>
      </c>
      <c r="L54" s="706" t="str">
        <f t="shared" ca="1" si="18"/>
        <v/>
      </c>
      <c r="M54" s="491">
        <f>IF($F54="","",IF($C54="売",CEILING($F54*IF($C54="売",1-$AG$3,1+$AG$3),IF($F54*IF($C54="売",1-$AG$3,1+$AG$3)&lt;=3000,1,IF($F54*IF($C54="売",1-$AG$3,1+$AG$3)&lt;=5000,5,IF($F54*IF($C54="売",1-$AG$3,1+$AG$3)&lt;=30000,10,IF($F54*IF($C54="売",1-$AG$3,1+$AG$3)&lt;=50000,50,IF($F54*IF($C54="売",1-$AG$3,1+$AG$3)&lt;=300000,100,500)))))),FLOOR($F54*IF($C54="売",1-$AG$3,1+$AG$3),IF($F54*IF($C54="売",1-$AG$3,1+$AG$3)&lt;=3000,1,IF($F54*IF($C54="売",1-$AG$3,1+$AG$3)&lt;=5000,5,IF($F54*IF($C54="売",1-$AG$3,1+$AG$3)&lt;=30000,10,IF($F54*IF($C54="売",1-$AG$3,1+$AG$3)&lt;=50000,50,IF($F54*IF($C54="売",1-$AG$3,1+$AG$3)&lt;=300000,100,500))))))))</f>
      </c>
      <c r="N54" s="491">
        <f>IF($F54="","",IF($C54="売",CEILING($F54*IF($C54="売",1+$AG$2,1-$AG$2),IF($F54*IF($C54="売",1+$AG$2,1-$AG$2)&lt;=3000,1,IF($F54*IF($C54="売",1+$AG$2,1-$AG$2)&lt;=5000,5,IF($F54*IF($C54="売",1+$AG$2,1-$AG$2)&lt;=30000,10,IF($F54*IF($C54="売",1+$AG$2,1-$AG$2)&lt;=50000,50,IF($F54*IF($C54="売",1+$AG$2,1-$AG$2)&lt;=300000,100,500)))))),FLOOR($F54*IF($C54="売",1+$AG$2,1-$AG$2),IF($F54*IF($C54="売",1+$AG$2,1-$AG$2)&lt;=3000,1,IF($F54*IF($C54="売",1+$AG$2,1-$AG$2)&lt;=5000,5,IF($F54*IF($C54="売",1+$AG$2,1-$AG$2)&lt;=30000,10,IF($F54*IF($C54="売",1+$AG$2,1-$AG$2)&lt;=50000,50,IF($F54*IF($C54="売",1+$AG$2,1-$AG$2)&lt;=300000,100,500))))))))</f>
      </c>
      <c r="O54" s="492">
        <f>IF(OR($B54="",$F54="",$H54=""),"",IF($S54="✅売却済","―決済済―",IF($C54="売",  IF($H54&lt;=$M54,"🟢利確",  IF(AND($R54&lt;&gt;"",$H54&gt;=$R54),"🟠TRAIL決済",  IF($H54&gt;=$N54,"🔴損切",  IF($W54&gt;=$AG$5,"⏱時間決済",  IF($H54&gt;=$F54*(1+$AG$2*0.7),"⚠️損切接近","保持継続"))))),  IF($H54&gt;=$M54,"🟢利確",  IF(AND($R54&lt;&gt;"",$H54&lt;=$R54),"🟠TRAIL決済",  IF($H54&lt;=$N54,"🔴損切",  IF($W54&gt;=$AG$5,"⏱時間決済",  IF($H54&lt;=$F54*(1-$AG$2*0.7),"⚠️損切接近","保持継続")))))))</f>
      </c>
      <c r="P54" s="491"/>
      <c r="Q54" s="491"/>
      <c r="R54" s="491">
        <f>IF(OR($F54="",$H54="",$N54=""),"",IF($S54="✅売却済","",IF($C54="売",  IF($H54&gt;$F54*(1-$AG$2),$N54,CEILING(MIN($N54,IF($Q54="",$N54,$Q54*1.03)),IF($N54&lt;=3000,1,IF($N54&lt;=5000,5,IF($N54&lt;=30000,10,IF($N54&lt;=50000,50,IF($N54&lt;=300000,100,500))))))),  IF($H54&lt;$F54*(1+$AG$2),$N54,FLOOR(MAX($N54,IF($P54="",$N54,$P54*0.97)),IF($N54&lt;=3000,1,IF($N54&lt;=5000,5,IF($N54&lt;=30000,10,IF($N54&lt;=50000,50,IF($N54&lt;=300000,100,500))))))))))</f>
      </c>
      <c r="S54" s="586" t="str">
        <f t="shared" ca="1" si="20"/>
        <v>📌保有中</v>
      </c>
      <c r="T54" s="594" t="str">
        <f t="shared" ca="1" si="9"/>
        <v/>
      </c>
      <c r="U54" s="491" t="str">
        <f t="shared" ca="1" si="10"/>
        <v/>
      </c>
      <c r="V54" s="701" t="str">
        <f t="shared" ca="1" si="21"/>
        <v/>
      </c>
      <c r="W54" s="493">
        <f t="shared" ca="1" si="11"/>
        <v>0</v>
      </c>
      <c r="X54" s="489" t="str">
        <f t="shared" ca="1" si="12"/>
        <v/>
      </c>
      <c r="Y54" s="488">
        <f>IF($B54="","",IF(COUNTIFS($B$4:$B54,$B54,$C$4:$C54,$C54)&gt;1,"⛔重複"&amp;COUNTIFS($B$4:$B54,$B54,$C$4:$C54,$C54)&amp;"回目",""))</f>
      </c>
      <c r="Z54" s="710">
        <v>14</v>
      </c>
      <c r="AB54">
        <f>IF($F54="","",MAX(100,ROUNDDOWN($AG$4/($F54*$AG$2)/100,0)*100))</f>
      </c>
      <c r="AC54">
        <f>IF(OR($F54="",$G54="",$U54=""),"",ROUND($V54-($F54+$U54)*$G54*$AG$6-IF($C54="売",$F54*$G54*$AG$7*$W54/365,0),0))</f>
      </c>
      <c r="AD54" s="608" t="s">
        <v>1322</v>
      </c>
      <c r="AE54" s="624">
        <f t="shared" si="13"/>
        <v>46259</v>
      </c>
      <c r="AF54" s="626"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26"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00" t="str">
        <f t="shared" ca="1" si="14"/>
        <v/>
      </c>
      <c r="AI54" s="600" t="str" cm="1">
        <f t="array" ref="AI54">IFERROR(INDEX(始値!$E$6:$BT$305,MATCH(TEXT($B54,"0"),TEXT(銘柄管理!$B$6:$B$305,"0"),0),MATCH($AE54,始値!$E$3:$BT$3,0)),"")</f>
        <v/>
      </c>
      <c r="AJ54" s="905" t="str">
        <f t="shared" ca="1" si="15"/>
        <v/>
      </c>
      <c r="AK54" s="629" t="str">
        <f t="shared" ca="1" si="16"/>
        <v/>
      </c>
      <c r="BB54" s="600" t="str">
        <f>IF(N(買抽出v13!$C54)=0,"",N(買抽出v13!$Q54)+N(買抽出v13!$L54)/1000-ROW()/1000000)</f>
        <v/>
      </c>
      <c r="BC54" s="600" t="str">
        <f>IF(N(売抽出v13!$C54)=0,"",N(売抽出v13!$Q54)+IFERROR(VALUE(SUBSTITUTE(売抽出v13!$L54,"倍","")),0)/1000-ROW()/1000000)</f>
        <v/>
      </c>
    </row>
    <row r="55" spans="1:55" ht="35.4" customHeight="1">
      <c r="A55" s="619" t="str">
        <f t="shared" si="0"/>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BT$3,0)=1,1,MATCH($E55,始値!$E$3:$BT$3,0)+1)),_xlpm.v,INDEX(始値!$C$6:$B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 t="shared" ca="1" si="17"/>
        <v/>
      </c>
      <c r="L55" s="706" t="str">
        <f t="shared" ca="1" si="18"/>
        <v/>
      </c>
      <c r="M55" s="491">
        <f>IF($F55="","",IF($C55="売",CEILING($F55*IF($C55="売",1-$AG$3,1+$AG$3),IF($F55*IF($C55="売",1-$AG$3,1+$AG$3)&lt;=3000,1,IF($F55*IF($C55="売",1-$AG$3,1+$AG$3)&lt;=5000,5,IF($F55*IF($C55="売",1-$AG$3,1+$AG$3)&lt;=30000,10,IF($F55*IF($C55="売",1-$AG$3,1+$AG$3)&lt;=50000,50,IF($F55*IF($C55="売",1-$AG$3,1+$AG$3)&lt;=300000,100,500)))))),FLOOR($F55*IF($C55="売",1-$AG$3,1+$AG$3),IF($F55*IF($C55="売",1-$AG$3,1+$AG$3)&lt;=3000,1,IF($F55*IF($C55="売",1-$AG$3,1+$AG$3)&lt;=5000,5,IF($F55*IF($C55="売",1-$AG$3,1+$AG$3)&lt;=30000,10,IF($F55*IF($C55="売",1-$AG$3,1+$AG$3)&lt;=50000,50,IF($F55*IF($C55="売",1-$AG$3,1+$AG$3)&lt;=300000,100,500))))))))</f>
      </c>
      <c r="N55" s="491">
        <f>IF($F55="","",IF($C55="売",CEILING($F55*IF($C55="売",1+$AG$2,1-$AG$2),IF($F55*IF($C55="売",1+$AG$2,1-$AG$2)&lt;=3000,1,IF($F55*IF($C55="売",1+$AG$2,1-$AG$2)&lt;=5000,5,IF($F55*IF($C55="売",1+$AG$2,1-$AG$2)&lt;=30000,10,IF($F55*IF($C55="売",1+$AG$2,1-$AG$2)&lt;=50000,50,IF($F55*IF($C55="売",1+$AG$2,1-$AG$2)&lt;=300000,100,500)))))),FLOOR($F55*IF($C55="売",1+$AG$2,1-$AG$2),IF($F55*IF($C55="売",1+$AG$2,1-$AG$2)&lt;=3000,1,IF($F55*IF($C55="売",1+$AG$2,1-$AG$2)&lt;=5000,5,IF($F55*IF($C55="売",1+$AG$2,1-$AG$2)&lt;=30000,10,IF($F55*IF($C55="売",1+$AG$2,1-$AG$2)&lt;=50000,50,IF($F55*IF($C55="売",1+$AG$2,1-$AG$2)&lt;=300000,100,500))))))))</f>
      </c>
      <c r="O55" s="492">
        <f>IF(OR($B55="",$F55="",$H55=""),"",IF($S55="✅売却済","―決済済―",IF($C55="売",  IF($H55&lt;=$M55,"🟢利確",  IF(AND($R55&lt;&gt;"",$H55&gt;=$R55),"🟠TRAIL決済",  IF($H55&gt;=$N55,"🔴損切",  IF($W55&gt;=$AG$5,"⏱時間決済",  IF($H55&gt;=$F55*(1+$AG$2*0.7),"⚠️損切接近","保持継続"))))),  IF($H55&gt;=$M55,"🟢利確",  IF(AND($R55&lt;&gt;"",$H55&lt;=$R55),"🟠TRAIL決済",  IF($H55&lt;=$N55,"🔴損切",  IF($W55&gt;=$AG$5,"⏱時間決済",  IF($H55&lt;=$F55*(1-$AG$2*0.7),"⚠️損切接近","保持継続")))))))</f>
      </c>
      <c r="P55" s="491"/>
      <c r="Q55" s="491"/>
      <c r="R55" s="491">
        <f>IF(OR($F55="",$H55="",$N55=""),"",IF($S55="✅売却済","",IF($C55="売",  IF($H55&gt;$F55*(1-$AG$2),$N55,CEILING(MIN($N55,IF($Q55="",$N55,$Q55*1.03)),IF($N55&lt;=3000,1,IF($N55&lt;=5000,5,IF($N55&lt;=30000,10,IF($N55&lt;=50000,50,IF($N55&lt;=300000,100,500))))))),  IF($H55&lt;$F55*(1+$AG$2),$N55,FLOOR(MAX($N55,IF($P55="",$N55,$P55*0.97)),IF($N55&lt;=3000,1,IF($N55&lt;=5000,5,IF($N55&lt;=30000,10,IF($N55&lt;=50000,50,IF($N55&lt;=300000,100,500))))))))))</f>
      </c>
      <c r="S55" s="586" t="str">
        <f t="shared" ca="1" si="20"/>
        <v>📌保有中</v>
      </c>
      <c r="T55" s="594" t="str">
        <f t="shared" ca="1" si="9"/>
        <v/>
      </c>
      <c r="U55" s="491" t="str">
        <f t="shared" ca="1" si="10"/>
        <v/>
      </c>
      <c r="V55" s="701" t="str">
        <f t="shared" ca="1" si="21"/>
        <v/>
      </c>
      <c r="W55" s="493">
        <f t="shared" ca="1" si="11"/>
        <v>0</v>
      </c>
      <c r="X55" s="489" t="str">
        <f t="shared" ca="1" si="12"/>
        <v/>
      </c>
      <c r="Y55" s="488">
        <f>IF($B55="","",IF(COUNTIFS($B$4:$B55,$B55,$C$4:$C55,$C55)&gt;1,"⛔重複"&amp;COUNTIFS($B$4:$B55,$B55,$C$4:$C55,$C55)&amp;"回目",""))</f>
      </c>
      <c r="Z55" s="710">
        <v>17</v>
      </c>
      <c r="AB55">
        <f>IF($F55="","",MAX(100,ROUNDDOWN($AG$4/($F55*$AG$2)/100,0)*100))</f>
      </c>
      <c r="AC55">
        <f>IF(OR($F55="",$G55="",$U55=""),"",ROUND($V55-($F55+$U55)*$G55*$AG$6-IF($C55="売",$F55*$G55*$AG$7*$W55/365,0),0))</f>
      </c>
      <c r="AD55" s="608" t="s">
        <v>1323</v>
      </c>
      <c r="AE55" s="624">
        <f t="shared" si="13"/>
        <v>46259</v>
      </c>
      <c r="AF55" s="626"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26"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00" t="str">
        <f t="shared" ca="1" si="14"/>
        <v/>
      </c>
      <c r="AI55" s="600" t="str" cm="1">
        <f t="array" ref="AI55">IFERROR(INDEX(始値!$E$6:$BT$305,MATCH(TEXT($B55,"0"),TEXT(銘柄管理!$B$6:$B$305,"0"),0),MATCH($AE55,始値!$E$3:$BT$3,0)),"")</f>
        <v/>
      </c>
      <c r="AJ55" s="905" t="str">
        <f t="shared" ca="1" si="15"/>
        <v/>
      </c>
      <c r="AK55" s="629" t="str">
        <f t="shared" ca="1" si="16"/>
        <v/>
      </c>
      <c r="BB55" s="600" t="str">
        <f>IF(N(買抽出v13!$C55)=0,"",N(買抽出v13!$Q55)+N(買抽出v13!$L55)/1000-ROW()/1000000)</f>
        <v/>
      </c>
      <c r="BC55" s="600" t="str">
        <f>IF(N(売抽出v13!$C55)=0,"",N(売抽出v13!$Q55)+IFERROR(VALUE(SUBSTITUTE(売抽出v13!$L55,"倍","")),0)/1000-ROW()/1000000)</f>
        <v/>
      </c>
    </row>
    <row r="56" spans="1:55" ht="35.4" customHeight="1">
      <c r="A56" s="619" t="str">
        <f t="shared" si="0"/>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BT$3,0)=1,1,MATCH($E56,始値!$E$3:$BT$3,0)+1)),_xlpm.v,INDEX(始値!$C$6:$B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 t="shared" ca="1" si="17"/>
        <v/>
      </c>
      <c r="L56" s="706" t="str">
        <f t="shared" ca="1" si="18"/>
        <v/>
      </c>
      <c r="M56" s="491">
        <f>IF($F56="","",IF($C56="売",CEILING($F56*IF($C56="売",1-$AG$3,1+$AG$3),IF($F56*IF($C56="売",1-$AG$3,1+$AG$3)&lt;=3000,1,IF($F56*IF($C56="売",1-$AG$3,1+$AG$3)&lt;=5000,5,IF($F56*IF($C56="売",1-$AG$3,1+$AG$3)&lt;=30000,10,IF($F56*IF($C56="売",1-$AG$3,1+$AG$3)&lt;=50000,50,IF($F56*IF($C56="売",1-$AG$3,1+$AG$3)&lt;=300000,100,500)))))),FLOOR($F56*IF($C56="売",1-$AG$3,1+$AG$3),IF($F56*IF($C56="売",1-$AG$3,1+$AG$3)&lt;=3000,1,IF($F56*IF($C56="売",1-$AG$3,1+$AG$3)&lt;=5000,5,IF($F56*IF($C56="売",1-$AG$3,1+$AG$3)&lt;=30000,10,IF($F56*IF($C56="売",1-$AG$3,1+$AG$3)&lt;=50000,50,IF($F56*IF($C56="売",1-$AG$3,1+$AG$3)&lt;=300000,100,500))))))))</f>
      </c>
      <c r="N56" s="491">
        <f>IF($F56="","",IF($C56="売",CEILING($F56*IF($C56="売",1+$AG$2,1-$AG$2),IF($F56*IF($C56="売",1+$AG$2,1-$AG$2)&lt;=3000,1,IF($F56*IF($C56="売",1+$AG$2,1-$AG$2)&lt;=5000,5,IF($F56*IF($C56="売",1+$AG$2,1-$AG$2)&lt;=30000,10,IF($F56*IF($C56="売",1+$AG$2,1-$AG$2)&lt;=50000,50,IF($F56*IF($C56="売",1+$AG$2,1-$AG$2)&lt;=300000,100,500)))))),FLOOR($F56*IF($C56="売",1+$AG$2,1-$AG$2),IF($F56*IF($C56="売",1+$AG$2,1-$AG$2)&lt;=3000,1,IF($F56*IF($C56="売",1+$AG$2,1-$AG$2)&lt;=5000,5,IF($F56*IF($C56="売",1+$AG$2,1-$AG$2)&lt;=30000,10,IF($F56*IF($C56="売",1+$AG$2,1-$AG$2)&lt;=50000,50,IF($F56*IF($C56="売",1+$AG$2,1-$AG$2)&lt;=300000,100,500))))))))</f>
      </c>
      <c r="O56" s="492">
        <f>IF(OR($B56="",$F56="",$H56=""),"",IF($S56="✅売却済","―決済済―",IF($C56="売",  IF($H56&lt;=$M56,"🟢利確",  IF(AND($R56&lt;&gt;"",$H56&gt;=$R56),"🟠TRAIL決済",  IF($H56&gt;=$N56,"🔴損切",  IF($W56&gt;=$AG$5,"⏱時間決済",  IF($H56&gt;=$F56*(1+$AG$2*0.7),"⚠️損切接近","保持継続"))))),  IF($H56&gt;=$M56,"🟢利確",  IF(AND($R56&lt;&gt;"",$H56&lt;=$R56),"🟠TRAIL決済",  IF($H56&lt;=$N56,"🔴損切",  IF($W56&gt;=$AG$5,"⏱時間決済",  IF($H56&lt;=$F56*(1-$AG$2*0.7),"⚠️損切接近","保持継続")))))))</f>
      </c>
      <c r="P56" s="491"/>
      <c r="Q56" s="491"/>
      <c r="R56" s="491">
        <f>IF(OR($F56="",$H56="",$N56=""),"",IF($S56="✅売却済","",IF($C56="売",  IF($H56&gt;$F56*(1-$AG$2),$N56,CEILING(MIN($N56,IF($Q56="",$N56,$Q56*1.03)),IF($N56&lt;=3000,1,IF($N56&lt;=5000,5,IF($N56&lt;=30000,10,IF($N56&lt;=50000,50,IF($N56&lt;=300000,100,500))))))),  IF($H56&lt;$F56*(1+$AG$2),$N56,FLOOR(MAX($N56,IF($P56="",$N56,$P56*0.97)),IF($N56&lt;=3000,1,IF($N56&lt;=5000,5,IF($N56&lt;=30000,10,IF($N56&lt;=50000,50,IF($N56&lt;=300000,100,500))))))))))</f>
      </c>
      <c r="S56" s="586" t="str">
        <f t="shared" ca="1" si="20"/>
        <v>📌保有中</v>
      </c>
      <c r="T56" s="594" t="str">
        <f t="shared" ca="1" si="9"/>
        <v/>
      </c>
      <c r="U56" s="491" t="str">
        <f t="shared" ca="1" si="10"/>
        <v/>
      </c>
      <c r="V56" s="701" t="str">
        <f t="shared" ca="1" si="21"/>
        <v/>
      </c>
      <c r="W56" s="493">
        <f t="shared" ca="1" si="11"/>
        <v>0</v>
      </c>
      <c r="X56" s="489" t="str">
        <f t="shared" ca="1" si="12"/>
        <v/>
      </c>
      <c r="Y56" s="488">
        <f>IF($B56="","",IF(COUNTIFS($B$4:$B56,$B56,$C$4:$C56,$C56)&gt;1,"⛔重複"&amp;COUNTIFS($B$4:$B56,$B56,$C$4:$C56,$C56)&amp;"回目",""))</f>
      </c>
      <c r="Z56" s="710">
        <v>15</v>
      </c>
      <c r="AB56">
        <f>IF($F56="","",MAX(100,ROUNDDOWN($AG$4/($F56*$AG$2)/100,0)*100))</f>
      </c>
      <c r="AC56">
        <f>IF(OR($F56="",$G56="",$U56=""),"",ROUND($V56-($F56+$U56)*$G56*$AG$6-IF($C56="売",$F56*$G56*$AG$7*$W56/365,0),0))</f>
      </c>
      <c r="AD56" s="608" t="s">
        <v>1323</v>
      </c>
      <c r="AE56" s="624">
        <f t="shared" si="13"/>
        <v>46259</v>
      </c>
      <c r="AF56" s="626"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26"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00" t="str">
        <f t="shared" ca="1" si="14"/>
        <v/>
      </c>
      <c r="AI56" s="600" t="str" cm="1">
        <f t="array" ref="AI56">IFERROR(INDEX(始値!$E$6:$BT$305,MATCH(TEXT($B56,"0"),TEXT(銘柄管理!$B$6:$B$305,"0"),0),MATCH($AE56,始値!$E$3:$BT$3,0)),"")</f>
        <v/>
      </c>
      <c r="AJ56" s="905" t="str">
        <f t="shared" ca="1" si="15"/>
        <v/>
      </c>
      <c r="AK56" s="629" t="str">
        <f t="shared" ca="1" si="16"/>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 t="shared" si="0"/>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BT$3,0)=1,1,MATCH($E57,始値!$E$3:$BT$3,0)+1)),_xlpm.v,INDEX(始値!$C$6:$B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 t="shared" ca="1" si="17"/>
        <v/>
      </c>
      <c r="L57" s="706" t="str">
        <f t="shared" ca="1" si="18"/>
        <v/>
      </c>
      <c r="M57" s="491">
        <f>IF($F57="","",IF($C57="売",CEILING($F57*IF($C57="売",1-$AG$3,1+$AG$3),IF($F57*IF($C57="売",1-$AG$3,1+$AG$3)&lt;=3000,1,IF($F57*IF($C57="売",1-$AG$3,1+$AG$3)&lt;=5000,5,IF($F57*IF($C57="売",1-$AG$3,1+$AG$3)&lt;=30000,10,IF($F57*IF($C57="売",1-$AG$3,1+$AG$3)&lt;=50000,50,IF($F57*IF($C57="売",1-$AG$3,1+$AG$3)&lt;=300000,100,500)))))),FLOOR($F57*IF($C57="売",1-$AG$3,1+$AG$3),IF($F57*IF($C57="売",1-$AG$3,1+$AG$3)&lt;=3000,1,IF($F57*IF($C57="売",1-$AG$3,1+$AG$3)&lt;=5000,5,IF($F57*IF($C57="売",1-$AG$3,1+$AG$3)&lt;=30000,10,IF($F57*IF($C57="売",1-$AG$3,1+$AG$3)&lt;=50000,50,IF($F57*IF($C57="売",1-$AG$3,1+$AG$3)&lt;=300000,100,500))))))))</f>
      </c>
      <c r="N57" s="491">
        <f>IF($F57="","",IF($C57="売",CEILING($F57*IF($C57="売",1+$AG$2,1-$AG$2),IF($F57*IF($C57="売",1+$AG$2,1-$AG$2)&lt;=3000,1,IF($F57*IF($C57="売",1+$AG$2,1-$AG$2)&lt;=5000,5,IF($F57*IF($C57="売",1+$AG$2,1-$AG$2)&lt;=30000,10,IF($F57*IF($C57="売",1+$AG$2,1-$AG$2)&lt;=50000,50,IF($F57*IF($C57="売",1+$AG$2,1-$AG$2)&lt;=300000,100,500)))))),FLOOR($F57*IF($C57="売",1+$AG$2,1-$AG$2),IF($F57*IF($C57="売",1+$AG$2,1-$AG$2)&lt;=3000,1,IF($F57*IF($C57="売",1+$AG$2,1-$AG$2)&lt;=5000,5,IF($F57*IF($C57="売",1+$AG$2,1-$AG$2)&lt;=30000,10,IF($F57*IF($C57="売",1+$AG$2,1-$AG$2)&lt;=50000,50,IF($F57*IF($C57="売",1+$AG$2,1-$AG$2)&lt;=300000,100,500))))))))</f>
      </c>
      <c r="O57" s="492">
        <f>IF(OR($B57="",$F57="",$H57=""),"",IF($S57="✅売却済","―決済済―",IF($C57="売",  IF($H57&lt;=$M57,"🟢利確",  IF(AND($R57&lt;&gt;"",$H57&gt;=$R57),"🟠TRAIL決済",  IF($H57&gt;=$N57,"🔴損切",  IF($W57&gt;=$AG$5,"⏱時間決済",  IF($H57&gt;=$F57*(1+$AG$2*0.7),"⚠️損切接近","保持継続"))))),  IF($H57&gt;=$M57,"🟢利確",  IF(AND($R57&lt;&gt;"",$H57&lt;=$R57),"🟠TRAIL決済",  IF($H57&lt;=$N57,"🔴損切",  IF($W57&gt;=$AG$5,"⏱時間決済",  IF($H57&lt;=$F57*(1-$AG$2*0.7),"⚠️損切接近","保持継続")))))))</f>
      </c>
      <c r="P57" s="491"/>
      <c r="Q57" s="491"/>
      <c r="R57" s="491">
        <f>IF(OR($F57="",$H57="",$N57=""),"",IF($S57="✅売却済","",IF($C57="売",  IF($H57&gt;$F57*(1-$AG$2),$N57,CEILING(MIN($N57,IF($Q57="",$N57,$Q57*1.03)),IF($N57&lt;=3000,1,IF($N57&lt;=5000,5,IF($N57&lt;=30000,10,IF($N57&lt;=50000,50,IF($N57&lt;=300000,100,500))))))),  IF($H57&lt;$F57*(1+$AG$2),$N57,FLOOR(MAX($N57,IF($P57="",$N57,$P57*0.97)),IF($N57&lt;=3000,1,IF($N57&lt;=5000,5,IF($N57&lt;=30000,10,IF($N57&lt;=50000,50,IF($N57&lt;=300000,100,500))))))))))</f>
      </c>
      <c r="S57" s="586" t="str">
        <f t="shared" ca="1" si="20"/>
        <v>📌保有中</v>
      </c>
      <c r="T57" s="594" t="str">
        <f t="shared" ca="1" si="9"/>
        <v/>
      </c>
      <c r="U57" s="491" t="str">
        <f t="shared" ca="1" si="10"/>
        <v/>
      </c>
      <c r="V57" s="701" t="str">
        <f t="shared" ca="1" si="21"/>
        <v/>
      </c>
      <c r="W57" s="493">
        <f t="shared" ca="1" si="11"/>
        <v>0</v>
      </c>
      <c r="X57" s="489" t="str">
        <f t="shared" ca="1" si="12"/>
        <v/>
      </c>
      <c r="Y57" s="488">
        <f>IF($B57="","",IF(COUNTIFS($B$4:$B57,$B57,$C$4:$C57,$C57)&gt;1,"⛔重複"&amp;COUNTIFS($B$4:$B57,$B57,$C$4:$C57,$C57)&amp;"回目",""))</f>
      </c>
      <c r="Z57" s="710">
        <v>18</v>
      </c>
      <c r="AB57">
        <f>IF($F57="","",MAX(100,ROUNDDOWN($AG$4/($F57*$AG$2)/100,0)*100))</f>
      </c>
      <c r="AC57">
        <f>IF(OR($F57="",$G57="",$U57=""),"",ROUND($V57-($F57+$U57)*$G57*$AG$6-IF($C57="売",$F57*$G57*$AG$7*$W57/365,0),0))</f>
      </c>
      <c r="AD57" s="608" t="s">
        <v>1324</v>
      </c>
      <c r="AE57" s="624">
        <f t="shared" si="13"/>
        <v>46259</v>
      </c>
      <c r="AF57" s="626"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26"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00" t="str">
        <f t="shared" ca="1" si="14"/>
        <v/>
      </c>
      <c r="AI57" s="600" t="str" cm="1">
        <f t="array" ref="AI57">IFERROR(INDEX(始値!$E$6:$BT$305,MATCH(TEXT($B57,"0"),TEXT(銘柄管理!$B$6:$B$305,"0"),0),MATCH($AE57,始値!$E$3:$BT$3,0)),"")</f>
        <v/>
      </c>
      <c r="AJ57" s="905" t="str">
        <f t="shared" ca="1" si="15"/>
        <v/>
      </c>
      <c r="AK57" s="629" t="str">
        <f t="shared" ca="1" si="16"/>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 t="shared" si="0"/>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BT$3,0)=1,1,MATCH($E58,始値!$E$3:$BT$3,0)+1)),_xlpm.v,INDEX(始値!$C$6:$B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 t="shared" ca="1" si="17"/>
        <v/>
      </c>
      <c r="L58" s="706" t="str">
        <f t="shared" ca="1" si="18"/>
        <v/>
      </c>
      <c r="M58" s="491">
        <f>IF($F58="","",IF($C58="売",CEILING($F58*IF($C58="売",1-$AG$3,1+$AG$3),IF($F58*IF($C58="売",1-$AG$3,1+$AG$3)&lt;=3000,1,IF($F58*IF($C58="売",1-$AG$3,1+$AG$3)&lt;=5000,5,IF($F58*IF($C58="売",1-$AG$3,1+$AG$3)&lt;=30000,10,IF($F58*IF($C58="売",1-$AG$3,1+$AG$3)&lt;=50000,50,IF($F58*IF($C58="売",1-$AG$3,1+$AG$3)&lt;=300000,100,500)))))),FLOOR($F58*IF($C58="売",1-$AG$3,1+$AG$3),IF($F58*IF($C58="売",1-$AG$3,1+$AG$3)&lt;=3000,1,IF($F58*IF($C58="売",1-$AG$3,1+$AG$3)&lt;=5000,5,IF($F58*IF($C58="売",1-$AG$3,1+$AG$3)&lt;=30000,10,IF($F58*IF($C58="売",1-$AG$3,1+$AG$3)&lt;=50000,50,IF($F58*IF($C58="売",1-$AG$3,1+$AG$3)&lt;=300000,100,500))))))))</f>
      </c>
      <c r="N58" s="491">
        <f>IF($F58="","",IF($C58="売",CEILING($F58*IF($C58="売",1+$AG$2,1-$AG$2),IF($F58*IF($C58="売",1+$AG$2,1-$AG$2)&lt;=3000,1,IF($F58*IF($C58="売",1+$AG$2,1-$AG$2)&lt;=5000,5,IF($F58*IF($C58="売",1+$AG$2,1-$AG$2)&lt;=30000,10,IF($F58*IF($C58="売",1+$AG$2,1-$AG$2)&lt;=50000,50,IF($F58*IF($C58="売",1+$AG$2,1-$AG$2)&lt;=300000,100,500)))))),FLOOR($F58*IF($C58="売",1+$AG$2,1-$AG$2),IF($F58*IF($C58="売",1+$AG$2,1-$AG$2)&lt;=3000,1,IF($F58*IF($C58="売",1+$AG$2,1-$AG$2)&lt;=5000,5,IF($F58*IF($C58="売",1+$AG$2,1-$AG$2)&lt;=30000,10,IF($F58*IF($C58="売",1+$AG$2,1-$AG$2)&lt;=50000,50,IF($F58*IF($C58="売",1+$AG$2,1-$AG$2)&lt;=300000,100,500))))))))</f>
      </c>
      <c r="O58" s="492">
        <f>IF(OR($B58="",$F58="",$H58=""),"",IF($S58="✅売却済","―決済済―",IF($C58="売",  IF($H58&lt;=$M58,"🟢利確",  IF(AND($R58&lt;&gt;"",$H58&gt;=$R58),"🟠TRAIL決済",  IF($H58&gt;=$N58,"🔴損切",  IF($W58&gt;=$AG$5,"⏱時間決済",  IF($H58&gt;=$F58*(1+$AG$2*0.7),"⚠️損切接近","保持継続"))))),  IF($H58&gt;=$M58,"🟢利確",  IF(AND($R58&lt;&gt;"",$H58&lt;=$R58),"🟠TRAIL決済",  IF($H58&lt;=$N58,"🔴損切",  IF($W58&gt;=$AG$5,"⏱時間決済",  IF($H58&lt;=$F58*(1-$AG$2*0.7),"⚠️損切接近","保持継続")))))))</f>
      </c>
      <c r="P58" s="491"/>
      <c r="Q58" s="491"/>
      <c r="R58" s="491">
        <f>IF(OR($F58="",$H58="",$N58=""),"",IF($S58="✅売却済","",IF($C58="売",  IF($H58&gt;$F58*(1-$AG$2),$N58,CEILING(MIN($N58,IF($Q58="",$N58,$Q58*1.03)),IF($N58&lt;=3000,1,IF($N58&lt;=5000,5,IF($N58&lt;=30000,10,IF($N58&lt;=50000,50,IF($N58&lt;=300000,100,500))))))),  IF($H58&lt;$F58*(1+$AG$2),$N58,FLOOR(MAX($N58,IF($P58="",$N58,$P58*0.97)),IF($N58&lt;=3000,1,IF($N58&lt;=5000,5,IF($N58&lt;=30000,10,IF($N58&lt;=50000,50,IF($N58&lt;=300000,100,500))))))))))</f>
      </c>
      <c r="S58" s="586" t="str">
        <f t="shared" ca="1" si="20"/>
        <v>📌保有中</v>
      </c>
      <c r="T58" s="594" t="str">
        <f t="shared" ca="1" si="9"/>
        <v/>
      </c>
      <c r="U58" s="491" t="str">
        <f t="shared" ca="1" si="10"/>
        <v/>
      </c>
      <c r="V58" s="701" t="str">
        <f t="shared" ca="1" si="21"/>
        <v/>
      </c>
      <c r="W58" s="493">
        <f t="shared" ca="1" si="11"/>
        <v>0</v>
      </c>
      <c r="X58" s="489" t="str">
        <f t="shared" ca="1" si="12"/>
        <v/>
      </c>
      <c r="Y58" s="488">
        <f>IF($B58="","",IF(COUNTIFS($B$4:$B58,$B58,$C$4:$C58,$C58)&gt;1,"⛔重複"&amp;COUNTIFS($B$4:$B58,$B58,$C$4:$C58,$C58)&amp;"回目",""))</f>
      </c>
      <c r="Z58" s="710">
        <v>13</v>
      </c>
      <c r="AB58">
        <f>IF($F58="","",MAX(100,ROUNDDOWN($AG$4/($F58*$AG$2)/100,0)*100))</f>
      </c>
      <c r="AC58">
        <f>IF(OR($F58="",$G58="",$U58=""),"",ROUND($V58-($F58+$U58)*$G58*$AG$6-IF($C58="売",$F58*$G58*$AG$7*$W58/365,0),0))</f>
      </c>
      <c r="AD58" s="608" t="s">
        <v>1325</v>
      </c>
      <c r="AE58" s="624">
        <f t="shared" si="13"/>
        <v>46259</v>
      </c>
      <c r="AF58" s="626"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26"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00" t="str">
        <f t="shared" ca="1" si="14"/>
        <v/>
      </c>
      <c r="AI58" s="600" t="str" cm="1">
        <f t="array" ref="AI58">IFERROR(INDEX(始値!$E$6:$BT$305,MATCH(TEXT($B58,"0"),TEXT(銘柄管理!$B$6:$B$305,"0"),0),MATCH($AE58,始値!$E$3:$BT$3,0)),"")</f>
        <v/>
      </c>
      <c r="AJ58" s="905" t="str">
        <f t="shared" ca="1" si="15"/>
        <v/>
      </c>
      <c r="AK58" s="629" t="str">
        <f t="shared" ca="1" si="16"/>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 t="shared" si="0"/>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BT$3,0)=1,1,MATCH($E59,始値!$E$3:$BT$3,0)+1)),_xlpm.v,INDEX(始値!$C$6:$B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 t="shared" ca="1" si="17"/>
        <v/>
      </c>
      <c r="L59" s="706" t="str">
        <f t="shared" ca="1" si="18"/>
        <v/>
      </c>
      <c r="M59" s="491">
        <f>IF($F59="","",IF($C59="売",CEILING($F59*IF($C59="売",1-$AG$3,1+$AG$3),IF($F59*IF($C59="売",1-$AG$3,1+$AG$3)&lt;=3000,1,IF($F59*IF($C59="売",1-$AG$3,1+$AG$3)&lt;=5000,5,IF($F59*IF($C59="売",1-$AG$3,1+$AG$3)&lt;=30000,10,IF($F59*IF($C59="売",1-$AG$3,1+$AG$3)&lt;=50000,50,IF($F59*IF($C59="売",1-$AG$3,1+$AG$3)&lt;=300000,100,500)))))),FLOOR($F59*IF($C59="売",1-$AG$3,1+$AG$3),IF($F59*IF($C59="売",1-$AG$3,1+$AG$3)&lt;=3000,1,IF($F59*IF($C59="売",1-$AG$3,1+$AG$3)&lt;=5000,5,IF($F59*IF($C59="売",1-$AG$3,1+$AG$3)&lt;=30000,10,IF($F59*IF($C59="売",1-$AG$3,1+$AG$3)&lt;=50000,50,IF($F59*IF($C59="売",1-$AG$3,1+$AG$3)&lt;=300000,100,500))))))))</f>
      </c>
      <c r="N59" s="491">
        <f>IF($F59="","",IF($C59="売",CEILING($F59*IF($C59="売",1+$AG$2,1-$AG$2),IF($F59*IF($C59="売",1+$AG$2,1-$AG$2)&lt;=3000,1,IF($F59*IF($C59="売",1+$AG$2,1-$AG$2)&lt;=5000,5,IF($F59*IF($C59="売",1+$AG$2,1-$AG$2)&lt;=30000,10,IF($F59*IF($C59="売",1+$AG$2,1-$AG$2)&lt;=50000,50,IF($F59*IF($C59="売",1+$AG$2,1-$AG$2)&lt;=300000,100,500)))))),FLOOR($F59*IF($C59="売",1+$AG$2,1-$AG$2),IF($F59*IF($C59="売",1+$AG$2,1-$AG$2)&lt;=3000,1,IF($F59*IF($C59="売",1+$AG$2,1-$AG$2)&lt;=5000,5,IF($F59*IF($C59="売",1+$AG$2,1-$AG$2)&lt;=30000,10,IF($F59*IF($C59="売",1+$AG$2,1-$AG$2)&lt;=50000,50,IF($F59*IF($C59="売",1+$AG$2,1-$AG$2)&lt;=300000,100,500))))))))</f>
      </c>
      <c r="O59" s="492">
        <f>IF(OR($B59="",$F59="",$H59=""),"",IF($S59="✅売却済","―決済済―",IF($C59="売",  IF($H59&lt;=$M59,"🟢利確",  IF(AND($R59&lt;&gt;"",$H59&gt;=$R59),"🟠TRAIL決済",  IF($H59&gt;=$N59,"🔴損切",  IF($W59&gt;=$AG$5,"⏱時間決済",  IF($H59&gt;=$F59*(1+$AG$2*0.7),"⚠️損切接近","保持継続"))))),  IF($H59&gt;=$M59,"🟢利確",  IF(AND($R59&lt;&gt;"",$H59&lt;=$R59),"🟠TRAIL決済",  IF($H59&lt;=$N59,"🔴損切",  IF($W59&gt;=$AG$5,"⏱時間決済",  IF($H59&lt;=$F59*(1-$AG$2*0.7),"⚠️損切接近","保持継続")))))))</f>
      </c>
      <c r="P59" s="491"/>
      <c r="Q59" s="491"/>
      <c r="R59" s="491">
        <f>IF(OR($F59="",$H59="",$N59=""),"",IF($S59="✅売却済","",IF($C59="売",  IF($H59&gt;$F59*(1-$AG$2),$N59,CEILING(MIN($N59,IF($Q59="",$N59,$Q59*1.03)),IF($N59&lt;=3000,1,IF($N59&lt;=5000,5,IF($N59&lt;=30000,10,IF($N59&lt;=50000,50,IF($N59&lt;=300000,100,500))))))),  IF($H59&lt;$F59*(1+$AG$2),$N59,FLOOR(MAX($N59,IF($P59="",$N59,$P59*0.97)),IF($N59&lt;=3000,1,IF($N59&lt;=5000,5,IF($N59&lt;=30000,10,IF($N59&lt;=50000,50,IF($N59&lt;=300000,100,500))))))))))</f>
      </c>
      <c r="S59" s="586" t="str">
        <f t="shared" si="20"/>
        <v/>
      </c>
      <c r="T59" s="594" t="str">
        <f t="shared" ca="1" si="9"/>
        <v/>
      </c>
      <c r="U59" s="491" t="str">
        <f t="shared" ca="1" si="10"/>
        <v/>
      </c>
      <c r="V59" s="701" t="str">
        <f t="shared" ca="1" si="21"/>
        <v/>
      </c>
      <c r="W59" s="493" t="str">
        <f t="shared" ca="1" si="11"/>
        <v/>
      </c>
      <c r="X59" s="489" t="str">
        <f t="shared" ca="1" si="12"/>
        <v/>
      </c>
      <c r="Y59" s="488">
        <f>IF($B59="","",IF(COUNTIFS($B$4:$B59,$B59,$C$4:$C59,$C59)&gt;1,"⛔重複"&amp;COUNTIFS($B$4:$B59,$B59,$C$4:$C59,$C59)&amp;"回目",""))</f>
      </c>
      <c r="Z59" s="710"/>
      <c r="AB59">
        <f>IF($F59="","",MAX(100,ROUNDDOWN($AG$4/($F59*$AG$2)/100,0)*100))</f>
      </c>
      <c r="AC59">
        <f>IF(OR($F59="",$G59="",$U59=""),"",ROUND($V59-($F59+$U59)*$G59*$AG$6-IF($C59="売",$F59*$G59*$AG$7*$W59/365,0),0))</f>
      </c>
      <c r="AD59" s="608"/>
      <c r="AE59" s="624" t="str">
        <f t="shared" si="13"/>
        <v/>
      </c>
      <c r="AF59" s="626"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26"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00" t="str">
        <f t="shared" ca="1" si="14"/>
        <v/>
      </c>
      <c r="AI59" s="600" t="str" cm="1">
        <f t="array" ref="AI59">IFERROR(INDEX(始値!$E$6:$BT$305,MATCH(TEXT($B59,"0"),TEXT(銘柄管理!$B$6:$B$305,"0"),0),MATCH($AE59,始値!$E$3:$BT$3,0)),"")</f>
        <v/>
      </c>
      <c r="AJ59" s="905" t="str">
        <f t="shared" ca="1" si="15"/>
        <v/>
      </c>
      <c r="AK59" s="629" t="str">
        <f t="shared" ca="1" si="16"/>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 t="shared" si="0"/>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BT$3,0)=1,1,MATCH($E60,始値!$E$3:$BT$3,0)+1)),_xlpm.v,INDEX(始値!$C$6:$B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 t="shared" ca="1" si="17"/>
        <v/>
      </c>
      <c r="L60" s="706" t="str">
        <f t="shared" ca="1" si="18"/>
        <v/>
      </c>
      <c r="M60" s="491">
        <f>IF($F60="","",IF($C60="売",CEILING($F60*IF($C60="売",1-$AG$3,1+$AG$3),IF($F60*IF($C60="売",1-$AG$3,1+$AG$3)&lt;=3000,1,IF($F60*IF($C60="売",1-$AG$3,1+$AG$3)&lt;=5000,5,IF($F60*IF($C60="売",1-$AG$3,1+$AG$3)&lt;=30000,10,IF($F60*IF($C60="売",1-$AG$3,1+$AG$3)&lt;=50000,50,IF($F60*IF($C60="売",1-$AG$3,1+$AG$3)&lt;=300000,100,500)))))),FLOOR($F60*IF($C60="売",1-$AG$3,1+$AG$3),IF($F60*IF($C60="売",1-$AG$3,1+$AG$3)&lt;=3000,1,IF($F60*IF($C60="売",1-$AG$3,1+$AG$3)&lt;=5000,5,IF($F60*IF($C60="売",1-$AG$3,1+$AG$3)&lt;=30000,10,IF($F60*IF($C60="売",1-$AG$3,1+$AG$3)&lt;=50000,50,IF($F60*IF($C60="売",1-$AG$3,1+$AG$3)&lt;=300000,100,500))))))))</f>
      </c>
      <c r="N60" s="491">
        <f>IF($F60="","",IF($C60="売",CEILING($F60*IF($C60="売",1+$AG$2,1-$AG$2),IF($F60*IF($C60="売",1+$AG$2,1-$AG$2)&lt;=3000,1,IF($F60*IF($C60="売",1+$AG$2,1-$AG$2)&lt;=5000,5,IF($F60*IF($C60="売",1+$AG$2,1-$AG$2)&lt;=30000,10,IF($F60*IF($C60="売",1+$AG$2,1-$AG$2)&lt;=50000,50,IF($F60*IF($C60="売",1+$AG$2,1-$AG$2)&lt;=300000,100,500)))))),FLOOR($F60*IF($C60="売",1+$AG$2,1-$AG$2),IF($F60*IF($C60="売",1+$AG$2,1-$AG$2)&lt;=3000,1,IF($F60*IF($C60="売",1+$AG$2,1-$AG$2)&lt;=5000,5,IF($F60*IF($C60="売",1+$AG$2,1-$AG$2)&lt;=30000,10,IF($F60*IF($C60="売",1+$AG$2,1-$AG$2)&lt;=50000,50,IF($F60*IF($C60="売",1+$AG$2,1-$AG$2)&lt;=300000,100,500))))))))</f>
      </c>
      <c r="O60" s="492">
        <f>IF(OR($B60="",$F60="",$H60=""),"",IF($S60="✅売却済","―決済済―",IF($C60="売",  IF($H60&lt;=$M60,"🟢利確",  IF(AND($R60&lt;&gt;"",$H60&gt;=$R60),"🟠TRAIL決済",  IF($H60&gt;=$N60,"🔴損切",  IF($W60&gt;=$AG$5,"⏱時間決済",  IF($H60&gt;=$F60*(1+$AG$2*0.7),"⚠️損切接近","保持継続"))))),  IF($H60&gt;=$M60,"🟢利確",  IF(AND($R60&lt;&gt;"",$H60&lt;=$R60),"🟠TRAIL決済",  IF($H60&lt;=$N60,"🔴損切",  IF($W60&gt;=$AG$5,"⏱時間決済",  IF($H60&lt;=$F60*(1-$AG$2*0.7),"⚠️損切接近","保持継続")))))))</f>
      </c>
      <c r="P60" s="491"/>
      <c r="Q60" s="491"/>
      <c r="R60" s="491">
        <f>IF(OR($F60="",$H60="",$N60=""),"",IF($S60="✅売却済","",IF($C60="売",  IF($H60&gt;$F60*(1-$AG$2),$N60,CEILING(MIN($N60,IF($Q60="",$N60,$Q60*1.03)),IF($N60&lt;=3000,1,IF($N60&lt;=5000,5,IF($N60&lt;=30000,10,IF($N60&lt;=50000,50,IF($N60&lt;=300000,100,500))))))),  IF($H60&lt;$F60*(1+$AG$2),$N60,FLOOR(MAX($N60,IF($P60="",$N60,$P60*0.97)),IF($N60&lt;=3000,1,IF($N60&lt;=5000,5,IF($N60&lt;=30000,10,IF($N60&lt;=50000,50,IF($N60&lt;=300000,100,500))))))))))</f>
      </c>
      <c r="S60" s="586" t="str">
        <f t="shared" si="20"/>
        <v/>
      </c>
      <c r="T60" s="594" t="str">
        <f t="shared" ca="1" si="9"/>
        <v/>
      </c>
      <c r="U60" s="491" t="str">
        <f t="shared" ca="1" si="10"/>
        <v/>
      </c>
      <c r="V60" s="701" t="str">
        <f t="shared" ca="1" si="21"/>
        <v/>
      </c>
      <c r="W60" s="493" t="str">
        <f t="shared" ca="1" si="11"/>
        <v/>
      </c>
      <c r="X60" s="489" t="str">
        <f t="shared" ca="1" si="12"/>
        <v/>
      </c>
      <c r="Y60" s="488">
        <f>IF($B60="","",IF(COUNTIFS($B$4:$B60,$B60,$C$4:$C60,$C60)&gt;1,"⛔重複"&amp;COUNTIFS($B$4:$B60,$B60,$C$4:$C60,$C60)&amp;"回目",""))</f>
      </c>
      <c r="Z60" s="710"/>
      <c r="AB60">
        <f>IF($F60="","",MAX(100,ROUNDDOWN($AG$4/($F60*$AG$2)/100,0)*100))</f>
      </c>
      <c r="AC60">
        <f>IF(OR($F60="",$G60="",$U60=""),"",ROUND($V60-($F60+$U60)*$G60*$AG$6-IF($C60="売",$F60*$G60*$AG$7*$W60/365,0),0))</f>
      </c>
      <c r="AD60" s="608"/>
      <c r="AE60" s="624" t="str">
        <f t="shared" si="13"/>
        <v/>
      </c>
      <c r="AF60" s="626"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26"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00" t="str">
        <f t="shared" ca="1" si="14"/>
        <v/>
      </c>
      <c r="AI60" s="600" t="str" cm="1">
        <f t="array" ref="AI60">IFERROR(INDEX(始値!$E$6:$BT$305,MATCH(TEXT($B60,"0"),TEXT(銘柄管理!$B$6:$B$305,"0"),0),MATCH($AE60,始値!$E$3:$BT$3,0)),"")</f>
        <v/>
      </c>
      <c r="AJ60" s="905" t="str">
        <f t="shared" ca="1" si="15"/>
        <v/>
      </c>
      <c r="AK60" s="629" t="str">
        <f t="shared" ca="1" si="16"/>
        <v/>
      </c>
      <c r="AL60" s="609" t="s">
        <v>1341</v>
      </c>
      <c r="BB60" s="600" t="str">
        <f>IF(N(買抽出v13!$C60)=0,"",N(買抽出v13!$Q60)+N(買抽出v13!$L60)/1000-ROW()/1000000)</f>
        <v/>
      </c>
      <c r="BC60" s="600" t="str">
        <f>IF(N(売抽出v13!$C60)=0,"",N(売抽出v13!$Q60)+IFERROR(VALUE(SUBSTITUTE(売抽出v13!$L60,"倍","")),0)/1000-ROW()/1000000)</f>
        <v/>
      </c>
    </row>
    <row r="61" spans="1:55" ht="35.4" customHeight="1">
      <c r="A61" s="619" t="str">
        <f t="shared" si="0"/>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BT$3,0)=1,1,MATCH($E61,始値!$E$3:$BT$3,0)+1)),_xlpm.v,INDEX(始値!$C$6:$B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 t="shared" ca="1" si="17"/>
        <v/>
      </c>
      <c r="L61" s="706" t="str">
        <f t="shared" ca="1" si="18"/>
        <v/>
      </c>
      <c r="M61" s="491">
        <f>IF($F61="","",IF($C61="売",CEILING($F61*IF($C61="売",1-$AG$3,1+$AG$3),IF($F61*IF($C61="売",1-$AG$3,1+$AG$3)&lt;=3000,1,IF($F61*IF($C61="売",1-$AG$3,1+$AG$3)&lt;=5000,5,IF($F61*IF($C61="売",1-$AG$3,1+$AG$3)&lt;=30000,10,IF($F61*IF($C61="売",1-$AG$3,1+$AG$3)&lt;=50000,50,IF($F61*IF($C61="売",1-$AG$3,1+$AG$3)&lt;=300000,100,500)))))),FLOOR($F61*IF($C61="売",1-$AG$3,1+$AG$3),IF($F61*IF($C61="売",1-$AG$3,1+$AG$3)&lt;=3000,1,IF($F61*IF($C61="売",1-$AG$3,1+$AG$3)&lt;=5000,5,IF($F61*IF($C61="売",1-$AG$3,1+$AG$3)&lt;=30000,10,IF($F61*IF($C61="売",1-$AG$3,1+$AG$3)&lt;=50000,50,IF($F61*IF($C61="売",1-$AG$3,1+$AG$3)&lt;=300000,100,500))))))))</f>
      </c>
      <c r="N61" s="491">
        <f>IF($F61="","",IF($C61="売",CEILING($F61*IF($C61="売",1+$AG$2,1-$AG$2),IF($F61*IF($C61="売",1+$AG$2,1-$AG$2)&lt;=3000,1,IF($F61*IF($C61="売",1+$AG$2,1-$AG$2)&lt;=5000,5,IF($F61*IF($C61="売",1+$AG$2,1-$AG$2)&lt;=30000,10,IF($F61*IF($C61="売",1+$AG$2,1-$AG$2)&lt;=50000,50,IF($F61*IF($C61="売",1+$AG$2,1-$AG$2)&lt;=300000,100,500)))))),FLOOR($F61*IF($C61="売",1+$AG$2,1-$AG$2),IF($F61*IF($C61="売",1+$AG$2,1-$AG$2)&lt;=3000,1,IF($F61*IF($C61="売",1+$AG$2,1-$AG$2)&lt;=5000,5,IF($F61*IF($C61="売",1+$AG$2,1-$AG$2)&lt;=30000,10,IF($F61*IF($C61="売",1+$AG$2,1-$AG$2)&lt;=50000,50,IF($F61*IF($C61="売",1+$AG$2,1-$AG$2)&lt;=300000,100,500))))))))</f>
      </c>
      <c r="O61" s="492">
        <f>IF(OR($B61="",$F61="",$H61=""),"",IF($S61="✅売却済","―決済済―",IF($C61="売",  IF($H61&lt;=$M61,"🟢利確",  IF(AND($R61&lt;&gt;"",$H61&gt;=$R61),"🟠TRAIL決済",  IF($H61&gt;=$N61,"🔴損切",  IF($W61&gt;=$AG$5,"⏱時間決済",  IF($H61&gt;=$F61*(1+$AG$2*0.7),"⚠️損切接近","保持継続"))))),  IF($H61&gt;=$M61,"🟢利確",  IF(AND($R61&lt;&gt;"",$H61&lt;=$R61),"🟠TRAIL決済",  IF($H61&lt;=$N61,"🔴損切",  IF($W61&gt;=$AG$5,"⏱時間決済",  IF($H61&lt;=$F61*(1-$AG$2*0.7),"⚠️損切接近","保持継続")))))))</f>
      </c>
      <c r="P61" s="491"/>
      <c r="Q61" s="491"/>
      <c r="R61" s="491">
        <f>IF(OR($F61="",$H61="",$N61=""),"",IF($S61="✅売却済","",IF($C61="売",  IF($H61&gt;$F61*(1-$AG$2),$N61,CEILING(MIN($N61,IF($Q61="",$N61,$Q61*1.03)),IF($N61&lt;=3000,1,IF($N61&lt;=5000,5,IF($N61&lt;=30000,10,IF($N61&lt;=50000,50,IF($N61&lt;=300000,100,500))))))),  IF($H61&lt;$F61*(1+$AG$2),$N61,FLOOR(MAX($N61,IF($P61="",$N61,$P61*0.97)),IF($N61&lt;=3000,1,IF($N61&lt;=5000,5,IF($N61&lt;=30000,10,IF($N61&lt;=50000,50,IF($N61&lt;=300000,100,500))))))))))</f>
      </c>
      <c r="S61" s="586" t="str">
        <f t="shared" si="20"/>
        <v/>
      </c>
      <c r="T61" s="594" t="str">
        <f t="shared" ca="1" si="9"/>
        <v/>
      </c>
      <c r="U61" s="491" t="str">
        <f t="shared" ca="1" si="10"/>
        <v/>
      </c>
      <c r="V61" s="701" t="str">
        <f t="shared" ca="1" si="21"/>
        <v/>
      </c>
      <c r="W61" s="493" t="str">
        <f t="shared" ca="1" si="11"/>
        <v/>
      </c>
      <c r="X61" s="489" t="str">
        <f t="shared" ca="1" si="12"/>
        <v/>
      </c>
      <c r="Y61" s="488">
        <f>IF($B61="","",IF(COUNTIFS($B$4:$B61,$B61,$C$4:$C61,$C61)&gt;1,"⛔重複"&amp;COUNTIFS($B$4:$B61,$B61,$C$4:$C61,$C61)&amp;"回目",""))</f>
      </c>
      <c r="Z61" s="710"/>
      <c r="AB61">
        <f>IF($F61="","",MAX(100,ROUNDDOWN($AG$4/($F61*$AG$2)/100,0)*100))</f>
      </c>
      <c r="AC61">
        <f>IF(OR($F61="",$G61="",$U61=""),"",ROUND($V61-($F61+$U61)*$G61*$AG$6-IF($C61="売",$F61*$G61*$AG$7*$W61/365,0),0))</f>
      </c>
      <c r="AD61" s="608"/>
      <c r="AE61" s="624" t="str">
        <f t="shared" si="13"/>
        <v/>
      </c>
      <c r="AF61" s="626"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26"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00" t="str">
        <f t="shared" ca="1" si="14"/>
        <v/>
      </c>
      <c r="AI61" s="600" t="str" cm="1">
        <f t="array" ref="AI61">IFERROR(INDEX(始値!$E$6:$BT$305,MATCH(TEXT($B61,"0"),TEXT(銘柄管理!$B$6:$B$305,"0"),0),MATCH($AE61,始値!$E$3:$BT$3,0)),"")</f>
        <v/>
      </c>
      <c r="AJ61" s="905" t="str">
        <f t="shared" ca="1" si="15"/>
        <v/>
      </c>
      <c r="AK61" s="629" t="str">
        <f t="shared" ca="1" si="16"/>
        <v/>
      </c>
      <c r="AL61" s="609" t="s">
        <v>1321</v>
      </c>
    </row>
    <row r="62" spans="1:55" ht="35.4" customHeight="1">
      <c r="A62" s="619" t="str">
        <f t="shared" si="0"/>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BT$3,0)=1,1,MATCH($E62,始値!$E$3:$BT$3,0)+1)),_xlpm.v,INDEX(始値!$C$6:$B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 t="shared" ca="1" si="17"/>
        <v/>
      </c>
      <c r="L62" s="706" t="str">
        <f t="shared" ca="1" si="18"/>
        <v/>
      </c>
      <c r="M62" s="491">
        <f>IF($F62="","",IF($C62="売",CEILING($F62*IF($C62="売",1-$AG$3,1+$AG$3),IF($F62*IF($C62="売",1-$AG$3,1+$AG$3)&lt;=3000,1,IF($F62*IF($C62="売",1-$AG$3,1+$AG$3)&lt;=5000,5,IF($F62*IF($C62="売",1-$AG$3,1+$AG$3)&lt;=30000,10,IF($F62*IF($C62="売",1-$AG$3,1+$AG$3)&lt;=50000,50,IF($F62*IF($C62="売",1-$AG$3,1+$AG$3)&lt;=300000,100,500)))))),FLOOR($F62*IF($C62="売",1-$AG$3,1+$AG$3),IF($F62*IF($C62="売",1-$AG$3,1+$AG$3)&lt;=3000,1,IF($F62*IF($C62="売",1-$AG$3,1+$AG$3)&lt;=5000,5,IF($F62*IF($C62="売",1-$AG$3,1+$AG$3)&lt;=30000,10,IF($F62*IF($C62="売",1-$AG$3,1+$AG$3)&lt;=50000,50,IF($F62*IF($C62="売",1-$AG$3,1+$AG$3)&lt;=300000,100,500))))))))</f>
      </c>
      <c r="N62" s="491">
        <f>IF($F62="","",IF($C62="売",CEILING($F62*IF($C62="売",1+$AG$2,1-$AG$2),IF($F62*IF($C62="売",1+$AG$2,1-$AG$2)&lt;=3000,1,IF($F62*IF($C62="売",1+$AG$2,1-$AG$2)&lt;=5000,5,IF($F62*IF($C62="売",1+$AG$2,1-$AG$2)&lt;=30000,10,IF($F62*IF($C62="売",1+$AG$2,1-$AG$2)&lt;=50000,50,IF($F62*IF($C62="売",1+$AG$2,1-$AG$2)&lt;=300000,100,500)))))),FLOOR($F62*IF($C62="売",1+$AG$2,1-$AG$2),IF($F62*IF($C62="売",1+$AG$2,1-$AG$2)&lt;=3000,1,IF($F62*IF($C62="売",1+$AG$2,1-$AG$2)&lt;=5000,5,IF($F62*IF($C62="売",1+$AG$2,1-$AG$2)&lt;=30000,10,IF($F62*IF($C62="売",1+$AG$2,1-$AG$2)&lt;=50000,50,IF($F62*IF($C62="売",1+$AG$2,1-$AG$2)&lt;=300000,100,500))))))))</f>
      </c>
      <c r="O62" s="492">
        <f>IF(OR($B62="",$F62="",$H62=""),"",IF($S62="✅売却済","―決済済―",IF($C62="売",  IF($H62&lt;=$M62,"🟢利確",  IF(AND($R62&lt;&gt;"",$H62&gt;=$R62),"🟠TRAIL決済",  IF($H62&gt;=$N62,"🔴損切",  IF($W62&gt;=$AG$5,"⏱時間決済",  IF($H62&gt;=$F62*(1+$AG$2*0.7),"⚠️損切接近","保持継続"))))),  IF($H62&gt;=$M62,"🟢利確",  IF(AND($R62&lt;&gt;"",$H62&lt;=$R62),"🟠TRAIL決済",  IF($H62&lt;=$N62,"🔴損切",  IF($W62&gt;=$AG$5,"⏱時間決済",  IF($H62&lt;=$F62*(1-$AG$2*0.7),"⚠️損切接近","保持継続")))))))</f>
      </c>
      <c r="P62" s="491"/>
      <c r="Q62" s="491"/>
      <c r="R62" s="491">
        <f>IF(OR($F62="",$H62="",$N62=""),"",IF($S62="✅売却済","",IF($C62="売",  IF($H62&gt;$F62*(1-$AG$2),$N62,CEILING(MIN($N62,IF($Q62="",$N62,$Q62*1.03)),IF($N62&lt;=3000,1,IF($N62&lt;=5000,5,IF($N62&lt;=30000,10,IF($N62&lt;=50000,50,IF($N62&lt;=300000,100,500))))))),  IF($H62&lt;$F62*(1+$AG$2),$N62,FLOOR(MAX($N62,IF($P62="",$N62,$P62*0.97)),IF($N62&lt;=3000,1,IF($N62&lt;=5000,5,IF($N62&lt;=30000,10,IF($N62&lt;=50000,50,IF($N62&lt;=300000,100,500))))))))))</f>
      </c>
      <c r="S62" s="586" t="str">
        <f t="shared" si="20"/>
        <v/>
      </c>
      <c r="T62" s="594" t="str">
        <f t="shared" ca="1" si="9"/>
        <v/>
      </c>
      <c r="U62" s="491" t="str">
        <f t="shared" ca="1" si="10"/>
        <v/>
      </c>
      <c r="V62" s="701" t="str">
        <f t="shared" ca="1" si="21"/>
        <v/>
      </c>
      <c r="W62" s="493" t="str">
        <f t="shared" ca="1" si="11"/>
        <v/>
      </c>
      <c r="X62" s="489" t="str">
        <f t="shared" ca="1" si="12"/>
        <v/>
      </c>
      <c r="Y62" s="488">
        <f>IF($B62="","",IF(COUNTIFS($B$4:$B62,$B62,$C$4:$C62,$C62)&gt;1,"⛔重複"&amp;COUNTIFS($B$4:$B62,$B62,$C$4:$C62,$C62)&amp;"回目",""))</f>
      </c>
      <c r="Z62" s="710"/>
      <c r="AB62">
        <f>IF($F62="","",MAX(100,ROUNDDOWN($AG$4/($F62*$AG$2)/100,0)*100))</f>
      </c>
      <c r="AC62">
        <f>IF(OR($F62="",$G62="",$U62=""),"",ROUND($V62-($F62+$U62)*$G62*$AG$6-IF($C62="売",$F62*$G62*$AG$7*$W62/365,0),0))</f>
      </c>
      <c r="AD62" s="608"/>
      <c r="AE62" s="624" t="str">
        <f t="shared" si="13"/>
        <v/>
      </c>
      <c r="AF62" s="626"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26"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00" t="str">
        <f t="shared" ca="1" si="14"/>
        <v/>
      </c>
      <c r="AI62" s="600" t="str" cm="1">
        <f t="array" ref="AI62">IFERROR(INDEX(始値!$E$6:$BT$305,MATCH(TEXT($B62,"0"),TEXT(銘柄管理!$B$6:$B$305,"0"),0),MATCH($AE62,始値!$E$3:$BT$3,0)),"")</f>
        <v/>
      </c>
      <c r="AJ62" s="905" t="str">
        <f t="shared" ca="1" si="15"/>
        <v/>
      </c>
      <c r="AK62" s="629" t="str">
        <f t="shared" ca="1" si="16"/>
        <v/>
      </c>
      <c r="AL62" s="617" t="s">
        <v>1342</v>
      </c>
    </row>
    <row r="63" spans="1:55" ht="35.4" customHeight="1">
      <c r="A63" s="619" t="str">
        <f t="shared" si="0"/>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BT$3,0)=1,1,MATCH($E63,始値!$E$3:$BT$3,0)+1)),_xlpm.v,INDEX(始値!$C$6:$B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 t="shared" ca="1" si="17"/>
        <v/>
      </c>
      <c r="L63" s="706" t="str">
        <f t="shared" ca="1" si="18"/>
        <v/>
      </c>
      <c r="M63" s="491">
        <f>IF($F63="","",IF($C63="売",CEILING($F63*IF($C63="売",1-$AG$3,1+$AG$3),IF($F63*IF($C63="売",1-$AG$3,1+$AG$3)&lt;=3000,1,IF($F63*IF($C63="売",1-$AG$3,1+$AG$3)&lt;=5000,5,IF($F63*IF($C63="売",1-$AG$3,1+$AG$3)&lt;=30000,10,IF($F63*IF($C63="売",1-$AG$3,1+$AG$3)&lt;=50000,50,IF($F63*IF($C63="売",1-$AG$3,1+$AG$3)&lt;=300000,100,500)))))),FLOOR($F63*IF($C63="売",1-$AG$3,1+$AG$3),IF($F63*IF($C63="売",1-$AG$3,1+$AG$3)&lt;=3000,1,IF($F63*IF($C63="売",1-$AG$3,1+$AG$3)&lt;=5000,5,IF($F63*IF($C63="売",1-$AG$3,1+$AG$3)&lt;=30000,10,IF($F63*IF($C63="売",1-$AG$3,1+$AG$3)&lt;=50000,50,IF($F63*IF($C63="売",1-$AG$3,1+$AG$3)&lt;=300000,100,500))))))))</f>
      </c>
      <c r="N63" s="491">
        <f>IF($F63="","",IF($C63="売",CEILING($F63*IF($C63="売",1+$AG$2,1-$AG$2),IF($F63*IF($C63="売",1+$AG$2,1-$AG$2)&lt;=3000,1,IF($F63*IF($C63="売",1+$AG$2,1-$AG$2)&lt;=5000,5,IF($F63*IF($C63="売",1+$AG$2,1-$AG$2)&lt;=30000,10,IF($F63*IF($C63="売",1+$AG$2,1-$AG$2)&lt;=50000,50,IF($F63*IF($C63="売",1+$AG$2,1-$AG$2)&lt;=300000,100,500)))))),FLOOR($F63*IF($C63="売",1+$AG$2,1-$AG$2),IF($F63*IF($C63="売",1+$AG$2,1-$AG$2)&lt;=3000,1,IF($F63*IF($C63="売",1+$AG$2,1-$AG$2)&lt;=5000,5,IF($F63*IF($C63="売",1+$AG$2,1-$AG$2)&lt;=30000,10,IF($F63*IF($C63="売",1+$AG$2,1-$AG$2)&lt;=50000,50,IF($F63*IF($C63="売",1+$AG$2,1-$AG$2)&lt;=300000,100,500))))))))</f>
      </c>
      <c r="O63" s="492">
        <f>IF(OR($B63="",$F63="",$H63=""),"",IF($S63="✅売却済","―決済済―",IF($C63="売",  IF($H63&lt;=$M63,"🟢利確",  IF(AND($R63&lt;&gt;"",$H63&gt;=$R63),"🟠TRAIL決済",  IF($H63&gt;=$N63,"🔴損切",  IF($W63&gt;=$AG$5,"⏱時間決済",  IF($H63&gt;=$F63*(1+$AG$2*0.7),"⚠️損切接近","保持継続"))))),  IF($H63&gt;=$M63,"🟢利確",  IF(AND($R63&lt;&gt;"",$H63&lt;=$R63),"🟠TRAIL決済",  IF($H63&lt;=$N63,"🔴損切",  IF($W63&gt;=$AG$5,"⏱時間決済",  IF($H63&lt;=$F63*(1-$AG$2*0.7),"⚠️損切接近","保持継続")))))))</f>
      </c>
      <c r="P63" s="491"/>
      <c r="Q63" s="491"/>
      <c r="R63" s="491">
        <f>IF(OR($F63="",$H63="",$N63=""),"",IF($S63="✅売却済","",IF($C63="売",  IF($H63&gt;$F63*(1-$AG$2),$N63,CEILING(MIN($N63,IF($Q63="",$N63,$Q63*1.03)),IF($N63&lt;=3000,1,IF($N63&lt;=5000,5,IF($N63&lt;=30000,10,IF($N63&lt;=50000,50,IF($N63&lt;=300000,100,500))))))),  IF($H63&lt;$F63*(1+$AG$2),$N63,FLOOR(MAX($N63,IF($P63="",$N63,$P63*0.97)),IF($N63&lt;=3000,1,IF($N63&lt;=5000,5,IF($N63&lt;=30000,10,IF($N63&lt;=50000,50,IF($N63&lt;=300000,100,500))))))))))</f>
      </c>
      <c r="S63" s="586" t="str">
        <f t="shared" si="20"/>
        <v/>
      </c>
      <c r="T63" s="594" t="str">
        <f t="shared" ca="1" si="9"/>
        <v/>
      </c>
      <c r="U63" s="491" t="str">
        <f t="shared" ca="1" si="10"/>
        <v/>
      </c>
      <c r="V63" s="701" t="str">
        <f t="shared" ca="1" si="21"/>
        <v/>
      </c>
      <c r="W63" s="493" t="str">
        <f t="shared" ca="1" si="11"/>
        <v/>
      </c>
      <c r="X63" s="489" t="str">
        <f t="shared" ca="1" si="12"/>
        <v/>
      </c>
      <c r="Y63" s="488">
        <f>IF($B63="","",IF(COUNTIFS($B$4:$B63,$B63,$C$4:$C63,$C63)&gt;1,"⛔重複"&amp;COUNTIFS($B$4:$B63,$B63,$C$4:$C63,$C63)&amp;"回目",""))</f>
      </c>
      <c r="Z63" s="710"/>
      <c r="AB63">
        <f>IF($F63="","",MAX(100,ROUNDDOWN($AG$4/($F63*$AG$2)/100,0)*100))</f>
      </c>
      <c r="AC63">
        <f>IF(OR($F63="",$G63="",$U63=""),"",ROUND($V63-($F63+$U63)*$G63*$AG$6-IF($C63="売",$F63*$G63*$AG$7*$W63/365,0),0))</f>
      </c>
      <c r="AD63" s="608"/>
      <c r="AE63" s="624" t="str">
        <f t="shared" si="13"/>
        <v/>
      </c>
      <c r="AF63" s="626"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26"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00" t="str">
        <f t="shared" ca="1" si="14"/>
        <v/>
      </c>
      <c r="AI63" s="600" t="str" cm="1">
        <f t="array" ref="AI63">IFERROR(INDEX(始値!$E$6:$BT$305,MATCH(TEXT($B63,"0"),TEXT(銘柄管理!$B$6:$B$305,"0"),0),MATCH($AE63,始値!$E$3:$BT$3,0)),"")</f>
        <v/>
      </c>
      <c r="AJ63" s="905" t="str">
        <f t="shared" ca="1" si="15"/>
        <v/>
      </c>
      <c r="AK63" s="629" t="str">
        <f t="shared" ca="1" si="16"/>
        <v/>
      </c>
    </row>
    <row r="64" spans="1:55" ht="35.4" customHeight="1">
      <c r="A64" s="619" t="str">
        <f t="shared" si="0"/>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BT$3,0)=1,1,MATCH($E64,始値!$E$3:$BT$3,0)+1)),_xlpm.v,INDEX(始値!$C$6:$B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 t="shared" ca="1" si="17"/>
        <v/>
      </c>
      <c r="L64" s="706" t="str">
        <f t="shared" ca="1" si="18"/>
        <v/>
      </c>
      <c r="M64" s="491">
        <f>IF($F64="","",IF($C64="売",CEILING($F64*IF($C64="売",1-$AG$3,1+$AG$3),IF($F64*IF($C64="売",1-$AG$3,1+$AG$3)&lt;=3000,1,IF($F64*IF($C64="売",1-$AG$3,1+$AG$3)&lt;=5000,5,IF($F64*IF($C64="売",1-$AG$3,1+$AG$3)&lt;=30000,10,IF($F64*IF($C64="売",1-$AG$3,1+$AG$3)&lt;=50000,50,IF($F64*IF($C64="売",1-$AG$3,1+$AG$3)&lt;=300000,100,500)))))),FLOOR($F64*IF($C64="売",1-$AG$3,1+$AG$3),IF($F64*IF($C64="売",1-$AG$3,1+$AG$3)&lt;=3000,1,IF($F64*IF($C64="売",1-$AG$3,1+$AG$3)&lt;=5000,5,IF($F64*IF($C64="売",1-$AG$3,1+$AG$3)&lt;=30000,10,IF($F64*IF($C64="売",1-$AG$3,1+$AG$3)&lt;=50000,50,IF($F64*IF($C64="売",1-$AG$3,1+$AG$3)&lt;=300000,100,500))))))))</f>
      </c>
      <c r="N64" s="491">
        <f>IF($F64="","",IF($C64="売",CEILING($F64*IF($C64="売",1+$AG$2,1-$AG$2),IF($F64*IF($C64="売",1+$AG$2,1-$AG$2)&lt;=3000,1,IF($F64*IF($C64="売",1+$AG$2,1-$AG$2)&lt;=5000,5,IF($F64*IF($C64="売",1+$AG$2,1-$AG$2)&lt;=30000,10,IF($F64*IF($C64="売",1+$AG$2,1-$AG$2)&lt;=50000,50,IF($F64*IF($C64="売",1+$AG$2,1-$AG$2)&lt;=300000,100,500)))))),FLOOR($F64*IF($C64="売",1+$AG$2,1-$AG$2),IF($F64*IF($C64="売",1+$AG$2,1-$AG$2)&lt;=3000,1,IF($F64*IF($C64="売",1+$AG$2,1-$AG$2)&lt;=5000,5,IF($F64*IF($C64="売",1+$AG$2,1-$AG$2)&lt;=30000,10,IF($F64*IF($C64="売",1+$AG$2,1-$AG$2)&lt;=50000,50,IF($F64*IF($C64="売",1+$AG$2,1-$AG$2)&lt;=300000,100,500))))))))</f>
      </c>
      <c r="O64" s="492">
        <f>IF(OR($B64="",$F64="",$H64=""),"",IF($S64="✅売却済","―決済済―",IF($C64="売",  IF($H64&lt;=$M64,"🟢利確",  IF(AND($R64&lt;&gt;"",$H64&gt;=$R64),"🟠TRAIL決済",  IF($H64&gt;=$N64,"🔴損切",  IF($W64&gt;=$AG$5,"⏱時間決済",  IF($H64&gt;=$F64*(1+$AG$2*0.7),"⚠️損切接近","保持継続"))))),  IF($H64&gt;=$M64,"🟢利確",  IF(AND($R64&lt;&gt;"",$H64&lt;=$R64),"🟠TRAIL決済",  IF($H64&lt;=$N64,"🔴損切",  IF($W64&gt;=$AG$5,"⏱時間決済",  IF($H64&lt;=$F64*(1-$AG$2*0.7),"⚠️損切接近","保持継続")))))))</f>
      </c>
      <c r="P64" s="491"/>
      <c r="Q64" s="491"/>
      <c r="R64" s="491">
        <f>IF(OR($F64="",$H64="",$N64=""),"",IF($S64="✅売却済","",IF($C64="売",  IF($H64&gt;$F64*(1-$AG$2),$N64,CEILING(MIN($N64,IF($Q64="",$N64,$Q64*1.03)),IF($N64&lt;=3000,1,IF($N64&lt;=5000,5,IF($N64&lt;=30000,10,IF($N64&lt;=50000,50,IF($N64&lt;=300000,100,500))))))),  IF($H64&lt;$F64*(1+$AG$2),$N64,FLOOR(MAX($N64,IF($P64="",$N64,$P64*0.97)),IF($N64&lt;=3000,1,IF($N64&lt;=5000,5,IF($N64&lt;=30000,10,IF($N64&lt;=50000,50,IF($N64&lt;=300000,100,500))))))))))</f>
      </c>
      <c r="S64" s="586" t="str">
        <f t="shared" si="20"/>
        <v/>
      </c>
      <c r="T64" s="594" t="str">
        <f t="shared" ca="1" si="9"/>
        <v/>
      </c>
      <c r="U64" s="491" t="str">
        <f t="shared" ca="1" si="10"/>
        <v/>
      </c>
      <c r="V64" s="701" t="str">
        <f t="shared" ca="1" si="21"/>
        <v/>
      </c>
      <c r="W64" s="493" t="str">
        <f t="shared" ca="1" si="11"/>
        <v/>
      </c>
      <c r="X64" s="489" t="str">
        <f t="shared" ca="1" si="12"/>
        <v/>
      </c>
      <c r="Y64" s="488">
        <f>IF($B64="","",IF(COUNTIFS($B$4:$B64,$B64,$C$4:$C64,$C64)&gt;1,"⛔重複"&amp;COUNTIFS($B$4:$B64,$B64,$C$4:$C64,$C64)&amp;"回目",""))</f>
      </c>
      <c r="Z64" s="710"/>
      <c r="AB64">
        <f>IF($F64="","",MAX(100,ROUNDDOWN($AG$4/($F64*$AG$2)/100,0)*100))</f>
      </c>
      <c r="AC64">
        <f>IF(OR($F64="",$G64="",$U64=""),"",ROUND($V64-($F64+$U64)*$G64*$AG$6-IF($C64="売",$F64*$G64*$AG$7*$W64/365,0),0))</f>
      </c>
      <c r="AD64" s="608"/>
      <c r="AE64" s="624" t="str">
        <f t="shared" si="13"/>
        <v/>
      </c>
      <c r="AF64" s="626"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26"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00" t="str">
        <f t="shared" ca="1" si="14"/>
        <v/>
      </c>
      <c r="AI64" s="600" t="str" cm="1">
        <f t="array" ref="AI64">IFERROR(INDEX(始値!$E$6:$BT$305,MATCH(TEXT($B64,"0"),TEXT(銘柄管理!$B$6:$B$305,"0"),0),MATCH($AE64,始値!$E$3:$BT$3,0)),"")</f>
        <v/>
      </c>
      <c r="AJ64" s="905" t="str">
        <f t="shared" ca="1" si="15"/>
        <v/>
      </c>
      <c r="AK64" s="629" t="str">
        <f t="shared" ca="1" si="16"/>
        <v/>
      </c>
    </row>
    <row r="65" spans="1:37" ht="35.4" customHeight="1">
      <c r="A65" s="619" t="str">
        <f t="shared" si="0"/>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BT$3,0)=1,1,MATCH($E65,始値!$E$3:$BT$3,0)+1)),_xlpm.v,INDEX(始値!$C$6:$B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 t="shared" ca="1" si="17"/>
        <v/>
      </c>
      <c r="L65" s="706" t="str">
        <f t="shared" ca="1" si="18"/>
        <v/>
      </c>
      <c r="M65" s="491">
        <f>IF($F65="","",IF($C65="売",CEILING($F65*IF($C65="売",1-$AG$3,1+$AG$3),IF($F65*IF($C65="売",1-$AG$3,1+$AG$3)&lt;=3000,1,IF($F65*IF($C65="売",1-$AG$3,1+$AG$3)&lt;=5000,5,IF($F65*IF($C65="売",1-$AG$3,1+$AG$3)&lt;=30000,10,IF($F65*IF($C65="売",1-$AG$3,1+$AG$3)&lt;=50000,50,IF($F65*IF($C65="売",1-$AG$3,1+$AG$3)&lt;=300000,100,500)))))),FLOOR($F65*IF($C65="売",1-$AG$3,1+$AG$3),IF($F65*IF($C65="売",1-$AG$3,1+$AG$3)&lt;=3000,1,IF($F65*IF($C65="売",1-$AG$3,1+$AG$3)&lt;=5000,5,IF($F65*IF($C65="売",1-$AG$3,1+$AG$3)&lt;=30000,10,IF($F65*IF($C65="売",1-$AG$3,1+$AG$3)&lt;=50000,50,IF($F65*IF($C65="売",1-$AG$3,1+$AG$3)&lt;=300000,100,500))))))))</f>
      </c>
      <c r="N65" s="491">
        <f>IF($F65="","",IF($C65="売",CEILING($F65*IF($C65="売",1+$AG$2,1-$AG$2),IF($F65*IF($C65="売",1+$AG$2,1-$AG$2)&lt;=3000,1,IF($F65*IF($C65="売",1+$AG$2,1-$AG$2)&lt;=5000,5,IF($F65*IF($C65="売",1+$AG$2,1-$AG$2)&lt;=30000,10,IF($F65*IF($C65="売",1+$AG$2,1-$AG$2)&lt;=50000,50,IF($F65*IF($C65="売",1+$AG$2,1-$AG$2)&lt;=300000,100,500)))))),FLOOR($F65*IF($C65="売",1+$AG$2,1-$AG$2),IF($F65*IF($C65="売",1+$AG$2,1-$AG$2)&lt;=3000,1,IF($F65*IF($C65="売",1+$AG$2,1-$AG$2)&lt;=5000,5,IF($F65*IF($C65="売",1+$AG$2,1-$AG$2)&lt;=30000,10,IF($F65*IF($C65="売",1+$AG$2,1-$AG$2)&lt;=50000,50,IF($F65*IF($C65="売",1+$AG$2,1-$AG$2)&lt;=300000,100,500))))))))</f>
      </c>
      <c r="O65" s="492">
        <f>IF(OR($B65="",$F65="",$H65=""),"",IF($S65="✅売却済","―決済済―",IF($C65="売",  IF($H65&lt;=$M65,"🟢利確",  IF(AND($R65&lt;&gt;"",$H65&gt;=$R65),"🟠TRAIL決済",  IF($H65&gt;=$N65,"🔴損切",  IF($W65&gt;=$AG$5,"⏱時間決済",  IF($H65&gt;=$F65*(1+$AG$2*0.7),"⚠️損切接近","保持継続"))))),  IF($H65&gt;=$M65,"🟢利確",  IF(AND($R65&lt;&gt;"",$H65&lt;=$R65),"🟠TRAIL決済",  IF($H65&lt;=$N65,"🔴損切",  IF($W65&gt;=$AG$5,"⏱時間決済",  IF($H65&lt;=$F65*(1-$AG$2*0.7),"⚠️損切接近","保持継続")))))))</f>
      </c>
      <c r="P65" s="491"/>
      <c r="Q65" s="491"/>
      <c r="R65" s="491">
        <f>IF(OR($F65="",$H65="",$N65=""),"",IF($S65="✅売却済","",IF($C65="売",  IF($H65&gt;$F65*(1-$AG$2),$N65,CEILING(MIN($N65,IF($Q65="",$N65,$Q65*1.03)),IF($N65&lt;=3000,1,IF($N65&lt;=5000,5,IF($N65&lt;=30000,10,IF($N65&lt;=50000,50,IF($N65&lt;=300000,100,500))))))),  IF($H65&lt;$F65*(1+$AG$2),$N65,FLOOR(MAX($N65,IF($P65="",$N65,$P65*0.97)),IF($N65&lt;=3000,1,IF($N65&lt;=5000,5,IF($N65&lt;=30000,10,IF($N65&lt;=50000,50,IF($N65&lt;=300000,100,500))))))))))</f>
      </c>
      <c r="S65" s="586" t="str">
        <f t="shared" si="20"/>
        <v/>
      </c>
      <c r="T65" s="594" t="str">
        <f t="shared" ca="1" si="9"/>
        <v/>
      </c>
      <c r="U65" s="491" t="str">
        <f t="shared" ca="1" si="10"/>
        <v/>
      </c>
      <c r="V65" s="701" t="str">
        <f t="shared" ca="1" si="21"/>
        <v/>
      </c>
      <c r="W65" s="493" t="str">
        <f t="shared" ca="1" si="11"/>
        <v/>
      </c>
      <c r="X65" s="489" t="str">
        <f t="shared" ca="1" si="12"/>
        <v/>
      </c>
      <c r="Y65" s="488">
        <f>IF($B65="","",IF(COUNTIFS($B$4:$B65,$B65,$C$4:$C65,$C65)&gt;1,"⛔重複"&amp;COUNTIFS($B$4:$B65,$B65,$C$4:$C65,$C65)&amp;"回目",""))</f>
      </c>
      <c r="Z65" s="710"/>
      <c r="AB65">
        <f>IF($F65="","",MAX(100,ROUNDDOWN($AG$4/($F65*$AG$2)/100,0)*100))</f>
      </c>
      <c r="AC65">
        <f>IF(OR($F65="",$G65="",$U65=""),"",ROUND($V65-($F65+$U65)*$G65*$AG$6-IF($C65="売",$F65*$G65*$AG$7*$W65/365,0),0))</f>
      </c>
      <c r="AD65" s="608"/>
      <c r="AE65" s="624" t="str">
        <f t="shared" si="13"/>
        <v/>
      </c>
      <c r="AF65" s="626"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26"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00" t="str">
        <f t="shared" ca="1" si="14"/>
        <v/>
      </c>
      <c r="AI65" s="600" t="str" cm="1">
        <f t="array" ref="AI65">IFERROR(INDEX(始値!$E$6:$BT$305,MATCH(TEXT($B65,"0"),TEXT(銘柄管理!$B$6:$B$305,"0"),0),MATCH($AE65,始値!$E$3:$BT$3,0)),"")</f>
        <v/>
      </c>
      <c r="AJ65" s="905" t="str">
        <f t="shared" ca="1" si="15"/>
        <v/>
      </c>
      <c r="AK65" s="629" t="str">
        <f t="shared" ca="1" si="16"/>
        <v/>
      </c>
    </row>
    <row r="66" spans="1:37" ht="35.4" customHeight="1">
      <c r="A66" s="619" t="str">
        <f t="shared" si="0"/>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BT$3,0)=1,1,MATCH($E66,始値!$E$3:$BT$3,0)+1)),_xlpm.v,INDEX(始値!$C$6:$B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 t="shared" ca="1" si="17"/>
        <v/>
      </c>
      <c r="L66" s="706" t="str">
        <f t="shared" ca="1" si="18"/>
        <v/>
      </c>
      <c r="M66" s="491">
        <f>IF($F66="","",IF($C66="売",CEILING($F66*IF($C66="売",1-$AG$3,1+$AG$3),IF($F66*IF($C66="売",1-$AG$3,1+$AG$3)&lt;=3000,1,IF($F66*IF($C66="売",1-$AG$3,1+$AG$3)&lt;=5000,5,IF($F66*IF($C66="売",1-$AG$3,1+$AG$3)&lt;=30000,10,IF($F66*IF($C66="売",1-$AG$3,1+$AG$3)&lt;=50000,50,IF($F66*IF($C66="売",1-$AG$3,1+$AG$3)&lt;=300000,100,500)))))),FLOOR($F66*IF($C66="売",1-$AG$3,1+$AG$3),IF($F66*IF($C66="売",1-$AG$3,1+$AG$3)&lt;=3000,1,IF($F66*IF($C66="売",1-$AG$3,1+$AG$3)&lt;=5000,5,IF($F66*IF($C66="売",1-$AG$3,1+$AG$3)&lt;=30000,10,IF($F66*IF($C66="売",1-$AG$3,1+$AG$3)&lt;=50000,50,IF($F66*IF($C66="売",1-$AG$3,1+$AG$3)&lt;=300000,100,500))))))))</f>
      </c>
      <c r="N66" s="491">
        <f>IF($F66="","",IF($C66="売",CEILING($F66*IF($C66="売",1+$AG$2,1-$AG$2),IF($F66*IF($C66="売",1+$AG$2,1-$AG$2)&lt;=3000,1,IF($F66*IF($C66="売",1+$AG$2,1-$AG$2)&lt;=5000,5,IF($F66*IF($C66="売",1+$AG$2,1-$AG$2)&lt;=30000,10,IF($F66*IF($C66="売",1+$AG$2,1-$AG$2)&lt;=50000,50,IF($F66*IF($C66="売",1+$AG$2,1-$AG$2)&lt;=300000,100,500)))))),FLOOR($F66*IF($C66="売",1+$AG$2,1-$AG$2),IF($F66*IF($C66="売",1+$AG$2,1-$AG$2)&lt;=3000,1,IF($F66*IF($C66="売",1+$AG$2,1-$AG$2)&lt;=5000,5,IF($F66*IF($C66="売",1+$AG$2,1-$AG$2)&lt;=30000,10,IF($F66*IF($C66="売",1+$AG$2,1-$AG$2)&lt;=50000,50,IF($F66*IF($C66="売",1+$AG$2,1-$AG$2)&lt;=300000,100,500))))))))</f>
      </c>
      <c r="O66" s="492">
        <f>IF(OR($B66="",$F66="",$H66=""),"",IF($S66="✅売却済","―決済済―",IF($C66="売",  IF($H66&lt;=$M66,"🟢利確",  IF(AND($R66&lt;&gt;"",$H66&gt;=$R66),"🟠TRAIL決済",  IF($H66&gt;=$N66,"🔴損切",  IF($W66&gt;=$AG$5,"⏱時間決済",  IF($H66&gt;=$F66*(1+$AG$2*0.7),"⚠️損切接近","保持継続"))))),  IF($H66&gt;=$M66,"🟢利確",  IF(AND($R66&lt;&gt;"",$H66&lt;=$R66),"🟠TRAIL決済",  IF($H66&lt;=$N66,"🔴損切",  IF($W66&gt;=$AG$5,"⏱時間決済",  IF($H66&lt;=$F66*(1-$AG$2*0.7),"⚠️損切接近","保持継続")))))))</f>
      </c>
      <c r="P66" s="491"/>
      <c r="Q66" s="491"/>
      <c r="R66" s="491">
        <f>IF(OR($F66="",$H66="",$N66=""),"",IF($S66="✅売却済","",IF($C66="売",  IF($H66&gt;$F66*(1-$AG$2),$N66,CEILING(MIN($N66,IF($Q66="",$N66,$Q66*1.03)),IF($N66&lt;=3000,1,IF($N66&lt;=5000,5,IF($N66&lt;=30000,10,IF($N66&lt;=50000,50,IF($N66&lt;=300000,100,500))))))),  IF($H66&lt;$F66*(1+$AG$2),$N66,FLOOR(MAX($N66,IF($P66="",$N66,$P66*0.97)),IF($N66&lt;=3000,1,IF($N66&lt;=5000,5,IF($N66&lt;=30000,10,IF($N66&lt;=50000,50,IF($N66&lt;=300000,100,500))))))))))</f>
      </c>
      <c r="S66" s="586" t="str">
        <f t="shared" si="20"/>
        <v/>
      </c>
      <c r="T66" s="594" t="str">
        <f t="shared" ca="1" si="9"/>
        <v/>
      </c>
      <c r="U66" s="491" t="str">
        <f t="shared" ca="1" si="10"/>
        <v/>
      </c>
      <c r="V66" s="701" t="str">
        <f t="shared" ca="1" si="21"/>
        <v/>
      </c>
      <c r="W66" s="493" t="str">
        <f t="shared" ca="1" si="11"/>
        <v/>
      </c>
      <c r="X66" s="489" t="str">
        <f t="shared" ca="1" si="12"/>
        <v/>
      </c>
      <c r="Y66" s="488">
        <f>IF($B66="","",IF(COUNTIFS($B$4:$B66,$B66,$C$4:$C66,$C66)&gt;1,"⛔重複"&amp;COUNTIFS($B$4:$B66,$B66,$C$4:$C66,$C66)&amp;"回目",""))</f>
      </c>
      <c r="Z66" s="710"/>
      <c r="AB66">
        <f>IF($F66="","",MAX(100,ROUNDDOWN($AG$4/($F66*$AG$2)/100,0)*100))</f>
      </c>
      <c r="AC66">
        <f>IF(OR($F66="",$G66="",$U66=""),"",ROUND($V66-($F66+$U66)*$G66*$AG$6-IF($C66="売",$F66*$G66*$AG$7*$W66/365,0),0))</f>
      </c>
      <c r="AD66" s="608"/>
      <c r="AE66" s="624" t="str">
        <f t="shared" si="13"/>
        <v/>
      </c>
      <c r="AF66" s="626"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26"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00" t="str">
        <f t="shared" ca="1" si="14"/>
        <v/>
      </c>
      <c r="AI66" s="600" t="str" cm="1">
        <f t="array" ref="AI66">IFERROR(INDEX(始値!$E$6:$BT$305,MATCH(TEXT($B66,"0"),TEXT(銘柄管理!$B$6:$B$305,"0"),0),MATCH($AE66,始値!$E$3:$BT$3,0)),"")</f>
        <v/>
      </c>
      <c r="AJ66" s="905" t="str">
        <f t="shared" ca="1" si="15"/>
        <v/>
      </c>
      <c r="AK66" s="629" t="str">
        <f t="shared" ca="1" si="16"/>
        <v/>
      </c>
    </row>
    <row r="67" spans="1:37" ht="35.4" customHeight="1">
      <c r="A67" s="619" t="str">
        <f t="shared" si="0"/>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BT$3,0)=1,1,MATCH($E67,始値!$E$3:$BT$3,0)+1)),_xlpm.v,INDEX(始値!$C$6:$B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 t="shared" ca="1" si="17"/>
        <v/>
      </c>
      <c r="L67" s="706" t="str">
        <f t="shared" ca="1" si="18"/>
        <v/>
      </c>
      <c r="M67" s="491">
        <f>IF($F67="","",IF($C67="売",CEILING($F67*IF($C67="売",1-$AG$3,1+$AG$3),IF($F67*IF($C67="売",1-$AG$3,1+$AG$3)&lt;=3000,1,IF($F67*IF($C67="売",1-$AG$3,1+$AG$3)&lt;=5000,5,IF($F67*IF($C67="売",1-$AG$3,1+$AG$3)&lt;=30000,10,IF($F67*IF($C67="売",1-$AG$3,1+$AG$3)&lt;=50000,50,IF($F67*IF($C67="売",1-$AG$3,1+$AG$3)&lt;=300000,100,500)))))),FLOOR($F67*IF($C67="売",1-$AG$3,1+$AG$3),IF($F67*IF($C67="売",1-$AG$3,1+$AG$3)&lt;=3000,1,IF($F67*IF($C67="売",1-$AG$3,1+$AG$3)&lt;=5000,5,IF($F67*IF($C67="売",1-$AG$3,1+$AG$3)&lt;=30000,10,IF($F67*IF($C67="売",1-$AG$3,1+$AG$3)&lt;=50000,50,IF($F67*IF($C67="売",1-$AG$3,1+$AG$3)&lt;=300000,100,500))))))))</f>
      </c>
      <c r="N67" s="491">
        <f>IF($F67="","",IF($C67="売",CEILING($F67*IF($C67="売",1+$AG$2,1-$AG$2),IF($F67*IF($C67="売",1+$AG$2,1-$AG$2)&lt;=3000,1,IF($F67*IF($C67="売",1+$AG$2,1-$AG$2)&lt;=5000,5,IF($F67*IF($C67="売",1+$AG$2,1-$AG$2)&lt;=30000,10,IF($F67*IF($C67="売",1+$AG$2,1-$AG$2)&lt;=50000,50,IF($F67*IF($C67="売",1+$AG$2,1-$AG$2)&lt;=300000,100,500)))))),FLOOR($F67*IF($C67="売",1+$AG$2,1-$AG$2),IF($F67*IF($C67="売",1+$AG$2,1-$AG$2)&lt;=3000,1,IF($F67*IF($C67="売",1+$AG$2,1-$AG$2)&lt;=5000,5,IF($F67*IF($C67="売",1+$AG$2,1-$AG$2)&lt;=30000,10,IF($F67*IF($C67="売",1+$AG$2,1-$AG$2)&lt;=50000,50,IF($F67*IF($C67="売",1+$AG$2,1-$AG$2)&lt;=300000,100,500))))))))</f>
      </c>
      <c r="O67" s="492">
        <f>IF(OR($B67="",$F67="",$H67=""),"",IF($S67="✅売却済","―決済済―",IF($C67="売",  IF($H67&lt;=$M67,"🟢利確",  IF(AND($R67&lt;&gt;"",$H67&gt;=$R67),"🟠TRAIL決済",  IF($H67&gt;=$N67,"🔴損切",  IF($W67&gt;=$AG$5,"⏱時間決済",  IF($H67&gt;=$F67*(1+$AG$2*0.7),"⚠️損切接近","保持継続"))))),  IF($H67&gt;=$M67,"🟢利確",  IF(AND($R67&lt;&gt;"",$H67&lt;=$R67),"🟠TRAIL決済",  IF($H67&lt;=$N67,"🔴損切",  IF($W67&gt;=$AG$5,"⏱時間決済",  IF($H67&lt;=$F67*(1-$AG$2*0.7),"⚠️損切接近","保持継続")))))))</f>
      </c>
      <c r="P67" s="491"/>
      <c r="Q67" s="491"/>
      <c r="R67" s="491">
        <f>IF(OR($F67="",$H67="",$N67=""),"",IF($S67="✅売却済","",IF($C67="売",  IF($H67&gt;$F67*(1-$AG$2),$N67,CEILING(MIN($N67,IF($Q67="",$N67,$Q67*1.03)),IF($N67&lt;=3000,1,IF($N67&lt;=5000,5,IF($N67&lt;=30000,10,IF($N67&lt;=50000,50,IF($N67&lt;=300000,100,500))))))),  IF($H67&lt;$F67*(1+$AG$2),$N67,FLOOR(MAX($N67,IF($P67="",$N67,$P67*0.97)),IF($N67&lt;=3000,1,IF($N67&lt;=5000,5,IF($N67&lt;=30000,10,IF($N67&lt;=50000,50,IF($N67&lt;=300000,100,500))))))))))</f>
      </c>
      <c r="S67" s="586" t="str">
        <f t="shared" si="20"/>
        <v/>
      </c>
      <c r="T67" s="594" t="str">
        <f t="shared" ca="1" si="9"/>
        <v/>
      </c>
      <c r="U67" s="491" t="str">
        <f t="shared" ca="1" si="10"/>
        <v/>
      </c>
      <c r="V67" s="701" t="str">
        <f t="shared" ca="1" si="21"/>
        <v/>
      </c>
      <c r="W67" s="493" t="str">
        <f t="shared" ca="1" si="11"/>
        <v/>
      </c>
      <c r="X67" s="489" t="str">
        <f t="shared" ca="1" si="12"/>
        <v/>
      </c>
      <c r="Y67" s="488">
        <f>IF($B67="","",IF(COUNTIFS($B$4:$B67,$B67,$C$4:$C67,$C67)&gt;1,"⛔重複"&amp;COUNTIFS($B$4:$B67,$B67,$C$4:$C67,$C67)&amp;"回目",""))</f>
      </c>
      <c r="Z67" s="710"/>
      <c r="AB67">
        <f>IF($F67="","",MAX(100,ROUNDDOWN($AG$4/($F67*$AG$2)/100,0)*100))</f>
      </c>
      <c r="AC67">
        <f>IF(OR($F67="",$G67="",$U67=""),"",ROUND($V67-($F67+$U67)*$G67*$AG$6-IF($C67="売",$F67*$G67*$AG$7*$W67/365,0),0))</f>
      </c>
      <c r="AD67" s="608"/>
      <c r="AE67" s="624" t="str">
        <f t="shared" si="13"/>
        <v/>
      </c>
      <c r="AF67" s="626"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26"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00" t="str">
        <f t="shared" ca="1" si="14"/>
        <v/>
      </c>
      <c r="AI67" s="600" t="str" cm="1">
        <f t="array" ref="AI67">IFERROR(INDEX(始値!$E$6:$BT$305,MATCH(TEXT($B67,"0"),TEXT(銘柄管理!$B$6:$B$305,"0"),0),MATCH($AE67,始値!$E$3:$BT$3,0)),"")</f>
        <v/>
      </c>
      <c r="AJ67" s="905" t="str">
        <f t="shared" ca="1" si="15"/>
        <v/>
      </c>
      <c r="AK67" s="629" t="str">
        <f t="shared" ca="1" si="16"/>
        <v/>
      </c>
    </row>
    <row r="68" spans="1:37" ht="35.4" customHeight="1">
      <c r="A68" s="619" t="str">
        <f t="shared" ref="A68:A120" si="23">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BT$3,0)=1,1,MATCH($E68,始値!$E$3:$BT$3,0)+1)),_xlpm.v,INDEX(始値!$C$6:$B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 t="shared" ca="1" si="17"/>
        <v/>
      </c>
      <c r="L68" s="706" t="str">
        <f t="shared" ca="1" si="18"/>
        <v/>
      </c>
      <c r="M68" s="491">
        <f>IF($F68="","",IF($C68="売",CEILING($F68*IF($C68="売",1-$AG$3,1+$AG$3),IF($F68*IF($C68="売",1-$AG$3,1+$AG$3)&lt;=3000,1,IF($F68*IF($C68="売",1-$AG$3,1+$AG$3)&lt;=5000,5,IF($F68*IF($C68="売",1-$AG$3,1+$AG$3)&lt;=30000,10,IF($F68*IF($C68="売",1-$AG$3,1+$AG$3)&lt;=50000,50,IF($F68*IF($C68="売",1-$AG$3,1+$AG$3)&lt;=300000,100,500)))))),FLOOR($F68*IF($C68="売",1-$AG$3,1+$AG$3),IF($F68*IF($C68="売",1-$AG$3,1+$AG$3)&lt;=3000,1,IF($F68*IF($C68="売",1-$AG$3,1+$AG$3)&lt;=5000,5,IF($F68*IF($C68="売",1-$AG$3,1+$AG$3)&lt;=30000,10,IF($F68*IF($C68="売",1-$AG$3,1+$AG$3)&lt;=50000,50,IF($F68*IF($C68="売",1-$AG$3,1+$AG$3)&lt;=300000,100,500))))))))</f>
      </c>
      <c r="N68" s="491">
        <f>IF($F68="","",IF($C68="売",CEILING($F68*IF($C68="売",1+$AG$2,1-$AG$2),IF($F68*IF($C68="売",1+$AG$2,1-$AG$2)&lt;=3000,1,IF($F68*IF($C68="売",1+$AG$2,1-$AG$2)&lt;=5000,5,IF($F68*IF($C68="売",1+$AG$2,1-$AG$2)&lt;=30000,10,IF($F68*IF($C68="売",1+$AG$2,1-$AG$2)&lt;=50000,50,IF($F68*IF($C68="売",1+$AG$2,1-$AG$2)&lt;=300000,100,500)))))),FLOOR($F68*IF($C68="売",1+$AG$2,1-$AG$2),IF($F68*IF($C68="売",1+$AG$2,1-$AG$2)&lt;=3000,1,IF($F68*IF($C68="売",1+$AG$2,1-$AG$2)&lt;=5000,5,IF($F68*IF($C68="売",1+$AG$2,1-$AG$2)&lt;=30000,10,IF($F68*IF($C68="売",1+$AG$2,1-$AG$2)&lt;=50000,50,IF($F68*IF($C68="売",1+$AG$2,1-$AG$2)&lt;=300000,100,500))))))))</f>
      </c>
      <c r="O68" s="492">
        <f>IF(OR($B68="",$F68="",$H68=""),"",IF($S68="✅売却済","―決済済―",IF($C68="売",  IF($H68&lt;=$M68,"🟢利確",  IF(AND($R68&lt;&gt;"",$H68&gt;=$R68),"🟠TRAIL決済",  IF($H68&gt;=$N68,"🔴損切",  IF($W68&gt;=$AG$5,"⏱時間決済",  IF($H68&gt;=$F68*(1+$AG$2*0.7),"⚠️損切接近","保持継続"))))),  IF($H68&gt;=$M68,"🟢利確",  IF(AND($R68&lt;&gt;"",$H68&lt;=$R68),"🟠TRAIL決済",  IF($H68&lt;=$N68,"🔴損切",  IF($W68&gt;=$AG$5,"⏱時間決済",  IF($H68&lt;=$F68*(1-$AG$2*0.7),"⚠️損切接近","保持継続")))))))</f>
      </c>
      <c r="P68" s="491"/>
      <c r="Q68" s="491"/>
      <c r="R68" s="491">
        <f>IF(OR($F68="",$H68="",$N68=""),"",IF($S68="✅売却済","",IF($C68="売",  IF($H68&gt;$F68*(1-$AG$2),$N68,CEILING(MIN($N68,IF($Q68="",$N68,$Q68*1.03)),IF($N68&lt;=3000,1,IF($N68&lt;=5000,5,IF($N68&lt;=30000,10,IF($N68&lt;=50000,50,IF($N68&lt;=300000,100,500))))))),  IF($H68&lt;$F68*(1+$AG$2),$N68,FLOOR(MAX($N68,IF($P68="",$N68,$P68*0.97)),IF($N68&lt;=3000,1,IF($N68&lt;=5000,5,IF($N68&lt;=30000,10,IF($N68&lt;=50000,50,IF($N68&lt;=300000,100,500))))))))))</f>
      </c>
      <c r="S68" s="586" t="str">
        <f t="shared" si="20"/>
        <v/>
      </c>
      <c r="T68" s="594" t="str">
        <f t="shared" ca="1" si="9"/>
        <v/>
      </c>
      <c r="U68" s="491" t="str">
        <f t="shared" ca="1" si="10"/>
        <v/>
      </c>
      <c r="V68" s="701" t="str">
        <f t="shared" ca="1" si="21"/>
        <v/>
      </c>
      <c r="W68" s="493" t="str">
        <f t="shared" ca="1" si="11"/>
        <v/>
      </c>
      <c r="X68" s="489" t="str">
        <f t="shared" ca="1" si="12"/>
        <v/>
      </c>
      <c r="Y68" s="488">
        <f>IF($B68="","",IF(COUNTIFS($B$4:$B68,$B68,$C$4:$C68,$C68)&gt;1,"⛔重複"&amp;COUNTIFS($B$4:$B68,$B68,$C$4:$C68,$C68)&amp;"回目",""))</f>
      </c>
      <c r="Z68" s="710"/>
      <c r="AB68">
        <f>IF($F68="","",MAX(100,ROUNDDOWN($AG$4/($F68*$AG$2)/100,0)*100))</f>
      </c>
      <c r="AC68">
        <f>IF(OR($F68="",$G68="",$U68=""),"",ROUND($V68-($F68+$U68)*$G68*$AG$6-IF($C68="売",$F68*$G68*$AG$7*$W68/365,0),0))</f>
      </c>
      <c r="AD68" s="608"/>
      <c r="AE68" s="624" t="str">
        <f t="shared" si="13"/>
        <v/>
      </c>
      <c r="AF68" s="626"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26"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00" t="str">
        <f t="shared" ca="1" si="14"/>
        <v/>
      </c>
      <c r="AI68" s="600" t="str" cm="1">
        <f t="array" ref="AI68">IFERROR(INDEX(始値!$E$6:$BT$305,MATCH(TEXT($B68,"0"),TEXT(銘柄管理!$B$6:$B$305,"0"),0),MATCH($AE68,始値!$E$3:$BT$3,0)),"")</f>
        <v/>
      </c>
      <c r="AJ68" s="905" t="str">
        <f t="shared" ca="1" si="15"/>
        <v/>
      </c>
      <c r="AK68" s="629" t="str">
        <f t="shared" ca="1" si="16"/>
        <v/>
      </c>
    </row>
    <row r="69" spans="1:37" ht="35.4" customHeight="1">
      <c r="A69" s="619" t="str">
        <f t="shared" si="23"/>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BT$3,0)=1,1,MATCH($E69,始値!$E$3:$BT$3,0)+1)),_xlpm.v,INDEX(始値!$C$6:$B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 t="shared" ca="1" si="17"/>
        <v/>
      </c>
      <c r="L69" s="706" t="str">
        <f t="shared" ca="1" si="18"/>
        <v/>
      </c>
      <c r="M69" s="491">
        <f>IF($F69="","",IF($C69="売",CEILING($F69*IF($C69="売",1-$AG$3,1+$AG$3),IF($F69*IF($C69="売",1-$AG$3,1+$AG$3)&lt;=3000,1,IF($F69*IF($C69="売",1-$AG$3,1+$AG$3)&lt;=5000,5,IF($F69*IF($C69="売",1-$AG$3,1+$AG$3)&lt;=30000,10,IF($F69*IF($C69="売",1-$AG$3,1+$AG$3)&lt;=50000,50,IF($F69*IF($C69="売",1-$AG$3,1+$AG$3)&lt;=300000,100,500)))))),FLOOR($F69*IF($C69="売",1-$AG$3,1+$AG$3),IF($F69*IF($C69="売",1-$AG$3,1+$AG$3)&lt;=3000,1,IF($F69*IF($C69="売",1-$AG$3,1+$AG$3)&lt;=5000,5,IF($F69*IF($C69="売",1-$AG$3,1+$AG$3)&lt;=30000,10,IF($F69*IF($C69="売",1-$AG$3,1+$AG$3)&lt;=50000,50,IF($F69*IF($C69="売",1-$AG$3,1+$AG$3)&lt;=300000,100,500))))))))</f>
      </c>
      <c r="N69" s="491">
        <f>IF($F69="","",IF($C69="売",CEILING($F69*IF($C69="売",1+$AG$2,1-$AG$2),IF($F69*IF($C69="売",1+$AG$2,1-$AG$2)&lt;=3000,1,IF($F69*IF($C69="売",1+$AG$2,1-$AG$2)&lt;=5000,5,IF($F69*IF($C69="売",1+$AG$2,1-$AG$2)&lt;=30000,10,IF($F69*IF($C69="売",1+$AG$2,1-$AG$2)&lt;=50000,50,IF($F69*IF($C69="売",1+$AG$2,1-$AG$2)&lt;=300000,100,500)))))),FLOOR($F69*IF($C69="売",1+$AG$2,1-$AG$2),IF($F69*IF($C69="売",1+$AG$2,1-$AG$2)&lt;=3000,1,IF($F69*IF($C69="売",1+$AG$2,1-$AG$2)&lt;=5000,5,IF($F69*IF($C69="売",1+$AG$2,1-$AG$2)&lt;=30000,10,IF($F69*IF($C69="売",1+$AG$2,1-$AG$2)&lt;=50000,50,IF($F69*IF($C69="売",1+$AG$2,1-$AG$2)&lt;=300000,100,500))))))))</f>
      </c>
      <c r="O69" s="492">
        <f>IF(OR($B69="",$F69="",$H69=""),"",IF($S69="✅売却済","―決済済―",IF($C69="売",  IF($H69&lt;=$M69,"🟢利確",  IF(AND($R69&lt;&gt;"",$H69&gt;=$R69),"🟠TRAIL決済",  IF($H69&gt;=$N69,"🔴損切",  IF($W69&gt;=$AG$5,"⏱時間決済",  IF($H69&gt;=$F69*(1+$AG$2*0.7),"⚠️損切接近","保持継続"))))),  IF($H69&gt;=$M69,"🟢利確",  IF(AND($R69&lt;&gt;"",$H69&lt;=$R69),"🟠TRAIL決済",  IF($H69&lt;=$N69,"🔴損切",  IF($W69&gt;=$AG$5,"⏱時間決済",  IF($H69&lt;=$F69*(1-$AG$2*0.7),"⚠️損切接近","保持継続")))))))</f>
      </c>
      <c r="P69" s="491"/>
      <c r="Q69" s="491"/>
      <c r="R69" s="491">
        <f>IF(OR($F69="",$H69="",$N69=""),"",IF($S69="✅売却済","",IF($C69="売",  IF($H69&gt;$F69*(1-$AG$2),$N69,CEILING(MIN($N69,IF($Q69="",$N69,$Q69*1.03)),IF($N69&lt;=3000,1,IF($N69&lt;=5000,5,IF($N69&lt;=30000,10,IF($N69&lt;=50000,50,IF($N69&lt;=300000,100,500))))))),  IF($H69&lt;$F69*(1+$AG$2),$N69,FLOOR(MAX($N69,IF($P69="",$N69,$P69*0.97)),IF($N69&lt;=3000,1,IF($N69&lt;=5000,5,IF($N69&lt;=30000,10,IF($N69&lt;=50000,50,IF($N69&lt;=300000,100,500))))))))))</f>
      </c>
      <c r="S69" s="586" t="str">
        <f t="shared" si="20"/>
        <v/>
      </c>
      <c r="T69" s="594" t="str">
        <f t="shared" ref="T69:T120" ca="1" si="27">IF(OR($AH69="",$AH69="保有中"),"",IF($AH69="日数制限",$AE69,IF($AH69="損切確定",IF(N($AG69)=0,TODAY(),$AG69),IF(N($AF69)=0,TODAY(),$AF69))))</f>
        <v/>
      </c>
      <c r="U69" s="491" t="str">
        <f t="shared" ref="U69:U120" ca="1" si="28">IF(OR($AH69="",$AH69="保有中"),"",ROUND(IF($AH69="日数制限",$AI69,IF($AH69="利益確定",$M69,$N69)),0))</f>
        <v/>
      </c>
      <c r="V69" s="701" t="str">
        <f t="shared" ca="1" si="21"/>
        <v/>
      </c>
      <c r="W69" s="493" t="str">
        <f t="shared" ref="W69:W120" ca="1" si="29">IF(OR($E69="",$B69=""),"",IF($T69&lt;&gt;"",$T69-$E69,TODAY()-$E69)+1)</f>
        <v/>
      </c>
      <c r="X69" s="489" t="str">
        <f t="shared" ref="X69:X120" ca="1" si="30">IF(OR($AH69="",$AH69="保有中"),"",$AH69)</f>
        <v/>
      </c>
      <c r="Y69" s="488">
        <f>IF($B69="","",IF(COUNTIFS($B$4:$B69,$B69,$C$4:$C69,$C69)&gt;1,"⛔重複"&amp;COUNTIFS($B$4:$B69,$B69,$C$4:$C69,$C69)&amp;"回目",""))</f>
      </c>
      <c r="Z69" s="710"/>
      <c r="AB69">
        <f>IF($F69="","",MAX(100,ROUNDDOWN($AG$4/($F69*$AG$2)/100,0)*100))</f>
      </c>
      <c r="AC69">
        <f>IF(OR($F69="",$G69="",$U69=""),"",ROUND($V69-($F69+$U69)*$G69*$AG$6-IF($C69="売",$F69*$G69*$AG$7*$W69/365,0),0))</f>
      </c>
      <c r="AD69" s="608"/>
      <c r="AE69" s="624" t="str">
        <f t="shared" ref="AE69:AE120" si="31">IF($E69="","",WORKDAY($E69,12))</f>
        <v/>
      </c>
      <c r="AF69" s="626"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26"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00" t="str">
        <f t="shared" ref="AH69:AH120" ca="1" si="32">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IFERROR(INDEX(始値!$E$6:$BT$305,MATCH(TEXT($B69,"0"),TEXT(銘柄管理!$B$6:$B$305,"0"),0),MATCH($AE69,始値!$E$3:$BT$3,0)),"")</f>
        <v/>
      </c>
      <c r="AJ69" s="905" t="str">
        <f t="shared" ref="AJ69:AJ120" ca="1" si="33">IF(OR($V69="",$F69="",$G69=""),"",$V69/($F69*$G69))</f>
        <v/>
      </c>
      <c r="AK69" s="629" t="str">
        <f t="shared" ref="AK69:AK120" ca="1" si="34">IF($V69="","",IF($V69&gt;0,"○勝",IF($V69&lt;0,"●負","△引分")))</f>
        <v/>
      </c>
    </row>
    <row r="70" spans="1:37" ht="35.4" customHeight="1">
      <c r="A70" s="619" t="str">
        <f t="shared" si="23"/>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BT$3,0)=1,1,MATCH($E70,始値!$E$3:$BT$3,0)+1)),_xlpm.v,INDEX(始値!$C$6:$B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 t="shared" ca="1" si="17"/>
        <v/>
      </c>
      <c r="L70" s="706" t="str">
        <f t="shared" ca="1" si="18"/>
        <v/>
      </c>
      <c r="M70" s="491">
        <f>IF($F70="","",IF($C70="売",CEILING($F70*IF($C70="売",1-$AG$3,1+$AG$3),IF($F70*IF($C70="売",1-$AG$3,1+$AG$3)&lt;=3000,1,IF($F70*IF($C70="売",1-$AG$3,1+$AG$3)&lt;=5000,5,IF($F70*IF($C70="売",1-$AG$3,1+$AG$3)&lt;=30000,10,IF($F70*IF($C70="売",1-$AG$3,1+$AG$3)&lt;=50000,50,IF($F70*IF($C70="売",1-$AG$3,1+$AG$3)&lt;=300000,100,500)))))),FLOOR($F70*IF($C70="売",1-$AG$3,1+$AG$3),IF($F70*IF($C70="売",1-$AG$3,1+$AG$3)&lt;=3000,1,IF($F70*IF($C70="売",1-$AG$3,1+$AG$3)&lt;=5000,5,IF($F70*IF($C70="売",1-$AG$3,1+$AG$3)&lt;=30000,10,IF($F70*IF($C70="売",1-$AG$3,1+$AG$3)&lt;=50000,50,IF($F70*IF($C70="売",1-$AG$3,1+$AG$3)&lt;=300000,100,500))))))))</f>
      </c>
      <c r="N70" s="491">
        <f>IF($F70="","",IF($C70="売",CEILING($F70*IF($C70="売",1+$AG$2,1-$AG$2),IF($F70*IF($C70="売",1+$AG$2,1-$AG$2)&lt;=3000,1,IF($F70*IF($C70="売",1+$AG$2,1-$AG$2)&lt;=5000,5,IF($F70*IF($C70="売",1+$AG$2,1-$AG$2)&lt;=30000,10,IF($F70*IF($C70="売",1+$AG$2,1-$AG$2)&lt;=50000,50,IF($F70*IF($C70="売",1+$AG$2,1-$AG$2)&lt;=300000,100,500)))))),FLOOR($F70*IF($C70="売",1+$AG$2,1-$AG$2),IF($F70*IF($C70="売",1+$AG$2,1-$AG$2)&lt;=3000,1,IF($F70*IF($C70="売",1+$AG$2,1-$AG$2)&lt;=5000,5,IF($F70*IF($C70="売",1+$AG$2,1-$AG$2)&lt;=30000,10,IF($F70*IF($C70="売",1+$AG$2,1-$AG$2)&lt;=50000,50,IF($F70*IF($C70="売",1+$AG$2,1-$AG$2)&lt;=300000,100,500))))))))</f>
      </c>
      <c r="O70" s="492">
        <f>IF(OR($B70="",$F70="",$H70=""),"",IF($S70="✅売却済","―決済済―",IF($C70="売",  IF($H70&lt;=$M70,"🟢利確",  IF(AND($R70&lt;&gt;"",$H70&gt;=$R70),"🟠TRAIL決済",  IF($H70&gt;=$N70,"🔴損切",  IF($W70&gt;=$AG$5,"⏱時間決済",  IF($H70&gt;=$F70*(1+$AG$2*0.7),"⚠️損切接近","保持継続"))))),  IF($H70&gt;=$M70,"🟢利確",  IF(AND($R70&lt;&gt;"",$H70&lt;=$R70),"🟠TRAIL決済",  IF($H70&lt;=$N70,"🔴損切",  IF($W70&gt;=$AG$5,"⏱時間決済",  IF($H70&lt;=$F70*(1-$AG$2*0.7),"⚠️損切接近","保持継続")))))))</f>
      </c>
      <c r="P70" s="491"/>
      <c r="Q70" s="491"/>
      <c r="R70" s="491">
        <f>IF(OR($F70="",$H70="",$N70=""),"",IF($S70="✅売却済","",IF($C70="売",  IF($H70&gt;$F70*(1-$AG$2),$N70,CEILING(MIN($N70,IF($Q70="",$N70,$Q70*1.03)),IF($N70&lt;=3000,1,IF($N70&lt;=5000,5,IF($N70&lt;=30000,10,IF($N70&lt;=50000,50,IF($N70&lt;=300000,100,500))))))),  IF($H70&lt;$F70*(1+$AG$2),$N70,FLOOR(MAX($N70,IF($P70="",$N70,$P70*0.97)),IF($N70&lt;=3000,1,IF($N70&lt;=5000,5,IF($N70&lt;=30000,10,IF($N70&lt;=50000,50,IF($N70&lt;=300000,100,500))))))))))</f>
      </c>
      <c r="S70" s="586" t="str">
        <f t="shared" si="20"/>
        <v/>
      </c>
      <c r="T70" s="594" t="str">
        <f t="shared" ca="1" si="27"/>
        <v/>
      </c>
      <c r="U70" s="491" t="str">
        <f t="shared" ca="1" si="28"/>
        <v/>
      </c>
      <c r="V70" s="701" t="str">
        <f t="shared" ca="1" si="21"/>
        <v/>
      </c>
      <c r="W70" s="493" t="str">
        <f t="shared" ca="1" si="29"/>
        <v/>
      </c>
      <c r="X70" s="489" t="str">
        <f t="shared" ca="1" si="30"/>
        <v/>
      </c>
      <c r="Y70" s="488">
        <f>IF($B70="","",IF(COUNTIFS($B$4:$B70,$B70,$C$4:$C70,$C70)&gt;1,"⛔重複"&amp;COUNTIFS($B$4:$B70,$B70,$C$4:$C70,$C70)&amp;"回目",""))</f>
      </c>
      <c r="Z70" s="710"/>
      <c r="AB70">
        <f>IF($F70="","",MAX(100,ROUNDDOWN($AG$4/($F70*$AG$2)/100,0)*100))</f>
      </c>
      <c r="AC70">
        <f>IF(OR($F70="",$G70="",$U70=""),"",ROUND($V70-($F70+$U70)*$G70*$AG$6-IF($C70="売",$F70*$G70*$AG$7*$W70/365,0),0))</f>
      </c>
      <c r="AD70" s="608"/>
      <c r="AE70" s="624" t="str">
        <f t="shared" si="31"/>
        <v/>
      </c>
      <c r="AF70" s="626"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26"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00" t="str">
        <f t="shared" ca="1" si="32"/>
        <v/>
      </c>
      <c r="AI70" s="600" t="str" cm="1">
        <f t="array" ref="AI70">IFERROR(INDEX(始値!$E$6:$BT$305,MATCH(TEXT($B70,"0"),TEXT(銘柄管理!$B$6:$B$305,"0"),0),MATCH($AE70,始値!$E$3:$BT$3,0)),"")</f>
        <v/>
      </c>
      <c r="AJ70" s="905" t="str">
        <f t="shared" ca="1" si="33"/>
        <v/>
      </c>
      <c r="AK70" s="629" t="str">
        <f t="shared" ca="1" si="34"/>
        <v/>
      </c>
    </row>
    <row r="71" spans="1:37" ht="35.4" customHeight="1">
      <c r="A71" s="619" t="str">
        <f t="shared" si="23"/>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BT$3,0)=1,1,MATCH($E71,始値!$E$3:$BT$3,0)+1)),_xlpm.v,INDEX(始値!$C$6:$B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 t="shared" ca="1" si="17"/>
        <v/>
      </c>
      <c r="L71" s="706" t="str">
        <f t="shared" ca="1" si="18"/>
        <v/>
      </c>
      <c r="M71" s="491">
        <f>IF($F71="","",IF($C71="売",CEILING($F71*IF($C71="売",1-$AG$3,1+$AG$3),IF($F71*IF($C71="売",1-$AG$3,1+$AG$3)&lt;=3000,1,IF($F71*IF($C71="売",1-$AG$3,1+$AG$3)&lt;=5000,5,IF($F71*IF($C71="売",1-$AG$3,1+$AG$3)&lt;=30000,10,IF($F71*IF($C71="売",1-$AG$3,1+$AG$3)&lt;=50000,50,IF($F71*IF($C71="売",1-$AG$3,1+$AG$3)&lt;=300000,100,500)))))),FLOOR($F71*IF($C71="売",1-$AG$3,1+$AG$3),IF($F71*IF($C71="売",1-$AG$3,1+$AG$3)&lt;=3000,1,IF($F71*IF($C71="売",1-$AG$3,1+$AG$3)&lt;=5000,5,IF($F71*IF($C71="売",1-$AG$3,1+$AG$3)&lt;=30000,10,IF($F71*IF($C71="売",1-$AG$3,1+$AG$3)&lt;=50000,50,IF($F71*IF($C71="売",1-$AG$3,1+$AG$3)&lt;=300000,100,500))))))))</f>
      </c>
      <c r="N71" s="491">
        <f>IF($F71="","",IF($C71="売",CEILING($F71*IF($C71="売",1+$AG$2,1-$AG$2),IF($F71*IF($C71="売",1+$AG$2,1-$AG$2)&lt;=3000,1,IF($F71*IF($C71="売",1+$AG$2,1-$AG$2)&lt;=5000,5,IF($F71*IF($C71="売",1+$AG$2,1-$AG$2)&lt;=30000,10,IF($F71*IF($C71="売",1+$AG$2,1-$AG$2)&lt;=50000,50,IF($F71*IF($C71="売",1+$AG$2,1-$AG$2)&lt;=300000,100,500)))))),FLOOR($F71*IF($C71="売",1+$AG$2,1-$AG$2),IF($F71*IF($C71="売",1+$AG$2,1-$AG$2)&lt;=3000,1,IF($F71*IF($C71="売",1+$AG$2,1-$AG$2)&lt;=5000,5,IF($F71*IF($C71="売",1+$AG$2,1-$AG$2)&lt;=30000,10,IF($F71*IF($C71="売",1+$AG$2,1-$AG$2)&lt;=50000,50,IF($F71*IF($C71="売",1+$AG$2,1-$AG$2)&lt;=300000,100,500))))))))</f>
      </c>
      <c r="O71" s="492">
        <f>IF(OR($B71="",$F71="",$H71=""),"",IF($S71="✅売却済","―決済済―",IF($C71="売",  IF($H71&lt;=$M71,"🟢利確",  IF(AND($R71&lt;&gt;"",$H71&gt;=$R71),"🟠TRAIL決済",  IF($H71&gt;=$N71,"🔴損切",  IF($W71&gt;=$AG$5,"⏱時間決済",  IF($H71&gt;=$F71*(1+$AG$2*0.7),"⚠️損切接近","保持継続"))))),  IF($H71&gt;=$M71,"🟢利確",  IF(AND($R71&lt;&gt;"",$H71&lt;=$R71),"🟠TRAIL決済",  IF($H71&lt;=$N71,"🔴損切",  IF($W71&gt;=$AG$5,"⏱時間決済",  IF($H71&lt;=$F71*(1-$AG$2*0.7),"⚠️損切接近","保持継続")))))))</f>
      </c>
      <c r="P71" s="491"/>
      <c r="Q71" s="491"/>
      <c r="R71" s="491">
        <f>IF(OR($F71="",$H71="",$N71=""),"",IF($S71="✅売却済","",IF($C71="売",  IF($H71&gt;$F71*(1-$AG$2),$N71,CEILING(MIN($N71,IF($Q71="",$N71,$Q71*1.03)),IF($N71&lt;=3000,1,IF($N71&lt;=5000,5,IF($N71&lt;=30000,10,IF($N71&lt;=50000,50,IF($N71&lt;=300000,100,500))))))),  IF($H71&lt;$F71*(1+$AG$2),$N71,FLOOR(MAX($N71,IF($P71="",$N71,$P71*0.97)),IF($N71&lt;=3000,1,IF($N71&lt;=5000,5,IF($N71&lt;=30000,10,IF($N71&lt;=50000,50,IF($N71&lt;=300000,100,500))))))))))</f>
      </c>
      <c r="S71" s="586" t="str">
        <f t="shared" si="20"/>
        <v/>
      </c>
      <c r="T71" s="594" t="str">
        <f t="shared" ca="1" si="27"/>
        <v/>
      </c>
      <c r="U71" s="491" t="str">
        <f t="shared" ca="1" si="28"/>
        <v/>
      </c>
      <c r="V71" s="701" t="str">
        <f t="shared" ca="1" si="21"/>
        <v/>
      </c>
      <c r="W71" s="493" t="str">
        <f t="shared" ca="1" si="29"/>
        <v/>
      </c>
      <c r="X71" s="489" t="str">
        <f t="shared" ca="1" si="30"/>
        <v/>
      </c>
      <c r="Y71" s="488">
        <f>IF($B71="","",IF(COUNTIFS($B$4:$B71,$B71,$C$4:$C71,$C71)&gt;1,"⛔重複"&amp;COUNTIFS($B$4:$B71,$B71,$C$4:$C71,$C71)&amp;"回目",""))</f>
      </c>
      <c r="Z71" s="710"/>
      <c r="AB71">
        <f>IF($F71="","",MAX(100,ROUNDDOWN($AG$4/($F71*$AG$2)/100,0)*100))</f>
      </c>
      <c r="AC71">
        <f>IF(OR($F71="",$G71="",$U71=""),"",ROUND($V71-($F71+$U71)*$G71*$AG$6-IF($C71="売",$F71*$G71*$AG$7*$W71/365,0),0))</f>
      </c>
      <c r="AD71" s="608"/>
      <c r="AE71" s="624" t="str">
        <f t="shared" si="31"/>
        <v/>
      </c>
      <c r="AF71" s="626"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26"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00" t="str">
        <f t="shared" ca="1" si="32"/>
        <v/>
      </c>
      <c r="AI71" s="600" t="str" cm="1">
        <f t="array" ref="AI71">IFERROR(INDEX(始値!$E$6:$BT$305,MATCH(TEXT($B71,"0"),TEXT(銘柄管理!$B$6:$B$305,"0"),0),MATCH($AE71,始値!$E$3:$BT$3,0)),"")</f>
        <v/>
      </c>
      <c r="AJ71" s="905" t="str">
        <f t="shared" ca="1" si="33"/>
        <v/>
      </c>
      <c r="AK71" s="629" t="str">
        <f t="shared" ca="1" si="34"/>
        <v/>
      </c>
    </row>
    <row r="72" spans="1:37" ht="35.4" customHeight="1">
      <c r="A72" s="619" t="str">
        <f t="shared" si="23"/>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BT$3,0)=1,1,MATCH($E72,始値!$E$3:$BT$3,0)+1)),_xlpm.v,INDEX(始値!$C$6:$B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 t="shared" ca="1" si="17"/>
        <v/>
      </c>
      <c r="L72" s="706" t="str">
        <f t="shared" ca="1" si="18"/>
        <v/>
      </c>
      <c r="M72" s="491">
        <f>IF($F72="","",IF($C72="売",CEILING($F72*IF($C72="売",1-$AG$3,1+$AG$3),IF($F72*IF($C72="売",1-$AG$3,1+$AG$3)&lt;=3000,1,IF($F72*IF($C72="売",1-$AG$3,1+$AG$3)&lt;=5000,5,IF($F72*IF($C72="売",1-$AG$3,1+$AG$3)&lt;=30000,10,IF($F72*IF($C72="売",1-$AG$3,1+$AG$3)&lt;=50000,50,IF($F72*IF($C72="売",1-$AG$3,1+$AG$3)&lt;=300000,100,500)))))),FLOOR($F72*IF($C72="売",1-$AG$3,1+$AG$3),IF($F72*IF($C72="売",1-$AG$3,1+$AG$3)&lt;=3000,1,IF($F72*IF($C72="売",1-$AG$3,1+$AG$3)&lt;=5000,5,IF($F72*IF($C72="売",1-$AG$3,1+$AG$3)&lt;=30000,10,IF($F72*IF($C72="売",1-$AG$3,1+$AG$3)&lt;=50000,50,IF($F72*IF($C72="売",1-$AG$3,1+$AG$3)&lt;=300000,100,500))))))))</f>
      </c>
      <c r="N72" s="491">
        <f>IF($F72="","",IF($C72="売",CEILING($F72*IF($C72="売",1+$AG$2,1-$AG$2),IF($F72*IF($C72="売",1+$AG$2,1-$AG$2)&lt;=3000,1,IF($F72*IF($C72="売",1+$AG$2,1-$AG$2)&lt;=5000,5,IF($F72*IF($C72="売",1+$AG$2,1-$AG$2)&lt;=30000,10,IF($F72*IF($C72="売",1+$AG$2,1-$AG$2)&lt;=50000,50,IF($F72*IF($C72="売",1+$AG$2,1-$AG$2)&lt;=300000,100,500)))))),FLOOR($F72*IF($C72="売",1+$AG$2,1-$AG$2),IF($F72*IF($C72="売",1+$AG$2,1-$AG$2)&lt;=3000,1,IF($F72*IF($C72="売",1+$AG$2,1-$AG$2)&lt;=5000,5,IF($F72*IF($C72="売",1+$AG$2,1-$AG$2)&lt;=30000,10,IF($F72*IF($C72="売",1+$AG$2,1-$AG$2)&lt;=50000,50,IF($F72*IF($C72="売",1+$AG$2,1-$AG$2)&lt;=300000,100,500))))))))</f>
      </c>
      <c r="O72" s="492">
        <f>IF(OR($B72="",$F72="",$H72=""),"",IF($S72="✅売却済","―決済済―",IF($C72="売",  IF($H72&lt;=$M72,"🟢利確",  IF(AND($R72&lt;&gt;"",$H72&gt;=$R72),"🟠TRAIL決済",  IF($H72&gt;=$N72,"🔴損切",  IF($W72&gt;=$AG$5,"⏱時間決済",  IF($H72&gt;=$F72*(1+$AG$2*0.7),"⚠️損切接近","保持継続"))))),  IF($H72&gt;=$M72,"🟢利確",  IF(AND($R72&lt;&gt;"",$H72&lt;=$R72),"🟠TRAIL決済",  IF($H72&lt;=$N72,"🔴損切",  IF($W72&gt;=$AG$5,"⏱時間決済",  IF($H72&lt;=$F72*(1-$AG$2*0.7),"⚠️損切接近","保持継続")))))))</f>
      </c>
      <c r="P72" s="491"/>
      <c r="Q72" s="491"/>
      <c r="R72" s="491">
        <f>IF(OR($F72="",$H72="",$N72=""),"",IF($S72="✅売却済","",IF($C72="売",  IF($H72&gt;$F72*(1-$AG$2),$N72,CEILING(MIN($N72,IF($Q72="",$N72,$Q72*1.03)),IF($N72&lt;=3000,1,IF($N72&lt;=5000,5,IF($N72&lt;=30000,10,IF($N72&lt;=50000,50,IF($N72&lt;=300000,100,500))))))),  IF($H72&lt;$F72*(1+$AG$2),$N72,FLOOR(MAX($N72,IF($P72="",$N72,$P72*0.97)),IF($N72&lt;=3000,1,IF($N72&lt;=5000,5,IF($N72&lt;=30000,10,IF($N72&lt;=50000,50,IF($N72&lt;=300000,100,500))))))))))</f>
      </c>
      <c r="S72" s="586" t="str">
        <f t="shared" si="20"/>
        <v/>
      </c>
      <c r="T72" s="594" t="str">
        <f t="shared" ca="1" si="27"/>
        <v/>
      </c>
      <c r="U72" s="491" t="str">
        <f t="shared" ca="1" si="28"/>
        <v/>
      </c>
      <c r="V72" s="701" t="str">
        <f t="shared" ca="1" si="21"/>
        <v/>
      </c>
      <c r="W72" s="493" t="str">
        <f t="shared" ca="1" si="29"/>
        <v/>
      </c>
      <c r="X72" s="489" t="str">
        <f t="shared" ca="1" si="30"/>
        <v/>
      </c>
      <c r="Y72" s="488">
        <f>IF($B72="","",IF(COUNTIFS($B$4:$B72,$B72,$C$4:$C72,$C72)&gt;1,"⛔重複"&amp;COUNTIFS($B$4:$B72,$B72,$C$4:$C72,$C72)&amp;"回目",""))</f>
      </c>
      <c r="Z72" s="710"/>
      <c r="AB72">
        <f>IF($F72="","",MAX(100,ROUNDDOWN($AG$4/($F72*$AG$2)/100,0)*100))</f>
      </c>
      <c r="AC72">
        <f>IF(OR($F72="",$G72="",$U72=""),"",ROUND($V72-($F72+$U72)*$G72*$AG$6-IF($C72="売",$F72*$G72*$AG$7*$W72/365,0),0))</f>
      </c>
      <c r="AD72" s="608"/>
      <c r="AE72" s="624" t="str">
        <f t="shared" si="31"/>
        <v/>
      </c>
      <c r="AF72" s="626"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26"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00" t="str">
        <f t="shared" ca="1" si="32"/>
        <v/>
      </c>
      <c r="AI72" s="600" t="str" cm="1">
        <f t="array" ref="AI72">IFERROR(INDEX(始値!$E$6:$BT$305,MATCH(TEXT($B72,"0"),TEXT(銘柄管理!$B$6:$B$305,"0"),0),MATCH($AE72,始値!$E$3:$BT$3,0)),"")</f>
        <v/>
      </c>
      <c r="AJ72" s="905" t="str">
        <f t="shared" ca="1" si="33"/>
        <v/>
      </c>
      <c r="AK72" s="629" t="str">
        <f t="shared" ca="1" si="34"/>
        <v/>
      </c>
    </row>
    <row r="73" spans="1:37" ht="35.4" customHeight="1">
      <c r="A73" s="619" t="str">
        <f t="shared" si="23"/>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BT$3,0)=1,1,MATCH($E73,始値!$E$3:$BT$3,0)+1)),_xlpm.v,INDEX(始値!$C$6:$B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 t="shared" ca="1" si="17"/>
        <v/>
      </c>
      <c r="L73" s="706" t="str">
        <f t="shared" ca="1" si="18"/>
        <v/>
      </c>
      <c r="M73" s="491">
        <f>IF($F73="","",IF($C73="売",CEILING($F73*IF($C73="売",1-$AG$3,1+$AG$3),IF($F73*IF($C73="売",1-$AG$3,1+$AG$3)&lt;=3000,1,IF($F73*IF($C73="売",1-$AG$3,1+$AG$3)&lt;=5000,5,IF($F73*IF($C73="売",1-$AG$3,1+$AG$3)&lt;=30000,10,IF($F73*IF($C73="売",1-$AG$3,1+$AG$3)&lt;=50000,50,IF($F73*IF($C73="売",1-$AG$3,1+$AG$3)&lt;=300000,100,500)))))),FLOOR($F73*IF($C73="売",1-$AG$3,1+$AG$3),IF($F73*IF($C73="売",1-$AG$3,1+$AG$3)&lt;=3000,1,IF($F73*IF($C73="売",1-$AG$3,1+$AG$3)&lt;=5000,5,IF($F73*IF($C73="売",1-$AG$3,1+$AG$3)&lt;=30000,10,IF($F73*IF($C73="売",1-$AG$3,1+$AG$3)&lt;=50000,50,IF($F73*IF($C73="売",1-$AG$3,1+$AG$3)&lt;=300000,100,500))))))))</f>
      </c>
      <c r="N73" s="491">
        <f>IF($F73="","",IF($C73="売",CEILING($F73*IF($C73="売",1+$AG$2,1-$AG$2),IF($F73*IF($C73="売",1+$AG$2,1-$AG$2)&lt;=3000,1,IF($F73*IF($C73="売",1+$AG$2,1-$AG$2)&lt;=5000,5,IF($F73*IF($C73="売",1+$AG$2,1-$AG$2)&lt;=30000,10,IF($F73*IF($C73="売",1+$AG$2,1-$AG$2)&lt;=50000,50,IF($F73*IF($C73="売",1+$AG$2,1-$AG$2)&lt;=300000,100,500)))))),FLOOR($F73*IF($C73="売",1+$AG$2,1-$AG$2),IF($F73*IF($C73="売",1+$AG$2,1-$AG$2)&lt;=3000,1,IF($F73*IF($C73="売",1+$AG$2,1-$AG$2)&lt;=5000,5,IF($F73*IF($C73="売",1+$AG$2,1-$AG$2)&lt;=30000,10,IF($F73*IF($C73="売",1+$AG$2,1-$AG$2)&lt;=50000,50,IF($F73*IF($C73="売",1+$AG$2,1-$AG$2)&lt;=300000,100,500))))))))</f>
      </c>
      <c r="O73" s="492">
        <f>IF(OR($B73="",$F73="",$H73=""),"",IF($S73="✅売却済","―決済済―",IF($C73="売",  IF($H73&lt;=$M73,"🟢利確",  IF(AND($R73&lt;&gt;"",$H73&gt;=$R73),"🟠TRAIL決済",  IF($H73&gt;=$N73,"🔴損切",  IF($W73&gt;=$AG$5,"⏱時間決済",  IF($H73&gt;=$F73*(1+$AG$2*0.7),"⚠️損切接近","保持継続"))))),  IF($H73&gt;=$M73,"🟢利確",  IF(AND($R73&lt;&gt;"",$H73&lt;=$R73),"🟠TRAIL決済",  IF($H73&lt;=$N73,"🔴損切",  IF($W73&gt;=$AG$5,"⏱時間決済",  IF($H73&lt;=$F73*(1-$AG$2*0.7),"⚠️損切接近","保持継続")))))))</f>
      </c>
      <c r="P73" s="491"/>
      <c r="Q73" s="491"/>
      <c r="R73" s="491">
        <f>IF(OR($F73="",$H73="",$N73=""),"",IF($S73="✅売却済","",IF($C73="売",  IF($H73&gt;$F73*(1-$AG$2),$N73,CEILING(MIN($N73,IF($Q73="",$N73,$Q73*1.03)),IF($N73&lt;=3000,1,IF($N73&lt;=5000,5,IF($N73&lt;=30000,10,IF($N73&lt;=50000,50,IF($N73&lt;=300000,100,500))))))),  IF($H73&lt;$F73*(1+$AG$2),$N73,FLOOR(MAX($N73,IF($P73="",$N73,$P73*0.97)),IF($N73&lt;=3000,1,IF($N73&lt;=5000,5,IF($N73&lt;=30000,10,IF($N73&lt;=50000,50,IF($N73&lt;=300000,100,500))))))))))</f>
      </c>
      <c r="S73" s="586" t="str">
        <f t="shared" si="20"/>
        <v/>
      </c>
      <c r="T73" s="594" t="str">
        <f t="shared" ca="1" si="27"/>
        <v/>
      </c>
      <c r="U73" s="491" t="str">
        <f t="shared" ca="1" si="28"/>
        <v/>
      </c>
      <c r="V73" s="701" t="str">
        <f t="shared" ca="1" si="21"/>
        <v/>
      </c>
      <c r="W73" s="493" t="str">
        <f t="shared" ca="1" si="29"/>
        <v/>
      </c>
      <c r="X73" s="489" t="str">
        <f t="shared" ca="1" si="30"/>
        <v/>
      </c>
      <c r="Y73" s="488">
        <f>IF($B73="","",IF(COUNTIFS($B$4:$B73,$B73,$C$4:$C73,$C73)&gt;1,"⛔重複"&amp;COUNTIFS($B$4:$B73,$B73,$C$4:$C73,$C73)&amp;"回目",""))</f>
      </c>
      <c r="Z73" s="710"/>
      <c r="AB73">
        <f>IF($F73="","",MAX(100,ROUNDDOWN($AG$4/($F73*$AG$2)/100,0)*100))</f>
      </c>
      <c r="AC73">
        <f>IF(OR($F73="",$G73="",$U73=""),"",ROUND($V73-($F73+$U73)*$G73*$AG$6-IF($C73="売",$F73*$G73*$AG$7*$W73/365,0),0))</f>
      </c>
      <c r="AD73" s="608"/>
      <c r="AE73" s="624" t="str">
        <f t="shared" si="31"/>
        <v/>
      </c>
      <c r="AF73" s="626"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26"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00" t="str">
        <f t="shared" ca="1" si="32"/>
        <v/>
      </c>
      <c r="AI73" s="600" t="str" cm="1">
        <f t="array" ref="AI73">IFERROR(INDEX(始値!$E$6:$BT$305,MATCH(TEXT($B73,"0"),TEXT(銘柄管理!$B$6:$B$305,"0"),0),MATCH($AE73,始値!$E$3:$BT$3,0)),"")</f>
        <v/>
      </c>
      <c r="AJ73" s="905" t="str">
        <f t="shared" ca="1" si="33"/>
        <v/>
      </c>
      <c r="AK73" s="629" t="str">
        <f t="shared" ca="1" si="34"/>
        <v/>
      </c>
    </row>
    <row r="74" spans="1:37" ht="35.4" customHeight="1">
      <c r="A74" s="619" t="str">
        <f t="shared" si="23"/>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BT$3,0)=1,1,MATCH($E74,始値!$E$3:$BT$3,0)+1)),_xlpm.v,INDEX(始値!$C$6:$B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 t="shared" ref="K74:K120" ca="1" si="35">IF(OR(F74="",G74="",H74=""),"",IF(C74="売",(F74-H74)*G74,(H74-F74)*G74))</f>
        <v/>
      </c>
      <c r="L74" s="706" t="str">
        <f t="shared" ref="L74:L120" ca="1" si="36">IF(OR(F74="",H74=""),"",IF(C74="売",(F74-H74)/F74,(H74-F74)/F74))</f>
        <v/>
      </c>
      <c r="M74" s="491">
        <f>IF($F74="","",IF($C74="売",CEILING($F74*IF($C74="売",1-$AG$3,1+$AG$3),IF($F74*IF($C74="売",1-$AG$3,1+$AG$3)&lt;=3000,1,IF($F74*IF($C74="売",1-$AG$3,1+$AG$3)&lt;=5000,5,IF($F74*IF($C74="売",1-$AG$3,1+$AG$3)&lt;=30000,10,IF($F74*IF($C74="売",1-$AG$3,1+$AG$3)&lt;=50000,50,IF($F74*IF($C74="売",1-$AG$3,1+$AG$3)&lt;=300000,100,500)))))),FLOOR($F74*IF($C74="売",1-$AG$3,1+$AG$3),IF($F74*IF($C74="売",1-$AG$3,1+$AG$3)&lt;=3000,1,IF($F74*IF($C74="売",1-$AG$3,1+$AG$3)&lt;=5000,5,IF($F74*IF($C74="売",1-$AG$3,1+$AG$3)&lt;=30000,10,IF($F74*IF($C74="売",1-$AG$3,1+$AG$3)&lt;=50000,50,IF($F74*IF($C74="売",1-$AG$3,1+$AG$3)&lt;=300000,100,500))))))))</f>
      </c>
      <c r="N74" s="491">
        <f>IF($F74="","",IF($C74="売",CEILING($F74*IF($C74="売",1+$AG$2,1-$AG$2),IF($F74*IF($C74="売",1+$AG$2,1-$AG$2)&lt;=3000,1,IF($F74*IF($C74="売",1+$AG$2,1-$AG$2)&lt;=5000,5,IF($F74*IF($C74="売",1+$AG$2,1-$AG$2)&lt;=30000,10,IF($F74*IF($C74="売",1+$AG$2,1-$AG$2)&lt;=50000,50,IF($F74*IF($C74="売",1+$AG$2,1-$AG$2)&lt;=300000,100,500)))))),FLOOR($F74*IF($C74="売",1+$AG$2,1-$AG$2),IF($F74*IF($C74="売",1+$AG$2,1-$AG$2)&lt;=3000,1,IF($F74*IF($C74="売",1+$AG$2,1-$AG$2)&lt;=5000,5,IF($F74*IF($C74="売",1+$AG$2,1-$AG$2)&lt;=30000,10,IF($F74*IF($C74="売",1+$AG$2,1-$AG$2)&lt;=50000,50,IF($F74*IF($C74="売",1+$AG$2,1-$AG$2)&lt;=300000,100,500))))))))</f>
      </c>
      <c r="O74" s="492">
        <f>IF(OR($B74="",$F74="",$H74=""),"",IF($S74="✅売却済","―決済済―",IF($C74="売",  IF($H74&lt;=$M74,"🟢利確",  IF(AND($R74&lt;&gt;"",$H74&gt;=$R74),"🟠TRAIL決済",  IF($H74&gt;=$N74,"🔴損切",  IF($W74&gt;=$AG$5,"⏱時間決済",  IF($H74&gt;=$F74*(1+$AG$2*0.7),"⚠️損切接近","保持継続"))))),  IF($H74&gt;=$M74,"🟢利確",  IF(AND($R74&lt;&gt;"",$H74&lt;=$R74),"🟠TRAIL決済",  IF($H74&lt;=$N74,"🔴損切",  IF($W74&gt;=$AG$5,"⏱時間決済",  IF($H74&lt;=$F74*(1-$AG$2*0.7),"⚠️損切接近","保持継続")))))))</f>
      </c>
      <c r="P74" s="491"/>
      <c r="Q74" s="491"/>
      <c r="R74" s="491">
        <f>IF(OR($F74="",$H74="",$N74=""),"",IF($S74="✅売却済","",IF($C74="売",  IF($H74&gt;$F74*(1-$AG$2),$N74,CEILING(MIN($N74,IF($Q74="",$N74,$Q74*1.03)),IF($N74&lt;=3000,1,IF($N74&lt;=5000,5,IF($N74&lt;=30000,10,IF($N74&lt;=50000,50,IF($N74&lt;=300000,100,500))))))),  IF($H74&lt;$F74*(1+$AG$2),$N74,FLOOR(MAX($N74,IF($P74="",$N74,$P74*0.97)),IF($N74&lt;=3000,1,IF($N74&lt;=5000,5,IF($N74&lt;=30000,10,IF($N74&lt;=50000,50,IF($N74&lt;=300000,100,500))))))))))</f>
      </c>
      <c r="S74" s="586" t="str">
        <f t="shared" ref="S74:S120" si="38">IF(B74="","",IF(T74&lt;&gt;"","✅売却済",IF(OR(H74="",L74=""),"📌保有中",IF(L74&gt;=0.06,"🟢利確推奨",IF(L74&gt;=0.05,"🟡利確直近",IF(L74&gt;=0.045,"🔵トレーリング検討",IF(L74&gt;-0.03,"📌保有中",IF(L74&gt;-0.04,"⚠️損切注意","🔴損切り"))))))))</f>
        <v/>
      </c>
      <c r="T74" s="594" t="str">
        <f t="shared" ca="1" si="27"/>
        <v/>
      </c>
      <c r="U74" s="491" t="str">
        <f t="shared" ca="1" si="28"/>
        <v/>
      </c>
      <c r="V74" s="701" t="str">
        <f t="shared" ref="V74:V120" ca="1" si="39">IF(OR(F74="",G74="",U74=""),"",IF(C74="売",(F74-U74)*G74,(U74-F74)*G74))</f>
        <v/>
      </c>
      <c r="W74" s="493" t="str">
        <f t="shared" ca="1" si="29"/>
        <v/>
      </c>
      <c r="X74" s="489" t="str">
        <f t="shared" ca="1" si="30"/>
        <v/>
      </c>
      <c r="Y74" s="488">
        <f>IF($B74="","",IF(COUNTIFS($B$4:$B74,$B74,$C$4:$C74,$C74)&gt;1,"⛔重複"&amp;COUNTIFS($B$4:$B74,$B74,$C$4:$C74,$C74)&amp;"回目",""))</f>
      </c>
      <c r="Z74" s="710"/>
      <c r="AB74">
        <f>IF($F74="","",MAX(100,ROUNDDOWN($AG$4/($F74*$AG$2)/100,0)*100))</f>
      </c>
      <c r="AC74">
        <f>IF(OR($F74="",$G74="",$U74=""),"",ROUND($V74-($F74+$U74)*$G74*$AG$6-IF($C74="売",$F74*$G74*$AG$7*$W74/365,0),0))</f>
      </c>
      <c r="AD74" s="608"/>
      <c r="AE74" s="624" t="str">
        <f t="shared" si="31"/>
        <v/>
      </c>
      <c r="AF74" s="626"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26"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00" t="str">
        <f t="shared" ca="1" si="32"/>
        <v/>
      </c>
      <c r="AI74" s="600" t="str" cm="1">
        <f t="array" ref="AI74">IFERROR(INDEX(始値!$E$6:$BT$305,MATCH(TEXT($B74,"0"),TEXT(銘柄管理!$B$6:$B$305,"0"),0),MATCH($AE74,始値!$E$3:$BT$3,0)),"")</f>
        <v/>
      </c>
      <c r="AJ74" s="905" t="str">
        <f t="shared" ca="1" si="33"/>
        <v/>
      </c>
      <c r="AK74" s="629" t="str">
        <f t="shared" ca="1" si="34"/>
        <v/>
      </c>
    </row>
    <row r="75" spans="1:37" ht="35.4" customHeight="1">
      <c r="A75" s="619" t="str">
        <f t="shared" si="23"/>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BT$3,0)=1,1,MATCH($E75,始値!$E$3:$BT$3,0)+1)),_xlpm.v,INDEX(始値!$C$6:$B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 t="shared" ca="1" si="35"/>
        <v/>
      </c>
      <c r="L75" s="706" t="str">
        <f t="shared" ca="1" si="36"/>
        <v/>
      </c>
      <c r="M75" s="491">
        <f>IF($F75="","",IF($C75="売",CEILING($F75*IF($C75="売",1-$AG$3,1+$AG$3),IF($F75*IF($C75="売",1-$AG$3,1+$AG$3)&lt;=3000,1,IF($F75*IF($C75="売",1-$AG$3,1+$AG$3)&lt;=5000,5,IF($F75*IF($C75="売",1-$AG$3,1+$AG$3)&lt;=30000,10,IF($F75*IF($C75="売",1-$AG$3,1+$AG$3)&lt;=50000,50,IF($F75*IF($C75="売",1-$AG$3,1+$AG$3)&lt;=300000,100,500)))))),FLOOR($F75*IF($C75="売",1-$AG$3,1+$AG$3),IF($F75*IF($C75="売",1-$AG$3,1+$AG$3)&lt;=3000,1,IF($F75*IF($C75="売",1-$AG$3,1+$AG$3)&lt;=5000,5,IF($F75*IF($C75="売",1-$AG$3,1+$AG$3)&lt;=30000,10,IF($F75*IF($C75="売",1-$AG$3,1+$AG$3)&lt;=50000,50,IF($F75*IF($C75="売",1-$AG$3,1+$AG$3)&lt;=300000,100,500))))))))</f>
      </c>
      <c r="N75" s="491">
        <f>IF($F75="","",IF($C75="売",CEILING($F75*IF($C75="売",1+$AG$2,1-$AG$2),IF($F75*IF($C75="売",1+$AG$2,1-$AG$2)&lt;=3000,1,IF($F75*IF($C75="売",1+$AG$2,1-$AG$2)&lt;=5000,5,IF($F75*IF($C75="売",1+$AG$2,1-$AG$2)&lt;=30000,10,IF($F75*IF($C75="売",1+$AG$2,1-$AG$2)&lt;=50000,50,IF($F75*IF($C75="売",1+$AG$2,1-$AG$2)&lt;=300000,100,500)))))),FLOOR($F75*IF($C75="売",1+$AG$2,1-$AG$2),IF($F75*IF($C75="売",1+$AG$2,1-$AG$2)&lt;=3000,1,IF($F75*IF($C75="売",1+$AG$2,1-$AG$2)&lt;=5000,5,IF($F75*IF($C75="売",1+$AG$2,1-$AG$2)&lt;=30000,10,IF($F75*IF($C75="売",1+$AG$2,1-$AG$2)&lt;=50000,50,IF($F75*IF($C75="売",1+$AG$2,1-$AG$2)&lt;=300000,100,500))))))))</f>
      </c>
      <c r="O75" s="492">
        <f>IF(OR($B75="",$F75="",$H75=""),"",IF($S75="✅売却済","―決済済―",IF($C75="売",  IF($H75&lt;=$M75,"🟢利確",  IF(AND($R75&lt;&gt;"",$H75&gt;=$R75),"🟠TRAIL決済",  IF($H75&gt;=$N75,"🔴損切",  IF($W75&gt;=$AG$5,"⏱時間決済",  IF($H75&gt;=$F75*(1+$AG$2*0.7),"⚠️損切接近","保持継続"))))),  IF($H75&gt;=$M75,"🟢利確",  IF(AND($R75&lt;&gt;"",$H75&lt;=$R75),"🟠TRAIL決済",  IF($H75&lt;=$N75,"🔴損切",  IF($W75&gt;=$AG$5,"⏱時間決済",  IF($H75&lt;=$F75*(1-$AG$2*0.7),"⚠️損切接近","保持継続")))))))</f>
      </c>
      <c r="P75" s="491"/>
      <c r="Q75" s="491"/>
      <c r="R75" s="491">
        <f>IF(OR($F75="",$H75="",$N75=""),"",IF($S75="✅売却済","",IF($C75="売",  IF($H75&gt;$F75*(1-$AG$2),$N75,CEILING(MIN($N75,IF($Q75="",$N75,$Q75*1.03)),IF($N75&lt;=3000,1,IF($N75&lt;=5000,5,IF($N75&lt;=30000,10,IF($N75&lt;=50000,50,IF($N75&lt;=300000,100,500))))))),  IF($H75&lt;$F75*(1+$AG$2),$N75,FLOOR(MAX($N75,IF($P75="",$N75,$P75*0.97)),IF($N75&lt;=3000,1,IF($N75&lt;=5000,5,IF($N75&lt;=30000,10,IF($N75&lt;=50000,50,IF($N75&lt;=300000,100,500))))))))))</f>
      </c>
      <c r="S75" s="586" t="str">
        <f t="shared" si="38"/>
        <v/>
      </c>
      <c r="T75" s="594" t="str">
        <f t="shared" ca="1" si="27"/>
        <v/>
      </c>
      <c r="U75" s="491" t="str">
        <f t="shared" ca="1" si="28"/>
        <v/>
      </c>
      <c r="V75" s="701" t="str">
        <f t="shared" ca="1" si="39"/>
        <v/>
      </c>
      <c r="W75" s="493" t="str">
        <f t="shared" ca="1" si="29"/>
        <v/>
      </c>
      <c r="X75" s="489" t="str">
        <f t="shared" ca="1" si="30"/>
        <v/>
      </c>
      <c r="Y75" s="488">
        <f>IF($B75="","",IF(COUNTIFS($B$4:$B75,$B75,$C$4:$C75,$C75)&gt;1,"⛔重複"&amp;COUNTIFS($B$4:$B75,$B75,$C$4:$C75,$C75)&amp;"回目",""))</f>
      </c>
      <c r="Z75" s="710"/>
      <c r="AB75">
        <f>IF($F75="","",MAX(100,ROUNDDOWN($AG$4/($F75*$AG$2)/100,0)*100))</f>
      </c>
      <c r="AC75">
        <f>IF(OR($F75="",$G75="",$U75=""),"",ROUND($V75-($F75+$U75)*$G75*$AG$6-IF($C75="売",$F75*$G75*$AG$7*$W75/365,0),0))</f>
      </c>
      <c r="AD75" s="608"/>
      <c r="AE75" s="624" t="str">
        <f t="shared" si="31"/>
        <v/>
      </c>
      <c r="AF75" s="626"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26"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00" t="str">
        <f t="shared" ca="1" si="32"/>
        <v/>
      </c>
      <c r="AI75" s="600" t="str" cm="1">
        <f t="array" ref="AI75">IFERROR(INDEX(始値!$E$6:$BT$305,MATCH(TEXT($B75,"0"),TEXT(銘柄管理!$B$6:$B$305,"0"),0),MATCH($AE75,始値!$E$3:$BT$3,0)),"")</f>
        <v/>
      </c>
      <c r="AJ75" s="905" t="str">
        <f t="shared" ca="1" si="33"/>
        <v/>
      </c>
      <c r="AK75" s="629" t="str">
        <f t="shared" ca="1" si="34"/>
        <v/>
      </c>
    </row>
    <row r="76" spans="1:37" ht="35.4" customHeight="1">
      <c r="A76" s="619" t="str">
        <f t="shared" si="23"/>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BT$3,0)=1,1,MATCH($E76,始値!$E$3:$BT$3,0)+1)),_xlpm.v,INDEX(始値!$C$6:$B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 t="shared" ca="1" si="35"/>
        <v/>
      </c>
      <c r="L76" s="706" t="str">
        <f t="shared" ca="1" si="36"/>
        <v/>
      </c>
      <c r="M76" s="491">
        <f>IF($F76="","",IF($C76="売",CEILING($F76*IF($C76="売",1-$AG$3,1+$AG$3),IF($F76*IF($C76="売",1-$AG$3,1+$AG$3)&lt;=3000,1,IF($F76*IF($C76="売",1-$AG$3,1+$AG$3)&lt;=5000,5,IF($F76*IF($C76="売",1-$AG$3,1+$AG$3)&lt;=30000,10,IF($F76*IF($C76="売",1-$AG$3,1+$AG$3)&lt;=50000,50,IF($F76*IF($C76="売",1-$AG$3,1+$AG$3)&lt;=300000,100,500)))))),FLOOR($F76*IF($C76="売",1-$AG$3,1+$AG$3),IF($F76*IF($C76="売",1-$AG$3,1+$AG$3)&lt;=3000,1,IF($F76*IF($C76="売",1-$AG$3,1+$AG$3)&lt;=5000,5,IF($F76*IF($C76="売",1-$AG$3,1+$AG$3)&lt;=30000,10,IF($F76*IF($C76="売",1-$AG$3,1+$AG$3)&lt;=50000,50,IF($F76*IF($C76="売",1-$AG$3,1+$AG$3)&lt;=300000,100,500))))))))</f>
      </c>
      <c r="N76" s="491">
        <f>IF($F76="","",IF($C76="売",CEILING($F76*IF($C76="売",1+$AG$2,1-$AG$2),IF($F76*IF($C76="売",1+$AG$2,1-$AG$2)&lt;=3000,1,IF($F76*IF($C76="売",1+$AG$2,1-$AG$2)&lt;=5000,5,IF($F76*IF($C76="売",1+$AG$2,1-$AG$2)&lt;=30000,10,IF($F76*IF($C76="売",1+$AG$2,1-$AG$2)&lt;=50000,50,IF($F76*IF($C76="売",1+$AG$2,1-$AG$2)&lt;=300000,100,500)))))),FLOOR($F76*IF($C76="売",1+$AG$2,1-$AG$2),IF($F76*IF($C76="売",1+$AG$2,1-$AG$2)&lt;=3000,1,IF($F76*IF($C76="売",1+$AG$2,1-$AG$2)&lt;=5000,5,IF($F76*IF($C76="売",1+$AG$2,1-$AG$2)&lt;=30000,10,IF($F76*IF($C76="売",1+$AG$2,1-$AG$2)&lt;=50000,50,IF($F76*IF($C76="売",1+$AG$2,1-$AG$2)&lt;=300000,100,500))))))))</f>
      </c>
      <c r="O76" s="492">
        <f>IF(OR($B76="",$F76="",$H76=""),"",IF($S76="✅売却済","―決済済―",IF($C76="売",  IF($H76&lt;=$M76,"🟢利確",  IF(AND($R76&lt;&gt;"",$H76&gt;=$R76),"🟠TRAIL決済",  IF($H76&gt;=$N76,"🔴損切",  IF($W76&gt;=$AG$5,"⏱時間決済",  IF($H76&gt;=$F76*(1+$AG$2*0.7),"⚠️損切接近","保持継続"))))),  IF($H76&gt;=$M76,"🟢利確",  IF(AND($R76&lt;&gt;"",$H76&lt;=$R76),"🟠TRAIL決済",  IF($H76&lt;=$N76,"🔴損切",  IF($W76&gt;=$AG$5,"⏱時間決済",  IF($H76&lt;=$F76*(1-$AG$2*0.7),"⚠️損切接近","保持継続")))))))</f>
      </c>
      <c r="P76" s="491"/>
      <c r="Q76" s="491"/>
      <c r="R76" s="491">
        <f>IF(OR($F76="",$H76="",$N76=""),"",IF($S76="✅売却済","",IF($C76="売",  IF($H76&gt;$F76*(1-$AG$2),$N76,CEILING(MIN($N76,IF($Q76="",$N76,$Q76*1.03)),IF($N76&lt;=3000,1,IF($N76&lt;=5000,5,IF($N76&lt;=30000,10,IF($N76&lt;=50000,50,IF($N76&lt;=300000,100,500))))))),  IF($H76&lt;$F76*(1+$AG$2),$N76,FLOOR(MAX($N76,IF($P76="",$N76,$P76*0.97)),IF($N76&lt;=3000,1,IF($N76&lt;=5000,5,IF($N76&lt;=30000,10,IF($N76&lt;=50000,50,IF($N76&lt;=300000,100,500))))))))))</f>
      </c>
      <c r="S76" s="586" t="str">
        <f t="shared" si="38"/>
        <v/>
      </c>
      <c r="T76" s="594" t="str">
        <f t="shared" ca="1" si="27"/>
        <v/>
      </c>
      <c r="U76" s="491" t="str">
        <f t="shared" ca="1" si="28"/>
        <v/>
      </c>
      <c r="V76" s="701" t="str">
        <f t="shared" ca="1" si="39"/>
        <v/>
      </c>
      <c r="W76" s="493" t="str">
        <f t="shared" ca="1" si="29"/>
        <v/>
      </c>
      <c r="X76" s="489" t="str">
        <f t="shared" ca="1" si="30"/>
        <v/>
      </c>
      <c r="Y76" s="488">
        <f>IF($B76="","",IF(COUNTIFS($B$4:$B76,$B76,$C$4:$C76,$C76)&gt;1,"⛔重複"&amp;COUNTIFS($B$4:$B76,$B76,$C$4:$C76,$C76)&amp;"回目",""))</f>
      </c>
      <c r="Z76" s="710"/>
      <c r="AB76">
        <f>IF($F76="","",MAX(100,ROUNDDOWN($AG$4/($F76*$AG$2)/100,0)*100))</f>
      </c>
      <c r="AC76">
        <f>IF(OR($F76="",$G76="",$U76=""),"",ROUND($V76-($F76+$U76)*$G76*$AG$6-IF($C76="売",$F76*$G76*$AG$7*$W76/365,0),0))</f>
      </c>
      <c r="AD76" s="608"/>
      <c r="AE76" s="624" t="str">
        <f t="shared" si="31"/>
        <v/>
      </c>
      <c r="AF76" s="626"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26"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00" t="str">
        <f t="shared" ca="1" si="32"/>
        <v/>
      </c>
      <c r="AI76" s="600" t="str" cm="1">
        <f t="array" ref="AI76">IFERROR(INDEX(始値!$E$6:$BT$305,MATCH(TEXT($B76,"0"),TEXT(銘柄管理!$B$6:$B$305,"0"),0),MATCH($AE76,始値!$E$3:$BT$3,0)),"")</f>
        <v/>
      </c>
      <c r="AJ76" s="905" t="str">
        <f t="shared" ca="1" si="33"/>
        <v/>
      </c>
      <c r="AK76" s="629" t="str">
        <f t="shared" ca="1" si="34"/>
        <v/>
      </c>
    </row>
    <row r="77" spans="1:37" ht="35.4" customHeight="1">
      <c r="A77" s="619" t="str">
        <f t="shared" si="23"/>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BT$3,0)=1,1,MATCH($E77,始値!$E$3:$BT$3,0)+1)),_xlpm.v,INDEX(始値!$C$6:$B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 t="shared" ca="1" si="35"/>
        <v/>
      </c>
      <c r="L77" s="706" t="str">
        <f t="shared" ca="1" si="36"/>
        <v/>
      </c>
      <c r="M77" s="491">
        <f>IF($F77="","",IF($C77="売",CEILING($F77*IF($C77="売",1-$AG$3,1+$AG$3),IF($F77*IF($C77="売",1-$AG$3,1+$AG$3)&lt;=3000,1,IF($F77*IF($C77="売",1-$AG$3,1+$AG$3)&lt;=5000,5,IF($F77*IF($C77="売",1-$AG$3,1+$AG$3)&lt;=30000,10,IF($F77*IF($C77="売",1-$AG$3,1+$AG$3)&lt;=50000,50,IF($F77*IF($C77="売",1-$AG$3,1+$AG$3)&lt;=300000,100,500)))))),FLOOR($F77*IF($C77="売",1-$AG$3,1+$AG$3),IF($F77*IF($C77="売",1-$AG$3,1+$AG$3)&lt;=3000,1,IF($F77*IF($C77="売",1-$AG$3,1+$AG$3)&lt;=5000,5,IF($F77*IF($C77="売",1-$AG$3,1+$AG$3)&lt;=30000,10,IF($F77*IF($C77="売",1-$AG$3,1+$AG$3)&lt;=50000,50,IF($F77*IF($C77="売",1-$AG$3,1+$AG$3)&lt;=300000,100,500))))))))</f>
      </c>
      <c r="N77" s="491">
        <f>IF($F77="","",IF($C77="売",CEILING($F77*IF($C77="売",1+$AG$2,1-$AG$2),IF($F77*IF($C77="売",1+$AG$2,1-$AG$2)&lt;=3000,1,IF($F77*IF($C77="売",1+$AG$2,1-$AG$2)&lt;=5000,5,IF($F77*IF($C77="売",1+$AG$2,1-$AG$2)&lt;=30000,10,IF($F77*IF($C77="売",1+$AG$2,1-$AG$2)&lt;=50000,50,IF($F77*IF($C77="売",1+$AG$2,1-$AG$2)&lt;=300000,100,500)))))),FLOOR($F77*IF($C77="売",1+$AG$2,1-$AG$2),IF($F77*IF($C77="売",1+$AG$2,1-$AG$2)&lt;=3000,1,IF($F77*IF($C77="売",1+$AG$2,1-$AG$2)&lt;=5000,5,IF($F77*IF($C77="売",1+$AG$2,1-$AG$2)&lt;=30000,10,IF($F77*IF($C77="売",1+$AG$2,1-$AG$2)&lt;=50000,50,IF($F77*IF($C77="売",1+$AG$2,1-$AG$2)&lt;=300000,100,500))))))))</f>
      </c>
      <c r="O77" s="492">
        <f>IF(OR($B77="",$F77="",$H77=""),"",IF($S77="✅売却済","―決済済―",IF($C77="売",  IF($H77&lt;=$M77,"🟢利確",  IF(AND($R77&lt;&gt;"",$H77&gt;=$R77),"🟠TRAIL決済",  IF($H77&gt;=$N77,"🔴損切",  IF($W77&gt;=$AG$5,"⏱時間決済",  IF($H77&gt;=$F77*(1+$AG$2*0.7),"⚠️損切接近","保持継続"))))),  IF($H77&gt;=$M77,"🟢利確",  IF(AND($R77&lt;&gt;"",$H77&lt;=$R77),"🟠TRAIL決済",  IF($H77&lt;=$N77,"🔴損切",  IF($W77&gt;=$AG$5,"⏱時間決済",  IF($H77&lt;=$F77*(1-$AG$2*0.7),"⚠️損切接近","保持継続")))))))</f>
      </c>
      <c r="P77" s="491"/>
      <c r="Q77" s="491"/>
      <c r="R77" s="491">
        <f>IF(OR($F77="",$H77="",$N77=""),"",IF($S77="✅売却済","",IF($C77="売",  IF($H77&gt;$F77*(1-$AG$2),$N77,CEILING(MIN($N77,IF($Q77="",$N77,$Q77*1.03)),IF($N77&lt;=3000,1,IF($N77&lt;=5000,5,IF($N77&lt;=30000,10,IF($N77&lt;=50000,50,IF($N77&lt;=300000,100,500))))))),  IF($H77&lt;$F77*(1+$AG$2),$N77,FLOOR(MAX($N77,IF($P77="",$N77,$P77*0.97)),IF($N77&lt;=3000,1,IF($N77&lt;=5000,5,IF($N77&lt;=30000,10,IF($N77&lt;=50000,50,IF($N77&lt;=300000,100,500))))))))))</f>
      </c>
      <c r="S77" s="586" t="str">
        <f t="shared" si="38"/>
        <v/>
      </c>
      <c r="T77" s="594" t="str">
        <f t="shared" ca="1" si="27"/>
        <v/>
      </c>
      <c r="U77" s="491" t="str">
        <f t="shared" ca="1" si="28"/>
        <v/>
      </c>
      <c r="V77" s="701" t="str">
        <f t="shared" ca="1" si="39"/>
        <v/>
      </c>
      <c r="W77" s="493" t="str">
        <f t="shared" ca="1" si="29"/>
        <v/>
      </c>
      <c r="X77" s="489" t="str">
        <f t="shared" ca="1" si="30"/>
        <v/>
      </c>
      <c r="Y77" s="488">
        <f>IF($B77="","",IF(COUNTIFS($B$4:$B77,$B77,$C$4:$C77,$C77)&gt;1,"⛔重複"&amp;COUNTIFS($B$4:$B77,$B77,$C$4:$C77,$C77)&amp;"回目",""))</f>
      </c>
      <c r="Z77" s="710"/>
      <c r="AB77">
        <f>IF($F77="","",MAX(100,ROUNDDOWN($AG$4/($F77*$AG$2)/100,0)*100))</f>
      </c>
      <c r="AC77">
        <f>IF(OR($F77="",$G77="",$U77=""),"",ROUND($V77-($F77+$U77)*$G77*$AG$6-IF($C77="売",$F77*$G77*$AG$7*$W77/365,0),0))</f>
      </c>
      <c r="AD77" s="608"/>
      <c r="AE77" s="624" t="str">
        <f t="shared" si="31"/>
        <v/>
      </c>
      <c r="AF77" s="626"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26"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00" t="str">
        <f t="shared" ca="1" si="32"/>
        <v/>
      </c>
      <c r="AI77" s="600" t="str" cm="1">
        <f t="array" ref="AI77">IFERROR(INDEX(始値!$E$6:$BT$305,MATCH(TEXT($B77,"0"),TEXT(銘柄管理!$B$6:$B$305,"0"),0),MATCH($AE77,始値!$E$3:$BT$3,0)),"")</f>
        <v/>
      </c>
      <c r="AJ77" s="905" t="str">
        <f t="shared" ca="1" si="33"/>
        <v/>
      </c>
      <c r="AK77" s="629" t="str">
        <f t="shared" ca="1" si="34"/>
        <v/>
      </c>
    </row>
    <row r="78" spans="1:37" ht="35.4" customHeight="1">
      <c r="A78" s="619" t="str">
        <f t="shared" si="23"/>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BT$3,0)=1,1,MATCH($E78,始値!$E$3:$BT$3,0)+1)),_xlpm.v,INDEX(始値!$C$6:$B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 t="shared" ca="1" si="35"/>
        <v/>
      </c>
      <c r="L78" s="706" t="str">
        <f t="shared" ca="1" si="36"/>
        <v/>
      </c>
      <c r="M78" s="491">
        <f>IF($F78="","",IF($C78="売",CEILING($F78*IF($C78="売",1-$AG$3,1+$AG$3),IF($F78*IF($C78="売",1-$AG$3,1+$AG$3)&lt;=3000,1,IF($F78*IF($C78="売",1-$AG$3,1+$AG$3)&lt;=5000,5,IF($F78*IF($C78="売",1-$AG$3,1+$AG$3)&lt;=30000,10,IF($F78*IF($C78="売",1-$AG$3,1+$AG$3)&lt;=50000,50,IF($F78*IF($C78="売",1-$AG$3,1+$AG$3)&lt;=300000,100,500)))))),FLOOR($F78*IF($C78="売",1-$AG$3,1+$AG$3),IF($F78*IF($C78="売",1-$AG$3,1+$AG$3)&lt;=3000,1,IF($F78*IF($C78="売",1-$AG$3,1+$AG$3)&lt;=5000,5,IF($F78*IF($C78="売",1-$AG$3,1+$AG$3)&lt;=30000,10,IF($F78*IF($C78="売",1-$AG$3,1+$AG$3)&lt;=50000,50,IF($F78*IF($C78="売",1-$AG$3,1+$AG$3)&lt;=300000,100,500))))))))</f>
      </c>
      <c r="N78" s="491">
        <f>IF($F78="","",IF($C78="売",CEILING($F78*IF($C78="売",1+$AG$2,1-$AG$2),IF($F78*IF($C78="売",1+$AG$2,1-$AG$2)&lt;=3000,1,IF($F78*IF($C78="売",1+$AG$2,1-$AG$2)&lt;=5000,5,IF($F78*IF($C78="売",1+$AG$2,1-$AG$2)&lt;=30000,10,IF($F78*IF($C78="売",1+$AG$2,1-$AG$2)&lt;=50000,50,IF($F78*IF($C78="売",1+$AG$2,1-$AG$2)&lt;=300000,100,500)))))),FLOOR($F78*IF($C78="売",1+$AG$2,1-$AG$2),IF($F78*IF($C78="売",1+$AG$2,1-$AG$2)&lt;=3000,1,IF($F78*IF($C78="売",1+$AG$2,1-$AG$2)&lt;=5000,5,IF($F78*IF($C78="売",1+$AG$2,1-$AG$2)&lt;=30000,10,IF($F78*IF($C78="売",1+$AG$2,1-$AG$2)&lt;=50000,50,IF($F78*IF($C78="売",1+$AG$2,1-$AG$2)&lt;=300000,100,500))))))))</f>
      </c>
      <c r="O78" s="492">
        <f>IF(OR($B78="",$F78="",$H78=""),"",IF($S78="✅売却済","―決済済―",IF($C78="売",  IF($H78&lt;=$M78,"🟢利確",  IF(AND($R78&lt;&gt;"",$H78&gt;=$R78),"🟠TRAIL決済",  IF($H78&gt;=$N78,"🔴損切",  IF($W78&gt;=$AG$5,"⏱時間決済",  IF($H78&gt;=$F78*(1+$AG$2*0.7),"⚠️損切接近","保持継続"))))),  IF($H78&gt;=$M78,"🟢利確",  IF(AND($R78&lt;&gt;"",$H78&lt;=$R78),"🟠TRAIL決済",  IF($H78&lt;=$N78,"🔴損切",  IF($W78&gt;=$AG$5,"⏱時間決済",  IF($H78&lt;=$F78*(1-$AG$2*0.7),"⚠️損切接近","保持継続")))))))</f>
      </c>
      <c r="P78" s="491"/>
      <c r="Q78" s="491"/>
      <c r="R78" s="491">
        <f>IF(OR($F78="",$H78="",$N78=""),"",IF($S78="✅売却済","",IF($C78="売",  IF($H78&gt;$F78*(1-$AG$2),$N78,CEILING(MIN($N78,IF($Q78="",$N78,$Q78*1.03)),IF($N78&lt;=3000,1,IF($N78&lt;=5000,5,IF($N78&lt;=30000,10,IF($N78&lt;=50000,50,IF($N78&lt;=300000,100,500))))))),  IF($H78&lt;$F78*(1+$AG$2),$N78,FLOOR(MAX($N78,IF($P78="",$N78,$P78*0.97)),IF($N78&lt;=3000,1,IF($N78&lt;=5000,5,IF($N78&lt;=30000,10,IF($N78&lt;=50000,50,IF($N78&lt;=300000,100,500))))))))))</f>
      </c>
      <c r="S78" s="586" t="str">
        <f t="shared" si="38"/>
        <v/>
      </c>
      <c r="T78" s="594" t="str">
        <f t="shared" ca="1" si="27"/>
        <v/>
      </c>
      <c r="U78" s="491" t="str">
        <f t="shared" ca="1" si="28"/>
        <v/>
      </c>
      <c r="V78" s="701" t="str">
        <f t="shared" ca="1" si="39"/>
        <v/>
      </c>
      <c r="W78" s="493" t="str">
        <f t="shared" ca="1" si="29"/>
        <v/>
      </c>
      <c r="X78" s="489" t="str">
        <f t="shared" ca="1" si="30"/>
        <v/>
      </c>
      <c r="Y78" s="488">
        <f>IF($B78="","",IF(COUNTIFS($B$4:$B78,$B78,$C$4:$C78,$C78)&gt;1,"⛔重複"&amp;COUNTIFS($B$4:$B78,$B78,$C$4:$C78,$C78)&amp;"回目",""))</f>
      </c>
      <c r="Z78" s="710"/>
      <c r="AB78">
        <f>IF($F78="","",MAX(100,ROUNDDOWN($AG$4/($F78*$AG$2)/100,0)*100))</f>
      </c>
      <c r="AC78">
        <f>IF(OR($F78="",$G78="",$U78=""),"",ROUND($V78-($F78+$U78)*$G78*$AG$6-IF($C78="売",$F78*$G78*$AG$7*$W78/365,0),0))</f>
      </c>
      <c r="AD78" s="608"/>
      <c r="AE78" s="624" t="str">
        <f t="shared" si="31"/>
        <v/>
      </c>
      <c r="AF78" s="626"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26"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00" t="str">
        <f t="shared" ca="1" si="32"/>
        <v/>
      </c>
      <c r="AI78" s="600" t="str" cm="1">
        <f t="array" ref="AI78">IFERROR(INDEX(始値!$E$6:$BT$305,MATCH(TEXT($B78,"0"),TEXT(銘柄管理!$B$6:$B$305,"0"),0),MATCH($AE78,始値!$E$3:$BT$3,0)),"")</f>
        <v/>
      </c>
      <c r="AJ78" s="905" t="str">
        <f t="shared" ca="1" si="33"/>
        <v/>
      </c>
      <c r="AK78" s="629" t="str">
        <f t="shared" ca="1" si="34"/>
        <v/>
      </c>
    </row>
    <row r="79" spans="1:37" ht="35.4" customHeight="1">
      <c r="A79" s="619" t="str">
        <f t="shared" si="23"/>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BT$3,0)=1,1,MATCH($E79,始値!$E$3:$BT$3,0)+1)),_xlpm.v,INDEX(始値!$C$6:$B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 t="shared" ca="1" si="35"/>
        <v/>
      </c>
      <c r="L79" s="706" t="str">
        <f t="shared" ca="1" si="36"/>
        <v/>
      </c>
      <c r="M79" s="491">
        <f>IF($F79="","",IF($C79="売",CEILING($F79*IF($C79="売",1-$AG$3,1+$AG$3),IF($F79*IF($C79="売",1-$AG$3,1+$AG$3)&lt;=3000,1,IF($F79*IF($C79="売",1-$AG$3,1+$AG$3)&lt;=5000,5,IF($F79*IF($C79="売",1-$AG$3,1+$AG$3)&lt;=30000,10,IF($F79*IF($C79="売",1-$AG$3,1+$AG$3)&lt;=50000,50,IF($F79*IF($C79="売",1-$AG$3,1+$AG$3)&lt;=300000,100,500)))))),FLOOR($F79*IF($C79="売",1-$AG$3,1+$AG$3),IF($F79*IF($C79="売",1-$AG$3,1+$AG$3)&lt;=3000,1,IF($F79*IF($C79="売",1-$AG$3,1+$AG$3)&lt;=5000,5,IF($F79*IF($C79="売",1-$AG$3,1+$AG$3)&lt;=30000,10,IF($F79*IF($C79="売",1-$AG$3,1+$AG$3)&lt;=50000,50,IF($F79*IF($C79="売",1-$AG$3,1+$AG$3)&lt;=300000,100,500))))))))</f>
      </c>
      <c r="N79" s="491">
        <f>IF($F79="","",IF($C79="売",CEILING($F79*IF($C79="売",1+$AG$2,1-$AG$2),IF($F79*IF($C79="売",1+$AG$2,1-$AG$2)&lt;=3000,1,IF($F79*IF($C79="売",1+$AG$2,1-$AG$2)&lt;=5000,5,IF($F79*IF($C79="売",1+$AG$2,1-$AG$2)&lt;=30000,10,IF($F79*IF($C79="売",1+$AG$2,1-$AG$2)&lt;=50000,50,IF($F79*IF($C79="売",1+$AG$2,1-$AG$2)&lt;=300000,100,500)))))),FLOOR($F79*IF($C79="売",1+$AG$2,1-$AG$2),IF($F79*IF($C79="売",1+$AG$2,1-$AG$2)&lt;=3000,1,IF($F79*IF($C79="売",1+$AG$2,1-$AG$2)&lt;=5000,5,IF($F79*IF($C79="売",1+$AG$2,1-$AG$2)&lt;=30000,10,IF($F79*IF($C79="売",1+$AG$2,1-$AG$2)&lt;=50000,50,IF($F79*IF($C79="売",1+$AG$2,1-$AG$2)&lt;=300000,100,500))))))))</f>
      </c>
      <c r="O79" s="492">
        <f>IF(OR($B79="",$F79="",$H79=""),"",IF($S79="✅売却済","―決済済―",IF($C79="売",  IF($H79&lt;=$M79,"🟢利確",  IF(AND($R79&lt;&gt;"",$H79&gt;=$R79),"🟠TRAIL決済",  IF($H79&gt;=$N79,"🔴損切",  IF($W79&gt;=$AG$5,"⏱時間決済",  IF($H79&gt;=$F79*(1+$AG$2*0.7),"⚠️損切接近","保持継続"))))),  IF($H79&gt;=$M79,"🟢利確",  IF(AND($R79&lt;&gt;"",$H79&lt;=$R79),"🟠TRAIL決済",  IF($H79&lt;=$N79,"🔴損切",  IF($W79&gt;=$AG$5,"⏱時間決済",  IF($H79&lt;=$F79*(1-$AG$2*0.7),"⚠️損切接近","保持継続")))))))</f>
      </c>
      <c r="P79" s="491"/>
      <c r="Q79" s="491"/>
      <c r="R79" s="491">
        <f>IF(OR($F79="",$H79="",$N79=""),"",IF($S79="✅売却済","",IF($C79="売",  IF($H79&gt;$F79*(1-$AG$2),$N79,CEILING(MIN($N79,IF($Q79="",$N79,$Q79*1.03)),IF($N79&lt;=3000,1,IF($N79&lt;=5000,5,IF($N79&lt;=30000,10,IF($N79&lt;=50000,50,IF($N79&lt;=300000,100,500))))))),  IF($H79&lt;$F79*(1+$AG$2),$N79,FLOOR(MAX($N79,IF($P79="",$N79,$P79*0.97)),IF($N79&lt;=3000,1,IF($N79&lt;=5000,5,IF($N79&lt;=30000,10,IF($N79&lt;=50000,50,IF($N79&lt;=300000,100,500))))))))))</f>
      </c>
      <c r="S79" s="586" t="str">
        <f t="shared" si="38"/>
        <v/>
      </c>
      <c r="T79" s="594" t="str">
        <f t="shared" ca="1" si="27"/>
        <v/>
      </c>
      <c r="U79" s="491" t="str">
        <f t="shared" ca="1" si="28"/>
        <v/>
      </c>
      <c r="V79" s="701" t="str">
        <f t="shared" ca="1" si="39"/>
        <v/>
      </c>
      <c r="W79" s="493" t="str">
        <f t="shared" ca="1" si="29"/>
        <v/>
      </c>
      <c r="X79" s="489" t="str">
        <f t="shared" ca="1" si="30"/>
        <v/>
      </c>
      <c r="Y79" s="488">
        <f>IF($B79="","",IF(COUNTIFS($B$4:$B79,$B79,$C$4:$C79,$C79)&gt;1,"⛔重複"&amp;COUNTIFS($B$4:$B79,$B79,$C$4:$C79,$C79)&amp;"回目",""))</f>
      </c>
      <c r="Z79" s="710"/>
      <c r="AB79">
        <f>IF($F79="","",MAX(100,ROUNDDOWN($AG$4/($F79*$AG$2)/100,0)*100))</f>
      </c>
      <c r="AC79">
        <f>IF(OR($F79="",$G79="",$U79=""),"",ROUND($V79-($F79+$U79)*$G79*$AG$6-IF($C79="売",$F79*$G79*$AG$7*$W79/365,0),0))</f>
      </c>
      <c r="AD79" s="608"/>
      <c r="AE79" s="624" t="str">
        <f t="shared" si="31"/>
        <v/>
      </c>
      <c r="AF79" s="626"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26"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00" t="str">
        <f t="shared" ca="1" si="32"/>
        <v/>
      </c>
      <c r="AI79" s="600" t="str" cm="1">
        <f t="array" ref="AI79">IFERROR(INDEX(始値!$E$6:$BT$305,MATCH(TEXT($B79,"0"),TEXT(銘柄管理!$B$6:$B$305,"0"),0),MATCH($AE79,始値!$E$3:$BT$3,0)),"")</f>
        <v/>
      </c>
      <c r="AJ79" s="905" t="str">
        <f t="shared" ca="1" si="33"/>
        <v/>
      </c>
      <c r="AK79" s="629" t="str">
        <f t="shared" ca="1" si="34"/>
        <v/>
      </c>
    </row>
    <row r="80" spans="1:37" ht="35.4" customHeight="1">
      <c r="A80" s="619" t="str">
        <f t="shared" si="23"/>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BT$3,0)=1,1,MATCH($E80,始値!$E$3:$BT$3,0)+1)),_xlpm.v,INDEX(始値!$C$6:$B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 t="shared" ca="1" si="35"/>
        <v/>
      </c>
      <c r="L80" s="706" t="str">
        <f t="shared" ca="1" si="36"/>
        <v/>
      </c>
      <c r="M80" s="491">
        <f>IF($F80="","",IF($C80="売",CEILING($F80*IF($C80="売",1-$AG$3,1+$AG$3),IF($F80*IF($C80="売",1-$AG$3,1+$AG$3)&lt;=3000,1,IF($F80*IF($C80="売",1-$AG$3,1+$AG$3)&lt;=5000,5,IF($F80*IF($C80="売",1-$AG$3,1+$AG$3)&lt;=30000,10,IF($F80*IF($C80="売",1-$AG$3,1+$AG$3)&lt;=50000,50,IF($F80*IF($C80="売",1-$AG$3,1+$AG$3)&lt;=300000,100,500)))))),FLOOR($F80*IF($C80="売",1-$AG$3,1+$AG$3),IF($F80*IF($C80="売",1-$AG$3,1+$AG$3)&lt;=3000,1,IF($F80*IF($C80="売",1-$AG$3,1+$AG$3)&lt;=5000,5,IF($F80*IF($C80="売",1-$AG$3,1+$AG$3)&lt;=30000,10,IF($F80*IF($C80="売",1-$AG$3,1+$AG$3)&lt;=50000,50,IF($F80*IF($C80="売",1-$AG$3,1+$AG$3)&lt;=300000,100,500))))))))</f>
      </c>
      <c r="N80" s="491">
        <f>IF($F80="","",IF($C80="売",CEILING($F80*IF($C80="売",1+$AG$2,1-$AG$2),IF($F80*IF($C80="売",1+$AG$2,1-$AG$2)&lt;=3000,1,IF($F80*IF($C80="売",1+$AG$2,1-$AG$2)&lt;=5000,5,IF($F80*IF($C80="売",1+$AG$2,1-$AG$2)&lt;=30000,10,IF($F80*IF($C80="売",1+$AG$2,1-$AG$2)&lt;=50000,50,IF($F80*IF($C80="売",1+$AG$2,1-$AG$2)&lt;=300000,100,500)))))),FLOOR($F80*IF($C80="売",1+$AG$2,1-$AG$2),IF($F80*IF($C80="売",1+$AG$2,1-$AG$2)&lt;=3000,1,IF($F80*IF($C80="売",1+$AG$2,1-$AG$2)&lt;=5000,5,IF($F80*IF($C80="売",1+$AG$2,1-$AG$2)&lt;=30000,10,IF($F80*IF($C80="売",1+$AG$2,1-$AG$2)&lt;=50000,50,IF($F80*IF($C80="売",1+$AG$2,1-$AG$2)&lt;=300000,100,500))))))))</f>
      </c>
      <c r="O80" s="492">
        <f>IF(OR($B80="",$F80="",$H80=""),"",IF($S80="✅売却済","―決済済―",IF($C80="売",  IF($H80&lt;=$M80,"🟢利確",  IF(AND($R80&lt;&gt;"",$H80&gt;=$R80),"🟠TRAIL決済",  IF($H80&gt;=$N80,"🔴損切",  IF($W80&gt;=$AG$5,"⏱時間決済",  IF($H80&gt;=$F80*(1+$AG$2*0.7),"⚠️損切接近","保持継続"))))),  IF($H80&gt;=$M80,"🟢利確",  IF(AND($R80&lt;&gt;"",$H80&lt;=$R80),"🟠TRAIL決済",  IF($H80&lt;=$N80,"🔴損切",  IF($W80&gt;=$AG$5,"⏱時間決済",  IF($H80&lt;=$F80*(1-$AG$2*0.7),"⚠️損切接近","保持継続")))))))</f>
      </c>
      <c r="P80" s="491"/>
      <c r="Q80" s="491"/>
      <c r="R80" s="491">
        <f>IF(OR($F80="",$H80="",$N80=""),"",IF($S80="✅売却済","",IF($C80="売",  IF($H80&gt;$F80*(1-$AG$2),$N80,CEILING(MIN($N80,IF($Q80="",$N80,$Q80*1.03)),IF($N80&lt;=3000,1,IF($N80&lt;=5000,5,IF($N80&lt;=30000,10,IF($N80&lt;=50000,50,IF($N80&lt;=300000,100,500))))))),  IF($H80&lt;$F80*(1+$AG$2),$N80,FLOOR(MAX($N80,IF($P80="",$N80,$P80*0.97)),IF($N80&lt;=3000,1,IF($N80&lt;=5000,5,IF($N80&lt;=30000,10,IF($N80&lt;=50000,50,IF($N80&lt;=300000,100,500))))))))))</f>
      </c>
      <c r="S80" s="586" t="str">
        <f t="shared" si="38"/>
        <v/>
      </c>
      <c r="T80" s="594" t="str">
        <f t="shared" ca="1" si="27"/>
        <v/>
      </c>
      <c r="U80" s="491" t="str">
        <f t="shared" ca="1" si="28"/>
        <v/>
      </c>
      <c r="V80" s="701" t="str">
        <f t="shared" ca="1" si="39"/>
        <v/>
      </c>
      <c r="W80" s="493" t="str">
        <f t="shared" ca="1" si="29"/>
        <v/>
      </c>
      <c r="X80" s="489" t="str">
        <f t="shared" ca="1" si="30"/>
        <v/>
      </c>
      <c r="Y80" s="488">
        <f>IF($B80="","",IF(COUNTIFS($B$4:$B80,$B80,$C$4:$C80,$C80)&gt;1,"⛔重複"&amp;COUNTIFS($B$4:$B80,$B80,$C$4:$C80,$C80)&amp;"回目",""))</f>
      </c>
      <c r="Z80" s="710"/>
      <c r="AB80">
        <f>IF($F80="","",MAX(100,ROUNDDOWN($AG$4/($F80*$AG$2)/100,0)*100))</f>
      </c>
      <c r="AC80">
        <f>IF(OR($F80="",$G80="",$U80=""),"",ROUND($V80-($F80+$U80)*$G80*$AG$6-IF($C80="売",$F80*$G80*$AG$7*$W80/365,0),0))</f>
      </c>
      <c r="AD80" s="608"/>
      <c r="AE80" s="624" t="str">
        <f t="shared" si="31"/>
        <v/>
      </c>
      <c r="AF80" s="626"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26"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00" t="str">
        <f t="shared" ca="1" si="32"/>
        <v/>
      </c>
      <c r="AI80" s="600" t="str" cm="1">
        <f t="array" ref="AI80">IFERROR(INDEX(始値!$E$6:$BT$305,MATCH(TEXT($B80,"0"),TEXT(銘柄管理!$B$6:$B$305,"0"),0),MATCH($AE80,始値!$E$3:$BT$3,0)),"")</f>
        <v/>
      </c>
      <c r="AJ80" s="905" t="str">
        <f t="shared" ca="1" si="33"/>
        <v/>
      </c>
      <c r="AK80" s="629" t="str">
        <f t="shared" ca="1" si="34"/>
        <v/>
      </c>
    </row>
    <row r="81" spans="1:37" ht="35.4" customHeight="1">
      <c r="A81" s="619" t="str">
        <f t="shared" si="23"/>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BT$3,0)=1,1,MATCH($E81,始値!$E$3:$BT$3,0)+1)),_xlpm.v,INDEX(始値!$C$6:$B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 t="shared" ca="1" si="35"/>
        <v/>
      </c>
      <c r="L81" s="706" t="str">
        <f t="shared" ca="1" si="36"/>
        <v/>
      </c>
      <c r="M81" s="491">
        <f>IF($F81="","",IF($C81="売",CEILING($F81*IF($C81="売",1-$AG$3,1+$AG$3),IF($F81*IF($C81="売",1-$AG$3,1+$AG$3)&lt;=3000,1,IF($F81*IF($C81="売",1-$AG$3,1+$AG$3)&lt;=5000,5,IF($F81*IF($C81="売",1-$AG$3,1+$AG$3)&lt;=30000,10,IF($F81*IF($C81="売",1-$AG$3,1+$AG$3)&lt;=50000,50,IF($F81*IF($C81="売",1-$AG$3,1+$AG$3)&lt;=300000,100,500)))))),FLOOR($F81*IF($C81="売",1-$AG$3,1+$AG$3),IF($F81*IF($C81="売",1-$AG$3,1+$AG$3)&lt;=3000,1,IF($F81*IF($C81="売",1-$AG$3,1+$AG$3)&lt;=5000,5,IF($F81*IF($C81="売",1-$AG$3,1+$AG$3)&lt;=30000,10,IF($F81*IF($C81="売",1-$AG$3,1+$AG$3)&lt;=50000,50,IF($F81*IF($C81="売",1-$AG$3,1+$AG$3)&lt;=300000,100,500))))))))</f>
      </c>
      <c r="N81" s="491">
        <f>IF($F81="","",IF($C81="売",CEILING($F81*IF($C81="売",1+$AG$2,1-$AG$2),IF($F81*IF($C81="売",1+$AG$2,1-$AG$2)&lt;=3000,1,IF($F81*IF($C81="売",1+$AG$2,1-$AG$2)&lt;=5000,5,IF($F81*IF($C81="売",1+$AG$2,1-$AG$2)&lt;=30000,10,IF($F81*IF($C81="売",1+$AG$2,1-$AG$2)&lt;=50000,50,IF($F81*IF($C81="売",1+$AG$2,1-$AG$2)&lt;=300000,100,500)))))),FLOOR($F81*IF($C81="売",1+$AG$2,1-$AG$2),IF($F81*IF($C81="売",1+$AG$2,1-$AG$2)&lt;=3000,1,IF($F81*IF($C81="売",1+$AG$2,1-$AG$2)&lt;=5000,5,IF($F81*IF($C81="売",1+$AG$2,1-$AG$2)&lt;=30000,10,IF($F81*IF($C81="売",1+$AG$2,1-$AG$2)&lt;=50000,50,IF($F81*IF($C81="売",1+$AG$2,1-$AG$2)&lt;=300000,100,500))))))))</f>
      </c>
      <c r="O81" s="492">
        <f>IF(OR($B81="",$F81="",$H81=""),"",IF($S81="✅売却済","―決済済―",IF($C81="売",  IF($H81&lt;=$M81,"🟢利確",  IF(AND($R81&lt;&gt;"",$H81&gt;=$R81),"🟠TRAIL決済",  IF($H81&gt;=$N81,"🔴損切",  IF($W81&gt;=$AG$5,"⏱時間決済",  IF($H81&gt;=$F81*(1+$AG$2*0.7),"⚠️損切接近","保持継続"))))),  IF($H81&gt;=$M81,"🟢利確",  IF(AND($R81&lt;&gt;"",$H81&lt;=$R81),"🟠TRAIL決済",  IF($H81&lt;=$N81,"🔴損切",  IF($W81&gt;=$AG$5,"⏱時間決済",  IF($H81&lt;=$F81*(1-$AG$2*0.7),"⚠️損切接近","保持継続")))))))</f>
      </c>
      <c r="P81" s="491"/>
      <c r="Q81" s="491"/>
      <c r="R81" s="491">
        <f>IF(OR($F81="",$H81="",$N81=""),"",IF($S81="✅売却済","",IF($C81="売",  IF($H81&gt;$F81*(1-$AG$2),$N81,CEILING(MIN($N81,IF($Q81="",$N81,$Q81*1.03)),IF($N81&lt;=3000,1,IF($N81&lt;=5000,5,IF($N81&lt;=30000,10,IF($N81&lt;=50000,50,IF($N81&lt;=300000,100,500))))))),  IF($H81&lt;$F81*(1+$AG$2),$N81,FLOOR(MAX($N81,IF($P81="",$N81,$P81*0.97)),IF($N81&lt;=3000,1,IF($N81&lt;=5000,5,IF($N81&lt;=30000,10,IF($N81&lt;=50000,50,IF($N81&lt;=300000,100,500))))))))))</f>
      </c>
      <c r="S81" s="586" t="str">
        <f t="shared" si="38"/>
        <v/>
      </c>
      <c r="T81" s="594" t="str">
        <f t="shared" ca="1" si="27"/>
        <v/>
      </c>
      <c r="U81" s="491" t="str">
        <f t="shared" ca="1" si="28"/>
        <v/>
      </c>
      <c r="V81" s="701" t="str">
        <f t="shared" ca="1" si="39"/>
        <v/>
      </c>
      <c r="W81" s="493" t="str">
        <f t="shared" ca="1" si="29"/>
        <v/>
      </c>
      <c r="X81" s="489" t="str">
        <f t="shared" ca="1" si="30"/>
        <v/>
      </c>
      <c r="Y81" s="488">
        <f>IF($B81="","",IF(COUNTIFS($B$4:$B81,$B81,$C$4:$C81,$C81)&gt;1,"⛔重複"&amp;COUNTIFS($B$4:$B81,$B81,$C$4:$C81,$C81)&amp;"回目",""))</f>
      </c>
      <c r="Z81" s="710"/>
      <c r="AB81">
        <f>IF($F81="","",MAX(100,ROUNDDOWN($AG$4/($F81*$AG$2)/100,0)*100))</f>
      </c>
      <c r="AC81">
        <f>IF(OR($F81="",$G81="",$U81=""),"",ROUND($V81-($F81+$U81)*$G81*$AG$6-IF($C81="売",$F81*$G81*$AG$7*$W81/365,0),0))</f>
      </c>
      <c r="AD81" s="608"/>
      <c r="AE81" s="624" t="str">
        <f t="shared" si="31"/>
        <v/>
      </c>
      <c r="AF81" s="626"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26"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00" t="str">
        <f t="shared" ca="1" si="32"/>
        <v/>
      </c>
      <c r="AI81" s="600" t="str" cm="1">
        <f t="array" ref="AI81">IFERROR(INDEX(始値!$E$6:$BT$305,MATCH(TEXT($B81,"0"),TEXT(銘柄管理!$B$6:$B$305,"0"),0),MATCH($AE81,始値!$E$3:$BT$3,0)),"")</f>
        <v/>
      </c>
      <c r="AJ81" s="905" t="str">
        <f t="shared" ca="1" si="33"/>
        <v/>
      </c>
      <c r="AK81" s="629" t="str">
        <f t="shared" ca="1" si="34"/>
        <v/>
      </c>
    </row>
    <row r="82" spans="1:37" ht="35.4" customHeight="1">
      <c r="A82" s="619" t="str">
        <f t="shared" si="23"/>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BT$3,0)=1,1,MATCH($E82,始値!$E$3:$BT$3,0)+1)),_xlpm.v,INDEX(始値!$C$6:$B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 t="shared" ca="1" si="35"/>
        <v/>
      </c>
      <c r="L82" s="706" t="str">
        <f t="shared" ca="1" si="36"/>
        <v/>
      </c>
      <c r="M82" s="491">
        <f>IF($F82="","",IF($C82="売",CEILING($F82*IF($C82="売",1-$AG$3,1+$AG$3),IF($F82*IF($C82="売",1-$AG$3,1+$AG$3)&lt;=3000,1,IF($F82*IF($C82="売",1-$AG$3,1+$AG$3)&lt;=5000,5,IF($F82*IF($C82="売",1-$AG$3,1+$AG$3)&lt;=30000,10,IF($F82*IF($C82="売",1-$AG$3,1+$AG$3)&lt;=50000,50,IF($F82*IF($C82="売",1-$AG$3,1+$AG$3)&lt;=300000,100,500)))))),FLOOR($F82*IF($C82="売",1-$AG$3,1+$AG$3),IF($F82*IF($C82="売",1-$AG$3,1+$AG$3)&lt;=3000,1,IF($F82*IF($C82="売",1-$AG$3,1+$AG$3)&lt;=5000,5,IF($F82*IF($C82="売",1-$AG$3,1+$AG$3)&lt;=30000,10,IF($F82*IF($C82="売",1-$AG$3,1+$AG$3)&lt;=50000,50,IF($F82*IF($C82="売",1-$AG$3,1+$AG$3)&lt;=300000,100,500))))))))</f>
      </c>
      <c r="N82" s="491">
        <f>IF($F82="","",IF($C82="売",CEILING($F82*IF($C82="売",1+$AG$2,1-$AG$2),IF($F82*IF($C82="売",1+$AG$2,1-$AG$2)&lt;=3000,1,IF($F82*IF($C82="売",1+$AG$2,1-$AG$2)&lt;=5000,5,IF($F82*IF($C82="売",1+$AG$2,1-$AG$2)&lt;=30000,10,IF($F82*IF($C82="売",1+$AG$2,1-$AG$2)&lt;=50000,50,IF($F82*IF($C82="売",1+$AG$2,1-$AG$2)&lt;=300000,100,500)))))),FLOOR($F82*IF($C82="売",1+$AG$2,1-$AG$2),IF($F82*IF($C82="売",1+$AG$2,1-$AG$2)&lt;=3000,1,IF($F82*IF($C82="売",1+$AG$2,1-$AG$2)&lt;=5000,5,IF($F82*IF($C82="売",1+$AG$2,1-$AG$2)&lt;=30000,10,IF($F82*IF($C82="売",1+$AG$2,1-$AG$2)&lt;=50000,50,IF($F82*IF($C82="売",1+$AG$2,1-$AG$2)&lt;=300000,100,500))))))))</f>
      </c>
      <c r="O82" s="492">
        <f>IF(OR($B82="",$F82="",$H82=""),"",IF($S82="✅売却済","―決済済―",IF($C82="売",  IF($H82&lt;=$M82,"🟢利確",  IF(AND($R82&lt;&gt;"",$H82&gt;=$R82),"🟠TRAIL決済",  IF($H82&gt;=$N82,"🔴損切",  IF($W82&gt;=$AG$5,"⏱時間決済",  IF($H82&gt;=$F82*(1+$AG$2*0.7),"⚠️損切接近","保持継続"))))),  IF($H82&gt;=$M82,"🟢利確",  IF(AND($R82&lt;&gt;"",$H82&lt;=$R82),"🟠TRAIL決済",  IF($H82&lt;=$N82,"🔴損切",  IF($W82&gt;=$AG$5,"⏱時間決済",  IF($H82&lt;=$F82*(1-$AG$2*0.7),"⚠️損切接近","保持継続")))))))</f>
      </c>
      <c r="P82" s="491"/>
      <c r="Q82" s="491"/>
      <c r="R82" s="491">
        <f>IF(OR($F82="",$H82="",$N82=""),"",IF($S82="✅売却済","",IF($C82="売",  IF($H82&gt;$F82*(1-$AG$2),$N82,CEILING(MIN($N82,IF($Q82="",$N82,$Q82*1.03)),IF($N82&lt;=3000,1,IF($N82&lt;=5000,5,IF($N82&lt;=30000,10,IF($N82&lt;=50000,50,IF($N82&lt;=300000,100,500))))))),  IF($H82&lt;$F82*(1+$AG$2),$N82,FLOOR(MAX($N82,IF($P82="",$N82,$P82*0.97)),IF($N82&lt;=3000,1,IF($N82&lt;=5000,5,IF($N82&lt;=30000,10,IF($N82&lt;=50000,50,IF($N82&lt;=300000,100,500))))))))))</f>
      </c>
      <c r="S82" s="586" t="str">
        <f t="shared" si="38"/>
        <v/>
      </c>
      <c r="T82" s="594" t="str">
        <f t="shared" ca="1" si="27"/>
        <v/>
      </c>
      <c r="U82" s="491" t="str">
        <f t="shared" ca="1" si="28"/>
        <v/>
      </c>
      <c r="V82" s="701" t="str">
        <f t="shared" ca="1" si="39"/>
        <v/>
      </c>
      <c r="W82" s="493" t="str">
        <f t="shared" ca="1" si="29"/>
        <v/>
      </c>
      <c r="X82" s="489" t="str">
        <f t="shared" ca="1" si="30"/>
        <v/>
      </c>
      <c r="Y82" s="488">
        <f>IF($B82="","",IF(COUNTIFS($B$4:$B82,$B82,$C$4:$C82,$C82)&gt;1,"⛔重複"&amp;COUNTIFS($B$4:$B82,$B82,$C$4:$C82,$C82)&amp;"回目",""))</f>
      </c>
      <c r="Z82" s="710"/>
      <c r="AB82">
        <f>IF($F82="","",MAX(100,ROUNDDOWN($AG$4/($F82*$AG$2)/100,0)*100))</f>
      </c>
      <c r="AC82">
        <f>IF(OR($F82="",$G82="",$U82=""),"",ROUND($V82-($F82+$U82)*$G82*$AG$6-IF($C82="売",$F82*$G82*$AG$7*$W82/365,0),0))</f>
      </c>
      <c r="AD82" s="608"/>
      <c r="AE82" s="624" t="str">
        <f t="shared" si="31"/>
        <v/>
      </c>
      <c r="AF82" s="626"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26"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00" t="str">
        <f t="shared" ca="1" si="32"/>
        <v/>
      </c>
      <c r="AI82" s="600" t="str" cm="1">
        <f t="array" ref="AI82">IFERROR(INDEX(始値!$E$6:$BT$305,MATCH(TEXT($B82,"0"),TEXT(銘柄管理!$B$6:$B$305,"0"),0),MATCH($AE82,始値!$E$3:$BT$3,0)),"")</f>
        <v/>
      </c>
      <c r="AJ82" s="905" t="str">
        <f t="shared" ca="1" si="33"/>
        <v/>
      </c>
      <c r="AK82" s="629" t="str">
        <f t="shared" ca="1" si="34"/>
        <v/>
      </c>
    </row>
    <row r="83" spans="1:37" ht="35.4" customHeight="1">
      <c r="A83" s="619" t="str">
        <f t="shared" si="23"/>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BT$3,0)=1,1,MATCH($E83,始値!$E$3:$BT$3,0)+1)),_xlpm.v,INDEX(始値!$C$6:$B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 t="shared" ca="1" si="35"/>
        <v/>
      </c>
      <c r="L83" s="706" t="str">
        <f t="shared" ca="1" si="36"/>
        <v/>
      </c>
      <c r="M83" s="491">
        <f>IF($F83="","",IF($C83="売",CEILING($F83*IF($C83="売",1-$AG$3,1+$AG$3),IF($F83*IF($C83="売",1-$AG$3,1+$AG$3)&lt;=3000,1,IF($F83*IF($C83="売",1-$AG$3,1+$AG$3)&lt;=5000,5,IF($F83*IF($C83="売",1-$AG$3,1+$AG$3)&lt;=30000,10,IF($F83*IF($C83="売",1-$AG$3,1+$AG$3)&lt;=50000,50,IF($F83*IF($C83="売",1-$AG$3,1+$AG$3)&lt;=300000,100,500)))))),FLOOR($F83*IF($C83="売",1-$AG$3,1+$AG$3),IF($F83*IF($C83="売",1-$AG$3,1+$AG$3)&lt;=3000,1,IF($F83*IF($C83="売",1-$AG$3,1+$AG$3)&lt;=5000,5,IF($F83*IF($C83="売",1-$AG$3,1+$AG$3)&lt;=30000,10,IF($F83*IF($C83="売",1-$AG$3,1+$AG$3)&lt;=50000,50,IF($F83*IF($C83="売",1-$AG$3,1+$AG$3)&lt;=300000,100,500))))))))</f>
      </c>
      <c r="N83" s="491">
        <f>IF($F83="","",IF($C83="売",CEILING($F83*IF($C83="売",1+$AG$2,1-$AG$2),IF($F83*IF($C83="売",1+$AG$2,1-$AG$2)&lt;=3000,1,IF($F83*IF($C83="売",1+$AG$2,1-$AG$2)&lt;=5000,5,IF($F83*IF($C83="売",1+$AG$2,1-$AG$2)&lt;=30000,10,IF($F83*IF($C83="売",1+$AG$2,1-$AG$2)&lt;=50000,50,IF($F83*IF($C83="売",1+$AG$2,1-$AG$2)&lt;=300000,100,500)))))),FLOOR($F83*IF($C83="売",1+$AG$2,1-$AG$2),IF($F83*IF($C83="売",1+$AG$2,1-$AG$2)&lt;=3000,1,IF($F83*IF($C83="売",1+$AG$2,1-$AG$2)&lt;=5000,5,IF($F83*IF($C83="売",1+$AG$2,1-$AG$2)&lt;=30000,10,IF($F83*IF($C83="売",1+$AG$2,1-$AG$2)&lt;=50000,50,IF($F83*IF($C83="売",1+$AG$2,1-$AG$2)&lt;=300000,100,500))))))))</f>
      </c>
      <c r="O83" s="492">
        <f>IF(OR($B83="",$F83="",$H83=""),"",IF($S83="✅売却済","―決済済―",IF($C83="売",  IF($H83&lt;=$M83,"🟢利確",  IF(AND($R83&lt;&gt;"",$H83&gt;=$R83),"🟠TRAIL決済",  IF($H83&gt;=$N83,"🔴損切",  IF($W83&gt;=$AG$5,"⏱時間決済",  IF($H83&gt;=$F83*(1+$AG$2*0.7),"⚠️損切接近","保持継続"))))),  IF($H83&gt;=$M83,"🟢利確",  IF(AND($R83&lt;&gt;"",$H83&lt;=$R83),"🟠TRAIL決済",  IF($H83&lt;=$N83,"🔴損切",  IF($W83&gt;=$AG$5,"⏱時間決済",  IF($H83&lt;=$F83*(1-$AG$2*0.7),"⚠️損切接近","保持継続")))))))</f>
      </c>
      <c r="P83" s="491"/>
      <c r="Q83" s="491"/>
      <c r="R83" s="491">
        <f>IF(OR($F83="",$H83="",$N83=""),"",IF($S83="✅売却済","",IF($C83="売",  IF($H83&gt;$F83*(1-$AG$2),$N83,CEILING(MIN($N83,IF($Q83="",$N83,$Q83*1.03)),IF($N83&lt;=3000,1,IF($N83&lt;=5000,5,IF($N83&lt;=30000,10,IF($N83&lt;=50000,50,IF($N83&lt;=300000,100,500))))))),  IF($H83&lt;$F83*(1+$AG$2),$N83,FLOOR(MAX($N83,IF($P83="",$N83,$P83*0.97)),IF($N83&lt;=3000,1,IF($N83&lt;=5000,5,IF($N83&lt;=30000,10,IF($N83&lt;=50000,50,IF($N83&lt;=300000,100,500))))))))))</f>
      </c>
      <c r="S83" s="586" t="str">
        <f t="shared" si="38"/>
        <v/>
      </c>
      <c r="T83" s="594" t="str">
        <f t="shared" ca="1" si="27"/>
        <v/>
      </c>
      <c r="U83" s="491" t="str">
        <f t="shared" ca="1" si="28"/>
        <v/>
      </c>
      <c r="V83" s="701" t="str">
        <f t="shared" ca="1" si="39"/>
        <v/>
      </c>
      <c r="W83" s="493" t="str">
        <f t="shared" ca="1" si="29"/>
        <v/>
      </c>
      <c r="X83" s="489" t="str">
        <f t="shared" ca="1" si="30"/>
        <v/>
      </c>
      <c r="Y83" s="488">
        <f>IF($B83="","",IF(COUNTIFS($B$4:$B83,$B83,$C$4:$C83,$C83)&gt;1,"⛔重複"&amp;COUNTIFS($B$4:$B83,$B83,$C$4:$C83,$C83)&amp;"回目",""))</f>
      </c>
      <c r="Z83" s="710"/>
      <c r="AB83">
        <f>IF($F83="","",MAX(100,ROUNDDOWN($AG$4/($F83*$AG$2)/100,0)*100))</f>
      </c>
      <c r="AC83">
        <f>IF(OR($F83="",$G83="",$U83=""),"",ROUND($V83-($F83+$U83)*$G83*$AG$6-IF($C83="売",$F83*$G83*$AG$7*$W83/365,0),0))</f>
      </c>
      <c r="AD83" s="608"/>
      <c r="AE83" s="624" t="str">
        <f t="shared" si="31"/>
        <v/>
      </c>
      <c r="AF83" s="626"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26"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00" t="str">
        <f t="shared" ca="1" si="32"/>
        <v/>
      </c>
      <c r="AI83" s="600" t="str" cm="1">
        <f t="array" ref="AI83">IFERROR(INDEX(始値!$E$6:$BT$305,MATCH(TEXT($B83,"0"),TEXT(銘柄管理!$B$6:$B$305,"0"),0),MATCH($AE83,始値!$E$3:$BT$3,0)),"")</f>
        <v/>
      </c>
      <c r="AJ83" s="905" t="str">
        <f t="shared" ca="1" si="33"/>
        <v/>
      </c>
      <c r="AK83" s="629" t="str">
        <f t="shared" ca="1" si="34"/>
        <v/>
      </c>
    </row>
    <row r="84" spans="1:37" ht="35.4" customHeight="1">
      <c r="A84" s="619" t="str">
        <f t="shared" si="23"/>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BT$3,0)=1,1,MATCH($E84,始値!$E$3:$BT$3,0)+1)),_xlpm.v,INDEX(始値!$C$6:$B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 t="shared" ca="1" si="35"/>
        <v/>
      </c>
      <c r="L84" s="706" t="str">
        <f t="shared" ca="1" si="36"/>
        <v/>
      </c>
      <c r="M84" s="491">
        <f>IF($F84="","",IF($C84="売",CEILING($F84*IF($C84="売",1-$AG$3,1+$AG$3),IF($F84*IF($C84="売",1-$AG$3,1+$AG$3)&lt;=3000,1,IF($F84*IF($C84="売",1-$AG$3,1+$AG$3)&lt;=5000,5,IF($F84*IF($C84="売",1-$AG$3,1+$AG$3)&lt;=30000,10,IF($F84*IF($C84="売",1-$AG$3,1+$AG$3)&lt;=50000,50,IF($F84*IF($C84="売",1-$AG$3,1+$AG$3)&lt;=300000,100,500)))))),FLOOR($F84*IF($C84="売",1-$AG$3,1+$AG$3),IF($F84*IF($C84="売",1-$AG$3,1+$AG$3)&lt;=3000,1,IF($F84*IF($C84="売",1-$AG$3,1+$AG$3)&lt;=5000,5,IF($F84*IF($C84="売",1-$AG$3,1+$AG$3)&lt;=30000,10,IF($F84*IF($C84="売",1-$AG$3,1+$AG$3)&lt;=50000,50,IF($F84*IF($C84="売",1-$AG$3,1+$AG$3)&lt;=300000,100,500))))))))</f>
      </c>
      <c r="N84" s="491">
        <f>IF($F84="","",IF($C84="売",CEILING($F84*IF($C84="売",1+$AG$2,1-$AG$2),IF($F84*IF($C84="売",1+$AG$2,1-$AG$2)&lt;=3000,1,IF($F84*IF($C84="売",1+$AG$2,1-$AG$2)&lt;=5000,5,IF($F84*IF($C84="売",1+$AG$2,1-$AG$2)&lt;=30000,10,IF($F84*IF($C84="売",1+$AG$2,1-$AG$2)&lt;=50000,50,IF($F84*IF($C84="売",1+$AG$2,1-$AG$2)&lt;=300000,100,500)))))),FLOOR($F84*IF($C84="売",1+$AG$2,1-$AG$2),IF($F84*IF($C84="売",1+$AG$2,1-$AG$2)&lt;=3000,1,IF($F84*IF($C84="売",1+$AG$2,1-$AG$2)&lt;=5000,5,IF($F84*IF($C84="売",1+$AG$2,1-$AG$2)&lt;=30000,10,IF($F84*IF($C84="売",1+$AG$2,1-$AG$2)&lt;=50000,50,IF($F84*IF($C84="売",1+$AG$2,1-$AG$2)&lt;=300000,100,500))))))))</f>
      </c>
      <c r="O84" s="492">
        <f>IF(OR($B84="",$F84="",$H84=""),"",IF($S84="✅売却済","―決済済―",IF($C84="売",  IF($H84&lt;=$M84,"🟢利確",  IF(AND($R84&lt;&gt;"",$H84&gt;=$R84),"🟠TRAIL決済",  IF($H84&gt;=$N84,"🔴損切",  IF($W84&gt;=$AG$5,"⏱時間決済",  IF($H84&gt;=$F84*(1+$AG$2*0.7),"⚠️損切接近","保持継続"))))),  IF($H84&gt;=$M84,"🟢利確",  IF(AND($R84&lt;&gt;"",$H84&lt;=$R84),"🟠TRAIL決済",  IF($H84&lt;=$N84,"🔴損切",  IF($W84&gt;=$AG$5,"⏱時間決済",  IF($H84&lt;=$F84*(1-$AG$2*0.7),"⚠️損切接近","保持継続")))))))</f>
      </c>
      <c r="P84" s="491"/>
      <c r="Q84" s="491"/>
      <c r="R84" s="491">
        <f>IF(OR($F84="",$H84="",$N84=""),"",IF($S84="✅売却済","",IF($C84="売",  IF($H84&gt;$F84*(1-$AG$2),$N84,CEILING(MIN($N84,IF($Q84="",$N84,$Q84*1.03)),IF($N84&lt;=3000,1,IF($N84&lt;=5000,5,IF($N84&lt;=30000,10,IF($N84&lt;=50000,50,IF($N84&lt;=300000,100,500))))))),  IF($H84&lt;$F84*(1+$AG$2),$N84,FLOOR(MAX($N84,IF($P84="",$N84,$P84*0.97)),IF($N84&lt;=3000,1,IF($N84&lt;=5000,5,IF($N84&lt;=30000,10,IF($N84&lt;=50000,50,IF($N84&lt;=300000,100,500))))))))))</f>
      </c>
      <c r="S84" s="586" t="str">
        <f t="shared" si="38"/>
        <v/>
      </c>
      <c r="T84" s="594" t="str">
        <f t="shared" ca="1" si="27"/>
        <v/>
      </c>
      <c r="U84" s="491" t="str">
        <f t="shared" ca="1" si="28"/>
        <v/>
      </c>
      <c r="V84" s="701" t="str">
        <f t="shared" ca="1" si="39"/>
        <v/>
      </c>
      <c r="W84" s="493" t="str">
        <f t="shared" ca="1" si="29"/>
        <v/>
      </c>
      <c r="X84" s="489" t="str">
        <f t="shared" ca="1" si="30"/>
        <v/>
      </c>
      <c r="Y84" s="488">
        <f>IF($B84="","",IF(COUNTIFS($B$4:$B84,$B84,$C$4:$C84,$C84)&gt;1,"⛔重複"&amp;COUNTIFS($B$4:$B84,$B84,$C$4:$C84,$C84)&amp;"回目",""))</f>
      </c>
      <c r="Z84" s="710"/>
      <c r="AB84">
        <f>IF($F84="","",MAX(100,ROUNDDOWN($AG$4/($F84*$AG$2)/100,0)*100))</f>
      </c>
      <c r="AC84">
        <f>IF(OR($F84="",$G84="",$U84=""),"",ROUND($V84-($F84+$U84)*$G84*$AG$6-IF($C84="売",$F84*$G84*$AG$7*$W84/365,0),0))</f>
      </c>
      <c r="AD84" s="608"/>
      <c r="AE84" s="624" t="str">
        <f t="shared" si="31"/>
        <v/>
      </c>
      <c r="AF84" s="626"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26"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00" t="str">
        <f t="shared" ca="1" si="32"/>
        <v/>
      </c>
      <c r="AI84" s="600" t="str" cm="1">
        <f t="array" ref="AI84">IFERROR(INDEX(始値!$E$6:$BT$305,MATCH(TEXT($B84,"0"),TEXT(銘柄管理!$B$6:$B$305,"0"),0),MATCH($AE84,始値!$E$3:$BT$3,0)),"")</f>
        <v/>
      </c>
      <c r="AJ84" s="905" t="str">
        <f t="shared" ca="1" si="33"/>
        <v/>
      </c>
      <c r="AK84" s="629" t="str">
        <f t="shared" ca="1" si="34"/>
        <v/>
      </c>
    </row>
    <row r="85" spans="1:37" ht="35.4" customHeight="1">
      <c r="A85" s="619" t="str">
        <f t="shared" si="23"/>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BT$3,0)=1,1,MATCH($E85,始値!$E$3:$BT$3,0)+1)),_xlpm.v,INDEX(始値!$C$6:$B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 t="shared" ca="1" si="35"/>
        <v/>
      </c>
      <c r="L85" s="706" t="str">
        <f t="shared" ca="1" si="36"/>
        <v/>
      </c>
      <c r="M85" s="491">
        <f>IF($F85="","",IF($C85="売",CEILING($F85*IF($C85="売",1-$AG$3,1+$AG$3),IF($F85*IF($C85="売",1-$AG$3,1+$AG$3)&lt;=3000,1,IF($F85*IF($C85="売",1-$AG$3,1+$AG$3)&lt;=5000,5,IF($F85*IF($C85="売",1-$AG$3,1+$AG$3)&lt;=30000,10,IF($F85*IF($C85="売",1-$AG$3,1+$AG$3)&lt;=50000,50,IF($F85*IF($C85="売",1-$AG$3,1+$AG$3)&lt;=300000,100,500)))))),FLOOR($F85*IF($C85="売",1-$AG$3,1+$AG$3),IF($F85*IF($C85="売",1-$AG$3,1+$AG$3)&lt;=3000,1,IF($F85*IF($C85="売",1-$AG$3,1+$AG$3)&lt;=5000,5,IF($F85*IF($C85="売",1-$AG$3,1+$AG$3)&lt;=30000,10,IF($F85*IF($C85="売",1-$AG$3,1+$AG$3)&lt;=50000,50,IF($F85*IF($C85="売",1-$AG$3,1+$AG$3)&lt;=300000,100,500))))))))</f>
      </c>
      <c r="N85" s="491">
        <f>IF($F85="","",IF($C85="売",CEILING($F85*IF($C85="売",1+$AG$2,1-$AG$2),IF($F85*IF($C85="売",1+$AG$2,1-$AG$2)&lt;=3000,1,IF($F85*IF($C85="売",1+$AG$2,1-$AG$2)&lt;=5000,5,IF($F85*IF($C85="売",1+$AG$2,1-$AG$2)&lt;=30000,10,IF($F85*IF($C85="売",1+$AG$2,1-$AG$2)&lt;=50000,50,IF($F85*IF($C85="売",1+$AG$2,1-$AG$2)&lt;=300000,100,500)))))),FLOOR($F85*IF($C85="売",1+$AG$2,1-$AG$2),IF($F85*IF($C85="売",1+$AG$2,1-$AG$2)&lt;=3000,1,IF($F85*IF($C85="売",1+$AG$2,1-$AG$2)&lt;=5000,5,IF($F85*IF($C85="売",1+$AG$2,1-$AG$2)&lt;=30000,10,IF($F85*IF($C85="売",1+$AG$2,1-$AG$2)&lt;=50000,50,IF($F85*IF($C85="売",1+$AG$2,1-$AG$2)&lt;=300000,100,500))))))))</f>
      </c>
      <c r="O85" s="492">
        <f>IF(OR($B85="",$F85="",$H85=""),"",IF($S85="✅売却済","―決済済―",IF($C85="売",  IF($H85&lt;=$M85,"🟢利確",  IF(AND($R85&lt;&gt;"",$H85&gt;=$R85),"🟠TRAIL決済",  IF($H85&gt;=$N85,"🔴損切",  IF($W85&gt;=$AG$5,"⏱時間決済",  IF($H85&gt;=$F85*(1+$AG$2*0.7),"⚠️損切接近","保持継続"))))),  IF($H85&gt;=$M85,"🟢利確",  IF(AND($R85&lt;&gt;"",$H85&lt;=$R85),"🟠TRAIL決済",  IF($H85&lt;=$N85,"🔴損切",  IF($W85&gt;=$AG$5,"⏱時間決済",  IF($H85&lt;=$F85*(1-$AG$2*0.7),"⚠️損切接近","保持継続")))))))</f>
      </c>
      <c r="P85" s="491"/>
      <c r="Q85" s="491"/>
      <c r="R85" s="491">
        <f>IF(OR($F85="",$H85="",$N85=""),"",IF($S85="✅売却済","",IF($C85="売",  IF($H85&gt;$F85*(1-$AG$2),$N85,CEILING(MIN($N85,IF($Q85="",$N85,$Q85*1.03)),IF($N85&lt;=3000,1,IF($N85&lt;=5000,5,IF($N85&lt;=30000,10,IF($N85&lt;=50000,50,IF($N85&lt;=300000,100,500))))))),  IF($H85&lt;$F85*(1+$AG$2),$N85,FLOOR(MAX($N85,IF($P85="",$N85,$P85*0.97)),IF($N85&lt;=3000,1,IF($N85&lt;=5000,5,IF($N85&lt;=30000,10,IF($N85&lt;=50000,50,IF($N85&lt;=300000,100,500))))))))))</f>
      </c>
      <c r="S85" s="586" t="str">
        <f t="shared" si="38"/>
        <v/>
      </c>
      <c r="T85" s="594" t="str">
        <f t="shared" ca="1" si="27"/>
        <v/>
      </c>
      <c r="U85" s="491" t="str">
        <f t="shared" ca="1" si="28"/>
        <v/>
      </c>
      <c r="V85" s="701" t="str">
        <f t="shared" ca="1" si="39"/>
        <v/>
      </c>
      <c r="W85" s="493" t="str">
        <f t="shared" ca="1" si="29"/>
        <v/>
      </c>
      <c r="X85" s="489" t="str">
        <f t="shared" ca="1" si="30"/>
        <v/>
      </c>
      <c r="Y85" s="488">
        <f>IF($B85="","",IF(COUNTIFS($B$4:$B85,$B85,$C$4:$C85,$C85)&gt;1,"⛔重複"&amp;COUNTIFS($B$4:$B85,$B85,$C$4:$C85,$C85)&amp;"回目",""))</f>
      </c>
      <c r="Z85" s="710"/>
      <c r="AB85">
        <f>IF($F85="","",MAX(100,ROUNDDOWN($AG$4/($F85*$AG$2)/100,0)*100))</f>
      </c>
      <c r="AC85">
        <f>IF(OR($F85="",$G85="",$U85=""),"",ROUND($V85-($F85+$U85)*$G85*$AG$6-IF($C85="売",$F85*$G85*$AG$7*$W85/365,0),0))</f>
      </c>
      <c r="AD85" s="608"/>
      <c r="AE85" s="624" t="str">
        <f t="shared" si="31"/>
        <v/>
      </c>
      <c r="AF85" s="626"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26"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00" t="str">
        <f t="shared" ca="1" si="32"/>
        <v/>
      </c>
      <c r="AI85" s="600" t="str" cm="1">
        <f t="array" ref="AI85">IFERROR(INDEX(始値!$E$6:$BT$305,MATCH(TEXT($B85,"0"),TEXT(銘柄管理!$B$6:$B$305,"0"),0),MATCH($AE85,始値!$E$3:$BT$3,0)),"")</f>
        <v/>
      </c>
      <c r="AJ85" s="905" t="str">
        <f t="shared" ca="1" si="33"/>
        <v/>
      </c>
      <c r="AK85" s="629" t="str">
        <f t="shared" ca="1" si="34"/>
        <v/>
      </c>
    </row>
    <row r="86" spans="1:37" ht="35.4" customHeight="1">
      <c r="A86" s="619" t="str">
        <f t="shared" si="23"/>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BT$3,0)=1,1,MATCH($E86,始値!$E$3:$BT$3,0)+1)),_xlpm.v,INDEX(始値!$C$6:$B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 t="shared" ca="1" si="35"/>
        <v/>
      </c>
      <c r="L86" s="706" t="str">
        <f t="shared" ca="1" si="36"/>
        <v/>
      </c>
      <c r="M86" s="491">
        <f>IF($F86="","",IF($C86="売",CEILING($F86*IF($C86="売",1-$AG$3,1+$AG$3),IF($F86*IF($C86="売",1-$AG$3,1+$AG$3)&lt;=3000,1,IF($F86*IF($C86="売",1-$AG$3,1+$AG$3)&lt;=5000,5,IF($F86*IF($C86="売",1-$AG$3,1+$AG$3)&lt;=30000,10,IF($F86*IF($C86="売",1-$AG$3,1+$AG$3)&lt;=50000,50,IF($F86*IF($C86="売",1-$AG$3,1+$AG$3)&lt;=300000,100,500)))))),FLOOR($F86*IF($C86="売",1-$AG$3,1+$AG$3),IF($F86*IF($C86="売",1-$AG$3,1+$AG$3)&lt;=3000,1,IF($F86*IF($C86="売",1-$AG$3,1+$AG$3)&lt;=5000,5,IF($F86*IF($C86="売",1-$AG$3,1+$AG$3)&lt;=30000,10,IF($F86*IF($C86="売",1-$AG$3,1+$AG$3)&lt;=50000,50,IF($F86*IF($C86="売",1-$AG$3,1+$AG$3)&lt;=300000,100,500))))))))</f>
      </c>
      <c r="N86" s="491">
        <f>IF($F86="","",IF($C86="売",CEILING($F86*IF($C86="売",1+$AG$2,1-$AG$2),IF($F86*IF($C86="売",1+$AG$2,1-$AG$2)&lt;=3000,1,IF($F86*IF($C86="売",1+$AG$2,1-$AG$2)&lt;=5000,5,IF($F86*IF($C86="売",1+$AG$2,1-$AG$2)&lt;=30000,10,IF($F86*IF($C86="売",1+$AG$2,1-$AG$2)&lt;=50000,50,IF($F86*IF($C86="売",1+$AG$2,1-$AG$2)&lt;=300000,100,500)))))),FLOOR($F86*IF($C86="売",1+$AG$2,1-$AG$2),IF($F86*IF($C86="売",1+$AG$2,1-$AG$2)&lt;=3000,1,IF($F86*IF($C86="売",1+$AG$2,1-$AG$2)&lt;=5000,5,IF($F86*IF($C86="売",1+$AG$2,1-$AG$2)&lt;=30000,10,IF($F86*IF($C86="売",1+$AG$2,1-$AG$2)&lt;=50000,50,IF($F86*IF($C86="売",1+$AG$2,1-$AG$2)&lt;=300000,100,500))))))))</f>
      </c>
      <c r="O86" s="492">
        <f>IF(OR($B86="",$F86="",$H86=""),"",IF($S86="✅売却済","―決済済―",IF($C86="売",  IF($H86&lt;=$M86,"🟢利確",  IF(AND($R86&lt;&gt;"",$H86&gt;=$R86),"🟠TRAIL決済",  IF($H86&gt;=$N86,"🔴損切",  IF($W86&gt;=$AG$5,"⏱時間決済",  IF($H86&gt;=$F86*(1+$AG$2*0.7),"⚠️損切接近","保持継続"))))),  IF($H86&gt;=$M86,"🟢利確",  IF(AND($R86&lt;&gt;"",$H86&lt;=$R86),"🟠TRAIL決済",  IF($H86&lt;=$N86,"🔴損切",  IF($W86&gt;=$AG$5,"⏱時間決済",  IF($H86&lt;=$F86*(1-$AG$2*0.7),"⚠️損切接近","保持継続")))))))</f>
      </c>
      <c r="P86" s="491"/>
      <c r="Q86" s="491"/>
      <c r="R86" s="491">
        <f>IF(OR($F86="",$H86="",$N86=""),"",IF($S86="✅売却済","",IF($C86="売",  IF($H86&gt;$F86*(1-$AG$2),$N86,CEILING(MIN($N86,IF($Q86="",$N86,$Q86*1.03)),IF($N86&lt;=3000,1,IF($N86&lt;=5000,5,IF($N86&lt;=30000,10,IF($N86&lt;=50000,50,IF($N86&lt;=300000,100,500))))))),  IF($H86&lt;$F86*(1+$AG$2),$N86,FLOOR(MAX($N86,IF($P86="",$N86,$P86*0.97)),IF($N86&lt;=3000,1,IF($N86&lt;=5000,5,IF($N86&lt;=30000,10,IF($N86&lt;=50000,50,IF($N86&lt;=300000,100,500))))))))))</f>
      </c>
      <c r="S86" s="586" t="str">
        <f t="shared" si="38"/>
        <v/>
      </c>
      <c r="T86" s="594" t="str">
        <f t="shared" ca="1" si="27"/>
        <v/>
      </c>
      <c r="U86" s="491" t="str">
        <f t="shared" ca="1" si="28"/>
        <v/>
      </c>
      <c r="V86" s="701" t="str">
        <f t="shared" ca="1" si="39"/>
        <v/>
      </c>
      <c r="W86" s="493" t="str">
        <f t="shared" ca="1" si="29"/>
        <v/>
      </c>
      <c r="X86" s="489" t="str">
        <f t="shared" ca="1" si="30"/>
        <v/>
      </c>
      <c r="Y86" s="488">
        <f>IF($B86="","",IF(COUNTIFS($B$4:$B86,$B86,$C$4:$C86,$C86)&gt;1,"⛔重複"&amp;COUNTIFS($B$4:$B86,$B86,$C$4:$C86,$C86)&amp;"回目",""))</f>
      </c>
      <c r="Z86" s="710"/>
      <c r="AB86">
        <f>IF($F86="","",MAX(100,ROUNDDOWN($AG$4/($F86*$AG$2)/100,0)*100))</f>
      </c>
      <c r="AC86">
        <f>IF(OR($F86="",$G86="",$U86=""),"",ROUND($V86-($F86+$U86)*$G86*$AG$6-IF($C86="売",$F86*$G86*$AG$7*$W86/365,0),0))</f>
      </c>
      <c r="AD86" s="608"/>
      <c r="AE86" s="624" t="str">
        <f t="shared" si="31"/>
        <v/>
      </c>
      <c r="AF86" s="626"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26"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00" t="str">
        <f t="shared" ca="1" si="32"/>
        <v/>
      </c>
      <c r="AI86" s="600" t="str" cm="1">
        <f t="array" ref="AI86">IFERROR(INDEX(始値!$E$6:$BT$305,MATCH(TEXT($B86,"0"),TEXT(銘柄管理!$B$6:$B$305,"0"),0),MATCH($AE86,始値!$E$3:$BT$3,0)),"")</f>
        <v/>
      </c>
      <c r="AJ86" s="905" t="str">
        <f t="shared" ca="1" si="33"/>
        <v/>
      </c>
      <c r="AK86" s="629" t="str">
        <f t="shared" ca="1" si="34"/>
        <v/>
      </c>
    </row>
    <row r="87" spans="1:37" ht="35.4" customHeight="1">
      <c r="A87" s="619" t="str">
        <f t="shared" si="23"/>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BT$3,0)=1,1,MATCH($E87,始値!$E$3:$BT$3,0)+1)),_xlpm.v,INDEX(始値!$C$6:$B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 t="shared" ca="1" si="35"/>
        <v/>
      </c>
      <c r="L87" s="706" t="str">
        <f t="shared" ca="1" si="36"/>
        <v/>
      </c>
      <c r="M87" s="491">
        <f>IF($F87="","",IF($C87="売",CEILING($F87*IF($C87="売",1-$AG$3,1+$AG$3),IF($F87*IF($C87="売",1-$AG$3,1+$AG$3)&lt;=3000,1,IF($F87*IF($C87="売",1-$AG$3,1+$AG$3)&lt;=5000,5,IF($F87*IF($C87="売",1-$AG$3,1+$AG$3)&lt;=30000,10,IF($F87*IF($C87="売",1-$AG$3,1+$AG$3)&lt;=50000,50,IF($F87*IF($C87="売",1-$AG$3,1+$AG$3)&lt;=300000,100,500)))))),FLOOR($F87*IF($C87="売",1-$AG$3,1+$AG$3),IF($F87*IF($C87="売",1-$AG$3,1+$AG$3)&lt;=3000,1,IF($F87*IF($C87="売",1-$AG$3,1+$AG$3)&lt;=5000,5,IF($F87*IF($C87="売",1-$AG$3,1+$AG$3)&lt;=30000,10,IF($F87*IF($C87="売",1-$AG$3,1+$AG$3)&lt;=50000,50,IF($F87*IF($C87="売",1-$AG$3,1+$AG$3)&lt;=300000,100,500))))))))</f>
      </c>
      <c r="N87" s="491">
        <f>IF($F87="","",IF($C87="売",CEILING($F87*IF($C87="売",1+$AG$2,1-$AG$2),IF($F87*IF($C87="売",1+$AG$2,1-$AG$2)&lt;=3000,1,IF($F87*IF($C87="売",1+$AG$2,1-$AG$2)&lt;=5000,5,IF($F87*IF($C87="売",1+$AG$2,1-$AG$2)&lt;=30000,10,IF($F87*IF($C87="売",1+$AG$2,1-$AG$2)&lt;=50000,50,IF($F87*IF($C87="売",1+$AG$2,1-$AG$2)&lt;=300000,100,500)))))),FLOOR($F87*IF($C87="売",1+$AG$2,1-$AG$2),IF($F87*IF($C87="売",1+$AG$2,1-$AG$2)&lt;=3000,1,IF($F87*IF($C87="売",1+$AG$2,1-$AG$2)&lt;=5000,5,IF($F87*IF($C87="売",1+$AG$2,1-$AG$2)&lt;=30000,10,IF($F87*IF($C87="売",1+$AG$2,1-$AG$2)&lt;=50000,50,IF($F87*IF($C87="売",1+$AG$2,1-$AG$2)&lt;=300000,100,500))))))))</f>
      </c>
      <c r="O87" s="492">
        <f>IF(OR($B87="",$F87="",$H87=""),"",IF($S87="✅売却済","―決済済―",IF($C87="売",  IF($H87&lt;=$M87,"🟢利確",  IF(AND($R87&lt;&gt;"",$H87&gt;=$R87),"🟠TRAIL決済",  IF($H87&gt;=$N87,"🔴損切",  IF($W87&gt;=$AG$5,"⏱時間決済",  IF($H87&gt;=$F87*(1+$AG$2*0.7),"⚠️損切接近","保持継続"))))),  IF($H87&gt;=$M87,"🟢利確",  IF(AND($R87&lt;&gt;"",$H87&lt;=$R87),"🟠TRAIL決済",  IF($H87&lt;=$N87,"🔴損切",  IF($W87&gt;=$AG$5,"⏱時間決済",  IF($H87&lt;=$F87*(1-$AG$2*0.7),"⚠️損切接近","保持継続")))))))</f>
      </c>
      <c r="P87" s="491"/>
      <c r="Q87" s="491"/>
      <c r="R87" s="491">
        <f>IF(OR($F87="",$H87="",$N87=""),"",IF($S87="✅売却済","",IF($C87="売",  IF($H87&gt;$F87*(1-$AG$2),$N87,CEILING(MIN($N87,IF($Q87="",$N87,$Q87*1.03)),IF($N87&lt;=3000,1,IF($N87&lt;=5000,5,IF($N87&lt;=30000,10,IF($N87&lt;=50000,50,IF($N87&lt;=300000,100,500))))))),  IF($H87&lt;$F87*(1+$AG$2),$N87,FLOOR(MAX($N87,IF($P87="",$N87,$P87*0.97)),IF($N87&lt;=3000,1,IF($N87&lt;=5000,5,IF($N87&lt;=30000,10,IF($N87&lt;=50000,50,IF($N87&lt;=300000,100,500))))))))))</f>
      </c>
      <c r="S87" s="586" t="str">
        <f t="shared" si="38"/>
        <v/>
      </c>
      <c r="T87" s="594" t="str">
        <f t="shared" ca="1" si="27"/>
        <v/>
      </c>
      <c r="U87" s="491" t="str">
        <f t="shared" ca="1" si="28"/>
        <v/>
      </c>
      <c r="V87" s="701" t="str">
        <f t="shared" ca="1" si="39"/>
        <v/>
      </c>
      <c r="W87" s="493" t="str">
        <f t="shared" ca="1" si="29"/>
        <v/>
      </c>
      <c r="X87" s="489" t="str">
        <f t="shared" ca="1" si="30"/>
        <v/>
      </c>
      <c r="Y87" s="488">
        <f>IF($B87="","",IF(COUNTIFS($B$4:$B87,$B87,$C$4:$C87,$C87)&gt;1,"⛔重複"&amp;COUNTIFS($B$4:$B87,$B87,$C$4:$C87,$C87)&amp;"回目",""))</f>
      </c>
      <c r="Z87" s="710"/>
      <c r="AB87">
        <f>IF($F87="","",MAX(100,ROUNDDOWN($AG$4/($F87*$AG$2)/100,0)*100))</f>
      </c>
      <c r="AC87">
        <f>IF(OR($F87="",$G87="",$U87=""),"",ROUND($V87-($F87+$U87)*$G87*$AG$6-IF($C87="売",$F87*$G87*$AG$7*$W87/365,0),0))</f>
      </c>
      <c r="AD87" s="608"/>
      <c r="AE87" s="624" t="str">
        <f t="shared" si="31"/>
        <v/>
      </c>
      <c r="AF87" s="626"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26"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00" t="str">
        <f t="shared" ca="1" si="32"/>
        <v/>
      </c>
      <c r="AI87" s="600" t="str" cm="1">
        <f t="array" ref="AI87">IFERROR(INDEX(始値!$E$6:$BT$305,MATCH(TEXT($B87,"0"),TEXT(銘柄管理!$B$6:$B$305,"0"),0),MATCH($AE87,始値!$E$3:$BT$3,0)),"")</f>
        <v/>
      </c>
      <c r="AJ87" s="905" t="str">
        <f t="shared" ca="1" si="33"/>
        <v/>
      </c>
      <c r="AK87" s="629" t="str">
        <f t="shared" ca="1" si="34"/>
        <v/>
      </c>
    </row>
    <row r="88" spans="1:37" ht="35.4" customHeight="1">
      <c r="A88" s="619" t="str">
        <f t="shared" si="23"/>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BT$3,0)=1,1,MATCH($E88,始値!$E$3:$BT$3,0)+1)),_xlpm.v,INDEX(始値!$C$6:$B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 t="shared" ca="1" si="35"/>
        <v/>
      </c>
      <c r="L88" s="706" t="str">
        <f t="shared" ca="1" si="36"/>
        <v/>
      </c>
      <c r="M88" s="491">
        <f>IF($F88="","",IF($C88="売",CEILING($F88*IF($C88="売",1-$AG$3,1+$AG$3),IF($F88*IF($C88="売",1-$AG$3,1+$AG$3)&lt;=3000,1,IF($F88*IF($C88="売",1-$AG$3,1+$AG$3)&lt;=5000,5,IF($F88*IF($C88="売",1-$AG$3,1+$AG$3)&lt;=30000,10,IF($F88*IF($C88="売",1-$AG$3,1+$AG$3)&lt;=50000,50,IF($F88*IF($C88="売",1-$AG$3,1+$AG$3)&lt;=300000,100,500)))))),FLOOR($F88*IF($C88="売",1-$AG$3,1+$AG$3),IF($F88*IF($C88="売",1-$AG$3,1+$AG$3)&lt;=3000,1,IF($F88*IF($C88="売",1-$AG$3,1+$AG$3)&lt;=5000,5,IF($F88*IF($C88="売",1-$AG$3,1+$AG$3)&lt;=30000,10,IF($F88*IF($C88="売",1-$AG$3,1+$AG$3)&lt;=50000,50,IF($F88*IF($C88="売",1-$AG$3,1+$AG$3)&lt;=300000,100,500))))))))</f>
      </c>
      <c r="N88" s="491">
        <f>IF($F88="","",IF($C88="売",CEILING($F88*IF($C88="売",1+$AG$2,1-$AG$2),IF($F88*IF($C88="売",1+$AG$2,1-$AG$2)&lt;=3000,1,IF($F88*IF($C88="売",1+$AG$2,1-$AG$2)&lt;=5000,5,IF($F88*IF($C88="売",1+$AG$2,1-$AG$2)&lt;=30000,10,IF($F88*IF($C88="売",1+$AG$2,1-$AG$2)&lt;=50000,50,IF($F88*IF($C88="売",1+$AG$2,1-$AG$2)&lt;=300000,100,500)))))),FLOOR($F88*IF($C88="売",1+$AG$2,1-$AG$2),IF($F88*IF($C88="売",1+$AG$2,1-$AG$2)&lt;=3000,1,IF($F88*IF($C88="売",1+$AG$2,1-$AG$2)&lt;=5000,5,IF($F88*IF($C88="売",1+$AG$2,1-$AG$2)&lt;=30000,10,IF($F88*IF($C88="売",1+$AG$2,1-$AG$2)&lt;=50000,50,IF($F88*IF($C88="売",1+$AG$2,1-$AG$2)&lt;=300000,100,500))))))))</f>
      </c>
      <c r="O88" s="492">
        <f>IF(OR($B88="",$F88="",$H88=""),"",IF($S88="✅売却済","―決済済―",IF($C88="売",  IF($H88&lt;=$M88,"🟢利確",  IF(AND($R88&lt;&gt;"",$H88&gt;=$R88),"🟠TRAIL決済",  IF($H88&gt;=$N88,"🔴損切",  IF($W88&gt;=$AG$5,"⏱時間決済",  IF($H88&gt;=$F88*(1+$AG$2*0.7),"⚠️損切接近","保持継続"))))),  IF($H88&gt;=$M88,"🟢利確",  IF(AND($R88&lt;&gt;"",$H88&lt;=$R88),"🟠TRAIL決済",  IF($H88&lt;=$N88,"🔴損切",  IF($W88&gt;=$AG$5,"⏱時間決済",  IF($H88&lt;=$F88*(1-$AG$2*0.7),"⚠️損切接近","保持継続")))))))</f>
      </c>
      <c r="P88" s="491"/>
      <c r="Q88" s="491"/>
      <c r="R88" s="491">
        <f>IF(OR($F88="",$H88="",$N88=""),"",IF($S88="✅売却済","",IF($C88="売",  IF($H88&gt;$F88*(1-$AG$2),$N88,CEILING(MIN($N88,IF($Q88="",$N88,$Q88*1.03)),IF($N88&lt;=3000,1,IF($N88&lt;=5000,5,IF($N88&lt;=30000,10,IF($N88&lt;=50000,50,IF($N88&lt;=300000,100,500))))))),  IF($H88&lt;$F88*(1+$AG$2),$N88,FLOOR(MAX($N88,IF($P88="",$N88,$P88*0.97)),IF($N88&lt;=3000,1,IF($N88&lt;=5000,5,IF($N88&lt;=30000,10,IF($N88&lt;=50000,50,IF($N88&lt;=300000,100,500))))))))))</f>
      </c>
      <c r="S88" s="586" t="str">
        <f t="shared" si="38"/>
        <v/>
      </c>
      <c r="T88" s="594" t="str">
        <f t="shared" ca="1" si="27"/>
        <v/>
      </c>
      <c r="U88" s="491" t="str">
        <f t="shared" ca="1" si="28"/>
        <v/>
      </c>
      <c r="V88" s="701" t="str">
        <f t="shared" ca="1" si="39"/>
        <v/>
      </c>
      <c r="W88" s="493" t="str">
        <f t="shared" ca="1" si="29"/>
        <v/>
      </c>
      <c r="X88" s="489" t="str">
        <f t="shared" ca="1" si="30"/>
        <v/>
      </c>
      <c r="Y88" s="488">
        <f>IF($B88="","",IF(COUNTIFS($B$4:$B88,$B88,$C$4:$C88,$C88)&gt;1,"⛔重複"&amp;COUNTIFS($B$4:$B88,$B88,$C$4:$C88,$C88)&amp;"回目",""))</f>
      </c>
      <c r="Z88" s="710"/>
      <c r="AB88">
        <f>IF($F88="","",MAX(100,ROUNDDOWN($AG$4/($F88*$AG$2)/100,0)*100))</f>
      </c>
      <c r="AC88">
        <f>IF(OR($F88="",$G88="",$U88=""),"",ROUND($V88-($F88+$U88)*$G88*$AG$6-IF($C88="売",$F88*$G88*$AG$7*$W88/365,0),0))</f>
      </c>
      <c r="AD88" s="608"/>
      <c r="AE88" s="624" t="str">
        <f t="shared" si="31"/>
        <v/>
      </c>
      <c r="AF88" s="626"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26"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00" t="str">
        <f t="shared" ca="1" si="32"/>
        <v/>
      </c>
      <c r="AI88" s="600" t="str" cm="1">
        <f t="array" ref="AI88">IFERROR(INDEX(始値!$E$6:$BT$305,MATCH(TEXT($B88,"0"),TEXT(銘柄管理!$B$6:$B$305,"0"),0),MATCH($AE88,始値!$E$3:$BT$3,0)),"")</f>
        <v/>
      </c>
      <c r="AJ88" s="905" t="str">
        <f t="shared" ca="1" si="33"/>
        <v/>
      </c>
      <c r="AK88" s="629" t="str">
        <f t="shared" ca="1" si="34"/>
        <v/>
      </c>
    </row>
    <row r="89" spans="1:37" ht="35.4" customHeight="1">
      <c r="A89" s="619" t="str">
        <f t="shared" si="23"/>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BT$3,0)=1,1,MATCH($E89,始値!$E$3:$BT$3,0)+1)),_xlpm.v,INDEX(始値!$C$6:$B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 t="shared" ca="1" si="35"/>
        <v/>
      </c>
      <c r="L89" s="706" t="str">
        <f t="shared" ca="1" si="36"/>
        <v/>
      </c>
      <c r="M89" s="491">
        <f>IF($F89="","",IF($C89="売",CEILING($F89*IF($C89="売",1-$AG$3,1+$AG$3),IF($F89*IF($C89="売",1-$AG$3,1+$AG$3)&lt;=3000,1,IF($F89*IF($C89="売",1-$AG$3,1+$AG$3)&lt;=5000,5,IF($F89*IF($C89="売",1-$AG$3,1+$AG$3)&lt;=30000,10,IF($F89*IF($C89="売",1-$AG$3,1+$AG$3)&lt;=50000,50,IF($F89*IF($C89="売",1-$AG$3,1+$AG$3)&lt;=300000,100,500)))))),FLOOR($F89*IF($C89="売",1-$AG$3,1+$AG$3),IF($F89*IF($C89="売",1-$AG$3,1+$AG$3)&lt;=3000,1,IF($F89*IF($C89="売",1-$AG$3,1+$AG$3)&lt;=5000,5,IF($F89*IF($C89="売",1-$AG$3,1+$AG$3)&lt;=30000,10,IF($F89*IF($C89="売",1-$AG$3,1+$AG$3)&lt;=50000,50,IF($F89*IF($C89="売",1-$AG$3,1+$AG$3)&lt;=300000,100,500))))))))</f>
      </c>
      <c r="N89" s="491">
        <f>IF($F89="","",IF($C89="売",CEILING($F89*IF($C89="売",1+$AG$2,1-$AG$2),IF($F89*IF($C89="売",1+$AG$2,1-$AG$2)&lt;=3000,1,IF($F89*IF($C89="売",1+$AG$2,1-$AG$2)&lt;=5000,5,IF($F89*IF($C89="売",1+$AG$2,1-$AG$2)&lt;=30000,10,IF($F89*IF($C89="売",1+$AG$2,1-$AG$2)&lt;=50000,50,IF($F89*IF($C89="売",1+$AG$2,1-$AG$2)&lt;=300000,100,500)))))),FLOOR($F89*IF($C89="売",1+$AG$2,1-$AG$2),IF($F89*IF($C89="売",1+$AG$2,1-$AG$2)&lt;=3000,1,IF($F89*IF($C89="売",1+$AG$2,1-$AG$2)&lt;=5000,5,IF($F89*IF($C89="売",1+$AG$2,1-$AG$2)&lt;=30000,10,IF($F89*IF($C89="売",1+$AG$2,1-$AG$2)&lt;=50000,50,IF($F89*IF($C89="売",1+$AG$2,1-$AG$2)&lt;=300000,100,500))))))))</f>
      </c>
      <c r="O89" s="492">
        <f>IF(OR($B89="",$F89="",$H89=""),"",IF($S89="✅売却済","―決済済―",IF($C89="売",  IF($H89&lt;=$M89,"🟢利確",  IF(AND($R89&lt;&gt;"",$H89&gt;=$R89),"🟠TRAIL決済",  IF($H89&gt;=$N89,"🔴損切",  IF($W89&gt;=$AG$5,"⏱時間決済",  IF($H89&gt;=$F89*(1+$AG$2*0.7),"⚠️損切接近","保持継続"))))),  IF($H89&gt;=$M89,"🟢利確",  IF(AND($R89&lt;&gt;"",$H89&lt;=$R89),"🟠TRAIL決済",  IF($H89&lt;=$N89,"🔴損切",  IF($W89&gt;=$AG$5,"⏱時間決済",  IF($H89&lt;=$F89*(1-$AG$2*0.7),"⚠️損切接近","保持継続")))))))</f>
      </c>
      <c r="P89" s="491"/>
      <c r="Q89" s="491"/>
      <c r="R89" s="491">
        <f>IF(OR($F89="",$H89="",$N89=""),"",IF($S89="✅売却済","",IF($C89="売",  IF($H89&gt;$F89*(1-$AG$2),$N89,CEILING(MIN($N89,IF($Q89="",$N89,$Q89*1.03)),IF($N89&lt;=3000,1,IF($N89&lt;=5000,5,IF($N89&lt;=30000,10,IF($N89&lt;=50000,50,IF($N89&lt;=300000,100,500))))))),  IF($H89&lt;$F89*(1+$AG$2),$N89,FLOOR(MAX($N89,IF($P89="",$N89,$P89*0.97)),IF($N89&lt;=3000,1,IF($N89&lt;=5000,5,IF($N89&lt;=30000,10,IF($N89&lt;=50000,50,IF($N89&lt;=300000,100,500))))))))))</f>
      </c>
      <c r="S89" s="586" t="str">
        <f t="shared" si="38"/>
        <v/>
      </c>
      <c r="T89" s="594" t="str">
        <f t="shared" ca="1" si="27"/>
        <v/>
      </c>
      <c r="U89" s="491" t="str">
        <f t="shared" ca="1" si="28"/>
        <v/>
      </c>
      <c r="V89" s="701" t="str">
        <f t="shared" ca="1" si="39"/>
        <v/>
      </c>
      <c r="W89" s="493" t="str">
        <f t="shared" ca="1" si="29"/>
        <v/>
      </c>
      <c r="X89" s="489" t="str">
        <f t="shared" ca="1" si="30"/>
        <v/>
      </c>
      <c r="Y89" s="488">
        <f>IF($B89="","",IF(COUNTIFS($B$4:$B89,$B89,$C$4:$C89,$C89)&gt;1,"⛔重複"&amp;COUNTIFS($B$4:$B89,$B89,$C$4:$C89,$C89)&amp;"回目",""))</f>
      </c>
      <c r="Z89" s="710"/>
      <c r="AB89">
        <f>IF($F89="","",MAX(100,ROUNDDOWN($AG$4/($F89*$AG$2)/100,0)*100))</f>
      </c>
      <c r="AC89">
        <f>IF(OR($F89="",$G89="",$U89=""),"",ROUND($V89-($F89+$U89)*$G89*$AG$6-IF($C89="売",$F89*$G89*$AG$7*$W89/365,0),0))</f>
      </c>
      <c r="AD89" s="608"/>
      <c r="AE89" s="624" t="str">
        <f t="shared" si="31"/>
        <v/>
      </c>
      <c r="AF89" s="626"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26"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00" t="str">
        <f t="shared" ca="1" si="32"/>
        <v/>
      </c>
      <c r="AI89" s="600" t="str" cm="1">
        <f t="array" ref="AI89">IFERROR(INDEX(始値!$E$6:$BT$305,MATCH(TEXT($B89,"0"),TEXT(銘柄管理!$B$6:$B$305,"0"),0),MATCH($AE89,始値!$E$3:$BT$3,0)),"")</f>
        <v/>
      </c>
      <c r="AJ89" s="905" t="str">
        <f t="shared" ca="1" si="33"/>
        <v/>
      </c>
      <c r="AK89" s="629" t="str">
        <f t="shared" ca="1" si="34"/>
        <v/>
      </c>
    </row>
    <row r="90" spans="1:37" ht="35.4" customHeight="1">
      <c r="A90" s="619" t="str">
        <f t="shared" si="23"/>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BT$3,0)=1,1,MATCH($E90,始値!$E$3:$BT$3,0)+1)),_xlpm.v,INDEX(始値!$C$6:$B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 t="shared" ca="1" si="35"/>
        <v/>
      </c>
      <c r="L90" s="706" t="str">
        <f t="shared" ca="1" si="36"/>
        <v/>
      </c>
      <c r="M90" s="491">
        <f>IF($F90="","",IF($C90="売",CEILING($F90*IF($C90="売",1-$AG$3,1+$AG$3),IF($F90*IF($C90="売",1-$AG$3,1+$AG$3)&lt;=3000,1,IF($F90*IF($C90="売",1-$AG$3,1+$AG$3)&lt;=5000,5,IF($F90*IF($C90="売",1-$AG$3,1+$AG$3)&lt;=30000,10,IF($F90*IF($C90="売",1-$AG$3,1+$AG$3)&lt;=50000,50,IF($F90*IF($C90="売",1-$AG$3,1+$AG$3)&lt;=300000,100,500)))))),FLOOR($F90*IF($C90="売",1-$AG$3,1+$AG$3),IF($F90*IF($C90="売",1-$AG$3,1+$AG$3)&lt;=3000,1,IF($F90*IF($C90="売",1-$AG$3,1+$AG$3)&lt;=5000,5,IF($F90*IF($C90="売",1-$AG$3,1+$AG$3)&lt;=30000,10,IF($F90*IF($C90="売",1-$AG$3,1+$AG$3)&lt;=50000,50,IF($F90*IF($C90="売",1-$AG$3,1+$AG$3)&lt;=300000,100,500))))))))</f>
      </c>
      <c r="N90" s="491">
        <f>IF($F90="","",IF($C90="売",CEILING($F90*IF($C90="売",1+$AG$2,1-$AG$2),IF($F90*IF($C90="売",1+$AG$2,1-$AG$2)&lt;=3000,1,IF($F90*IF($C90="売",1+$AG$2,1-$AG$2)&lt;=5000,5,IF($F90*IF($C90="売",1+$AG$2,1-$AG$2)&lt;=30000,10,IF($F90*IF($C90="売",1+$AG$2,1-$AG$2)&lt;=50000,50,IF($F90*IF($C90="売",1+$AG$2,1-$AG$2)&lt;=300000,100,500)))))),FLOOR($F90*IF($C90="売",1+$AG$2,1-$AG$2),IF($F90*IF($C90="売",1+$AG$2,1-$AG$2)&lt;=3000,1,IF($F90*IF($C90="売",1+$AG$2,1-$AG$2)&lt;=5000,5,IF($F90*IF($C90="売",1+$AG$2,1-$AG$2)&lt;=30000,10,IF($F90*IF($C90="売",1+$AG$2,1-$AG$2)&lt;=50000,50,IF($F90*IF($C90="売",1+$AG$2,1-$AG$2)&lt;=300000,100,500))))))))</f>
      </c>
      <c r="O90" s="492">
        <f>IF(OR($B90="",$F90="",$H90=""),"",IF($S90="✅売却済","―決済済―",IF($C90="売",  IF($H90&lt;=$M90,"🟢利確",  IF(AND($R90&lt;&gt;"",$H90&gt;=$R90),"🟠TRAIL決済",  IF($H90&gt;=$N90,"🔴損切",  IF($W90&gt;=$AG$5,"⏱時間決済",  IF($H90&gt;=$F90*(1+$AG$2*0.7),"⚠️損切接近","保持継続"))))),  IF($H90&gt;=$M90,"🟢利確",  IF(AND($R90&lt;&gt;"",$H90&lt;=$R90),"🟠TRAIL決済",  IF($H90&lt;=$N90,"🔴損切",  IF($W90&gt;=$AG$5,"⏱時間決済",  IF($H90&lt;=$F90*(1-$AG$2*0.7),"⚠️損切接近","保持継続")))))))</f>
      </c>
      <c r="P90" s="491"/>
      <c r="Q90" s="491"/>
      <c r="R90" s="491">
        <f>IF(OR($F90="",$H90="",$N90=""),"",IF($S90="✅売却済","",IF($C90="売",  IF($H90&gt;$F90*(1-$AG$2),$N90,CEILING(MIN($N90,IF($Q90="",$N90,$Q90*1.03)),IF($N90&lt;=3000,1,IF($N90&lt;=5000,5,IF($N90&lt;=30000,10,IF($N90&lt;=50000,50,IF($N90&lt;=300000,100,500))))))),  IF($H90&lt;$F90*(1+$AG$2),$N90,FLOOR(MAX($N90,IF($P90="",$N90,$P90*0.97)),IF($N90&lt;=3000,1,IF($N90&lt;=5000,5,IF($N90&lt;=30000,10,IF($N90&lt;=50000,50,IF($N90&lt;=300000,100,500))))))))))</f>
      </c>
      <c r="S90" s="586" t="str">
        <f t="shared" si="38"/>
        <v/>
      </c>
      <c r="T90" s="594" t="str">
        <f t="shared" ca="1" si="27"/>
        <v/>
      </c>
      <c r="U90" s="491" t="str">
        <f t="shared" ca="1" si="28"/>
        <v/>
      </c>
      <c r="V90" s="701" t="str">
        <f t="shared" ca="1" si="39"/>
        <v/>
      </c>
      <c r="W90" s="493" t="str">
        <f t="shared" ca="1" si="29"/>
        <v/>
      </c>
      <c r="X90" s="489" t="str">
        <f t="shared" ca="1" si="30"/>
        <v/>
      </c>
      <c r="Y90" s="488">
        <f>IF($B90="","",IF(COUNTIFS($B$4:$B90,$B90,$C$4:$C90,$C90)&gt;1,"⛔重複"&amp;COUNTIFS($B$4:$B90,$B90,$C$4:$C90,$C90)&amp;"回目",""))</f>
      </c>
      <c r="Z90" s="710"/>
      <c r="AB90">
        <f>IF($F90="","",MAX(100,ROUNDDOWN($AG$4/($F90*$AG$2)/100,0)*100))</f>
      </c>
      <c r="AC90">
        <f>IF(OR($F90="",$G90="",$U90=""),"",ROUND($V90-($F90+$U90)*$G90*$AG$6-IF($C90="売",$F90*$G90*$AG$7*$W90/365,0),0))</f>
      </c>
      <c r="AD90" s="608"/>
      <c r="AE90" s="624" t="str">
        <f t="shared" si="31"/>
        <v/>
      </c>
      <c r="AF90" s="626"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26"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00" t="str">
        <f t="shared" ca="1" si="32"/>
        <v/>
      </c>
      <c r="AI90" s="600" t="str" cm="1">
        <f t="array" ref="AI90">IFERROR(INDEX(始値!$E$6:$BT$305,MATCH(TEXT($B90,"0"),TEXT(銘柄管理!$B$6:$B$305,"0"),0),MATCH($AE90,始値!$E$3:$BT$3,0)),"")</f>
        <v/>
      </c>
      <c r="AJ90" s="905" t="str">
        <f t="shared" ca="1" si="33"/>
        <v/>
      </c>
      <c r="AK90" s="629" t="str">
        <f t="shared" ca="1" si="34"/>
        <v/>
      </c>
    </row>
    <row r="91" spans="1:37" ht="35.4" customHeight="1">
      <c r="A91" s="619" t="str">
        <f t="shared" si="23"/>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BT$3,0)=1,1,MATCH($E91,始値!$E$3:$BT$3,0)+1)),_xlpm.v,INDEX(始値!$C$6:$B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 t="shared" ca="1" si="35"/>
        <v/>
      </c>
      <c r="L91" s="706" t="str">
        <f t="shared" ca="1" si="36"/>
        <v/>
      </c>
      <c r="M91" s="491">
        <f>IF($F91="","",IF($C91="売",CEILING($F91*IF($C91="売",1-$AG$3,1+$AG$3),IF($F91*IF($C91="売",1-$AG$3,1+$AG$3)&lt;=3000,1,IF($F91*IF($C91="売",1-$AG$3,1+$AG$3)&lt;=5000,5,IF($F91*IF($C91="売",1-$AG$3,1+$AG$3)&lt;=30000,10,IF($F91*IF($C91="売",1-$AG$3,1+$AG$3)&lt;=50000,50,IF($F91*IF($C91="売",1-$AG$3,1+$AG$3)&lt;=300000,100,500)))))),FLOOR($F91*IF($C91="売",1-$AG$3,1+$AG$3),IF($F91*IF($C91="売",1-$AG$3,1+$AG$3)&lt;=3000,1,IF($F91*IF($C91="売",1-$AG$3,1+$AG$3)&lt;=5000,5,IF($F91*IF($C91="売",1-$AG$3,1+$AG$3)&lt;=30000,10,IF($F91*IF($C91="売",1-$AG$3,1+$AG$3)&lt;=50000,50,IF($F91*IF($C91="売",1-$AG$3,1+$AG$3)&lt;=300000,100,500))))))))</f>
      </c>
      <c r="N91" s="491">
        <f>IF($F91="","",IF($C91="売",CEILING($F91*IF($C91="売",1+$AG$2,1-$AG$2),IF($F91*IF($C91="売",1+$AG$2,1-$AG$2)&lt;=3000,1,IF($F91*IF($C91="売",1+$AG$2,1-$AG$2)&lt;=5000,5,IF($F91*IF($C91="売",1+$AG$2,1-$AG$2)&lt;=30000,10,IF($F91*IF($C91="売",1+$AG$2,1-$AG$2)&lt;=50000,50,IF($F91*IF($C91="売",1+$AG$2,1-$AG$2)&lt;=300000,100,500)))))),FLOOR($F91*IF($C91="売",1+$AG$2,1-$AG$2),IF($F91*IF($C91="売",1+$AG$2,1-$AG$2)&lt;=3000,1,IF($F91*IF($C91="売",1+$AG$2,1-$AG$2)&lt;=5000,5,IF($F91*IF($C91="売",1+$AG$2,1-$AG$2)&lt;=30000,10,IF($F91*IF($C91="売",1+$AG$2,1-$AG$2)&lt;=50000,50,IF($F91*IF($C91="売",1+$AG$2,1-$AG$2)&lt;=300000,100,500))))))))</f>
      </c>
      <c r="O91" s="492">
        <f>IF(OR($B91="",$F91="",$H91=""),"",IF($S91="✅売却済","―決済済―",IF($C91="売",  IF($H91&lt;=$M91,"🟢利確",  IF(AND($R91&lt;&gt;"",$H91&gt;=$R91),"🟠TRAIL決済",  IF($H91&gt;=$N91,"🔴損切",  IF($W91&gt;=$AG$5,"⏱時間決済",  IF($H91&gt;=$F91*(1+$AG$2*0.7),"⚠️損切接近","保持継続"))))),  IF($H91&gt;=$M91,"🟢利確",  IF(AND($R91&lt;&gt;"",$H91&lt;=$R91),"🟠TRAIL決済",  IF($H91&lt;=$N91,"🔴損切",  IF($W91&gt;=$AG$5,"⏱時間決済",  IF($H91&lt;=$F91*(1-$AG$2*0.7),"⚠️損切接近","保持継続")))))))</f>
      </c>
      <c r="P91" s="491"/>
      <c r="Q91" s="491"/>
      <c r="R91" s="491">
        <f>IF(OR($F91="",$H91="",$N91=""),"",IF($S91="✅売却済","",IF($C91="売",  IF($H91&gt;$F91*(1-$AG$2),$N91,CEILING(MIN($N91,IF($Q91="",$N91,$Q91*1.03)),IF($N91&lt;=3000,1,IF($N91&lt;=5000,5,IF($N91&lt;=30000,10,IF($N91&lt;=50000,50,IF($N91&lt;=300000,100,500))))))),  IF($H91&lt;$F91*(1+$AG$2),$N91,FLOOR(MAX($N91,IF($P91="",$N91,$P91*0.97)),IF($N91&lt;=3000,1,IF($N91&lt;=5000,5,IF($N91&lt;=30000,10,IF($N91&lt;=50000,50,IF($N91&lt;=300000,100,500))))))))))</f>
      </c>
      <c r="S91" s="586" t="str">
        <f t="shared" si="38"/>
        <v/>
      </c>
      <c r="T91" s="594" t="str">
        <f t="shared" ca="1" si="27"/>
        <v/>
      </c>
      <c r="U91" s="491" t="str">
        <f t="shared" ca="1" si="28"/>
        <v/>
      </c>
      <c r="V91" s="701" t="str">
        <f t="shared" ca="1" si="39"/>
        <v/>
      </c>
      <c r="W91" s="493" t="str">
        <f t="shared" ca="1" si="29"/>
        <v/>
      </c>
      <c r="X91" s="489" t="str">
        <f t="shared" ca="1" si="30"/>
        <v/>
      </c>
      <c r="Y91" s="488">
        <f>IF($B91="","",IF(COUNTIFS($B$4:$B91,$B91,$C$4:$C91,$C91)&gt;1,"⛔重複"&amp;COUNTIFS($B$4:$B91,$B91,$C$4:$C91,$C91)&amp;"回目",""))</f>
      </c>
      <c r="Z91" s="710"/>
      <c r="AB91">
        <f>IF($F91="","",MAX(100,ROUNDDOWN($AG$4/($F91*$AG$2)/100,0)*100))</f>
      </c>
      <c r="AC91">
        <f>IF(OR($F91="",$G91="",$U91=""),"",ROUND($V91-($F91+$U91)*$G91*$AG$6-IF($C91="売",$F91*$G91*$AG$7*$W91/365,0),0))</f>
      </c>
      <c r="AD91" s="608"/>
      <c r="AE91" s="624" t="str">
        <f t="shared" si="31"/>
        <v/>
      </c>
      <c r="AF91" s="626"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26"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00" t="str">
        <f t="shared" ca="1" si="32"/>
        <v/>
      </c>
      <c r="AI91" s="600" t="str" cm="1">
        <f t="array" ref="AI91">IFERROR(INDEX(始値!$E$6:$BT$305,MATCH(TEXT($B91,"0"),TEXT(銘柄管理!$B$6:$B$305,"0"),0),MATCH($AE91,始値!$E$3:$BT$3,0)),"")</f>
        <v/>
      </c>
      <c r="AJ91" s="905" t="str">
        <f t="shared" ca="1" si="33"/>
        <v/>
      </c>
      <c r="AK91" s="629" t="str">
        <f t="shared" ca="1" si="34"/>
        <v/>
      </c>
    </row>
    <row r="92" spans="1:37" ht="35.4" customHeight="1">
      <c r="A92" s="619" t="str">
        <f t="shared" si="23"/>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BT$3,0)=1,1,MATCH($E92,始値!$E$3:$BT$3,0)+1)),_xlpm.v,INDEX(始値!$C$6:$B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 t="shared" ca="1" si="35"/>
        <v/>
      </c>
      <c r="L92" s="706" t="str">
        <f t="shared" ca="1" si="36"/>
        <v/>
      </c>
      <c r="M92" s="491">
        <f>IF($F92="","",IF($C92="売",CEILING($F92*IF($C92="売",1-$AG$3,1+$AG$3),IF($F92*IF($C92="売",1-$AG$3,1+$AG$3)&lt;=3000,1,IF($F92*IF($C92="売",1-$AG$3,1+$AG$3)&lt;=5000,5,IF($F92*IF($C92="売",1-$AG$3,1+$AG$3)&lt;=30000,10,IF($F92*IF($C92="売",1-$AG$3,1+$AG$3)&lt;=50000,50,IF($F92*IF($C92="売",1-$AG$3,1+$AG$3)&lt;=300000,100,500)))))),FLOOR($F92*IF($C92="売",1-$AG$3,1+$AG$3),IF($F92*IF($C92="売",1-$AG$3,1+$AG$3)&lt;=3000,1,IF($F92*IF($C92="売",1-$AG$3,1+$AG$3)&lt;=5000,5,IF($F92*IF($C92="売",1-$AG$3,1+$AG$3)&lt;=30000,10,IF($F92*IF($C92="売",1-$AG$3,1+$AG$3)&lt;=50000,50,IF($F92*IF($C92="売",1-$AG$3,1+$AG$3)&lt;=300000,100,500))))))))</f>
      </c>
      <c r="N92" s="491">
        <f>IF($F92="","",IF($C92="売",CEILING($F92*IF($C92="売",1+$AG$2,1-$AG$2),IF($F92*IF($C92="売",1+$AG$2,1-$AG$2)&lt;=3000,1,IF($F92*IF($C92="売",1+$AG$2,1-$AG$2)&lt;=5000,5,IF($F92*IF($C92="売",1+$AG$2,1-$AG$2)&lt;=30000,10,IF($F92*IF($C92="売",1+$AG$2,1-$AG$2)&lt;=50000,50,IF($F92*IF($C92="売",1+$AG$2,1-$AG$2)&lt;=300000,100,500)))))),FLOOR($F92*IF($C92="売",1+$AG$2,1-$AG$2),IF($F92*IF($C92="売",1+$AG$2,1-$AG$2)&lt;=3000,1,IF($F92*IF($C92="売",1+$AG$2,1-$AG$2)&lt;=5000,5,IF($F92*IF($C92="売",1+$AG$2,1-$AG$2)&lt;=30000,10,IF($F92*IF($C92="売",1+$AG$2,1-$AG$2)&lt;=50000,50,IF($F92*IF($C92="売",1+$AG$2,1-$AG$2)&lt;=300000,100,500))))))))</f>
      </c>
      <c r="O92" s="492">
        <f>IF(OR($B92="",$F92="",$H92=""),"",IF($S92="✅売却済","―決済済―",IF($C92="売",  IF($H92&lt;=$M92,"🟢利確",  IF(AND($R92&lt;&gt;"",$H92&gt;=$R92),"🟠TRAIL決済",  IF($H92&gt;=$N92,"🔴損切",  IF($W92&gt;=$AG$5,"⏱時間決済",  IF($H92&gt;=$F92*(1+$AG$2*0.7),"⚠️損切接近","保持継続"))))),  IF($H92&gt;=$M92,"🟢利確",  IF(AND($R92&lt;&gt;"",$H92&lt;=$R92),"🟠TRAIL決済",  IF($H92&lt;=$N92,"🔴損切",  IF($W92&gt;=$AG$5,"⏱時間決済",  IF($H92&lt;=$F92*(1-$AG$2*0.7),"⚠️損切接近","保持継続")))))))</f>
      </c>
      <c r="P92" s="491"/>
      <c r="Q92" s="491"/>
      <c r="R92" s="491">
        <f>IF(OR($F92="",$H92="",$N92=""),"",IF($S92="✅売却済","",IF($C92="売",  IF($H92&gt;$F92*(1-$AG$2),$N92,CEILING(MIN($N92,IF($Q92="",$N92,$Q92*1.03)),IF($N92&lt;=3000,1,IF($N92&lt;=5000,5,IF($N92&lt;=30000,10,IF($N92&lt;=50000,50,IF($N92&lt;=300000,100,500))))))),  IF($H92&lt;$F92*(1+$AG$2),$N92,FLOOR(MAX($N92,IF($P92="",$N92,$P92*0.97)),IF($N92&lt;=3000,1,IF($N92&lt;=5000,5,IF($N92&lt;=30000,10,IF($N92&lt;=50000,50,IF($N92&lt;=300000,100,500))))))))))</f>
      </c>
      <c r="S92" s="586" t="str">
        <f t="shared" si="38"/>
        <v/>
      </c>
      <c r="T92" s="594" t="str">
        <f t="shared" ca="1" si="27"/>
        <v/>
      </c>
      <c r="U92" s="491" t="str">
        <f t="shared" ca="1" si="28"/>
        <v/>
      </c>
      <c r="V92" s="701" t="str">
        <f t="shared" ca="1" si="39"/>
        <v/>
      </c>
      <c r="W92" s="493" t="str">
        <f t="shared" ca="1" si="29"/>
        <v/>
      </c>
      <c r="X92" s="489" t="str">
        <f t="shared" ca="1" si="30"/>
        <v/>
      </c>
      <c r="Y92" s="488">
        <f>IF($B92="","",IF(COUNTIFS($B$4:$B92,$B92,$C$4:$C92,$C92)&gt;1,"⛔重複"&amp;COUNTIFS($B$4:$B92,$B92,$C$4:$C92,$C92)&amp;"回目",""))</f>
      </c>
      <c r="Z92" s="710"/>
      <c r="AB92">
        <f>IF($F92="","",MAX(100,ROUNDDOWN($AG$4/($F92*$AG$2)/100,0)*100))</f>
      </c>
      <c r="AC92">
        <f>IF(OR($F92="",$G92="",$U92=""),"",ROUND($V92-($F92+$U92)*$G92*$AG$6-IF($C92="売",$F92*$G92*$AG$7*$W92/365,0),0))</f>
      </c>
      <c r="AD92" s="608"/>
      <c r="AE92" s="624" t="str">
        <f t="shared" si="31"/>
        <v/>
      </c>
      <c r="AF92" s="626"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26"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00" t="str">
        <f t="shared" ca="1" si="32"/>
        <v/>
      </c>
      <c r="AI92" s="600" t="str" cm="1">
        <f t="array" ref="AI92">IFERROR(INDEX(始値!$E$6:$BT$305,MATCH(TEXT($B92,"0"),TEXT(銘柄管理!$B$6:$B$305,"0"),0),MATCH($AE92,始値!$E$3:$BT$3,0)),"")</f>
        <v/>
      </c>
      <c r="AJ92" s="905" t="str">
        <f t="shared" ca="1" si="33"/>
        <v/>
      </c>
      <c r="AK92" s="629" t="str">
        <f t="shared" ca="1" si="34"/>
        <v/>
      </c>
    </row>
    <row r="93" spans="1:37" ht="35.4" customHeight="1">
      <c r="A93" s="619" t="str">
        <f t="shared" si="23"/>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BT$3,0)=1,1,MATCH($E93,始値!$E$3:$BT$3,0)+1)),_xlpm.v,INDEX(始値!$C$6:$B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 t="shared" ca="1" si="35"/>
        <v/>
      </c>
      <c r="L93" s="706" t="str">
        <f t="shared" ca="1" si="36"/>
        <v/>
      </c>
      <c r="M93" s="491">
        <f>IF($F93="","",IF($C93="売",CEILING($F93*IF($C93="売",1-$AG$3,1+$AG$3),IF($F93*IF($C93="売",1-$AG$3,1+$AG$3)&lt;=3000,1,IF($F93*IF($C93="売",1-$AG$3,1+$AG$3)&lt;=5000,5,IF($F93*IF($C93="売",1-$AG$3,1+$AG$3)&lt;=30000,10,IF($F93*IF($C93="売",1-$AG$3,1+$AG$3)&lt;=50000,50,IF($F93*IF($C93="売",1-$AG$3,1+$AG$3)&lt;=300000,100,500)))))),FLOOR($F93*IF($C93="売",1-$AG$3,1+$AG$3),IF($F93*IF($C93="売",1-$AG$3,1+$AG$3)&lt;=3000,1,IF($F93*IF($C93="売",1-$AG$3,1+$AG$3)&lt;=5000,5,IF($F93*IF($C93="売",1-$AG$3,1+$AG$3)&lt;=30000,10,IF($F93*IF($C93="売",1-$AG$3,1+$AG$3)&lt;=50000,50,IF($F93*IF($C93="売",1-$AG$3,1+$AG$3)&lt;=300000,100,500))))))))</f>
      </c>
      <c r="N93" s="491">
        <f>IF($F93="","",IF($C93="売",CEILING($F93*IF($C93="売",1+$AG$2,1-$AG$2),IF($F93*IF($C93="売",1+$AG$2,1-$AG$2)&lt;=3000,1,IF($F93*IF($C93="売",1+$AG$2,1-$AG$2)&lt;=5000,5,IF($F93*IF($C93="売",1+$AG$2,1-$AG$2)&lt;=30000,10,IF($F93*IF($C93="売",1+$AG$2,1-$AG$2)&lt;=50000,50,IF($F93*IF($C93="売",1+$AG$2,1-$AG$2)&lt;=300000,100,500)))))),FLOOR($F93*IF($C93="売",1+$AG$2,1-$AG$2),IF($F93*IF($C93="売",1+$AG$2,1-$AG$2)&lt;=3000,1,IF($F93*IF($C93="売",1+$AG$2,1-$AG$2)&lt;=5000,5,IF($F93*IF($C93="売",1+$AG$2,1-$AG$2)&lt;=30000,10,IF($F93*IF($C93="売",1+$AG$2,1-$AG$2)&lt;=50000,50,IF($F93*IF($C93="売",1+$AG$2,1-$AG$2)&lt;=300000,100,500))))))))</f>
      </c>
      <c r="O93" s="492">
        <f>IF(OR($B93="",$F93="",$H93=""),"",IF($S93="✅売却済","―決済済―",IF($C93="売",  IF($H93&lt;=$M93,"🟢利確",  IF(AND($R93&lt;&gt;"",$H93&gt;=$R93),"🟠TRAIL決済",  IF($H93&gt;=$N93,"🔴損切",  IF($W93&gt;=$AG$5,"⏱時間決済",  IF($H93&gt;=$F93*(1+$AG$2*0.7),"⚠️損切接近","保持継続"))))),  IF($H93&gt;=$M93,"🟢利確",  IF(AND($R93&lt;&gt;"",$H93&lt;=$R93),"🟠TRAIL決済",  IF($H93&lt;=$N93,"🔴損切",  IF($W93&gt;=$AG$5,"⏱時間決済",  IF($H93&lt;=$F93*(1-$AG$2*0.7),"⚠️損切接近","保持継続")))))))</f>
      </c>
      <c r="P93" s="491"/>
      <c r="Q93" s="491"/>
      <c r="R93" s="491">
        <f>IF(OR($F93="",$H93="",$N93=""),"",IF($S93="✅売却済","",IF($C93="売",  IF($H93&gt;$F93*(1-$AG$2),$N93,CEILING(MIN($N93,IF($Q93="",$N93,$Q93*1.03)),IF($N93&lt;=3000,1,IF($N93&lt;=5000,5,IF($N93&lt;=30000,10,IF($N93&lt;=50000,50,IF($N93&lt;=300000,100,500))))))),  IF($H93&lt;$F93*(1+$AG$2),$N93,FLOOR(MAX($N93,IF($P93="",$N93,$P93*0.97)),IF($N93&lt;=3000,1,IF($N93&lt;=5000,5,IF($N93&lt;=30000,10,IF($N93&lt;=50000,50,IF($N93&lt;=300000,100,500))))))))))</f>
      </c>
      <c r="S93" s="586" t="str">
        <f t="shared" si="38"/>
        <v/>
      </c>
      <c r="T93" s="594" t="str">
        <f t="shared" ca="1" si="27"/>
        <v/>
      </c>
      <c r="U93" s="491" t="str">
        <f t="shared" ca="1" si="28"/>
        <v/>
      </c>
      <c r="V93" s="701" t="str">
        <f t="shared" ca="1" si="39"/>
        <v/>
      </c>
      <c r="W93" s="493" t="str">
        <f t="shared" ca="1" si="29"/>
        <v/>
      </c>
      <c r="X93" s="489" t="str">
        <f t="shared" ca="1" si="30"/>
        <v/>
      </c>
      <c r="Y93" s="488">
        <f>IF($B93="","",IF(COUNTIFS($B$4:$B93,$B93,$C$4:$C93,$C93)&gt;1,"⛔重複"&amp;COUNTIFS($B$4:$B93,$B93,$C$4:$C93,$C93)&amp;"回目",""))</f>
      </c>
      <c r="Z93" s="710"/>
      <c r="AB93">
        <f>IF($F93="","",MAX(100,ROUNDDOWN($AG$4/($F93*$AG$2)/100,0)*100))</f>
      </c>
      <c r="AC93">
        <f>IF(OR($F93="",$G93="",$U93=""),"",ROUND($V93-($F93+$U93)*$G93*$AG$6-IF($C93="売",$F93*$G93*$AG$7*$W93/365,0),0))</f>
      </c>
      <c r="AD93" s="608"/>
      <c r="AE93" s="624" t="str">
        <f t="shared" si="31"/>
        <v/>
      </c>
      <c r="AF93" s="626"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26"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00" t="str">
        <f t="shared" ca="1" si="32"/>
        <v/>
      </c>
      <c r="AI93" s="600" t="str" cm="1">
        <f t="array" ref="AI93">IFERROR(INDEX(始値!$E$6:$BT$305,MATCH(TEXT($B93,"0"),TEXT(銘柄管理!$B$6:$B$305,"0"),0),MATCH($AE93,始値!$E$3:$BT$3,0)),"")</f>
        <v/>
      </c>
      <c r="AJ93" s="905" t="str">
        <f t="shared" ca="1" si="33"/>
        <v/>
      </c>
      <c r="AK93" s="629" t="str">
        <f t="shared" ca="1" si="34"/>
        <v/>
      </c>
    </row>
    <row r="94" spans="1:37" ht="35.4" customHeight="1">
      <c r="A94" s="619" t="str">
        <f t="shared" si="23"/>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BT$3,0)=1,1,MATCH($E94,始値!$E$3:$BT$3,0)+1)),_xlpm.v,INDEX(始値!$C$6:$B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 t="shared" ca="1" si="35"/>
        <v/>
      </c>
      <c r="L94" s="706" t="str">
        <f t="shared" ca="1" si="36"/>
        <v/>
      </c>
      <c r="M94" s="491">
        <f>IF($F94="","",IF($C94="売",CEILING($F94*IF($C94="売",1-$AG$3,1+$AG$3),IF($F94*IF($C94="売",1-$AG$3,1+$AG$3)&lt;=3000,1,IF($F94*IF($C94="売",1-$AG$3,1+$AG$3)&lt;=5000,5,IF($F94*IF($C94="売",1-$AG$3,1+$AG$3)&lt;=30000,10,IF($F94*IF($C94="売",1-$AG$3,1+$AG$3)&lt;=50000,50,IF($F94*IF($C94="売",1-$AG$3,1+$AG$3)&lt;=300000,100,500)))))),FLOOR($F94*IF($C94="売",1-$AG$3,1+$AG$3),IF($F94*IF($C94="売",1-$AG$3,1+$AG$3)&lt;=3000,1,IF($F94*IF($C94="売",1-$AG$3,1+$AG$3)&lt;=5000,5,IF($F94*IF($C94="売",1-$AG$3,1+$AG$3)&lt;=30000,10,IF($F94*IF($C94="売",1-$AG$3,1+$AG$3)&lt;=50000,50,IF($F94*IF($C94="売",1-$AG$3,1+$AG$3)&lt;=300000,100,500))))))))</f>
      </c>
      <c r="N94" s="491">
        <f>IF($F94="","",IF($C94="売",CEILING($F94*IF($C94="売",1+$AG$2,1-$AG$2),IF($F94*IF($C94="売",1+$AG$2,1-$AG$2)&lt;=3000,1,IF($F94*IF($C94="売",1+$AG$2,1-$AG$2)&lt;=5000,5,IF($F94*IF($C94="売",1+$AG$2,1-$AG$2)&lt;=30000,10,IF($F94*IF($C94="売",1+$AG$2,1-$AG$2)&lt;=50000,50,IF($F94*IF($C94="売",1+$AG$2,1-$AG$2)&lt;=300000,100,500)))))),FLOOR($F94*IF($C94="売",1+$AG$2,1-$AG$2),IF($F94*IF($C94="売",1+$AG$2,1-$AG$2)&lt;=3000,1,IF($F94*IF($C94="売",1+$AG$2,1-$AG$2)&lt;=5000,5,IF($F94*IF($C94="売",1+$AG$2,1-$AG$2)&lt;=30000,10,IF($F94*IF($C94="売",1+$AG$2,1-$AG$2)&lt;=50000,50,IF($F94*IF($C94="売",1+$AG$2,1-$AG$2)&lt;=300000,100,500))))))))</f>
      </c>
      <c r="O94" s="492">
        <f>IF(OR($B94="",$F94="",$H94=""),"",IF($S94="✅売却済","―決済済―",IF($C94="売",  IF($H94&lt;=$M94,"🟢利確",  IF(AND($R94&lt;&gt;"",$H94&gt;=$R94),"🟠TRAIL決済",  IF($H94&gt;=$N94,"🔴損切",  IF($W94&gt;=$AG$5,"⏱時間決済",  IF($H94&gt;=$F94*(1+$AG$2*0.7),"⚠️損切接近","保持継続"))))),  IF($H94&gt;=$M94,"🟢利確",  IF(AND($R94&lt;&gt;"",$H94&lt;=$R94),"🟠TRAIL決済",  IF($H94&lt;=$N94,"🔴損切",  IF($W94&gt;=$AG$5,"⏱時間決済",  IF($H94&lt;=$F94*(1-$AG$2*0.7),"⚠️損切接近","保持継続")))))))</f>
      </c>
      <c r="P94" s="491"/>
      <c r="Q94" s="491"/>
      <c r="R94" s="491">
        <f>IF(OR($F94="",$H94="",$N94=""),"",IF($S94="✅売却済","",IF($C94="売",  IF($H94&gt;$F94*(1-$AG$2),$N94,CEILING(MIN($N94,IF($Q94="",$N94,$Q94*1.03)),IF($N94&lt;=3000,1,IF($N94&lt;=5000,5,IF($N94&lt;=30000,10,IF($N94&lt;=50000,50,IF($N94&lt;=300000,100,500))))))),  IF($H94&lt;$F94*(1+$AG$2),$N94,FLOOR(MAX($N94,IF($P94="",$N94,$P94*0.97)),IF($N94&lt;=3000,1,IF($N94&lt;=5000,5,IF($N94&lt;=30000,10,IF($N94&lt;=50000,50,IF($N94&lt;=300000,100,500))))))))))</f>
      </c>
      <c r="S94" s="586" t="str">
        <f t="shared" si="38"/>
        <v/>
      </c>
      <c r="T94" s="594" t="str">
        <f t="shared" ca="1" si="27"/>
        <v/>
      </c>
      <c r="U94" s="491" t="str">
        <f t="shared" ca="1" si="28"/>
        <v/>
      </c>
      <c r="V94" s="701" t="str">
        <f t="shared" ca="1" si="39"/>
        <v/>
      </c>
      <c r="W94" s="493" t="str">
        <f t="shared" ca="1" si="29"/>
        <v/>
      </c>
      <c r="X94" s="489" t="str">
        <f t="shared" ca="1" si="30"/>
        <v/>
      </c>
      <c r="Y94" s="488">
        <f>IF($B94="","",IF(COUNTIFS($B$4:$B94,$B94,$C$4:$C94,$C94)&gt;1,"⛔重複"&amp;COUNTIFS($B$4:$B94,$B94,$C$4:$C94,$C94)&amp;"回目",""))</f>
      </c>
      <c r="Z94" s="710"/>
      <c r="AB94">
        <f>IF($F94="","",MAX(100,ROUNDDOWN($AG$4/($F94*$AG$2)/100,0)*100))</f>
      </c>
      <c r="AC94">
        <f>IF(OR($F94="",$G94="",$U94=""),"",ROUND($V94-($F94+$U94)*$G94*$AG$6-IF($C94="売",$F94*$G94*$AG$7*$W94/365,0),0))</f>
      </c>
      <c r="AD94" s="608"/>
      <c r="AE94" s="624" t="str">
        <f t="shared" si="31"/>
        <v/>
      </c>
      <c r="AF94" s="626"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26"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00" t="str">
        <f t="shared" ca="1" si="32"/>
        <v/>
      </c>
      <c r="AI94" s="600" t="str" cm="1">
        <f t="array" ref="AI94">IFERROR(INDEX(始値!$E$6:$BT$305,MATCH(TEXT($B94,"0"),TEXT(銘柄管理!$B$6:$B$305,"0"),0),MATCH($AE94,始値!$E$3:$BT$3,0)),"")</f>
        <v/>
      </c>
      <c r="AJ94" s="905" t="str">
        <f t="shared" ca="1" si="33"/>
        <v/>
      </c>
      <c r="AK94" s="629" t="str">
        <f t="shared" ca="1" si="34"/>
        <v/>
      </c>
    </row>
    <row r="95" spans="1:37" ht="35.4" customHeight="1">
      <c r="A95" s="619" t="str">
        <f t="shared" si="23"/>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BT$3,0)=1,1,MATCH($E95,始値!$E$3:$BT$3,0)+1)),_xlpm.v,INDEX(始値!$C$6:$B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 t="shared" ca="1" si="35"/>
        <v/>
      </c>
      <c r="L95" s="706" t="str">
        <f t="shared" ca="1" si="36"/>
        <v/>
      </c>
      <c r="M95" s="491">
        <f>IF($F95="","",IF($C95="売",CEILING($F95*IF($C95="売",1-$AG$3,1+$AG$3),IF($F95*IF($C95="売",1-$AG$3,1+$AG$3)&lt;=3000,1,IF($F95*IF($C95="売",1-$AG$3,1+$AG$3)&lt;=5000,5,IF($F95*IF($C95="売",1-$AG$3,1+$AG$3)&lt;=30000,10,IF($F95*IF($C95="売",1-$AG$3,1+$AG$3)&lt;=50000,50,IF($F95*IF($C95="売",1-$AG$3,1+$AG$3)&lt;=300000,100,500)))))),FLOOR($F95*IF($C95="売",1-$AG$3,1+$AG$3),IF($F95*IF($C95="売",1-$AG$3,1+$AG$3)&lt;=3000,1,IF($F95*IF($C95="売",1-$AG$3,1+$AG$3)&lt;=5000,5,IF($F95*IF($C95="売",1-$AG$3,1+$AG$3)&lt;=30000,10,IF($F95*IF($C95="売",1-$AG$3,1+$AG$3)&lt;=50000,50,IF($F95*IF($C95="売",1-$AG$3,1+$AG$3)&lt;=300000,100,500))))))))</f>
      </c>
      <c r="N95" s="491">
        <f>IF($F95="","",IF($C95="売",CEILING($F95*IF($C95="売",1+$AG$2,1-$AG$2),IF($F95*IF($C95="売",1+$AG$2,1-$AG$2)&lt;=3000,1,IF($F95*IF($C95="売",1+$AG$2,1-$AG$2)&lt;=5000,5,IF($F95*IF($C95="売",1+$AG$2,1-$AG$2)&lt;=30000,10,IF($F95*IF($C95="売",1+$AG$2,1-$AG$2)&lt;=50000,50,IF($F95*IF($C95="売",1+$AG$2,1-$AG$2)&lt;=300000,100,500)))))),FLOOR($F95*IF($C95="売",1+$AG$2,1-$AG$2),IF($F95*IF($C95="売",1+$AG$2,1-$AG$2)&lt;=3000,1,IF($F95*IF($C95="売",1+$AG$2,1-$AG$2)&lt;=5000,5,IF($F95*IF($C95="売",1+$AG$2,1-$AG$2)&lt;=30000,10,IF($F95*IF($C95="売",1+$AG$2,1-$AG$2)&lt;=50000,50,IF($F95*IF($C95="売",1+$AG$2,1-$AG$2)&lt;=300000,100,500))))))))</f>
      </c>
      <c r="O95" s="492">
        <f>IF(OR($B95="",$F95="",$H95=""),"",IF($S95="✅売却済","―決済済―",IF($C95="売",  IF($H95&lt;=$M95,"🟢利確",  IF(AND($R95&lt;&gt;"",$H95&gt;=$R95),"🟠TRAIL決済",  IF($H95&gt;=$N95,"🔴損切",  IF($W95&gt;=$AG$5,"⏱時間決済",  IF($H95&gt;=$F95*(1+$AG$2*0.7),"⚠️損切接近","保持継続"))))),  IF($H95&gt;=$M95,"🟢利確",  IF(AND($R95&lt;&gt;"",$H95&lt;=$R95),"🟠TRAIL決済",  IF($H95&lt;=$N95,"🔴損切",  IF($W95&gt;=$AG$5,"⏱時間決済",  IF($H95&lt;=$F95*(1-$AG$2*0.7),"⚠️損切接近","保持継続")))))))</f>
      </c>
      <c r="P95" s="491"/>
      <c r="Q95" s="491"/>
      <c r="R95" s="491">
        <f>IF(OR($F95="",$H95="",$N95=""),"",IF($S95="✅売却済","",IF($C95="売",  IF($H95&gt;$F95*(1-$AG$2),$N95,CEILING(MIN($N95,IF($Q95="",$N95,$Q95*1.03)),IF($N95&lt;=3000,1,IF($N95&lt;=5000,5,IF($N95&lt;=30000,10,IF($N95&lt;=50000,50,IF($N95&lt;=300000,100,500))))))),  IF($H95&lt;$F95*(1+$AG$2),$N95,FLOOR(MAX($N95,IF($P95="",$N95,$P95*0.97)),IF($N95&lt;=3000,1,IF($N95&lt;=5000,5,IF($N95&lt;=30000,10,IF($N95&lt;=50000,50,IF($N95&lt;=300000,100,500))))))))))</f>
      </c>
      <c r="S95" s="586" t="str">
        <f t="shared" si="38"/>
        <v/>
      </c>
      <c r="T95" s="594" t="str">
        <f t="shared" ca="1" si="27"/>
        <v/>
      </c>
      <c r="U95" s="491" t="str">
        <f t="shared" ca="1" si="28"/>
        <v/>
      </c>
      <c r="V95" s="701" t="str">
        <f t="shared" ca="1" si="39"/>
        <v/>
      </c>
      <c r="W95" s="493" t="str">
        <f t="shared" ca="1" si="29"/>
        <v/>
      </c>
      <c r="X95" s="489" t="str">
        <f t="shared" ca="1" si="30"/>
        <v/>
      </c>
      <c r="Y95" s="488">
        <f>IF($B95="","",IF(COUNTIFS($B$4:$B95,$B95,$C$4:$C95,$C95)&gt;1,"⛔重複"&amp;COUNTIFS($B$4:$B95,$B95,$C$4:$C95,$C95)&amp;"回目",""))</f>
      </c>
      <c r="Z95" s="710"/>
      <c r="AB95">
        <f>IF($F95="","",MAX(100,ROUNDDOWN($AG$4/($F95*$AG$2)/100,0)*100))</f>
      </c>
      <c r="AC95">
        <f>IF(OR($F95="",$G95="",$U95=""),"",ROUND($V95-($F95+$U95)*$G95*$AG$6-IF($C95="売",$F95*$G95*$AG$7*$W95/365,0),0))</f>
      </c>
      <c r="AD95" s="608"/>
      <c r="AE95" s="624" t="str">
        <f t="shared" si="31"/>
        <v/>
      </c>
      <c r="AF95" s="626"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26"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00" t="str">
        <f t="shared" ca="1" si="32"/>
        <v/>
      </c>
      <c r="AI95" s="600" t="str" cm="1">
        <f t="array" ref="AI95">IFERROR(INDEX(始値!$E$6:$BT$305,MATCH(TEXT($B95,"0"),TEXT(銘柄管理!$B$6:$B$305,"0"),0),MATCH($AE95,始値!$E$3:$BT$3,0)),"")</f>
        <v/>
      </c>
      <c r="AJ95" s="905" t="str">
        <f t="shared" ca="1" si="33"/>
        <v/>
      </c>
      <c r="AK95" s="629" t="str">
        <f t="shared" ca="1" si="34"/>
        <v/>
      </c>
    </row>
    <row r="96" spans="1:37" ht="35.4" customHeight="1">
      <c r="A96" s="619" t="str">
        <f t="shared" si="23"/>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BT$3,0)=1,1,MATCH($E96,始値!$E$3:$BT$3,0)+1)),_xlpm.v,INDEX(始値!$C$6:$B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 t="shared" ca="1" si="35"/>
        <v/>
      </c>
      <c r="L96" s="706" t="str">
        <f t="shared" ca="1" si="36"/>
        <v/>
      </c>
      <c r="M96" s="491">
        <f>IF($F96="","",IF($C96="売",CEILING($F96*IF($C96="売",1-$AG$3,1+$AG$3),IF($F96*IF($C96="売",1-$AG$3,1+$AG$3)&lt;=3000,1,IF($F96*IF($C96="売",1-$AG$3,1+$AG$3)&lt;=5000,5,IF($F96*IF($C96="売",1-$AG$3,1+$AG$3)&lt;=30000,10,IF($F96*IF($C96="売",1-$AG$3,1+$AG$3)&lt;=50000,50,IF($F96*IF($C96="売",1-$AG$3,1+$AG$3)&lt;=300000,100,500)))))),FLOOR($F96*IF($C96="売",1-$AG$3,1+$AG$3),IF($F96*IF($C96="売",1-$AG$3,1+$AG$3)&lt;=3000,1,IF($F96*IF($C96="売",1-$AG$3,1+$AG$3)&lt;=5000,5,IF($F96*IF($C96="売",1-$AG$3,1+$AG$3)&lt;=30000,10,IF($F96*IF($C96="売",1-$AG$3,1+$AG$3)&lt;=50000,50,IF($F96*IF($C96="売",1-$AG$3,1+$AG$3)&lt;=300000,100,500))))))))</f>
      </c>
      <c r="N96" s="491">
        <f>IF($F96="","",IF($C96="売",CEILING($F96*IF($C96="売",1+$AG$2,1-$AG$2),IF($F96*IF($C96="売",1+$AG$2,1-$AG$2)&lt;=3000,1,IF($F96*IF($C96="売",1+$AG$2,1-$AG$2)&lt;=5000,5,IF($F96*IF($C96="売",1+$AG$2,1-$AG$2)&lt;=30000,10,IF($F96*IF($C96="売",1+$AG$2,1-$AG$2)&lt;=50000,50,IF($F96*IF($C96="売",1+$AG$2,1-$AG$2)&lt;=300000,100,500)))))),FLOOR($F96*IF($C96="売",1+$AG$2,1-$AG$2),IF($F96*IF($C96="売",1+$AG$2,1-$AG$2)&lt;=3000,1,IF($F96*IF($C96="売",1+$AG$2,1-$AG$2)&lt;=5000,5,IF($F96*IF($C96="売",1+$AG$2,1-$AG$2)&lt;=30000,10,IF($F96*IF($C96="売",1+$AG$2,1-$AG$2)&lt;=50000,50,IF($F96*IF($C96="売",1+$AG$2,1-$AG$2)&lt;=300000,100,500))))))))</f>
      </c>
      <c r="O96" s="492">
        <f>IF(OR($B96="",$F96="",$H96=""),"",IF($S96="✅売却済","―決済済―",IF($C96="売",  IF($H96&lt;=$M96,"🟢利確",  IF(AND($R96&lt;&gt;"",$H96&gt;=$R96),"🟠TRAIL決済",  IF($H96&gt;=$N96,"🔴損切",  IF($W96&gt;=$AG$5,"⏱時間決済",  IF($H96&gt;=$F96*(1+$AG$2*0.7),"⚠️損切接近","保持継続"))))),  IF($H96&gt;=$M96,"🟢利確",  IF(AND($R96&lt;&gt;"",$H96&lt;=$R96),"🟠TRAIL決済",  IF($H96&lt;=$N96,"🔴損切",  IF($W96&gt;=$AG$5,"⏱時間決済",  IF($H96&lt;=$F96*(1-$AG$2*0.7),"⚠️損切接近","保持継続")))))))</f>
      </c>
      <c r="P96" s="491"/>
      <c r="Q96" s="491"/>
      <c r="R96" s="491">
        <f>IF(OR($F96="",$H96="",$N96=""),"",IF($S96="✅売却済","",IF($C96="売",  IF($H96&gt;$F96*(1-$AG$2),$N96,CEILING(MIN($N96,IF($Q96="",$N96,$Q96*1.03)),IF($N96&lt;=3000,1,IF($N96&lt;=5000,5,IF($N96&lt;=30000,10,IF($N96&lt;=50000,50,IF($N96&lt;=300000,100,500))))))),  IF($H96&lt;$F96*(1+$AG$2),$N96,FLOOR(MAX($N96,IF($P96="",$N96,$P96*0.97)),IF($N96&lt;=3000,1,IF($N96&lt;=5000,5,IF($N96&lt;=30000,10,IF($N96&lt;=50000,50,IF($N96&lt;=300000,100,500))))))))))</f>
      </c>
      <c r="S96" s="586" t="str">
        <f t="shared" si="38"/>
        <v/>
      </c>
      <c r="T96" s="594" t="str">
        <f t="shared" ca="1" si="27"/>
        <v/>
      </c>
      <c r="U96" s="491" t="str">
        <f t="shared" ca="1" si="28"/>
        <v/>
      </c>
      <c r="V96" s="701" t="str">
        <f t="shared" ca="1" si="39"/>
        <v/>
      </c>
      <c r="W96" s="493" t="str">
        <f t="shared" ca="1" si="29"/>
        <v/>
      </c>
      <c r="X96" s="489" t="str">
        <f t="shared" ca="1" si="30"/>
        <v/>
      </c>
      <c r="Y96" s="488">
        <f>IF($B96="","",IF(COUNTIFS($B$4:$B96,$B96,$C$4:$C96,$C96)&gt;1,"⛔重複"&amp;COUNTIFS($B$4:$B96,$B96,$C$4:$C96,$C96)&amp;"回目",""))</f>
      </c>
      <c r="Z96" s="710"/>
      <c r="AB96">
        <f>IF($F96="","",MAX(100,ROUNDDOWN($AG$4/($F96*$AG$2)/100,0)*100))</f>
      </c>
      <c r="AC96">
        <f>IF(OR($F96="",$G96="",$U96=""),"",ROUND($V96-($F96+$U96)*$G96*$AG$6-IF($C96="売",$F96*$G96*$AG$7*$W96/365,0),0))</f>
      </c>
      <c r="AD96" s="608"/>
      <c r="AE96" s="624" t="str">
        <f t="shared" si="31"/>
        <v/>
      </c>
      <c r="AF96" s="626"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26"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00" t="str">
        <f t="shared" ca="1" si="32"/>
        <v/>
      </c>
      <c r="AI96" s="600" t="str" cm="1">
        <f t="array" ref="AI96">IFERROR(INDEX(始値!$E$6:$BT$305,MATCH(TEXT($B96,"0"),TEXT(銘柄管理!$B$6:$B$305,"0"),0),MATCH($AE96,始値!$E$3:$BT$3,0)),"")</f>
        <v/>
      </c>
      <c r="AJ96" s="905" t="str">
        <f t="shared" ca="1" si="33"/>
        <v/>
      </c>
      <c r="AK96" s="629" t="str">
        <f t="shared" ca="1" si="34"/>
        <v/>
      </c>
    </row>
    <row r="97" spans="1:37" ht="35.4" customHeight="1">
      <c r="A97" s="619" t="str">
        <f t="shared" si="23"/>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BT$3,0)=1,1,MATCH($E97,始値!$E$3:$BT$3,0)+1)),_xlpm.v,INDEX(始値!$C$6:$B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 t="shared" ca="1" si="35"/>
        <v/>
      </c>
      <c r="L97" s="706" t="str">
        <f t="shared" ca="1" si="36"/>
        <v/>
      </c>
      <c r="M97" s="491">
        <f>IF($F97="","",IF($C97="売",CEILING($F97*IF($C97="売",1-$AG$3,1+$AG$3),IF($F97*IF($C97="売",1-$AG$3,1+$AG$3)&lt;=3000,1,IF($F97*IF($C97="売",1-$AG$3,1+$AG$3)&lt;=5000,5,IF($F97*IF($C97="売",1-$AG$3,1+$AG$3)&lt;=30000,10,IF($F97*IF($C97="売",1-$AG$3,1+$AG$3)&lt;=50000,50,IF($F97*IF($C97="売",1-$AG$3,1+$AG$3)&lt;=300000,100,500)))))),FLOOR($F97*IF($C97="売",1-$AG$3,1+$AG$3),IF($F97*IF($C97="売",1-$AG$3,1+$AG$3)&lt;=3000,1,IF($F97*IF($C97="売",1-$AG$3,1+$AG$3)&lt;=5000,5,IF($F97*IF($C97="売",1-$AG$3,1+$AG$3)&lt;=30000,10,IF($F97*IF($C97="売",1-$AG$3,1+$AG$3)&lt;=50000,50,IF($F97*IF($C97="売",1-$AG$3,1+$AG$3)&lt;=300000,100,500))))))))</f>
      </c>
      <c r="N97" s="491">
        <f>IF($F97="","",IF($C97="売",CEILING($F97*IF($C97="売",1+$AG$2,1-$AG$2),IF($F97*IF($C97="売",1+$AG$2,1-$AG$2)&lt;=3000,1,IF($F97*IF($C97="売",1+$AG$2,1-$AG$2)&lt;=5000,5,IF($F97*IF($C97="売",1+$AG$2,1-$AG$2)&lt;=30000,10,IF($F97*IF($C97="売",1+$AG$2,1-$AG$2)&lt;=50000,50,IF($F97*IF($C97="売",1+$AG$2,1-$AG$2)&lt;=300000,100,500)))))),FLOOR($F97*IF($C97="売",1+$AG$2,1-$AG$2),IF($F97*IF($C97="売",1+$AG$2,1-$AG$2)&lt;=3000,1,IF($F97*IF($C97="売",1+$AG$2,1-$AG$2)&lt;=5000,5,IF($F97*IF($C97="売",1+$AG$2,1-$AG$2)&lt;=30000,10,IF($F97*IF($C97="売",1+$AG$2,1-$AG$2)&lt;=50000,50,IF($F97*IF($C97="売",1+$AG$2,1-$AG$2)&lt;=300000,100,500))))))))</f>
      </c>
      <c r="O97" s="492">
        <f>IF(OR($B97="",$F97="",$H97=""),"",IF($S97="✅売却済","―決済済―",IF($C97="売",  IF($H97&lt;=$M97,"🟢利確",  IF(AND($R97&lt;&gt;"",$H97&gt;=$R97),"🟠TRAIL決済",  IF($H97&gt;=$N97,"🔴損切",  IF($W97&gt;=$AG$5,"⏱時間決済",  IF($H97&gt;=$F97*(1+$AG$2*0.7),"⚠️損切接近","保持継続"))))),  IF($H97&gt;=$M97,"🟢利確",  IF(AND($R97&lt;&gt;"",$H97&lt;=$R97),"🟠TRAIL決済",  IF($H97&lt;=$N97,"🔴損切",  IF($W97&gt;=$AG$5,"⏱時間決済",  IF($H97&lt;=$F97*(1-$AG$2*0.7),"⚠️損切接近","保持継続")))))))</f>
      </c>
      <c r="P97" s="491"/>
      <c r="Q97" s="491"/>
      <c r="R97" s="491">
        <f>IF(OR($F97="",$H97="",$N97=""),"",IF($S97="✅売却済","",IF($C97="売",  IF($H97&gt;$F97*(1-$AG$2),$N97,CEILING(MIN($N97,IF($Q97="",$N97,$Q97*1.03)),IF($N97&lt;=3000,1,IF($N97&lt;=5000,5,IF($N97&lt;=30000,10,IF($N97&lt;=50000,50,IF($N97&lt;=300000,100,500))))))),  IF($H97&lt;$F97*(1+$AG$2),$N97,FLOOR(MAX($N97,IF($P97="",$N97,$P97*0.97)),IF($N97&lt;=3000,1,IF($N97&lt;=5000,5,IF($N97&lt;=30000,10,IF($N97&lt;=50000,50,IF($N97&lt;=300000,100,500))))))))))</f>
      </c>
      <c r="S97" s="586" t="str">
        <f t="shared" si="38"/>
        <v/>
      </c>
      <c r="T97" s="594" t="str">
        <f t="shared" ca="1" si="27"/>
        <v/>
      </c>
      <c r="U97" s="491" t="str">
        <f t="shared" ca="1" si="28"/>
        <v/>
      </c>
      <c r="V97" s="701" t="str">
        <f t="shared" ca="1" si="39"/>
        <v/>
      </c>
      <c r="W97" s="493" t="str">
        <f t="shared" ca="1" si="29"/>
        <v/>
      </c>
      <c r="X97" s="489" t="str">
        <f t="shared" ca="1" si="30"/>
        <v/>
      </c>
      <c r="Y97" s="488">
        <f>IF($B97="","",IF(COUNTIFS($B$4:$B97,$B97,$C$4:$C97,$C97)&gt;1,"⛔重複"&amp;COUNTIFS($B$4:$B97,$B97,$C$4:$C97,$C97)&amp;"回目",""))</f>
      </c>
      <c r="Z97" s="710"/>
      <c r="AB97">
        <f>IF($F97="","",MAX(100,ROUNDDOWN($AG$4/($F97*$AG$2)/100,0)*100))</f>
      </c>
      <c r="AC97">
        <f>IF(OR($F97="",$G97="",$U97=""),"",ROUND($V97-($F97+$U97)*$G97*$AG$6-IF($C97="売",$F97*$G97*$AG$7*$W97/365,0),0))</f>
      </c>
      <c r="AD97" s="608"/>
      <c r="AE97" s="624" t="str">
        <f t="shared" si="31"/>
        <v/>
      </c>
      <c r="AF97" s="626"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26"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00" t="str">
        <f t="shared" ca="1" si="32"/>
        <v/>
      </c>
      <c r="AI97" s="600" t="str" cm="1">
        <f t="array" ref="AI97">IFERROR(INDEX(始値!$E$6:$BT$305,MATCH(TEXT($B97,"0"),TEXT(銘柄管理!$B$6:$B$305,"0"),0),MATCH($AE97,始値!$E$3:$BT$3,0)),"")</f>
        <v/>
      </c>
      <c r="AJ97" s="905" t="str">
        <f t="shared" ca="1" si="33"/>
        <v/>
      </c>
      <c r="AK97" s="629" t="str">
        <f t="shared" ca="1" si="34"/>
        <v/>
      </c>
    </row>
    <row r="98" spans="1:37" ht="35.4" customHeight="1">
      <c r="A98" s="619" t="str">
        <f t="shared" si="23"/>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BT$3,0)=1,1,MATCH($E98,始値!$E$3:$BT$3,0)+1)),_xlpm.v,INDEX(始値!$C$6:$B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 t="shared" ca="1" si="35"/>
        <v/>
      </c>
      <c r="L98" s="706" t="str">
        <f t="shared" ca="1" si="36"/>
        <v/>
      </c>
      <c r="M98" s="491">
        <f>IF($F98="","",IF($C98="売",CEILING($F98*IF($C98="売",1-$AG$3,1+$AG$3),IF($F98*IF($C98="売",1-$AG$3,1+$AG$3)&lt;=3000,1,IF($F98*IF($C98="売",1-$AG$3,1+$AG$3)&lt;=5000,5,IF($F98*IF($C98="売",1-$AG$3,1+$AG$3)&lt;=30000,10,IF($F98*IF($C98="売",1-$AG$3,1+$AG$3)&lt;=50000,50,IF($F98*IF($C98="売",1-$AG$3,1+$AG$3)&lt;=300000,100,500)))))),FLOOR($F98*IF($C98="売",1-$AG$3,1+$AG$3),IF($F98*IF($C98="売",1-$AG$3,1+$AG$3)&lt;=3000,1,IF($F98*IF($C98="売",1-$AG$3,1+$AG$3)&lt;=5000,5,IF($F98*IF($C98="売",1-$AG$3,1+$AG$3)&lt;=30000,10,IF($F98*IF($C98="売",1-$AG$3,1+$AG$3)&lt;=50000,50,IF($F98*IF($C98="売",1-$AG$3,1+$AG$3)&lt;=300000,100,500))))))))</f>
      </c>
      <c r="N98" s="491">
        <f>IF($F98="","",IF($C98="売",CEILING($F98*IF($C98="売",1+$AG$2,1-$AG$2),IF($F98*IF($C98="売",1+$AG$2,1-$AG$2)&lt;=3000,1,IF($F98*IF($C98="売",1+$AG$2,1-$AG$2)&lt;=5000,5,IF($F98*IF($C98="売",1+$AG$2,1-$AG$2)&lt;=30000,10,IF($F98*IF($C98="売",1+$AG$2,1-$AG$2)&lt;=50000,50,IF($F98*IF($C98="売",1+$AG$2,1-$AG$2)&lt;=300000,100,500)))))),FLOOR($F98*IF($C98="売",1+$AG$2,1-$AG$2),IF($F98*IF($C98="売",1+$AG$2,1-$AG$2)&lt;=3000,1,IF($F98*IF($C98="売",1+$AG$2,1-$AG$2)&lt;=5000,5,IF($F98*IF($C98="売",1+$AG$2,1-$AG$2)&lt;=30000,10,IF($F98*IF($C98="売",1+$AG$2,1-$AG$2)&lt;=50000,50,IF($F98*IF($C98="売",1+$AG$2,1-$AG$2)&lt;=300000,100,500))))))))</f>
      </c>
      <c r="O98" s="492">
        <f>IF(OR($B98="",$F98="",$H98=""),"",IF($S98="✅売却済","―決済済―",IF($C98="売",  IF($H98&lt;=$M98,"🟢利確",  IF(AND($R98&lt;&gt;"",$H98&gt;=$R98),"🟠TRAIL決済",  IF($H98&gt;=$N98,"🔴損切",  IF($W98&gt;=$AG$5,"⏱時間決済",  IF($H98&gt;=$F98*(1+$AG$2*0.7),"⚠️損切接近","保持継続"))))),  IF($H98&gt;=$M98,"🟢利確",  IF(AND($R98&lt;&gt;"",$H98&lt;=$R98),"🟠TRAIL決済",  IF($H98&lt;=$N98,"🔴損切",  IF($W98&gt;=$AG$5,"⏱時間決済",  IF($H98&lt;=$F98*(1-$AG$2*0.7),"⚠️損切接近","保持継続")))))))</f>
      </c>
      <c r="P98" s="491"/>
      <c r="Q98" s="491"/>
      <c r="R98" s="491">
        <f>IF(OR($F98="",$H98="",$N98=""),"",IF($S98="✅売却済","",IF($C98="売",  IF($H98&gt;$F98*(1-$AG$2),$N98,CEILING(MIN($N98,IF($Q98="",$N98,$Q98*1.03)),IF($N98&lt;=3000,1,IF($N98&lt;=5000,5,IF($N98&lt;=30000,10,IF($N98&lt;=50000,50,IF($N98&lt;=300000,100,500))))))),  IF($H98&lt;$F98*(1+$AG$2),$N98,FLOOR(MAX($N98,IF($P98="",$N98,$P98*0.97)),IF($N98&lt;=3000,1,IF($N98&lt;=5000,5,IF($N98&lt;=30000,10,IF($N98&lt;=50000,50,IF($N98&lt;=300000,100,500))))))))))</f>
      </c>
      <c r="S98" s="586" t="str">
        <f t="shared" si="38"/>
        <v/>
      </c>
      <c r="T98" s="594" t="str">
        <f t="shared" ca="1" si="27"/>
        <v/>
      </c>
      <c r="U98" s="491" t="str">
        <f t="shared" ca="1" si="28"/>
        <v/>
      </c>
      <c r="V98" s="701" t="str">
        <f t="shared" ca="1" si="39"/>
        <v/>
      </c>
      <c r="W98" s="493" t="str">
        <f t="shared" ca="1" si="29"/>
        <v/>
      </c>
      <c r="X98" s="489" t="str">
        <f t="shared" ca="1" si="30"/>
        <v/>
      </c>
      <c r="Y98" s="488">
        <f>IF($B98="","",IF(COUNTIFS($B$4:$B98,$B98,$C$4:$C98,$C98)&gt;1,"⛔重複"&amp;COUNTIFS($B$4:$B98,$B98,$C$4:$C98,$C98)&amp;"回目",""))</f>
      </c>
      <c r="Z98" s="710"/>
      <c r="AB98">
        <f>IF($F98="","",MAX(100,ROUNDDOWN($AG$4/($F98*$AG$2)/100,0)*100))</f>
      </c>
      <c r="AC98">
        <f>IF(OR($F98="",$G98="",$U98=""),"",ROUND($V98-($F98+$U98)*$G98*$AG$6-IF($C98="売",$F98*$G98*$AG$7*$W98/365,0),0))</f>
      </c>
      <c r="AD98" s="608"/>
      <c r="AE98" s="624" t="str">
        <f t="shared" si="31"/>
        <v/>
      </c>
      <c r="AF98" s="626"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26"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00" t="str">
        <f t="shared" ca="1" si="32"/>
        <v/>
      </c>
      <c r="AI98" s="600" t="str" cm="1">
        <f t="array" ref="AI98">IFERROR(INDEX(始値!$E$6:$BT$305,MATCH(TEXT($B98,"0"),TEXT(銘柄管理!$B$6:$B$305,"0"),0),MATCH($AE98,始値!$E$3:$BT$3,0)),"")</f>
        <v/>
      </c>
      <c r="AJ98" s="905" t="str">
        <f t="shared" ca="1" si="33"/>
        <v/>
      </c>
      <c r="AK98" s="629" t="str">
        <f t="shared" ca="1" si="34"/>
        <v/>
      </c>
    </row>
    <row r="99" spans="1:37" ht="35.4" customHeight="1">
      <c r="A99" s="619" t="str">
        <f t="shared" si="23"/>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BT$3,0)=1,1,MATCH($E99,始値!$E$3:$BT$3,0)+1)),_xlpm.v,INDEX(始値!$C$6:$B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 t="shared" ca="1" si="35"/>
        <v/>
      </c>
      <c r="L99" s="706" t="str">
        <f t="shared" ca="1" si="36"/>
        <v/>
      </c>
      <c r="M99" s="491">
        <f>IF($F99="","",IF($C99="売",CEILING($F99*IF($C99="売",1-$AG$3,1+$AG$3),IF($F99*IF($C99="売",1-$AG$3,1+$AG$3)&lt;=3000,1,IF($F99*IF($C99="売",1-$AG$3,1+$AG$3)&lt;=5000,5,IF($F99*IF($C99="売",1-$AG$3,1+$AG$3)&lt;=30000,10,IF($F99*IF($C99="売",1-$AG$3,1+$AG$3)&lt;=50000,50,IF($F99*IF($C99="売",1-$AG$3,1+$AG$3)&lt;=300000,100,500)))))),FLOOR($F99*IF($C99="売",1-$AG$3,1+$AG$3),IF($F99*IF($C99="売",1-$AG$3,1+$AG$3)&lt;=3000,1,IF($F99*IF($C99="売",1-$AG$3,1+$AG$3)&lt;=5000,5,IF($F99*IF($C99="売",1-$AG$3,1+$AG$3)&lt;=30000,10,IF($F99*IF($C99="売",1-$AG$3,1+$AG$3)&lt;=50000,50,IF($F99*IF($C99="売",1-$AG$3,1+$AG$3)&lt;=300000,100,500))))))))</f>
      </c>
      <c r="N99" s="491">
        <f>IF($F99="","",IF($C99="売",CEILING($F99*IF($C99="売",1+$AG$2,1-$AG$2),IF($F99*IF($C99="売",1+$AG$2,1-$AG$2)&lt;=3000,1,IF($F99*IF($C99="売",1+$AG$2,1-$AG$2)&lt;=5000,5,IF($F99*IF($C99="売",1+$AG$2,1-$AG$2)&lt;=30000,10,IF($F99*IF($C99="売",1+$AG$2,1-$AG$2)&lt;=50000,50,IF($F99*IF($C99="売",1+$AG$2,1-$AG$2)&lt;=300000,100,500)))))),FLOOR($F99*IF($C99="売",1+$AG$2,1-$AG$2),IF($F99*IF($C99="売",1+$AG$2,1-$AG$2)&lt;=3000,1,IF($F99*IF($C99="売",1+$AG$2,1-$AG$2)&lt;=5000,5,IF($F99*IF($C99="売",1+$AG$2,1-$AG$2)&lt;=30000,10,IF($F99*IF($C99="売",1+$AG$2,1-$AG$2)&lt;=50000,50,IF($F99*IF($C99="売",1+$AG$2,1-$AG$2)&lt;=300000,100,500))))))))</f>
      </c>
      <c r="O99" s="492">
        <f>IF(OR($B99="",$F99="",$H99=""),"",IF($S99="✅売却済","―決済済―",IF($C99="売",  IF($H99&lt;=$M99,"🟢利確",  IF(AND($R99&lt;&gt;"",$H99&gt;=$R99),"🟠TRAIL決済",  IF($H99&gt;=$N99,"🔴損切",  IF($W99&gt;=$AG$5,"⏱時間決済",  IF($H99&gt;=$F99*(1+$AG$2*0.7),"⚠️損切接近","保持継続"))))),  IF($H99&gt;=$M99,"🟢利確",  IF(AND($R99&lt;&gt;"",$H99&lt;=$R99),"🟠TRAIL決済",  IF($H99&lt;=$N99,"🔴損切",  IF($W99&gt;=$AG$5,"⏱時間決済",  IF($H99&lt;=$F99*(1-$AG$2*0.7),"⚠️損切接近","保持継続")))))))</f>
      </c>
      <c r="P99" s="491"/>
      <c r="Q99" s="491"/>
      <c r="R99" s="491">
        <f>IF(OR($F99="",$H99="",$N99=""),"",IF($S99="✅売却済","",IF($C99="売",  IF($H99&gt;$F99*(1-$AG$2),$N99,CEILING(MIN($N99,IF($Q99="",$N99,$Q99*1.03)),IF($N99&lt;=3000,1,IF($N99&lt;=5000,5,IF($N99&lt;=30000,10,IF($N99&lt;=50000,50,IF($N99&lt;=300000,100,500))))))),  IF($H99&lt;$F99*(1+$AG$2),$N99,FLOOR(MAX($N99,IF($P99="",$N99,$P99*0.97)),IF($N99&lt;=3000,1,IF($N99&lt;=5000,5,IF($N99&lt;=30000,10,IF($N99&lt;=50000,50,IF($N99&lt;=300000,100,500))))))))))</f>
      </c>
      <c r="S99" s="586" t="str">
        <f t="shared" si="38"/>
        <v/>
      </c>
      <c r="T99" s="594" t="str">
        <f t="shared" ca="1" si="27"/>
        <v/>
      </c>
      <c r="U99" s="491" t="str">
        <f t="shared" ca="1" si="28"/>
        <v/>
      </c>
      <c r="V99" s="701" t="str">
        <f t="shared" ca="1" si="39"/>
        <v/>
      </c>
      <c r="W99" s="493" t="str">
        <f t="shared" ca="1" si="29"/>
        <v/>
      </c>
      <c r="X99" s="489" t="str">
        <f t="shared" ca="1" si="30"/>
        <v/>
      </c>
      <c r="Y99" s="488">
        <f>IF($B99="","",IF(COUNTIFS($B$4:$B99,$B99,$C$4:$C99,$C99)&gt;1,"⛔重複"&amp;COUNTIFS($B$4:$B99,$B99,$C$4:$C99,$C99)&amp;"回目",""))</f>
      </c>
      <c r="Z99" s="710"/>
      <c r="AB99">
        <f>IF($F99="","",MAX(100,ROUNDDOWN($AG$4/($F99*$AG$2)/100,0)*100))</f>
      </c>
      <c r="AC99">
        <f>IF(OR($F99="",$G99="",$U99=""),"",ROUND($V99-($F99+$U99)*$G99*$AG$6-IF($C99="売",$F99*$G99*$AG$7*$W99/365,0),0))</f>
      </c>
      <c r="AD99" s="608"/>
      <c r="AE99" s="624" t="str">
        <f t="shared" si="31"/>
        <v/>
      </c>
      <c r="AF99" s="626"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26"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00" t="str">
        <f t="shared" ca="1" si="32"/>
        <v/>
      </c>
      <c r="AI99" s="600" t="str" cm="1">
        <f t="array" ref="AI99">IFERROR(INDEX(始値!$E$6:$BT$305,MATCH(TEXT($B99,"0"),TEXT(銘柄管理!$B$6:$B$305,"0"),0),MATCH($AE99,始値!$E$3:$BT$3,0)),"")</f>
        <v/>
      </c>
      <c r="AJ99" s="905" t="str">
        <f t="shared" ca="1" si="33"/>
        <v/>
      </c>
      <c r="AK99" s="629" t="str">
        <f t="shared" ca="1" si="34"/>
        <v/>
      </c>
    </row>
    <row r="100" spans="1:37" ht="35.4" customHeight="1">
      <c r="A100" s="619" t="str">
        <f t="shared" si="23"/>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BT$3,0)=1,1,MATCH($E100,始値!$E$3:$BT$3,0)+1)),_xlpm.v,INDEX(始値!$C$6:$B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 t="shared" ca="1" si="35"/>
        <v/>
      </c>
      <c r="L100" s="706" t="str">
        <f t="shared" ca="1" si="36"/>
        <v/>
      </c>
      <c r="M100" s="491">
        <f>IF($F100="","",IF($C100="売",CEILING($F100*IF($C100="売",1-$AG$3,1+$AG$3),IF($F100*IF($C100="売",1-$AG$3,1+$AG$3)&lt;=3000,1,IF($F100*IF($C100="売",1-$AG$3,1+$AG$3)&lt;=5000,5,IF($F100*IF($C100="売",1-$AG$3,1+$AG$3)&lt;=30000,10,IF($F100*IF($C100="売",1-$AG$3,1+$AG$3)&lt;=50000,50,IF($F100*IF($C100="売",1-$AG$3,1+$AG$3)&lt;=300000,100,500)))))),FLOOR($F100*IF($C100="売",1-$AG$3,1+$AG$3),IF($F100*IF($C100="売",1-$AG$3,1+$AG$3)&lt;=3000,1,IF($F100*IF($C100="売",1-$AG$3,1+$AG$3)&lt;=5000,5,IF($F100*IF($C100="売",1-$AG$3,1+$AG$3)&lt;=30000,10,IF($F100*IF($C100="売",1-$AG$3,1+$AG$3)&lt;=50000,50,IF($F100*IF($C100="売",1-$AG$3,1+$AG$3)&lt;=300000,100,500))))))))</f>
      </c>
      <c r="N100" s="491">
        <f>IF($F100="","",IF($C100="売",CEILING($F100*IF($C100="売",1+$AG$2,1-$AG$2),IF($F100*IF($C100="売",1+$AG$2,1-$AG$2)&lt;=3000,1,IF($F100*IF($C100="売",1+$AG$2,1-$AG$2)&lt;=5000,5,IF($F100*IF($C100="売",1+$AG$2,1-$AG$2)&lt;=30000,10,IF($F100*IF($C100="売",1+$AG$2,1-$AG$2)&lt;=50000,50,IF($F100*IF($C100="売",1+$AG$2,1-$AG$2)&lt;=300000,100,500)))))),FLOOR($F100*IF($C100="売",1+$AG$2,1-$AG$2),IF($F100*IF($C100="売",1+$AG$2,1-$AG$2)&lt;=3000,1,IF($F100*IF($C100="売",1+$AG$2,1-$AG$2)&lt;=5000,5,IF($F100*IF($C100="売",1+$AG$2,1-$AG$2)&lt;=30000,10,IF($F100*IF($C100="売",1+$AG$2,1-$AG$2)&lt;=50000,50,IF($F100*IF($C100="売",1+$AG$2,1-$AG$2)&lt;=300000,100,500))))))))</f>
      </c>
      <c r="O100" s="492">
        <f>IF(OR($B100="",$F100="",$H100=""),"",IF($S100="✅売却済","―決済済―",IF($C100="売",  IF($H100&lt;=$M100,"🟢利確",  IF(AND($R100&lt;&gt;"",$H100&gt;=$R100),"🟠TRAIL決済",  IF($H100&gt;=$N100,"🔴損切",  IF($W100&gt;=$AG$5,"⏱時間決済",  IF($H100&gt;=$F100*(1+$AG$2*0.7),"⚠️損切接近","保持継続"))))),  IF($H100&gt;=$M100,"🟢利確",  IF(AND($R100&lt;&gt;"",$H100&lt;=$R100),"🟠TRAIL決済",  IF($H100&lt;=$N100,"🔴損切",  IF($W100&gt;=$AG$5,"⏱時間決済",  IF($H100&lt;=$F100*(1-$AG$2*0.7),"⚠️損切接近","保持継続")))))))</f>
      </c>
      <c r="P100" s="491"/>
      <c r="Q100" s="491"/>
      <c r="R100" s="491">
        <f>IF(OR($F100="",$H100="",$N100=""),"",IF($S100="✅売却済","",IF($C100="売",  IF($H100&gt;$F100*(1-$AG$2),$N100,CEILING(MIN($N100,IF($Q100="",$N100,$Q100*1.03)),IF($N100&lt;=3000,1,IF($N100&lt;=5000,5,IF($N100&lt;=30000,10,IF($N100&lt;=50000,50,IF($N100&lt;=300000,100,500))))))),  IF($H100&lt;$F100*(1+$AG$2),$N100,FLOOR(MAX($N100,IF($P100="",$N100,$P100*0.97)),IF($N100&lt;=3000,1,IF($N100&lt;=5000,5,IF($N100&lt;=30000,10,IF($N100&lt;=50000,50,IF($N100&lt;=300000,100,500))))))))))</f>
      </c>
      <c r="S100" s="586" t="str">
        <f t="shared" si="38"/>
        <v/>
      </c>
      <c r="T100" s="594" t="str">
        <f t="shared" ca="1" si="27"/>
        <v/>
      </c>
      <c r="U100" s="491" t="str">
        <f t="shared" ca="1" si="28"/>
        <v/>
      </c>
      <c r="V100" s="701" t="str">
        <f t="shared" ca="1" si="39"/>
        <v/>
      </c>
      <c r="W100" s="493" t="str">
        <f t="shared" ca="1" si="29"/>
        <v/>
      </c>
      <c r="X100" s="489" t="str">
        <f t="shared" ca="1" si="30"/>
        <v/>
      </c>
      <c r="Y100" s="488">
        <f>IF($B100="","",IF(COUNTIFS($B$4:$B100,$B100,$C$4:$C100,$C100)&gt;1,"⛔重複"&amp;COUNTIFS($B$4:$B100,$B100,$C$4:$C100,$C100)&amp;"回目",""))</f>
      </c>
      <c r="Z100" s="710"/>
      <c r="AB100">
        <f>IF($F100="","",MAX(100,ROUNDDOWN($AG$4/($F100*$AG$2)/100,0)*100))</f>
      </c>
      <c r="AC100">
        <f>IF(OR($F100="",$G100="",$U100=""),"",ROUND($V100-($F100+$U100)*$G100*$AG$6-IF($C100="売",$F100*$G100*$AG$7*$W100/365,0),0))</f>
      </c>
      <c r="AD100" s="608"/>
      <c r="AE100" s="624" t="str">
        <f t="shared" si="31"/>
        <v/>
      </c>
      <c r="AF100" s="626"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26"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00" t="str">
        <f t="shared" ca="1" si="32"/>
        <v/>
      </c>
      <c r="AI100" s="600" t="str" cm="1">
        <f t="array" ref="AI100">IFERROR(INDEX(始値!$E$6:$BT$305,MATCH(TEXT($B100,"0"),TEXT(銘柄管理!$B$6:$B$305,"0"),0),MATCH($AE100,始値!$E$3:$BT$3,0)),"")</f>
        <v/>
      </c>
      <c r="AJ100" s="905" t="str">
        <f t="shared" ca="1" si="33"/>
        <v/>
      </c>
      <c r="AK100" s="629" t="str">
        <f t="shared" ca="1" si="34"/>
        <v/>
      </c>
    </row>
    <row r="101" spans="1:37" ht="35.4" customHeight="1">
      <c r="A101" s="619" t="str">
        <f t="shared" si="23"/>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BT$3,0)=1,1,MATCH($E101,始値!$E$3:$BT$3,0)+1)),_xlpm.v,INDEX(始値!$C$6:$B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 t="shared" ca="1" si="35"/>
        <v/>
      </c>
      <c r="L101" s="706" t="str">
        <f t="shared" ca="1" si="36"/>
        <v/>
      </c>
      <c r="M101" s="491">
        <f>IF($F101="","",IF($C101="売",CEILING($F101*IF($C101="売",1-$AG$3,1+$AG$3),IF($F101*IF($C101="売",1-$AG$3,1+$AG$3)&lt;=3000,1,IF($F101*IF($C101="売",1-$AG$3,1+$AG$3)&lt;=5000,5,IF($F101*IF($C101="売",1-$AG$3,1+$AG$3)&lt;=30000,10,IF($F101*IF($C101="売",1-$AG$3,1+$AG$3)&lt;=50000,50,IF($F101*IF($C101="売",1-$AG$3,1+$AG$3)&lt;=300000,100,500)))))),FLOOR($F101*IF($C101="売",1-$AG$3,1+$AG$3),IF($F101*IF($C101="売",1-$AG$3,1+$AG$3)&lt;=3000,1,IF($F101*IF($C101="売",1-$AG$3,1+$AG$3)&lt;=5000,5,IF($F101*IF($C101="売",1-$AG$3,1+$AG$3)&lt;=30000,10,IF($F101*IF($C101="売",1-$AG$3,1+$AG$3)&lt;=50000,50,IF($F101*IF($C101="売",1-$AG$3,1+$AG$3)&lt;=300000,100,500))))))))</f>
      </c>
      <c r="N101" s="491">
        <f>IF($F101="","",IF($C101="売",CEILING($F101*IF($C101="売",1+$AG$2,1-$AG$2),IF($F101*IF($C101="売",1+$AG$2,1-$AG$2)&lt;=3000,1,IF($F101*IF($C101="売",1+$AG$2,1-$AG$2)&lt;=5000,5,IF($F101*IF($C101="売",1+$AG$2,1-$AG$2)&lt;=30000,10,IF($F101*IF($C101="売",1+$AG$2,1-$AG$2)&lt;=50000,50,IF($F101*IF($C101="売",1+$AG$2,1-$AG$2)&lt;=300000,100,500)))))),FLOOR($F101*IF($C101="売",1+$AG$2,1-$AG$2),IF($F101*IF($C101="売",1+$AG$2,1-$AG$2)&lt;=3000,1,IF($F101*IF($C101="売",1+$AG$2,1-$AG$2)&lt;=5000,5,IF($F101*IF($C101="売",1+$AG$2,1-$AG$2)&lt;=30000,10,IF($F101*IF($C101="売",1+$AG$2,1-$AG$2)&lt;=50000,50,IF($F101*IF($C101="売",1+$AG$2,1-$AG$2)&lt;=300000,100,500))))))))</f>
      </c>
      <c r="O101" s="492">
        <f>IF(OR($B101="",$F101="",$H101=""),"",IF($S101="✅売却済","―決済済―",IF($C101="売",  IF($H101&lt;=$M101,"🟢利確",  IF(AND($R101&lt;&gt;"",$H101&gt;=$R101),"🟠TRAIL決済",  IF($H101&gt;=$N101,"🔴損切",  IF($W101&gt;=$AG$5,"⏱時間決済",  IF($H101&gt;=$F101*(1+$AG$2*0.7),"⚠️損切接近","保持継続"))))),  IF($H101&gt;=$M101,"🟢利確",  IF(AND($R101&lt;&gt;"",$H101&lt;=$R101),"🟠TRAIL決済",  IF($H101&lt;=$N101,"🔴損切",  IF($W101&gt;=$AG$5,"⏱時間決済",  IF($H101&lt;=$F101*(1-$AG$2*0.7),"⚠️損切接近","保持継続")))))))</f>
      </c>
      <c r="P101" s="491"/>
      <c r="Q101" s="491"/>
      <c r="R101" s="491">
        <f>IF(OR($F101="",$H101="",$N101=""),"",IF($S101="✅売却済","",IF($C101="売",  IF($H101&gt;$F101*(1-$AG$2),$N101,CEILING(MIN($N101,IF($Q101="",$N101,$Q101*1.03)),IF($N101&lt;=3000,1,IF($N101&lt;=5000,5,IF($N101&lt;=30000,10,IF($N101&lt;=50000,50,IF($N101&lt;=300000,100,500))))))),  IF($H101&lt;$F101*(1+$AG$2),$N101,FLOOR(MAX($N101,IF($P101="",$N101,$P101*0.97)),IF($N101&lt;=3000,1,IF($N101&lt;=5000,5,IF($N101&lt;=30000,10,IF($N101&lt;=50000,50,IF($N101&lt;=300000,100,500))))))))))</f>
      </c>
      <c r="S101" s="586" t="str">
        <f t="shared" si="38"/>
        <v/>
      </c>
      <c r="T101" s="594" t="str">
        <f t="shared" ca="1" si="27"/>
        <v/>
      </c>
      <c r="U101" s="491" t="str">
        <f t="shared" ca="1" si="28"/>
        <v/>
      </c>
      <c r="V101" s="701" t="str">
        <f t="shared" ca="1" si="39"/>
        <v/>
      </c>
      <c r="W101" s="493" t="str">
        <f t="shared" ca="1" si="29"/>
        <v/>
      </c>
      <c r="X101" s="489" t="str">
        <f t="shared" ca="1" si="30"/>
        <v/>
      </c>
      <c r="Y101" s="488">
        <f>IF($B101="","",IF(COUNTIFS($B$4:$B101,$B101,$C$4:$C101,$C101)&gt;1,"⛔重複"&amp;COUNTIFS($B$4:$B101,$B101,$C$4:$C101,$C101)&amp;"回目",""))</f>
      </c>
      <c r="Z101" s="710"/>
      <c r="AB101">
        <f>IF($F101="","",MAX(100,ROUNDDOWN($AG$4/($F101*$AG$2)/100,0)*100))</f>
      </c>
      <c r="AC101">
        <f>IF(OR($F101="",$G101="",$U101=""),"",ROUND($V101-($F101+$U101)*$G101*$AG$6-IF($C101="売",$F101*$G101*$AG$7*$W101/365,0),0))</f>
      </c>
      <c r="AD101" s="608"/>
      <c r="AE101" s="624" t="str">
        <f t="shared" si="31"/>
        <v/>
      </c>
      <c r="AF101" s="626"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26"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00" t="str">
        <f t="shared" ca="1" si="32"/>
        <v/>
      </c>
      <c r="AI101" s="600" t="str" cm="1">
        <f t="array" ref="AI101">IFERROR(INDEX(始値!$E$6:$BT$305,MATCH(TEXT($B101,"0"),TEXT(銘柄管理!$B$6:$B$305,"0"),0),MATCH($AE101,始値!$E$3:$BT$3,0)),"")</f>
        <v/>
      </c>
      <c r="AJ101" s="905" t="str">
        <f t="shared" ca="1" si="33"/>
        <v/>
      </c>
      <c r="AK101" s="629" t="str">
        <f t="shared" ca="1" si="34"/>
        <v/>
      </c>
    </row>
    <row r="102" spans="1:37" ht="35.4" customHeight="1">
      <c r="A102" s="619" t="str">
        <f t="shared" si="23"/>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BT$3,0)=1,1,MATCH($E102,始値!$E$3:$BT$3,0)+1)),_xlpm.v,INDEX(始値!$C$6:$B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 t="shared" ca="1" si="35"/>
        <v/>
      </c>
      <c r="L102" s="706" t="str">
        <f t="shared" ca="1" si="36"/>
        <v/>
      </c>
      <c r="M102" s="491">
        <f>IF($F102="","",IF($C102="売",CEILING($F102*IF($C102="売",1-$AG$3,1+$AG$3),IF($F102*IF($C102="売",1-$AG$3,1+$AG$3)&lt;=3000,1,IF($F102*IF($C102="売",1-$AG$3,1+$AG$3)&lt;=5000,5,IF($F102*IF($C102="売",1-$AG$3,1+$AG$3)&lt;=30000,10,IF($F102*IF($C102="売",1-$AG$3,1+$AG$3)&lt;=50000,50,IF($F102*IF($C102="売",1-$AG$3,1+$AG$3)&lt;=300000,100,500)))))),FLOOR($F102*IF($C102="売",1-$AG$3,1+$AG$3),IF($F102*IF($C102="売",1-$AG$3,1+$AG$3)&lt;=3000,1,IF($F102*IF($C102="売",1-$AG$3,1+$AG$3)&lt;=5000,5,IF($F102*IF($C102="売",1-$AG$3,1+$AG$3)&lt;=30000,10,IF($F102*IF($C102="売",1-$AG$3,1+$AG$3)&lt;=50000,50,IF($F102*IF($C102="売",1-$AG$3,1+$AG$3)&lt;=300000,100,500))))))))</f>
      </c>
      <c r="N102" s="491">
        <f>IF($F102="","",IF($C102="売",CEILING($F102*IF($C102="売",1+$AG$2,1-$AG$2),IF($F102*IF($C102="売",1+$AG$2,1-$AG$2)&lt;=3000,1,IF($F102*IF($C102="売",1+$AG$2,1-$AG$2)&lt;=5000,5,IF($F102*IF($C102="売",1+$AG$2,1-$AG$2)&lt;=30000,10,IF($F102*IF($C102="売",1+$AG$2,1-$AG$2)&lt;=50000,50,IF($F102*IF($C102="売",1+$AG$2,1-$AG$2)&lt;=300000,100,500)))))),FLOOR($F102*IF($C102="売",1+$AG$2,1-$AG$2),IF($F102*IF($C102="売",1+$AG$2,1-$AG$2)&lt;=3000,1,IF($F102*IF($C102="売",1+$AG$2,1-$AG$2)&lt;=5000,5,IF($F102*IF($C102="売",1+$AG$2,1-$AG$2)&lt;=30000,10,IF($F102*IF($C102="売",1+$AG$2,1-$AG$2)&lt;=50000,50,IF($F102*IF($C102="売",1+$AG$2,1-$AG$2)&lt;=300000,100,500))))))))</f>
      </c>
      <c r="O102" s="492">
        <f>IF(OR($B102="",$F102="",$H102=""),"",IF($S102="✅売却済","―決済済―",IF($C102="売",  IF($H102&lt;=$M102,"🟢利確",  IF(AND($R102&lt;&gt;"",$H102&gt;=$R102),"🟠TRAIL決済",  IF($H102&gt;=$N102,"🔴損切",  IF($W102&gt;=$AG$5,"⏱時間決済",  IF($H102&gt;=$F102*(1+$AG$2*0.7),"⚠️損切接近","保持継続"))))),  IF($H102&gt;=$M102,"🟢利確",  IF(AND($R102&lt;&gt;"",$H102&lt;=$R102),"🟠TRAIL決済",  IF($H102&lt;=$N102,"🔴損切",  IF($W102&gt;=$AG$5,"⏱時間決済",  IF($H102&lt;=$F102*(1-$AG$2*0.7),"⚠️損切接近","保持継続")))))))</f>
      </c>
      <c r="P102" s="491"/>
      <c r="Q102" s="491"/>
      <c r="R102" s="491">
        <f>IF(OR($F102="",$H102="",$N102=""),"",IF($S102="✅売却済","",IF($C102="売",  IF($H102&gt;$F102*(1-$AG$2),$N102,CEILING(MIN($N102,IF($Q102="",$N102,$Q102*1.03)),IF($N102&lt;=3000,1,IF($N102&lt;=5000,5,IF($N102&lt;=30000,10,IF($N102&lt;=50000,50,IF($N102&lt;=300000,100,500))))))),  IF($H102&lt;$F102*(1+$AG$2),$N102,FLOOR(MAX($N102,IF($P102="",$N102,$P102*0.97)),IF($N102&lt;=3000,1,IF($N102&lt;=5000,5,IF($N102&lt;=30000,10,IF($N102&lt;=50000,50,IF($N102&lt;=300000,100,500))))))))))</f>
      </c>
      <c r="S102" s="586" t="str">
        <f t="shared" si="38"/>
        <v/>
      </c>
      <c r="T102" s="594" t="str">
        <f t="shared" ca="1" si="27"/>
        <v/>
      </c>
      <c r="U102" s="491" t="str">
        <f t="shared" ca="1" si="28"/>
        <v/>
      </c>
      <c r="V102" s="701" t="str">
        <f t="shared" ca="1" si="39"/>
        <v/>
      </c>
      <c r="W102" s="493" t="str">
        <f t="shared" ca="1" si="29"/>
        <v/>
      </c>
      <c r="X102" s="489" t="str">
        <f t="shared" ca="1" si="30"/>
        <v/>
      </c>
      <c r="Y102" s="488">
        <f>IF($B102="","",IF(COUNTIFS($B$4:$B102,$B102,$C$4:$C102,$C102)&gt;1,"⛔重複"&amp;COUNTIFS($B$4:$B102,$B102,$C$4:$C102,$C102)&amp;"回目",""))</f>
      </c>
      <c r="Z102" s="710"/>
      <c r="AB102">
        <f>IF($F102="","",MAX(100,ROUNDDOWN($AG$4/($F102*$AG$2)/100,0)*100))</f>
      </c>
      <c r="AC102">
        <f>IF(OR($F102="",$G102="",$U102=""),"",ROUND($V102-($F102+$U102)*$G102*$AG$6-IF($C102="売",$F102*$G102*$AG$7*$W102/365,0),0))</f>
      </c>
      <c r="AD102" s="608"/>
      <c r="AE102" s="624" t="str">
        <f t="shared" si="31"/>
        <v/>
      </c>
      <c r="AF102" s="626"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26"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00" t="str">
        <f t="shared" ca="1" si="32"/>
        <v/>
      </c>
      <c r="AI102" s="600" t="str" cm="1">
        <f t="array" ref="AI102">IFERROR(INDEX(始値!$E$6:$BT$305,MATCH(TEXT($B102,"0"),TEXT(銘柄管理!$B$6:$B$305,"0"),0),MATCH($AE102,始値!$E$3:$BT$3,0)),"")</f>
        <v/>
      </c>
      <c r="AJ102" s="905" t="str">
        <f t="shared" ca="1" si="33"/>
        <v/>
      </c>
      <c r="AK102" s="629" t="str">
        <f t="shared" ca="1" si="34"/>
        <v/>
      </c>
    </row>
    <row r="103" spans="1:37" ht="35.4" customHeight="1">
      <c r="A103" s="619" t="str">
        <f t="shared" si="23"/>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BT$3,0)=1,1,MATCH($E103,始値!$E$3:$BT$3,0)+1)),_xlpm.v,INDEX(始値!$C$6:$B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 t="shared" ca="1" si="35"/>
        <v/>
      </c>
      <c r="L103" s="706" t="str">
        <f t="shared" ca="1" si="36"/>
        <v/>
      </c>
      <c r="M103" s="491">
        <f>IF($F103="","",IF($C103="売",CEILING($F103*IF($C103="売",1-$AG$3,1+$AG$3),IF($F103*IF($C103="売",1-$AG$3,1+$AG$3)&lt;=3000,1,IF($F103*IF($C103="売",1-$AG$3,1+$AG$3)&lt;=5000,5,IF($F103*IF($C103="売",1-$AG$3,1+$AG$3)&lt;=30000,10,IF($F103*IF($C103="売",1-$AG$3,1+$AG$3)&lt;=50000,50,IF($F103*IF($C103="売",1-$AG$3,1+$AG$3)&lt;=300000,100,500)))))),FLOOR($F103*IF($C103="売",1-$AG$3,1+$AG$3),IF($F103*IF($C103="売",1-$AG$3,1+$AG$3)&lt;=3000,1,IF($F103*IF($C103="売",1-$AG$3,1+$AG$3)&lt;=5000,5,IF($F103*IF($C103="売",1-$AG$3,1+$AG$3)&lt;=30000,10,IF($F103*IF($C103="売",1-$AG$3,1+$AG$3)&lt;=50000,50,IF($F103*IF($C103="売",1-$AG$3,1+$AG$3)&lt;=300000,100,500))))))))</f>
      </c>
      <c r="N103" s="491">
        <f>IF($F103="","",IF($C103="売",CEILING($F103*IF($C103="売",1+$AG$2,1-$AG$2),IF($F103*IF($C103="売",1+$AG$2,1-$AG$2)&lt;=3000,1,IF($F103*IF($C103="売",1+$AG$2,1-$AG$2)&lt;=5000,5,IF($F103*IF($C103="売",1+$AG$2,1-$AG$2)&lt;=30000,10,IF($F103*IF($C103="売",1+$AG$2,1-$AG$2)&lt;=50000,50,IF($F103*IF($C103="売",1+$AG$2,1-$AG$2)&lt;=300000,100,500)))))),FLOOR($F103*IF($C103="売",1+$AG$2,1-$AG$2),IF($F103*IF($C103="売",1+$AG$2,1-$AG$2)&lt;=3000,1,IF($F103*IF($C103="売",1+$AG$2,1-$AG$2)&lt;=5000,5,IF($F103*IF($C103="売",1+$AG$2,1-$AG$2)&lt;=30000,10,IF($F103*IF($C103="売",1+$AG$2,1-$AG$2)&lt;=50000,50,IF($F103*IF($C103="売",1+$AG$2,1-$AG$2)&lt;=300000,100,500))))))))</f>
      </c>
      <c r="O103" s="492">
        <f>IF(OR($B103="",$F103="",$H103=""),"",IF($S103="✅売却済","―決済済―",IF($C103="売",  IF($H103&lt;=$M103,"🟢利確",  IF(AND($R103&lt;&gt;"",$H103&gt;=$R103),"🟠TRAIL決済",  IF($H103&gt;=$N103,"🔴損切",  IF($W103&gt;=$AG$5,"⏱時間決済",  IF($H103&gt;=$F103*(1+$AG$2*0.7),"⚠️損切接近","保持継続"))))),  IF($H103&gt;=$M103,"🟢利確",  IF(AND($R103&lt;&gt;"",$H103&lt;=$R103),"🟠TRAIL決済",  IF($H103&lt;=$N103,"🔴損切",  IF($W103&gt;=$AG$5,"⏱時間決済",  IF($H103&lt;=$F103*(1-$AG$2*0.7),"⚠️損切接近","保持継続")))))))</f>
      </c>
      <c r="P103" s="491"/>
      <c r="Q103" s="491"/>
      <c r="R103" s="491">
        <f>IF(OR($F103="",$H103="",$N103=""),"",IF($S103="✅売却済","",IF($C103="売",  IF($H103&gt;$F103*(1-$AG$2),$N103,CEILING(MIN($N103,IF($Q103="",$N103,$Q103*1.03)),IF($N103&lt;=3000,1,IF($N103&lt;=5000,5,IF($N103&lt;=30000,10,IF($N103&lt;=50000,50,IF($N103&lt;=300000,100,500))))))),  IF($H103&lt;$F103*(1+$AG$2),$N103,FLOOR(MAX($N103,IF($P103="",$N103,$P103*0.97)),IF($N103&lt;=3000,1,IF($N103&lt;=5000,5,IF($N103&lt;=30000,10,IF($N103&lt;=50000,50,IF($N103&lt;=300000,100,500))))))))))</f>
      </c>
      <c r="S103" s="586" t="str">
        <f t="shared" si="38"/>
        <v/>
      </c>
      <c r="T103" s="594" t="str">
        <f t="shared" ca="1" si="27"/>
        <v/>
      </c>
      <c r="U103" s="491" t="str">
        <f t="shared" ca="1" si="28"/>
        <v/>
      </c>
      <c r="V103" s="701" t="str">
        <f t="shared" ca="1" si="39"/>
        <v/>
      </c>
      <c r="W103" s="493" t="str">
        <f t="shared" ca="1" si="29"/>
        <v/>
      </c>
      <c r="X103" s="489" t="str">
        <f t="shared" ca="1" si="30"/>
        <v/>
      </c>
      <c r="Y103" s="488">
        <f>IF($B103="","",IF(COUNTIFS($B$4:$B103,$B103,$C$4:$C103,$C103)&gt;1,"⛔重複"&amp;COUNTIFS($B$4:$B103,$B103,$C$4:$C103,$C103)&amp;"回目",""))</f>
      </c>
      <c r="Z103" s="710"/>
      <c r="AB103">
        <f>IF($F103="","",MAX(100,ROUNDDOWN($AG$4/($F103*$AG$2)/100,0)*100))</f>
      </c>
      <c r="AC103">
        <f>IF(OR($F103="",$G103="",$U103=""),"",ROUND($V103-($F103+$U103)*$G103*$AG$6-IF($C103="売",$F103*$G103*$AG$7*$W103/365,0),0))</f>
      </c>
      <c r="AD103" s="608"/>
      <c r="AE103" s="624" t="str">
        <f t="shared" si="31"/>
        <v/>
      </c>
      <c r="AF103" s="626"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26"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00" t="str">
        <f t="shared" ca="1" si="32"/>
        <v/>
      </c>
      <c r="AI103" s="600" t="str" cm="1">
        <f t="array" ref="AI103">IFERROR(INDEX(始値!$E$6:$BT$305,MATCH(TEXT($B103,"0"),TEXT(銘柄管理!$B$6:$B$305,"0"),0),MATCH($AE103,始値!$E$3:$BT$3,0)),"")</f>
        <v/>
      </c>
      <c r="AJ103" s="905" t="str">
        <f t="shared" ca="1" si="33"/>
        <v/>
      </c>
      <c r="AK103" s="629" t="str">
        <f t="shared" ca="1" si="34"/>
        <v/>
      </c>
    </row>
    <row r="104" spans="1:37" ht="35.4" customHeight="1">
      <c r="A104" s="619" t="str">
        <f t="shared" si="23"/>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BT$3,0)=1,1,MATCH($E104,始値!$E$3:$BT$3,0)+1)),_xlpm.v,INDEX(始値!$C$6:$B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 t="shared" ca="1" si="35"/>
        <v/>
      </c>
      <c r="L104" s="706" t="str">
        <f t="shared" ca="1" si="36"/>
        <v/>
      </c>
      <c r="M104" s="491">
        <f>IF($F104="","",IF($C104="売",CEILING($F104*IF($C104="売",1-$AG$3,1+$AG$3),IF($F104*IF($C104="売",1-$AG$3,1+$AG$3)&lt;=3000,1,IF($F104*IF($C104="売",1-$AG$3,1+$AG$3)&lt;=5000,5,IF($F104*IF($C104="売",1-$AG$3,1+$AG$3)&lt;=30000,10,IF($F104*IF($C104="売",1-$AG$3,1+$AG$3)&lt;=50000,50,IF($F104*IF($C104="売",1-$AG$3,1+$AG$3)&lt;=300000,100,500)))))),FLOOR($F104*IF($C104="売",1-$AG$3,1+$AG$3),IF($F104*IF($C104="売",1-$AG$3,1+$AG$3)&lt;=3000,1,IF($F104*IF($C104="売",1-$AG$3,1+$AG$3)&lt;=5000,5,IF($F104*IF($C104="売",1-$AG$3,1+$AG$3)&lt;=30000,10,IF($F104*IF($C104="売",1-$AG$3,1+$AG$3)&lt;=50000,50,IF($F104*IF($C104="売",1-$AG$3,1+$AG$3)&lt;=300000,100,500))))))))</f>
      </c>
      <c r="N104" s="491">
        <f>IF($F104="","",IF($C104="売",CEILING($F104*IF($C104="売",1+$AG$2,1-$AG$2),IF($F104*IF($C104="売",1+$AG$2,1-$AG$2)&lt;=3000,1,IF($F104*IF($C104="売",1+$AG$2,1-$AG$2)&lt;=5000,5,IF($F104*IF($C104="売",1+$AG$2,1-$AG$2)&lt;=30000,10,IF($F104*IF($C104="売",1+$AG$2,1-$AG$2)&lt;=50000,50,IF($F104*IF($C104="売",1+$AG$2,1-$AG$2)&lt;=300000,100,500)))))),FLOOR($F104*IF($C104="売",1+$AG$2,1-$AG$2),IF($F104*IF($C104="売",1+$AG$2,1-$AG$2)&lt;=3000,1,IF($F104*IF($C104="売",1+$AG$2,1-$AG$2)&lt;=5000,5,IF($F104*IF($C104="売",1+$AG$2,1-$AG$2)&lt;=30000,10,IF($F104*IF($C104="売",1+$AG$2,1-$AG$2)&lt;=50000,50,IF($F104*IF($C104="売",1+$AG$2,1-$AG$2)&lt;=300000,100,500))))))))</f>
      </c>
      <c r="O104" s="492">
        <f>IF(OR($B104="",$F104="",$H104=""),"",IF($S104="✅売却済","―決済済―",IF($C104="売",  IF($H104&lt;=$M104,"🟢利確",  IF(AND($R104&lt;&gt;"",$H104&gt;=$R104),"🟠TRAIL決済",  IF($H104&gt;=$N104,"🔴損切",  IF($W104&gt;=$AG$5,"⏱時間決済",  IF($H104&gt;=$F104*(1+$AG$2*0.7),"⚠️損切接近","保持継続"))))),  IF($H104&gt;=$M104,"🟢利確",  IF(AND($R104&lt;&gt;"",$H104&lt;=$R104),"🟠TRAIL決済",  IF($H104&lt;=$N104,"🔴損切",  IF($W104&gt;=$AG$5,"⏱時間決済",  IF($H104&lt;=$F104*(1-$AG$2*0.7),"⚠️損切接近","保持継続")))))))</f>
      </c>
      <c r="P104" s="491"/>
      <c r="Q104" s="491"/>
      <c r="R104" s="491">
        <f>IF(OR($F104="",$H104="",$N104=""),"",IF($S104="✅売却済","",IF($C104="売",  IF($H104&gt;$F104*(1-$AG$2),$N104,CEILING(MIN($N104,IF($Q104="",$N104,$Q104*1.03)),IF($N104&lt;=3000,1,IF($N104&lt;=5000,5,IF($N104&lt;=30000,10,IF($N104&lt;=50000,50,IF($N104&lt;=300000,100,500))))))),  IF($H104&lt;$F104*(1+$AG$2),$N104,FLOOR(MAX($N104,IF($P104="",$N104,$P104*0.97)),IF($N104&lt;=3000,1,IF($N104&lt;=5000,5,IF($N104&lt;=30000,10,IF($N104&lt;=50000,50,IF($N104&lt;=300000,100,500))))))))))</f>
      </c>
      <c r="S104" s="586" t="str">
        <f t="shared" si="38"/>
        <v/>
      </c>
      <c r="T104" s="594" t="str">
        <f t="shared" ca="1" si="27"/>
        <v/>
      </c>
      <c r="U104" s="491" t="str">
        <f t="shared" ca="1" si="28"/>
        <v/>
      </c>
      <c r="V104" s="701" t="str">
        <f t="shared" ca="1" si="39"/>
        <v/>
      </c>
      <c r="W104" s="493" t="str">
        <f t="shared" ca="1" si="29"/>
        <v/>
      </c>
      <c r="X104" s="489" t="str">
        <f t="shared" ca="1" si="30"/>
        <v/>
      </c>
      <c r="Y104" s="488">
        <f>IF($B104="","",IF(COUNTIFS($B$4:$B104,$B104,$C$4:$C104,$C104)&gt;1,"⛔重複"&amp;COUNTIFS($B$4:$B104,$B104,$C$4:$C104,$C104)&amp;"回目",""))</f>
      </c>
      <c r="Z104" s="710"/>
      <c r="AB104">
        <f>IF($F104="","",MAX(100,ROUNDDOWN($AG$4/($F104*$AG$2)/100,0)*100))</f>
      </c>
      <c r="AC104">
        <f>IF(OR($F104="",$G104="",$U104=""),"",ROUND($V104-($F104+$U104)*$G104*$AG$6-IF($C104="売",$F104*$G104*$AG$7*$W104/365,0),0))</f>
      </c>
      <c r="AD104" s="608"/>
      <c r="AE104" s="624" t="str">
        <f t="shared" si="31"/>
        <v/>
      </c>
      <c r="AF104" s="626"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26"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00" t="str">
        <f t="shared" ca="1" si="32"/>
        <v/>
      </c>
      <c r="AI104" s="600" t="str" cm="1">
        <f t="array" ref="AI104">IFERROR(INDEX(始値!$E$6:$BT$305,MATCH(TEXT($B104,"0"),TEXT(銘柄管理!$B$6:$B$305,"0"),0),MATCH($AE104,始値!$E$3:$BT$3,0)),"")</f>
        <v/>
      </c>
      <c r="AJ104" s="905" t="str">
        <f t="shared" ca="1" si="33"/>
        <v/>
      </c>
      <c r="AK104" s="629" t="str">
        <f t="shared" ca="1" si="34"/>
        <v/>
      </c>
    </row>
    <row r="105" spans="1:37" ht="35.4" customHeight="1">
      <c r="A105" s="619" t="str">
        <f t="shared" si="23"/>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BT$3,0)=1,1,MATCH($E105,始値!$E$3:$BT$3,0)+1)),_xlpm.v,INDEX(始値!$C$6:$B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 t="shared" ca="1" si="35"/>
        <v/>
      </c>
      <c r="L105" s="706" t="str">
        <f t="shared" ca="1" si="36"/>
        <v/>
      </c>
      <c r="M105" s="491">
        <f>IF($F105="","",IF($C105="売",CEILING($F105*IF($C105="売",1-$AG$3,1+$AG$3),IF($F105*IF($C105="売",1-$AG$3,1+$AG$3)&lt;=3000,1,IF($F105*IF($C105="売",1-$AG$3,1+$AG$3)&lt;=5000,5,IF($F105*IF($C105="売",1-$AG$3,1+$AG$3)&lt;=30000,10,IF($F105*IF($C105="売",1-$AG$3,1+$AG$3)&lt;=50000,50,IF($F105*IF($C105="売",1-$AG$3,1+$AG$3)&lt;=300000,100,500)))))),FLOOR($F105*IF($C105="売",1-$AG$3,1+$AG$3),IF($F105*IF($C105="売",1-$AG$3,1+$AG$3)&lt;=3000,1,IF($F105*IF($C105="売",1-$AG$3,1+$AG$3)&lt;=5000,5,IF($F105*IF($C105="売",1-$AG$3,1+$AG$3)&lt;=30000,10,IF($F105*IF($C105="売",1-$AG$3,1+$AG$3)&lt;=50000,50,IF($F105*IF($C105="売",1-$AG$3,1+$AG$3)&lt;=300000,100,500))))))))</f>
      </c>
      <c r="N105" s="491">
        <f>IF($F105="","",IF($C105="売",CEILING($F105*IF($C105="売",1+$AG$2,1-$AG$2),IF($F105*IF($C105="売",1+$AG$2,1-$AG$2)&lt;=3000,1,IF($F105*IF($C105="売",1+$AG$2,1-$AG$2)&lt;=5000,5,IF($F105*IF($C105="売",1+$AG$2,1-$AG$2)&lt;=30000,10,IF($F105*IF($C105="売",1+$AG$2,1-$AG$2)&lt;=50000,50,IF($F105*IF($C105="売",1+$AG$2,1-$AG$2)&lt;=300000,100,500)))))),FLOOR($F105*IF($C105="売",1+$AG$2,1-$AG$2),IF($F105*IF($C105="売",1+$AG$2,1-$AG$2)&lt;=3000,1,IF($F105*IF($C105="売",1+$AG$2,1-$AG$2)&lt;=5000,5,IF($F105*IF($C105="売",1+$AG$2,1-$AG$2)&lt;=30000,10,IF($F105*IF($C105="売",1+$AG$2,1-$AG$2)&lt;=50000,50,IF($F105*IF($C105="売",1+$AG$2,1-$AG$2)&lt;=300000,100,500))))))))</f>
      </c>
      <c r="O105" s="492">
        <f>IF(OR($B105="",$F105="",$H105=""),"",IF($S105="✅売却済","―決済済―",IF($C105="売",  IF($H105&lt;=$M105,"🟢利確",  IF(AND($R105&lt;&gt;"",$H105&gt;=$R105),"🟠TRAIL決済",  IF($H105&gt;=$N105,"🔴損切",  IF($W105&gt;=$AG$5,"⏱時間決済",  IF($H105&gt;=$F105*(1+$AG$2*0.7),"⚠️損切接近","保持継続"))))),  IF($H105&gt;=$M105,"🟢利確",  IF(AND($R105&lt;&gt;"",$H105&lt;=$R105),"🟠TRAIL決済",  IF($H105&lt;=$N105,"🔴損切",  IF($W105&gt;=$AG$5,"⏱時間決済",  IF($H105&lt;=$F105*(1-$AG$2*0.7),"⚠️損切接近","保持継続")))))))</f>
      </c>
      <c r="P105" s="491"/>
      <c r="Q105" s="491"/>
      <c r="R105" s="491">
        <f>IF(OR($F105="",$H105="",$N105=""),"",IF($S105="✅売却済","",IF($C105="売",  IF($H105&gt;$F105*(1-$AG$2),$N105,CEILING(MIN($N105,IF($Q105="",$N105,$Q105*1.03)),IF($N105&lt;=3000,1,IF($N105&lt;=5000,5,IF($N105&lt;=30000,10,IF($N105&lt;=50000,50,IF($N105&lt;=300000,100,500))))))),  IF($H105&lt;$F105*(1+$AG$2),$N105,FLOOR(MAX($N105,IF($P105="",$N105,$P105*0.97)),IF($N105&lt;=3000,1,IF($N105&lt;=5000,5,IF($N105&lt;=30000,10,IF($N105&lt;=50000,50,IF($N105&lt;=300000,100,500))))))))))</f>
      </c>
      <c r="S105" s="586" t="str">
        <f t="shared" si="38"/>
        <v/>
      </c>
      <c r="T105" s="594" t="str">
        <f t="shared" ca="1" si="27"/>
        <v/>
      </c>
      <c r="U105" s="491" t="str">
        <f t="shared" ca="1" si="28"/>
        <v/>
      </c>
      <c r="V105" s="701" t="str">
        <f t="shared" ca="1" si="39"/>
        <v/>
      </c>
      <c r="W105" s="493" t="str">
        <f t="shared" ca="1" si="29"/>
        <v/>
      </c>
      <c r="X105" s="489" t="str">
        <f t="shared" ca="1" si="30"/>
        <v/>
      </c>
      <c r="Y105" s="488">
        <f>IF($B105="","",IF(COUNTIFS($B$4:$B105,$B105,$C$4:$C105,$C105)&gt;1,"⛔重複"&amp;COUNTIFS($B$4:$B105,$B105,$C$4:$C105,$C105)&amp;"回目",""))</f>
      </c>
      <c r="Z105" s="710"/>
      <c r="AB105">
        <f>IF($F105="","",MAX(100,ROUNDDOWN($AG$4/($F105*$AG$2)/100,0)*100))</f>
      </c>
      <c r="AC105">
        <f>IF(OR($F105="",$G105="",$U105=""),"",ROUND($V105-($F105+$U105)*$G105*$AG$6-IF($C105="売",$F105*$G105*$AG$7*$W105/365,0),0))</f>
      </c>
      <c r="AD105" s="608"/>
      <c r="AE105" s="624" t="str">
        <f t="shared" si="31"/>
        <v/>
      </c>
      <c r="AF105" s="626"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26"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00" t="str">
        <f t="shared" ca="1" si="32"/>
        <v/>
      </c>
      <c r="AI105" s="600" t="str" cm="1">
        <f t="array" ref="AI105">IFERROR(INDEX(始値!$E$6:$BT$305,MATCH(TEXT($B105,"0"),TEXT(銘柄管理!$B$6:$B$305,"0"),0),MATCH($AE105,始値!$E$3:$BT$3,0)),"")</f>
        <v/>
      </c>
      <c r="AJ105" s="905" t="str">
        <f t="shared" ca="1" si="33"/>
        <v/>
      </c>
      <c r="AK105" s="629" t="str">
        <f t="shared" ca="1" si="34"/>
        <v/>
      </c>
    </row>
    <row r="106" spans="1:37" ht="35.4" customHeight="1">
      <c r="A106" s="619" t="str">
        <f t="shared" si="23"/>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BT$3,0)=1,1,MATCH($E106,始値!$E$3:$BT$3,0)+1)),_xlpm.v,INDEX(始値!$C$6:$B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 t="shared" ca="1" si="35"/>
        <v/>
      </c>
      <c r="L106" s="706" t="str">
        <f t="shared" ca="1" si="36"/>
        <v/>
      </c>
      <c r="M106" s="491">
        <f>IF($F106="","",IF($C106="売",CEILING($F106*IF($C106="売",1-$AG$3,1+$AG$3),IF($F106*IF($C106="売",1-$AG$3,1+$AG$3)&lt;=3000,1,IF($F106*IF($C106="売",1-$AG$3,1+$AG$3)&lt;=5000,5,IF($F106*IF($C106="売",1-$AG$3,1+$AG$3)&lt;=30000,10,IF($F106*IF($C106="売",1-$AG$3,1+$AG$3)&lt;=50000,50,IF($F106*IF($C106="売",1-$AG$3,1+$AG$3)&lt;=300000,100,500)))))),FLOOR($F106*IF($C106="売",1-$AG$3,1+$AG$3),IF($F106*IF($C106="売",1-$AG$3,1+$AG$3)&lt;=3000,1,IF($F106*IF($C106="売",1-$AG$3,1+$AG$3)&lt;=5000,5,IF($F106*IF($C106="売",1-$AG$3,1+$AG$3)&lt;=30000,10,IF($F106*IF($C106="売",1-$AG$3,1+$AG$3)&lt;=50000,50,IF($F106*IF($C106="売",1-$AG$3,1+$AG$3)&lt;=300000,100,500))))))))</f>
      </c>
      <c r="N106" s="491">
        <f>IF($F106="","",IF($C106="売",CEILING($F106*IF($C106="売",1+$AG$2,1-$AG$2),IF($F106*IF($C106="売",1+$AG$2,1-$AG$2)&lt;=3000,1,IF($F106*IF($C106="売",1+$AG$2,1-$AG$2)&lt;=5000,5,IF($F106*IF($C106="売",1+$AG$2,1-$AG$2)&lt;=30000,10,IF($F106*IF($C106="売",1+$AG$2,1-$AG$2)&lt;=50000,50,IF($F106*IF($C106="売",1+$AG$2,1-$AG$2)&lt;=300000,100,500)))))),FLOOR($F106*IF($C106="売",1+$AG$2,1-$AG$2),IF($F106*IF($C106="売",1+$AG$2,1-$AG$2)&lt;=3000,1,IF($F106*IF($C106="売",1+$AG$2,1-$AG$2)&lt;=5000,5,IF($F106*IF($C106="売",1+$AG$2,1-$AG$2)&lt;=30000,10,IF($F106*IF($C106="売",1+$AG$2,1-$AG$2)&lt;=50000,50,IF($F106*IF($C106="売",1+$AG$2,1-$AG$2)&lt;=300000,100,500))))))))</f>
      </c>
      <c r="O106" s="492">
        <f>IF(OR($B106="",$F106="",$H106=""),"",IF($S106="✅売却済","―決済済―",IF($C106="売",  IF($H106&lt;=$M106,"🟢利確",  IF(AND($R106&lt;&gt;"",$H106&gt;=$R106),"🟠TRAIL決済",  IF($H106&gt;=$N106,"🔴損切",  IF($W106&gt;=$AG$5,"⏱時間決済",  IF($H106&gt;=$F106*(1+$AG$2*0.7),"⚠️損切接近","保持継続"))))),  IF($H106&gt;=$M106,"🟢利確",  IF(AND($R106&lt;&gt;"",$H106&lt;=$R106),"🟠TRAIL決済",  IF($H106&lt;=$N106,"🔴損切",  IF($W106&gt;=$AG$5,"⏱時間決済",  IF($H106&lt;=$F106*(1-$AG$2*0.7),"⚠️損切接近","保持継続")))))))</f>
      </c>
      <c r="P106" s="491"/>
      <c r="Q106" s="491"/>
      <c r="R106" s="491">
        <f>IF(OR($F106="",$H106="",$N106=""),"",IF($S106="✅売却済","",IF($C106="売",  IF($H106&gt;$F106*(1-$AG$2),$N106,CEILING(MIN($N106,IF($Q106="",$N106,$Q106*1.03)),IF($N106&lt;=3000,1,IF($N106&lt;=5000,5,IF($N106&lt;=30000,10,IF($N106&lt;=50000,50,IF($N106&lt;=300000,100,500))))))),  IF($H106&lt;$F106*(1+$AG$2),$N106,FLOOR(MAX($N106,IF($P106="",$N106,$P106*0.97)),IF($N106&lt;=3000,1,IF($N106&lt;=5000,5,IF($N106&lt;=30000,10,IF($N106&lt;=50000,50,IF($N106&lt;=300000,100,500))))))))))</f>
      </c>
      <c r="S106" s="586" t="str">
        <f t="shared" si="38"/>
        <v/>
      </c>
      <c r="T106" s="594" t="str">
        <f t="shared" ca="1" si="27"/>
        <v/>
      </c>
      <c r="U106" s="491" t="str">
        <f t="shared" ca="1" si="28"/>
        <v/>
      </c>
      <c r="V106" s="701" t="str">
        <f t="shared" ca="1" si="39"/>
        <v/>
      </c>
      <c r="W106" s="493" t="str">
        <f t="shared" ca="1" si="29"/>
        <v/>
      </c>
      <c r="X106" s="489" t="str">
        <f t="shared" ca="1" si="30"/>
        <v/>
      </c>
      <c r="Y106" s="488">
        <f>IF($B106="","",IF(COUNTIFS($B$4:$B106,$B106,$C$4:$C106,$C106)&gt;1,"⛔重複"&amp;COUNTIFS($B$4:$B106,$B106,$C$4:$C106,$C106)&amp;"回目",""))</f>
      </c>
      <c r="Z106" s="710"/>
      <c r="AB106">
        <f>IF($F106="","",MAX(100,ROUNDDOWN($AG$4/($F106*$AG$2)/100,0)*100))</f>
      </c>
      <c r="AC106">
        <f>IF(OR($F106="",$G106="",$U106=""),"",ROUND($V106-($F106+$U106)*$G106*$AG$6-IF($C106="売",$F106*$G106*$AG$7*$W106/365,0),0))</f>
      </c>
      <c r="AD106" s="608"/>
      <c r="AE106" s="624" t="str">
        <f t="shared" si="31"/>
        <v/>
      </c>
      <c r="AF106" s="626"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26"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00" t="str">
        <f t="shared" ca="1" si="32"/>
        <v/>
      </c>
      <c r="AI106" s="600" t="str" cm="1">
        <f t="array" ref="AI106">IFERROR(INDEX(始値!$E$6:$BT$305,MATCH(TEXT($B106,"0"),TEXT(銘柄管理!$B$6:$B$305,"0"),0),MATCH($AE106,始値!$E$3:$BT$3,0)),"")</f>
        <v/>
      </c>
      <c r="AJ106" s="905" t="str">
        <f t="shared" ca="1" si="33"/>
        <v/>
      </c>
      <c r="AK106" s="629" t="str">
        <f t="shared" ca="1" si="34"/>
        <v/>
      </c>
    </row>
    <row r="107" spans="1:37" ht="35.4" customHeight="1">
      <c r="A107" s="619" t="str">
        <f t="shared" si="23"/>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BT$3,0)=1,1,MATCH($E107,始値!$E$3:$BT$3,0)+1)),_xlpm.v,INDEX(始値!$C$6:$B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 t="shared" ca="1" si="35"/>
        <v/>
      </c>
      <c r="L107" s="706" t="str">
        <f t="shared" ca="1" si="36"/>
        <v/>
      </c>
      <c r="M107" s="491">
        <f>IF($F107="","",IF($C107="売",CEILING($F107*IF($C107="売",1-$AG$3,1+$AG$3),IF($F107*IF($C107="売",1-$AG$3,1+$AG$3)&lt;=3000,1,IF($F107*IF($C107="売",1-$AG$3,1+$AG$3)&lt;=5000,5,IF($F107*IF($C107="売",1-$AG$3,1+$AG$3)&lt;=30000,10,IF($F107*IF($C107="売",1-$AG$3,1+$AG$3)&lt;=50000,50,IF($F107*IF($C107="売",1-$AG$3,1+$AG$3)&lt;=300000,100,500)))))),FLOOR($F107*IF($C107="売",1-$AG$3,1+$AG$3),IF($F107*IF($C107="売",1-$AG$3,1+$AG$3)&lt;=3000,1,IF($F107*IF($C107="売",1-$AG$3,1+$AG$3)&lt;=5000,5,IF($F107*IF($C107="売",1-$AG$3,1+$AG$3)&lt;=30000,10,IF($F107*IF($C107="売",1-$AG$3,1+$AG$3)&lt;=50000,50,IF($F107*IF($C107="売",1-$AG$3,1+$AG$3)&lt;=300000,100,500))))))))</f>
      </c>
      <c r="N107" s="491">
        <f>IF($F107="","",IF($C107="売",CEILING($F107*IF($C107="売",1+$AG$2,1-$AG$2),IF($F107*IF($C107="売",1+$AG$2,1-$AG$2)&lt;=3000,1,IF($F107*IF($C107="売",1+$AG$2,1-$AG$2)&lt;=5000,5,IF($F107*IF($C107="売",1+$AG$2,1-$AG$2)&lt;=30000,10,IF($F107*IF($C107="売",1+$AG$2,1-$AG$2)&lt;=50000,50,IF($F107*IF($C107="売",1+$AG$2,1-$AG$2)&lt;=300000,100,500)))))),FLOOR($F107*IF($C107="売",1+$AG$2,1-$AG$2),IF($F107*IF($C107="売",1+$AG$2,1-$AG$2)&lt;=3000,1,IF($F107*IF($C107="売",1+$AG$2,1-$AG$2)&lt;=5000,5,IF($F107*IF($C107="売",1+$AG$2,1-$AG$2)&lt;=30000,10,IF($F107*IF($C107="売",1+$AG$2,1-$AG$2)&lt;=50000,50,IF($F107*IF($C107="売",1+$AG$2,1-$AG$2)&lt;=300000,100,500))))))))</f>
      </c>
      <c r="O107" s="492">
        <f>IF(OR($B107="",$F107="",$H107=""),"",IF($S107="✅売却済","―決済済―",IF($C107="売",  IF($H107&lt;=$M107,"🟢利確",  IF(AND($R107&lt;&gt;"",$H107&gt;=$R107),"🟠TRAIL決済",  IF($H107&gt;=$N107,"🔴損切",  IF($W107&gt;=$AG$5,"⏱時間決済",  IF($H107&gt;=$F107*(1+$AG$2*0.7),"⚠️損切接近","保持継続"))))),  IF($H107&gt;=$M107,"🟢利確",  IF(AND($R107&lt;&gt;"",$H107&lt;=$R107),"🟠TRAIL決済",  IF($H107&lt;=$N107,"🔴損切",  IF($W107&gt;=$AG$5,"⏱時間決済",  IF($H107&lt;=$F107*(1-$AG$2*0.7),"⚠️損切接近","保持継続")))))))</f>
      </c>
      <c r="P107" s="491"/>
      <c r="Q107" s="491"/>
      <c r="R107" s="491">
        <f>IF(OR($F107="",$H107="",$N107=""),"",IF($S107="✅売却済","",IF($C107="売",  IF($H107&gt;$F107*(1-$AG$2),$N107,CEILING(MIN($N107,IF($Q107="",$N107,$Q107*1.03)),IF($N107&lt;=3000,1,IF($N107&lt;=5000,5,IF($N107&lt;=30000,10,IF($N107&lt;=50000,50,IF($N107&lt;=300000,100,500))))))),  IF($H107&lt;$F107*(1+$AG$2),$N107,FLOOR(MAX($N107,IF($P107="",$N107,$P107*0.97)),IF($N107&lt;=3000,1,IF($N107&lt;=5000,5,IF($N107&lt;=30000,10,IF($N107&lt;=50000,50,IF($N107&lt;=300000,100,500))))))))))</f>
      </c>
      <c r="S107" s="586" t="str">
        <f t="shared" si="38"/>
        <v/>
      </c>
      <c r="T107" s="594" t="str">
        <f t="shared" ca="1" si="27"/>
        <v/>
      </c>
      <c r="U107" s="491" t="str">
        <f t="shared" ca="1" si="28"/>
        <v/>
      </c>
      <c r="V107" s="701" t="str">
        <f t="shared" ca="1" si="39"/>
        <v/>
      </c>
      <c r="W107" s="493" t="str">
        <f t="shared" ca="1" si="29"/>
        <v/>
      </c>
      <c r="X107" s="489" t="str">
        <f t="shared" ca="1" si="30"/>
        <v/>
      </c>
      <c r="Y107" s="488">
        <f>IF($B107="","",IF(COUNTIFS($B$4:$B107,$B107,$C$4:$C107,$C107)&gt;1,"⛔重複"&amp;COUNTIFS($B$4:$B107,$B107,$C$4:$C107,$C107)&amp;"回目",""))</f>
      </c>
      <c r="Z107" s="710"/>
      <c r="AB107">
        <f>IF($F107="","",MAX(100,ROUNDDOWN($AG$4/($F107*$AG$2)/100,0)*100))</f>
      </c>
      <c r="AC107">
        <f>IF(OR($F107="",$G107="",$U107=""),"",ROUND($V107-($F107+$U107)*$G107*$AG$6-IF($C107="売",$F107*$G107*$AG$7*$W107/365,0),0))</f>
      </c>
      <c r="AD107" s="608"/>
      <c r="AE107" s="624" t="str">
        <f t="shared" si="31"/>
        <v/>
      </c>
      <c r="AF107" s="626"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26"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00" t="str">
        <f t="shared" ca="1" si="32"/>
        <v/>
      </c>
      <c r="AI107" s="600" t="str" cm="1">
        <f t="array" ref="AI107">IFERROR(INDEX(始値!$E$6:$BT$305,MATCH(TEXT($B107,"0"),TEXT(銘柄管理!$B$6:$B$305,"0"),0),MATCH($AE107,始値!$E$3:$BT$3,0)),"")</f>
        <v/>
      </c>
      <c r="AJ107" s="905" t="str">
        <f t="shared" ca="1" si="33"/>
        <v/>
      </c>
      <c r="AK107" s="629" t="str">
        <f t="shared" ca="1" si="34"/>
        <v/>
      </c>
    </row>
    <row r="108" spans="1:37" ht="35.4" customHeight="1">
      <c r="A108" s="619" t="str">
        <f t="shared" si="23"/>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BT$3,0)=1,1,MATCH($E108,始値!$E$3:$BT$3,0)+1)),_xlpm.v,INDEX(始値!$C$6:$B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 t="shared" ca="1" si="35"/>
        <v/>
      </c>
      <c r="L108" s="706" t="str">
        <f t="shared" ca="1" si="36"/>
        <v/>
      </c>
      <c r="M108" s="491">
        <f>IF($F108="","",IF($C108="売",CEILING($F108*IF($C108="売",1-$AG$3,1+$AG$3),IF($F108*IF($C108="売",1-$AG$3,1+$AG$3)&lt;=3000,1,IF($F108*IF($C108="売",1-$AG$3,1+$AG$3)&lt;=5000,5,IF($F108*IF($C108="売",1-$AG$3,1+$AG$3)&lt;=30000,10,IF($F108*IF($C108="売",1-$AG$3,1+$AG$3)&lt;=50000,50,IF($F108*IF($C108="売",1-$AG$3,1+$AG$3)&lt;=300000,100,500)))))),FLOOR($F108*IF($C108="売",1-$AG$3,1+$AG$3),IF($F108*IF($C108="売",1-$AG$3,1+$AG$3)&lt;=3000,1,IF($F108*IF($C108="売",1-$AG$3,1+$AG$3)&lt;=5000,5,IF($F108*IF($C108="売",1-$AG$3,1+$AG$3)&lt;=30000,10,IF($F108*IF($C108="売",1-$AG$3,1+$AG$3)&lt;=50000,50,IF($F108*IF($C108="売",1-$AG$3,1+$AG$3)&lt;=300000,100,500))))))))</f>
      </c>
      <c r="N108" s="491">
        <f>IF($F108="","",IF($C108="売",CEILING($F108*IF($C108="売",1+$AG$2,1-$AG$2),IF($F108*IF($C108="売",1+$AG$2,1-$AG$2)&lt;=3000,1,IF($F108*IF($C108="売",1+$AG$2,1-$AG$2)&lt;=5000,5,IF($F108*IF($C108="売",1+$AG$2,1-$AG$2)&lt;=30000,10,IF($F108*IF($C108="売",1+$AG$2,1-$AG$2)&lt;=50000,50,IF($F108*IF($C108="売",1+$AG$2,1-$AG$2)&lt;=300000,100,500)))))),FLOOR($F108*IF($C108="売",1+$AG$2,1-$AG$2),IF($F108*IF($C108="売",1+$AG$2,1-$AG$2)&lt;=3000,1,IF($F108*IF($C108="売",1+$AG$2,1-$AG$2)&lt;=5000,5,IF($F108*IF($C108="売",1+$AG$2,1-$AG$2)&lt;=30000,10,IF($F108*IF($C108="売",1+$AG$2,1-$AG$2)&lt;=50000,50,IF($F108*IF($C108="売",1+$AG$2,1-$AG$2)&lt;=300000,100,500))))))))</f>
      </c>
      <c r="O108" s="492">
        <f>IF(OR($B108="",$F108="",$H108=""),"",IF($S108="✅売却済","―決済済―",IF($C108="売",  IF($H108&lt;=$M108,"🟢利確",  IF(AND($R108&lt;&gt;"",$H108&gt;=$R108),"🟠TRAIL決済",  IF($H108&gt;=$N108,"🔴損切",  IF($W108&gt;=$AG$5,"⏱時間決済",  IF($H108&gt;=$F108*(1+$AG$2*0.7),"⚠️損切接近","保持継続"))))),  IF($H108&gt;=$M108,"🟢利確",  IF(AND($R108&lt;&gt;"",$H108&lt;=$R108),"🟠TRAIL決済",  IF($H108&lt;=$N108,"🔴損切",  IF($W108&gt;=$AG$5,"⏱時間決済",  IF($H108&lt;=$F108*(1-$AG$2*0.7),"⚠️損切接近","保持継続")))))))</f>
      </c>
      <c r="P108" s="491"/>
      <c r="Q108" s="491"/>
      <c r="R108" s="491">
        <f>IF(OR($F108="",$H108="",$N108=""),"",IF($S108="✅売却済","",IF($C108="売",  IF($H108&gt;$F108*(1-$AG$2),$N108,CEILING(MIN($N108,IF($Q108="",$N108,$Q108*1.03)),IF($N108&lt;=3000,1,IF($N108&lt;=5000,5,IF($N108&lt;=30000,10,IF($N108&lt;=50000,50,IF($N108&lt;=300000,100,500))))))),  IF($H108&lt;$F108*(1+$AG$2),$N108,FLOOR(MAX($N108,IF($P108="",$N108,$P108*0.97)),IF($N108&lt;=3000,1,IF($N108&lt;=5000,5,IF($N108&lt;=30000,10,IF($N108&lt;=50000,50,IF($N108&lt;=300000,100,500))))))))))</f>
      </c>
      <c r="S108" s="586" t="str">
        <f t="shared" si="38"/>
        <v/>
      </c>
      <c r="T108" s="594" t="str">
        <f t="shared" ca="1" si="27"/>
        <v/>
      </c>
      <c r="U108" s="491" t="str">
        <f t="shared" ca="1" si="28"/>
        <v/>
      </c>
      <c r="V108" s="701" t="str">
        <f t="shared" ca="1" si="39"/>
        <v/>
      </c>
      <c r="W108" s="493" t="str">
        <f t="shared" ca="1" si="29"/>
        <v/>
      </c>
      <c r="X108" s="489" t="str">
        <f t="shared" ca="1" si="30"/>
        <v/>
      </c>
      <c r="Y108" s="488">
        <f>IF($B108="","",IF(COUNTIFS($B$4:$B108,$B108,$C$4:$C108,$C108)&gt;1,"⛔重複"&amp;COUNTIFS($B$4:$B108,$B108,$C$4:$C108,$C108)&amp;"回目",""))</f>
      </c>
      <c r="Z108" s="710"/>
      <c r="AB108">
        <f>IF($F108="","",MAX(100,ROUNDDOWN($AG$4/($F108*$AG$2)/100,0)*100))</f>
      </c>
      <c r="AC108">
        <f>IF(OR($F108="",$G108="",$U108=""),"",ROUND($V108-($F108+$U108)*$G108*$AG$6-IF($C108="売",$F108*$G108*$AG$7*$W108/365,0),0))</f>
      </c>
      <c r="AD108" s="608"/>
      <c r="AE108" s="624" t="str">
        <f t="shared" si="31"/>
        <v/>
      </c>
      <c r="AF108" s="626"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26"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00" t="str">
        <f t="shared" ca="1" si="32"/>
        <v/>
      </c>
      <c r="AI108" s="600" t="str" cm="1">
        <f t="array" ref="AI108">IFERROR(INDEX(始値!$E$6:$BT$305,MATCH(TEXT($B108,"0"),TEXT(銘柄管理!$B$6:$B$305,"0"),0),MATCH($AE108,始値!$E$3:$BT$3,0)),"")</f>
        <v/>
      </c>
      <c r="AJ108" s="905" t="str">
        <f t="shared" ca="1" si="33"/>
        <v/>
      </c>
      <c r="AK108" s="629" t="str">
        <f t="shared" ca="1" si="34"/>
        <v/>
      </c>
    </row>
    <row r="109" spans="1:37" ht="35.4" customHeight="1">
      <c r="A109" s="619" t="str">
        <f t="shared" si="23"/>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BT$3,0)=1,1,MATCH($E109,始値!$E$3:$BT$3,0)+1)),_xlpm.v,INDEX(始値!$C$6:$B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 t="shared" ca="1" si="35"/>
        <v/>
      </c>
      <c r="L109" s="706" t="str">
        <f t="shared" ca="1" si="36"/>
        <v/>
      </c>
      <c r="M109" s="491">
        <f>IF($F109="","",IF($C109="売",CEILING($F109*IF($C109="売",1-$AG$3,1+$AG$3),IF($F109*IF($C109="売",1-$AG$3,1+$AG$3)&lt;=3000,1,IF($F109*IF($C109="売",1-$AG$3,1+$AG$3)&lt;=5000,5,IF($F109*IF($C109="売",1-$AG$3,1+$AG$3)&lt;=30000,10,IF($F109*IF($C109="売",1-$AG$3,1+$AG$3)&lt;=50000,50,IF($F109*IF($C109="売",1-$AG$3,1+$AG$3)&lt;=300000,100,500)))))),FLOOR($F109*IF($C109="売",1-$AG$3,1+$AG$3),IF($F109*IF($C109="売",1-$AG$3,1+$AG$3)&lt;=3000,1,IF($F109*IF($C109="売",1-$AG$3,1+$AG$3)&lt;=5000,5,IF($F109*IF($C109="売",1-$AG$3,1+$AG$3)&lt;=30000,10,IF($F109*IF($C109="売",1-$AG$3,1+$AG$3)&lt;=50000,50,IF($F109*IF($C109="売",1-$AG$3,1+$AG$3)&lt;=300000,100,500))))))))</f>
      </c>
      <c r="N109" s="491">
        <f>IF($F109="","",IF($C109="売",CEILING($F109*IF($C109="売",1+$AG$2,1-$AG$2),IF($F109*IF($C109="売",1+$AG$2,1-$AG$2)&lt;=3000,1,IF($F109*IF($C109="売",1+$AG$2,1-$AG$2)&lt;=5000,5,IF($F109*IF($C109="売",1+$AG$2,1-$AG$2)&lt;=30000,10,IF($F109*IF($C109="売",1+$AG$2,1-$AG$2)&lt;=50000,50,IF($F109*IF($C109="売",1+$AG$2,1-$AG$2)&lt;=300000,100,500)))))),FLOOR($F109*IF($C109="売",1+$AG$2,1-$AG$2),IF($F109*IF($C109="売",1+$AG$2,1-$AG$2)&lt;=3000,1,IF($F109*IF($C109="売",1+$AG$2,1-$AG$2)&lt;=5000,5,IF($F109*IF($C109="売",1+$AG$2,1-$AG$2)&lt;=30000,10,IF($F109*IF($C109="売",1+$AG$2,1-$AG$2)&lt;=50000,50,IF($F109*IF($C109="売",1+$AG$2,1-$AG$2)&lt;=300000,100,500))))))))</f>
      </c>
      <c r="O109" s="492">
        <f>IF(OR($B109="",$F109="",$H109=""),"",IF($S109="✅売却済","―決済済―",IF($C109="売",  IF($H109&lt;=$M109,"🟢利確",  IF(AND($R109&lt;&gt;"",$H109&gt;=$R109),"🟠TRAIL決済",  IF($H109&gt;=$N109,"🔴損切",  IF($W109&gt;=$AG$5,"⏱時間決済",  IF($H109&gt;=$F109*(1+$AG$2*0.7),"⚠️損切接近","保持継続"))))),  IF($H109&gt;=$M109,"🟢利確",  IF(AND($R109&lt;&gt;"",$H109&lt;=$R109),"🟠TRAIL決済",  IF($H109&lt;=$N109,"🔴損切",  IF($W109&gt;=$AG$5,"⏱時間決済",  IF($H109&lt;=$F109*(1-$AG$2*0.7),"⚠️損切接近","保持継続")))))))</f>
      </c>
      <c r="P109" s="491"/>
      <c r="Q109" s="491"/>
      <c r="R109" s="491">
        <f>IF(OR($F109="",$H109="",$N109=""),"",IF($S109="✅売却済","",IF($C109="売",  IF($H109&gt;$F109*(1-$AG$2),$N109,CEILING(MIN($N109,IF($Q109="",$N109,$Q109*1.03)),IF($N109&lt;=3000,1,IF($N109&lt;=5000,5,IF($N109&lt;=30000,10,IF($N109&lt;=50000,50,IF($N109&lt;=300000,100,500))))))),  IF($H109&lt;$F109*(1+$AG$2),$N109,FLOOR(MAX($N109,IF($P109="",$N109,$P109*0.97)),IF($N109&lt;=3000,1,IF($N109&lt;=5000,5,IF($N109&lt;=30000,10,IF($N109&lt;=50000,50,IF($N109&lt;=300000,100,500))))))))))</f>
      </c>
      <c r="S109" s="586" t="str">
        <f t="shared" si="38"/>
        <v/>
      </c>
      <c r="T109" s="594" t="str">
        <f t="shared" ca="1" si="27"/>
        <v/>
      </c>
      <c r="U109" s="491" t="str">
        <f t="shared" ca="1" si="28"/>
        <v/>
      </c>
      <c r="V109" s="701" t="str">
        <f t="shared" ca="1" si="39"/>
        <v/>
      </c>
      <c r="W109" s="493" t="str">
        <f t="shared" ca="1" si="29"/>
        <v/>
      </c>
      <c r="X109" s="489" t="str">
        <f t="shared" ca="1" si="30"/>
        <v/>
      </c>
      <c r="Y109" s="488">
        <f>IF($B109="","",IF(COUNTIFS($B$4:$B109,$B109,$C$4:$C109,$C109)&gt;1,"⛔重複"&amp;COUNTIFS($B$4:$B109,$B109,$C$4:$C109,$C109)&amp;"回目",""))</f>
      </c>
      <c r="Z109" s="710"/>
      <c r="AB109">
        <f>IF($F109="","",MAX(100,ROUNDDOWN($AG$4/($F109*$AG$2)/100,0)*100))</f>
      </c>
      <c r="AC109">
        <f>IF(OR($F109="",$G109="",$U109=""),"",ROUND($V109-($F109+$U109)*$G109*$AG$6-IF($C109="売",$F109*$G109*$AG$7*$W109/365,0),0))</f>
      </c>
      <c r="AD109" s="608"/>
      <c r="AE109" s="624" t="str">
        <f t="shared" si="31"/>
        <v/>
      </c>
      <c r="AF109" s="626"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26"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00" t="str">
        <f t="shared" ca="1" si="32"/>
        <v/>
      </c>
      <c r="AI109" s="600" t="str" cm="1">
        <f t="array" ref="AI109">IFERROR(INDEX(始値!$E$6:$BT$305,MATCH(TEXT($B109,"0"),TEXT(銘柄管理!$B$6:$B$305,"0"),0),MATCH($AE109,始値!$E$3:$BT$3,0)),"")</f>
        <v/>
      </c>
      <c r="AJ109" s="905" t="str">
        <f t="shared" ca="1" si="33"/>
        <v/>
      </c>
      <c r="AK109" s="629" t="str">
        <f t="shared" ca="1" si="34"/>
        <v/>
      </c>
    </row>
    <row r="110" spans="1:37" ht="35.4" customHeight="1">
      <c r="A110" s="619" t="str">
        <f t="shared" si="23"/>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BT$3,0)=1,1,MATCH($E110,始値!$E$3:$BT$3,0)+1)),_xlpm.v,INDEX(始値!$C$6:$B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 t="shared" ca="1" si="35"/>
        <v/>
      </c>
      <c r="L110" s="706" t="str">
        <f t="shared" ca="1" si="36"/>
        <v/>
      </c>
      <c r="M110" s="491">
        <f>IF($F110="","",IF($C110="売",CEILING($F110*IF($C110="売",1-$AG$3,1+$AG$3),IF($F110*IF($C110="売",1-$AG$3,1+$AG$3)&lt;=3000,1,IF($F110*IF($C110="売",1-$AG$3,1+$AG$3)&lt;=5000,5,IF($F110*IF($C110="売",1-$AG$3,1+$AG$3)&lt;=30000,10,IF($F110*IF($C110="売",1-$AG$3,1+$AG$3)&lt;=50000,50,IF($F110*IF($C110="売",1-$AG$3,1+$AG$3)&lt;=300000,100,500)))))),FLOOR($F110*IF($C110="売",1-$AG$3,1+$AG$3),IF($F110*IF($C110="売",1-$AG$3,1+$AG$3)&lt;=3000,1,IF($F110*IF($C110="売",1-$AG$3,1+$AG$3)&lt;=5000,5,IF($F110*IF($C110="売",1-$AG$3,1+$AG$3)&lt;=30000,10,IF($F110*IF($C110="売",1-$AG$3,1+$AG$3)&lt;=50000,50,IF($F110*IF($C110="売",1-$AG$3,1+$AG$3)&lt;=300000,100,500))))))))</f>
      </c>
      <c r="N110" s="491">
        <f>IF($F110="","",IF($C110="売",CEILING($F110*IF($C110="売",1+$AG$2,1-$AG$2),IF($F110*IF($C110="売",1+$AG$2,1-$AG$2)&lt;=3000,1,IF($F110*IF($C110="売",1+$AG$2,1-$AG$2)&lt;=5000,5,IF($F110*IF($C110="売",1+$AG$2,1-$AG$2)&lt;=30000,10,IF($F110*IF($C110="売",1+$AG$2,1-$AG$2)&lt;=50000,50,IF($F110*IF($C110="売",1+$AG$2,1-$AG$2)&lt;=300000,100,500)))))),FLOOR($F110*IF($C110="売",1+$AG$2,1-$AG$2),IF($F110*IF($C110="売",1+$AG$2,1-$AG$2)&lt;=3000,1,IF($F110*IF($C110="売",1+$AG$2,1-$AG$2)&lt;=5000,5,IF($F110*IF($C110="売",1+$AG$2,1-$AG$2)&lt;=30000,10,IF($F110*IF($C110="売",1+$AG$2,1-$AG$2)&lt;=50000,50,IF($F110*IF($C110="売",1+$AG$2,1-$AG$2)&lt;=300000,100,500))))))))</f>
      </c>
      <c r="O110" s="492">
        <f>IF(OR($B110="",$F110="",$H110=""),"",IF($S110="✅売却済","―決済済―",IF($C110="売",  IF($H110&lt;=$M110,"🟢利確",  IF(AND($R110&lt;&gt;"",$H110&gt;=$R110),"🟠TRAIL決済",  IF($H110&gt;=$N110,"🔴損切",  IF($W110&gt;=$AG$5,"⏱時間決済",  IF($H110&gt;=$F110*(1+$AG$2*0.7),"⚠️損切接近","保持継続"))))),  IF($H110&gt;=$M110,"🟢利確",  IF(AND($R110&lt;&gt;"",$H110&lt;=$R110),"🟠TRAIL決済",  IF($H110&lt;=$N110,"🔴損切",  IF($W110&gt;=$AG$5,"⏱時間決済",  IF($H110&lt;=$F110*(1-$AG$2*0.7),"⚠️損切接近","保持継続")))))))</f>
      </c>
      <c r="P110" s="491"/>
      <c r="Q110" s="491"/>
      <c r="R110" s="491">
        <f>IF(OR($F110="",$H110="",$N110=""),"",IF($S110="✅売却済","",IF($C110="売",  IF($H110&gt;$F110*(1-$AG$2),$N110,CEILING(MIN($N110,IF($Q110="",$N110,$Q110*1.03)),IF($N110&lt;=3000,1,IF($N110&lt;=5000,5,IF($N110&lt;=30000,10,IF($N110&lt;=50000,50,IF($N110&lt;=300000,100,500))))))),  IF($H110&lt;$F110*(1+$AG$2),$N110,FLOOR(MAX($N110,IF($P110="",$N110,$P110*0.97)),IF($N110&lt;=3000,1,IF($N110&lt;=5000,5,IF($N110&lt;=30000,10,IF($N110&lt;=50000,50,IF($N110&lt;=300000,100,500))))))))))</f>
      </c>
      <c r="S110" s="586" t="str">
        <f t="shared" si="38"/>
        <v/>
      </c>
      <c r="T110" s="594" t="str">
        <f t="shared" ca="1" si="27"/>
        <v/>
      </c>
      <c r="U110" s="491" t="str">
        <f t="shared" ca="1" si="28"/>
        <v/>
      </c>
      <c r="V110" s="701" t="str">
        <f t="shared" ca="1" si="39"/>
        <v/>
      </c>
      <c r="W110" s="493" t="str">
        <f t="shared" ca="1" si="29"/>
        <v/>
      </c>
      <c r="X110" s="489" t="str">
        <f t="shared" ca="1" si="30"/>
        <v/>
      </c>
      <c r="Y110" s="488">
        <f>IF($B110="","",IF(COUNTIFS($B$4:$B110,$B110,$C$4:$C110,$C110)&gt;1,"⛔重複"&amp;COUNTIFS($B$4:$B110,$B110,$C$4:$C110,$C110)&amp;"回目",""))</f>
      </c>
      <c r="Z110" s="710"/>
      <c r="AB110">
        <f>IF($F110="","",MAX(100,ROUNDDOWN($AG$4/($F110*$AG$2)/100,0)*100))</f>
      </c>
      <c r="AC110">
        <f>IF(OR($F110="",$G110="",$U110=""),"",ROUND($V110-($F110+$U110)*$G110*$AG$6-IF($C110="売",$F110*$G110*$AG$7*$W110/365,0),0))</f>
      </c>
      <c r="AD110" s="608"/>
      <c r="AE110" s="624" t="str">
        <f t="shared" si="31"/>
        <v/>
      </c>
      <c r="AF110" s="626"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26"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00" t="str">
        <f t="shared" ca="1" si="32"/>
        <v/>
      </c>
      <c r="AI110" s="600" t="str" cm="1">
        <f t="array" ref="AI110">IFERROR(INDEX(始値!$E$6:$BT$305,MATCH(TEXT($B110,"0"),TEXT(銘柄管理!$B$6:$B$305,"0"),0),MATCH($AE110,始値!$E$3:$BT$3,0)),"")</f>
        <v/>
      </c>
      <c r="AJ110" s="905" t="str">
        <f t="shared" ca="1" si="33"/>
        <v/>
      </c>
      <c r="AK110" s="629" t="str">
        <f t="shared" ca="1" si="34"/>
        <v/>
      </c>
    </row>
    <row r="111" spans="1:37" ht="35.4" customHeight="1">
      <c r="A111" s="619" t="str">
        <f t="shared" si="23"/>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BT$3,0)=1,1,MATCH($E111,始値!$E$3:$BT$3,0)+1)),_xlpm.v,INDEX(始値!$C$6:$B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 t="shared" ca="1" si="35"/>
        <v/>
      </c>
      <c r="L111" s="706" t="str">
        <f t="shared" ca="1" si="36"/>
        <v/>
      </c>
      <c r="M111" s="491">
        <f>IF($F111="","",IF($C111="売",CEILING($F111*IF($C111="売",1-$AG$3,1+$AG$3),IF($F111*IF($C111="売",1-$AG$3,1+$AG$3)&lt;=3000,1,IF($F111*IF($C111="売",1-$AG$3,1+$AG$3)&lt;=5000,5,IF($F111*IF($C111="売",1-$AG$3,1+$AG$3)&lt;=30000,10,IF($F111*IF($C111="売",1-$AG$3,1+$AG$3)&lt;=50000,50,IF($F111*IF($C111="売",1-$AG$3,1+$AG$3)&lt;=300000,100,500)))))),FLOOR($F111*IF($C111="売",1-$AG$3,1+$AG$3),IF($F111*IF($C111="売",1-$AG$3,1+$AG$3)&lt;=3000,1,IF($F111*IF($C111="売",1-$AG$3,1+$AG$3)&lt;=5000,5,IF($F111*IF($C111="売",1-$AG$3,1+$AG$3)&lt;=30000,10,IF($F111*IF($C111="売",1-$AG$3,1+$AG$3)&lt;=50000,50,IF($F111*IF($C111="売",1-$AG$3,1+$AG$3)&lt;=300000,100,500))))))))</f>
      </c>
      <c r="N111" s="491">
        <f>IF($F111="","",IF($C111="売",CEILING($F111*IF($C111="売",1+$AG$2,1-$AG$2),IF($F111*IF($C111="売",1+$AG$2,1-$AG$2)&lt;=3000,1,IF($F111*IF($C111="売",1+$AG$2,1-$AG$2)&lt;=5000,5,IF($F111*IF($C111="売",1+$AG$2,1-$AG$2)&lt;=30000,10,IF($F111*IF($C111="売",1+$AG$2,1-$AG$2)&lt;=50000,50,IF($F111*IF($C111="売",1+$AG$2,1-$AG$2)&lt;=300000,100,500)))))),FLOOR($F111*IF($C111="売",1+$AG$2,1-$AG$2),IF($F111*IF($C111="売",1+$AG$2,1-$AG$2)&lt;=3000,1,IF($F111*IF($C111="売",1+$AG$2,1-$AG$2)&lt;=5000,5,IF($F111*IF($C111="売",1+$AG$2,1-$AG$2)&lt;=30000,10,IF($F111*IF($C111="売",1+$AG$2,1-$AG$2)&lt;=50000,50,IF($F111*IF($C111="売",1+$AG$2,1-$AG$2)&lt;=300000,100,500))))))))</f>
      </c>
      <c r="O111" s="492">
        <f>IF(OR($B111="",$F111="",$H111=""),"",IF($S111="✅売却済","―決済済―",IF($C111="売",  IF($H111&lt;=$M111,"🟢利確",  IF(AND($R111&lt;&gt;"",$H111&gt;=$R111),"🟠TRAIL決済",  IF($H111&gt;=$N111,"🔴損切",  IF($W111&gt;=$AG$5,"⏱時間決済",  IF($H111&gt;=$F111*(1+$AG$2*0.7),"⚠️損切接近","保持継続"))))),  IF($H111&gt;=$M111,"🟢利確",  IF(AND($R111&lt;&gt;"",$H111&lt;=$R111),"🟠TRAIL決済",  IF($H111&lt;=$N111,"🔴損切",  IF($W111&gt;=$AG$5,"⏱時間決済",  IF($H111&lt;=$F111*(1-$AG$2*0.7),"⚠️損切接近","保持継続")))))))</f>
      </c>
      <c r="P111" s="491"/>
      <c r="Q111" s="491"/>
      <c r="R111" s="491">
        <f>IF(OR($F111="",$H111="",$N111=""),"",IF($S111="✅売却済","",IF($C111="売",  IF($H111&gt;$F111*(1-$AG$2),$N111,CEILING(MIN($N111,IF($Q111="",$N111,$Q111*1.03)),IF($N111&lt;=3000,1,IF($N111&lt;=5000,5,IF($N111&lt;=30000,10,IF($N111&lt;=50000,50,IF($N111&lt;=300000,100,500))))))),  IF($H111&lt;$F111*(1+$AG$2),$N111,FLOOR(MAX($N111,IF($P111="",$N111,$P111*0.97)),IF($N111&lt;=3000,1,IF($N111&lt;=5000,5,IF($N111&lt;=30000,10,IF($N111&lt;=50000,50,IF($N111&lt;=300000,100,500))))))))))</f>
      </c>
      <c r="S111" s="586" t="str">
        <f t="shared" si="38"/>
        <v/>
      </c>
      <c r="T111" s="594" t="str">
        <f t="shared" ca="1" si="27"/>
        <v/>
      </c>
      <c r="U111" s="491" t="str">
        <f t="shared" ca="1" si="28"/>
        <v/>
      </c>
      <c r="V111" s="701" t="str">
        <f t="shared" ca="1" si="39"/>
        <v/>
      </c>
      <c r="W111" s="493" t="str">
        <f t="shared" ca="1" si="29"/>
        <v/>
      </c>
      <c r="X111" s="489" t="str">
        <f t="shared" ca="1" si="30"/>
        <v/>
      </c>
      <c r="Y111" s="488">
        <f>IF($B111="","",IF(COUNTIFS($B$4:$B111,$B111,$C$4:$C111,$C111)&gt;1,"⛔重複"&amp;COUNTIFS($B$4:$B111,$B111,$C$4:$C111,$C111)&amp;"回目",""))</f>
      </c>
      <c r="Z111" s="710"/>
      <c r="AB111">
        <f>IF($F111="","",MAX(100,ROUNDDOWN($AG$4/($F111*$AG$2)/100,0)*100))</f>
      </c>
      <c r="AC111">
        <f>IF(OR($F111="",$G111="",$U111=""),"",ROUND($V111-($F111+$U111)*$G111*$AG$6-IF($C111="売",$F111*$G111*$AG$7*$W111/365,0),0))</f>
      </c>
      <c r="AD111" s="608"/>
      <c r="AE111" s="624" t="str">
        <f t="shared" si="31"/>
        <v/>
      </c>
      <c r="AF111" s="626"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26"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00" t="str">
        <f t="shared" ca="1" si="32"/>
        <v/>
      </c>
      <c r="AI111" s="600" t="str" cm="1">
        <f t="array" ref="AI111">IFERROR(INDEX(始値!$E$6:$BT$305,MATCH(TEXT($B111,"0"),TEXT(銘柄管理!$B$6:$B$305,"0"),0),MATCH($AE111,始値!$E$3:$BT$3,0)),"")</f>
        <v/>
      </c>
      <c r="AJ111" s="905" t="str">
        <f t="shared" ca="1" si="33"/>
        <v/>
      </c>
      <c r="AK111" s="629" t="str">
        <f t="shared" ca="1" si="34"/>
        <v/>
      </c>
    </row>
    <row r="112" spans="1:37" ht="35.4" customHeight="1">
      <c r="A112" s="619" t="str">
        <f t="shared" si="23"/>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BT$3,0)=1,1,MATCH($E112,始値!$E$3:$BT$3,0)+1)),_xlpm.v,INDEX(始値!$C$6:$B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 t="shared" ca="1" si="35"/>
        <v/>
      </c>
      <c r="L112" s="706" t="str">
        <f t="shared" ca="1" si="36"/>
        <v/>
      </c>
      <c r="M112" s="491">
        <f>IF($F112="","",IF($C112="売",CEILING($F112*IF($C112="売",1-$AG$3,1+$AG$3),IF($F112*IF($C112="売",1-$AG$3,1+$AG$3)&lt;=3000,1,IF($F112*IF($C112="売",1-$AG$3,1+$AG$3)&lt;=5000,5,IF($F112*IF($C112="売",1-$AG$3,1+$AG$3)&lt;=30000,10,IF($F112*IF($C112="売",1-$AG$3,1+$AG$3)&lt;=50000,50,IF($F112*IF($C112="売",1-$AG$3,1+$AG$3)&lt;=300000,100,500)))))),FLOOR($F112*IF($C112="売",1-$AG$3,1+$AG$3),IF($F112*IF($C112="売",1-$AG$3,1+$AG$3)&lt;=3000,1,IF($F112*IF($C112="売",1-$AG$3,1+$AG$3)&lt;=5000,5,IF($F112*IF($C112="売",1-$AG$3,1+$AG$3)&lt;=30000,10,IF($F112*IF($C112="売",1-$AG$3,1+$AG$3)&lt;=50000,50,IF($F112*IF($C112="売",1-$AG$3,1+$AG$3)&lt;=300000,100,500))))))))</f>
      </c>
      <c r="N112" s="491">
        <f>IF($F112="","",IF($C112="売",CEILING($F112*IF($C112="売",1+$AG$2,1-$AG$2),IF($F112*IF($C112="売",1+$AG$2,1-$AG$2)&lt;=3000,1,IF($F112*IF($C112="売",1+$AG$2,1-$AG$2)&lt;=5000,5,IF($F112*IF($C112="売",1+$AG$2,1-$AG$2)&lt;=30000,10,IF($F112*IF($C112="売",1+$AG$2,1-$AG$2)&lt;=50000,50,IF($F112*IF($C112="売",1+$AG$2,1-$AG$2)&lt;=300000,100,500)))))),FLOOR($F112*IF($C112="売",1+$AG$2,1-$AG$2),IF($F112*IF($C112="売",1+$AG$2,1-$AG$2)&lt;=3000,1,IF($F112*IF($C112="売",1+$AG$2,1-$AG$2)&lt;=5000,5,IF($F112*IF($C112="売",1+$AG$2,1-$AG$2)&lt;=30000,10,IF($F112*IF($C112="売",1+$AG$2,1-$AG$2)&lt;=50000,50,IF($F112*IF($C112="売",1+$AG$2,1-$AG$2)&lt;=300000,100,500))))))))</f>
      </c>
      <c r="O112" s="492">
        <f>IF(OR($B112="",$F112="",$H112=""),"",IF($S112="✅売却済","―決済済―",IF($C112="売",  IF($H112&lt;=$M112,"🟢利確",  IF(AND($R112&lt;&gt;"",$H112&gt;=$R112),"🟠TRAIL決済",  IF($H112&gt;=$N112,"🔴損切",  IF($W112&gt;=$AG$5,"⏱時間決済",  IF($H112&gt;=$F112*(1+$AG$2*0.7),"⚠️損切接近","保持継続"))))),  IF($H112&gt;=$M112,"🟢利確",  IF(AND($R112&lt;&gt;"",$H112&lt;=$R112),"🟠TRAIL決済",  IF($H112&lt;=$N112,"🔴損切",  IF($W112&gt;=$AG$5,"⏱時間決済",  IF($H112&lt;=$F112*(1-$AG$2*0.7),"⚠️損切接近","保持継続")))))))</f>
      </c>
      <c r="P112" s="491"/>
      <c r="Q112" s="491"/>
      <c r="R112" s="491">
        <f>IF(OR($F112="",$H112="",$N112=""),"",IF($S112="✅売却済","",IF($C112="売",  IF($H112&gt;$F112*(1-$AG$2),$N112,CEILING(MIN($N112,IF($Q112="",$N112,$Q112*1.03)),IF($N112&lt;=3000,1,IF($N112&lt;=5000,5,IF($N112&lt;=30000,10,IF($N112&lt;=50000,50,IF($N112&lt;=300000,100,500))))))),  IF($H112&lt;$F112*(1+$AG$2),$N112,FLOOR(MAX($N112,IF($P112="",$N112,$P112*0.97)),IF($N112&lt;=3000,1,IF($N112&lt;=5000,5,IF($N112&lt;=30000,10,IF($N112&lt;=50000,50,IF($N112&lt;=300000,100,500))))))))))</f>
      </c>
      <c r="S112" s="586" t="str">
        <f t="shared" si="38"/>
        <v/>
      </c>
      <c r="T112" s="594" t="str">
        <f t="shared" ca="1" si="27"/>
        <v/>
      </c>
      <c r="U112" s="491" t="str">
        <f t="shared" ca="1" si="28"/>
        <v/>
      </c>
      <c r="V112" s="701" t="str">
        <f t="shared" ca="1" si="39"/>
        <v/>
      </c>
      <c r="W112" s="493" t="str">
        <f t="shared" ca="1" si="29"/>
        <v/>
      </c>
      <c r="X112" s="489" t="str">
        <f t="shared" ca="1" si="30"/>
        <v/>
      </c>
      <c r="Y112" s="488">
        <f>IF($B112="","",IF(COUNTIFS($B$4:$B112,$B112,$C$4:$C112,$C112)&gt;1,"⛔重複"&amp;COUNTIFS($B$4:$B112,$B112,$C$4:$C112,$C112)&amp;"回目",""))</f>
      </c>
      <c r="Z112" s="710"/>
      <c r="AB112">
        <f>IF($F112="","",MAX(100,ROUNDDOWN($AG$4/($F112*$AG$2)/100,0)*100))</f>
      </c>
      <c r="AC112">
        <f>IF(OR($F112="",$G112="",$U112=""),"",ROUND($V112-($F112+$U112)*$G112*$AG$6-IF($C112="売",$F112*$G112*$AG$7*$W112/365,0),0))</f>
      </c>
      <c r="AD112" s="608"/>
      <c r="AE112" s="624" t="str">
        <f t="shared" si="31"/>
        <v/>
      </c>
      <c r="AF112" s="626"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26"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00" t="str">
        <f t="shared" ca="1" si="32"/>
        <v/>
      </c>
      <c r="AI112" s="600" t="str" cm="1">
        <f t="array" ref="AI112">IFERROR(INDEX(始値!$E$6:$BT$305,MATCH(TEXT($B112,"0"),TEXT(銘柄管理!$B$6:$B$305,"0"),0),MATCH($AE112,始値!$E$3:$BT$3,0)),"")</f>
        <v/>
      </c>
      <c r="AJ112" s="905" t="str">
        <f t="shared" ca="1" si="33"/>
        <v/>
      </c>
      <c r="AK112" s="629" t="str">
        <f t="shared" ca="1" si="34"/>
        <v/>
      </c>
    </row>
    <row r="113" spans="1:37" ht="35.4" customHeight="1">
      <c r="A113" s="619" t="str">
        <f t="shared" si="23"/>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BT$3,0)=1,1,MATCH($E113,始値!$E$3:$BT$3,0)+1)),_xlpm.v,INDEX(始値!$C$6:$B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 t="shared" ca="1" si="35"/>
        <v/>
      </c>
      <c r="L113" s="706" t="str">
        <f t="shared" ca="1" si="36"/>
        <v/>
      </c>
      <c r="M113" s="491">
        <f>IF($F113="","",IF($C113="売",CEILING($F113*IF($C113="売",1-$AG$3,1+$AG$3),IF($F113*IF($C113="売",1-$AG$3,1+$AG$3)&lt;=3000,1,IF($F113*IF($C113="売",1-$AG$3,1+$AG$3)&lt;=5000,5,IF($F113*IF($C113="売",1-$AG$3,1+$AG$3)&lt;=30000,10,IF($F113*IF($C113="売",1-$AG$3,1+$AG$3)&lt;=50000,50,IF($F113*IF($C113="売",1-$AG$3,1+$AG$3)&lt;=300000,100,500)))))),FLOOR($F113*IF($C113="売",1-$AG$3,1+$AG$3),IF($F113*IF($C113="売",1-$AG$3,1+$AG$3)&lt;=3000,1,IF($F113*IF($C113="売",1-$AG$3,1+$AG$3)&lt;=5000,5,IF($F113*IF($C113="売",1-$AG$3,1+$AG$3)&lt;=30000,10,IF($F113*IF($C113="売",1-$AG$3,1+$AG$3)&lt;=50000,50,IF($F113*IF($C113="売",1-$AG$3,1+$AG$3)&lt;=300000,100,500))))))))</f>
      </c>
      <c r="N113" s="491">
        <f>IF($F113="","",IF($C113="売",CEILING($F113*IF($C113="売",1+$AG$2,1-$AG$2),IF($F113*IF($C113="売",1+$AG$2,1-$AG$2)&lt;=3000,1,IF($F113*IF($C113="売",1+$AG$2,1-$AG$2)&lt;=5000,5,IF($F113*IF($C113="売",1+$AG$2,1-$AG$2)&lt;=30000,10,IF($F113*IF($C113="売",1+$AG$2,1-$AG$2)&lt;=50000,50,IF($F113*IF($C113="売",1+$AG$2,1-$AG$2)&lt;=300000,100,500)))))),FLOOR($F113*IF($C113="売",1+$AG$2,1-$AG$2),IF($F113*IF($C113="売",1+$AG$2,1-$AG$2)&lt;=3000,1,IF($F113*IF($C113="売",1+$AG$2,1-$AG$2)&lt;=5000,5,IF($F113*IF($C113="売",1+$AG$2,1-$AG$2)&lt;=30000,10,IF($F113*IF($C113="売",1+$AG$2,1-$AG$2)&lt;=50000,50,IF($F113*IF($C113="売",1+$AG$2,1-$AG$2)&lt;=300000,100,500))))))))</f>
      </c>
      <c r="O113" s="492">
        <f>IF(OR($B113="",$F113="",$H113=""),"",IF($S113="✅売却済","―決済済―",IF($C113="売",  IF($H113&lt;=$M113,"🟢利確",  IF(AND($R113&lt;&gt;"",$H113&gt;=$R113),"🟠TRAIL決済",  IF($H113&gt;=$N113,"🔴損切",  IF($W113&gt;=$AG$5,"⏱時間決済",  IF($H113&gt;=$F113*(1+$AG$2*0.7),"⚠️損切接近","保持継続"))))),  IF($H113&gt;=$M113,"🟢利確",  IF(AND($R113&lt;&gt;"",$H113&lt;=$R113),"🟠TRAIL決済",  IF($H113&lt;=$N113,"🔴損切",  IF($W113&gt;=$AG$5,"⏱時間決済",  IF($H113&lt;=$F113*(1-$AG$2*0.7),"⚠️損切接近","保持継続")))))))</f>
      </c>
      <c r="P113" s="491"/>
      <c r="Q113" s="491"/>
      <c r="R113" s="491">
        <f>IF(OR($F113="",$H113="",$N113=""),"",IF($S113="✅売却済","",IF($C113="売",  IF($H113&gt;$F113*(1-$AG$2),$N113,CEILING(MIN($N113,IF($Q113="",$N113,$Q113*1.03)),IF($N113&lt;=3000,1,IF($N113&lt;=5000,5,IF($N113&lt;=30000,10,IF($N113&lt;=50000,50,IF($N113&lt;=300000,100,500))))))),  IF($H113&lt;$F113*(1+$AG$2),$N113,FLOOR(MAX($N113,IF($P113="",$N113,$P113*0.97)),IF($N113&lt;=3000,1,IF($N113&lt;=5000,5,IF($N113&lt;=30000,10,IF($N113&lt;=50000,50,IF($N113&lt;=300000,100,500))))))))))</f>
      </c>
      <c r="S113" s="586" t="str">
        <f t="shared" si="38"/>
        <v/>
      </c>
      <c r="T113" s="594" t="str">
        <f t="shared" ca="1" si="27"/>
        <v/>
      </c>
      <c r="U113" s="491" t="str">
        <f t="shared" ca="1" si="28"/>
        <v/>
      </c>
      <c r="V113" s="701" t="str">
        <f t="shared" ca="1" si="39"/>
        <v/>
      </c>
      <c r="W113" s="493" t="str">
        <f t="shared" ca="1" si="29"/>
        <v/>
      </c>
      <c r="X113" s="489" t="str">
        <f t="shared" ca="1" si="30"/>
        <v/>
      </c>
      <c r="Y113" s="488">
        <f>IF($B113="","",IF(COUNTIFS($B$4:$B113,$B113,$C$4:$C113,$C113)&gt;1,"⛔重複"&amp;COUNTIFS($B$4:$B113,$B113,$C$4:$C113,$C113)&amp;"回目",""))</f>
      </c>
      <c r="Z113" s="710"/>
      <c r="AB113">
        <f>IF($F113="","",MAX(100,ROUNDDOWN($AG$4/($F113*$AG$2)/100,0)*100))</f>
      </c>
      <c r="AC113">
        <f>IF(OR($F113="",$G113="",$U113=""),"",ROUND($V113-($F113+$U113)*$G113*$AG$6-IF($C113="売",$F113*$G113*$AG$7*$W113/365,0),0))</f>
      </c>
      <c r="AD113" s="608"/>
      <c r="AE113" s="624" t="str">
        <f t="shared" si="31"/>
        <v/>
      </c>
      <c r="AF113" s="626"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26"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00" t="str">
        <f t="shared" ca="1" si="32"/>
        <v/>
      </c>
      <c r="AI113" s="600" t="str" cm="1">
        <f t="array" ref="AI113">IFERROR(INDEX(始値!$E$6:$BT$305,MATCH(TEXT($B113,"0"),TEXT(銘柄管理!$B$6:$B$305,"0"),0),MATCH($AE113,始値!$E$3:$BT$3,0)),"")</f>
        <v/>
      </c>
      <c r="AJ113" s="905" t="str">
        <f t="shared" ca="1" si="33"/>
        <v/>
      </c>
      <c r="AK113" s="629" t="str">
        <f t="shared" ca="1" si="34"/>
        <v/>
      </c>
    </row>
    <row r="114" spans="1:37" ht="35.4" customHeight="1">
      <c r="A114" s="619" t="str">
        <f t="shared" si="23"/>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BT$3,0)=1,1,MATCH($E114,始値!$E$3:$BT$3,0)+1)),_xlpm.v,INDEX(始値!$C$6:$B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 t="shared" ca="1" si="35"/>
        <v/>
      </c>
      <c r="L114" s="706" t="str">
        <f t="shared" ca="1" si="36"/>
        <v/>
      </c>
      <c r="M114" s="491">
        <f>IF($F114="","",IF($C114="売",CEILING($F114*IF($C114="売",1-$AG$3,1+$AG$3),IF($F114*IF($C114="売",1-$AG$3,1+$AG$3)&lt;=3000,1,IF($F114*IF($C114="売",1-$AG$3,1+$AG$3)&lt;=5000,5,IF($F114*IF($C114="売",1-$AG$3,1+$AG$3)&lt;=30000,10,IF($F114*IF($C114="売",1-$AG$3,1+$AG$3)&lt;=50000,50,IF($F114*IF($C114="売",1-$AG$3,1+$AG$3)&lt;=300000,100,500)))))),FLOOR($F114*IF($C114="売",1-$AG$3,1+$AG$3),IF($F114*IF($C114="売",1-$AG$3,1+$AG$3)&lt;=3000,1,IF($F114*IF($C114="売",1-$AG$3,1+$AG$3)&lt;=5000,5,IF($F114*IF($C114="売",1-$AG$3,1+$AG$3)&lt;=30000,10,IF($F114*IF($C114="売",1-$AG$3,1+$AG$3)&lt;=50000,50,IF($F114*IF($C114="売",1-$AG$3,1+$AG$3)&lt;=300000,100,500))))))))</f>
      </c>
      <c r="N114" s="491">
        <f>IF($F114="","",IF($C114="売",CEILING($F114*IF($C114="売",1+$AG$2,1-$AG$2),IF($F114*IF($C114="売",1+$AG$2,1-$AG$2)&lt;=3000,1,IF($F114*IF($C114="売",1+$AG$2,1-$AG$2)&lt;=5000,5,IF($F114*IF($C114="売",1+$AG$2,1-$AG$2)&lt;=30000,10,IF($F114*IF($C114="売",1+$AG$2,1-$AG$2)&lt;=50000,50,IF($F114*IF($C114="売",1+$AG$2,1-$AG$2)&lt;=300000,100,500)))))),FLOOR($F114*IF($C114="売",1+$AG$2,1-$AG$2),IF($F114*IF($C114="売",1+$AG$2,1-$AG$2)&lt;=3000,1,IF($F114*IF($C114="売",1+$AG$2,1-$AG$2)&lt;=5000,5,IF($F114*IF($C114="売",1+$AG$2,1-$AG$2)&lt;=30000,10,IF($F114*IF($C114="売",1+$AG$2,1-$AG$2)&lt;=50000,50,IF($F114*IF($C114="売",1+$AG$2,1-$AG$2)&lt;=300000,100,500))))))))</f>
      </c>
      <c r="O114" s="492">
        <f>IF(OR($B114="",$F114="",$H114=""),"",IF($S114="✅売却済","―決済済―",IF($C114="売",  IF($H114&lt;=$M114,"🟢利確",  IF(AND($R114&lt;&gt;"",$H114&gt;=$R114),"🟠TRAIL決済",  IF($H114&gt;=$N114,"🔴損切",  IF($W114&gt;=$AG$5,"⏱時間決済",  IF($H114&gt;=$F114*(1+$AG$2*0.7),"⚠️損切接近","保持継続"))))),  IF($H114&gt;=$M114,"🟢利確",  IF(AND($R114&lt;&gt;"",$H114&lt;=$R114),"🟠TRAIL決済",  IF($H114&lt;=$N114,"🔴損切",  IF($W114&gt;=$AG$5,"⏱時間決済",  IF($H114&lt;=$F114*(1-$AG$2*0.7),"⚠️損切接近","保持継続")))))))</f>
      </c>
      <c r="P114" s="491"/>
      <c r="Q114" s="491"/>
      <c r="R114" s="491">
        <f>IF(OR($F114="",$H114="",$N114=""),"",IF($S114="✅売却済","",IF($C114="売",  IF($H114&gt;$F114*(1-$AG$2),$N114,CEILING(MIN($N114,IF($Q114="",$N114,$Q114*1.03)),IF($N114&lt;=3000,1,IF($N114&lt;=5000,5,IF($N114&lt;=30000,10,IF($N114&lt;=50000,50,IF($N114&lt;=300000,100,500))))))),  IF($H114&lt;$F114*(1+$AG$2),$N114,FLOOR(MAX($N114,IF($P114="",$N114,$P114*0.97)),IF($N114&lt;=3000,1,IF($N114&lt;=5000,5,IF($N114&lt;=30000,10,IF($N114&lt;=50000,50,IF($N114&lt;=300000,100,500))))))))))</f>
      </c>
      <c r="S114" s="586" t="str">
        <f t="shared" si="38"/>
        <v/>
      </c>
      <c r="T114" s="594" t="str">
        <f t="shared" ca="1" si="27"/>
        <v/>
      </c>
      <c r="U114" s="491" t="str">
        <f t="shared" ca="1" si="28"/>
        <v/>
      </c>
      <c r="V114" s="701" t="str">
        <f t="shared" ca="1" si="39"/>
        <v/>
      </c>
      <c r="W114" s="493" t="str">
        <f t="shared" ca="1" si="29"/>
        <v/>
      </c>
      <c r="X114" s="489" t="str">
        <f t="shared" ca="1" si="30"/>
        <v/>
      </c>
      <c r="Y114" s="488">
        <f>IF($B114="","",IF(COUNTIFS($B$4:$B114,$B114,$C$4:$C114,$C114)&gt;1,"⛔重複"&amp;COUNTIFS($B$4:$B114,$B114,$C$4:$C114,$C114)&amp;"回目",""))</f>
      </c>
      <c r="Z114" s="710"/>
      <c r="AB114">
        <f>IF($F114="","",MAX(100,ROUNDDOWN($AG$4/($F114*$AG$2)/100,0)*100))</f>
      </c>
      <c r="AC114">
        <f>IF(OR($F114="",$G114="",$U114=""),"",ROUND($V114-($F114+$U114)*$G114*$AG$6-IF($C114="売",$F114*$G114*$AG$7*$W114/365,0),0))</f>
      </c>
      <c r="AD114" s="608"/>
      <c r="AE114" s="624" t="str">
        <f t="shared" si="31"/>
        <v/>
      </c>
      <c r="AF114" s="626"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26"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00" t="str">
        <f t="shared" ca="1" si="32"/>
        <v/>
      </c>
      <c r="AI114" s="600" t="str" cm="1">
        <f t="array" ref="AI114">IFERROR(INDEX(始値!$E$6:$BT$305,MATCH(TEXT($B114,"0"),TEXT(銘柄管理!$B$6:$B$305,"0"),0),MATCH($AE114,始値!$E$3:$BT$3,0)),"")</f>
        <v/>
      </c>
      <c r="AJ114" s="905" t="str">
        <f t="shared" ca="1" si="33"/>
        <v/>
      </c>
      <c r="AK114" s="629" t="str">
        <f t="shared" ca="1" si="34"/>
        <v/>
      </c>
    </row>
    <row r="115" spans="1:37" ht="35.4" customHeight="1">
      <c r="A115" s="619" t="str">
        <f t="shared" si="23"/>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BT$3,0)=1,1,MATCH($E115,始値!$E$3:$BT$3,0)+1)),_xlpm.v,INDEX(始値!$C$6:$B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 t="shared" ca="1" si="35"/>
        <v/>
      </c>
      <c r="L115" s="706" t="str">
        <f t="shared" ca="1" si="36"/>
        <v/>
      </c>
      <c r="M115" s="491">
        <f>IF($F115="","",IF($C115="売",CEILING($F115*IF($C115="売",1-$AG$3,1+$AG$3),IF($F115*IF($C115="売",1-$AG$3,1+$AG$3)&lt;=3000,1,IF($F115*IF($C115="売",1-$AG$3,1+$AG$3)&lt;=5000,5,IF($F115*IF($C115="売",1-$AG$3,1+$AG$3)&lt;=30000,10,IF($F115*IF($C115="売",1-$AG$3,1+$AG$3)&lt;=50000,50,IF($F115*IF($C115="売",1-$AG$3,1+$AG$3)&lt;=300000,100,500)))))),FLOOR($F115*IF($C115="売",1-$AG$3,1+$AG$3),IF($F115*IF($C115="売",1-$AG$3,1+$AG$3)&lt;=3000,1,IF($F115*IF($C115="売",1-$AG$3,1+$AG$3)&lt;=5000,5,IF($F115*IF($C115="売",1-$AG$3,1+$AG$3)&lt;=30000,10,IF($F115*IF($C115="売",1-$AG$3,1+$AG$3)&lt;=50000,50,IF($F115*IF($C115="売",1-$AG$3,1+$AG$3)&lt;=300000,100,500))))))))</f>
      </c>
      <c r="N115" s="491">
        <f>IF($F115="","",IF($C115="売",CEILING($F115*IF($C115="売",1+$AG$2,1-$AG$2),IF($F115*IF($C115="売",1+$AG$2,1-$AG$2)&lt;=3000,1,IF($F115*IF($C115="売",1+$AG$2,1-$AG$2)&lt;=5000,5,IF($F115*IF($C115="売",1+$AG$2,1-$AG$2)&lt;=30000,10,IF($F115*IF($C115="売",1+$AG$2,1-$AG$2)&lt;=50000,50,IF($F115*IF($C115="売",1+$AG$2,1-$AG$2)&lt;=300000,100,500)))))),FLOOR($F115*IF($C115="売",1+$AG$2,1-$AG$2),IF($F115*IF($C115="売",1+$AG$2,1-$AG$2)&lt;=3000,1,IF($F115*IF($C115="売",1+$AG$2,1-$AG$2)&lt;=5000,5,IF($F115*IF($C115="売",1+$AG$2,1-$AG$2)&lt;=30000,10,IF($F115*IF($C115="売",1+$AG$2,1-$AG$2)&lt;=50000,50,IF($F115*IF($C115="売",1+$AG$2,1-$AG$2)&lt;=300000,100,500))))))))</f>
      </c>
      <c r="O115" s="492">
        <f>IF(OR($B115="",$F115="",$H115=""),"",IF($S115="✅売却済","―決済済―",IF($C115="売",  IF($H115&lt;=$M115,"🟢利確",  IF(AND($R115&lt;&gt;"",$H115&gt;=$R115),"🟠TRAIL決済",  IF($H115&gt;=$N115,"🔴損切",  IF($W115&gt;=$AG$5,"⏱時間決済",  IF($H115&gt;=$F115*(1+$AG$2*0.7),"⚠️損切接近","保持継続"))))),  IF($H115&gt;=$M115,"🟢利確",  IF(AND($R115&lt;&gt;"",$H115&lt;=$R115),"🟠TRAIL決済",  IF($H115&lt;=$N115,"🔴損切",  IF($W115&gt;=$AG$5,"⏱時間決済",  IF($H115&lt;=$F115*(1-$AG$2*0.7),"⚠️損切接近","保持継続")))))))</f>
      </c>
      <c r="P115" s="491"/>
      <c r="Q115" s="491"/>
      <c r="R115" s="491">
        <f>IF(OR($F115="",$H115="",$N115=""),"",IF($S115="✅売却済","",IF($C115="売",  IF($H115&gt;$F115*(1-$AG$2),$N115,CEILING(MIN($N115,IF($Q115="",$N115,$Q115*1.03)),IF($N115&lt;=3000,1,IF($N115&lt;=5000,5,IF($N115&lt;=30000,10,IF($N115&lt;=50000,50,IF($N115&lt;=300000,100,500))))))),  IF($H115&lt;$F115*(1+$AG$2),$N115,FLOOR(MAX($N115,IF($P115="",$N115,$P115*0.97)),IF($N115&lt;=3000,1,IF($N115&lt;=5000,5,IF($N115&lt;=30000,10,IF($N115&lt;=50000,50,IF($N115&lt;=300000,100,500))))))))))</f>
      </c>
      <c r="S115" s="586" t="str">
        <f t="shared" si="38"/>
        <v/>
      </c>
      <c r="T115" s="594" t="str">
        <f t="shared" ca="1" si="27"/>
        <v/>
      </c>
      <c r="U115" s="491" t="str">
        <f t="shared" ca="1" si="28"/>
        <v/>
      </c>
      <c r="V115" s="701" t="str">
        <f t="shared" ca="1" si="39"/>
        <v/>
      </c>
      <c r="W115" s="493" t="str">
        <f t="shared" ca="1" si="29"/>
        <v/>
      </c>
      <c r="X115" s="489" t="str">
        <f t="shared" ca="1" si="30"/>
        <v/>
      </c>
      <c r="Y115" s="488">
        <f>IF($B115="","",IF(COUNTIFS($B$4:$B115,$B115,$C$4:$C115,$C115)&gt;1,"⛔重複"&amp;COUNTIFS($B$4:$B115,$B115,$C$4:$C115,$C115)&amp;"回目",""))</f>
      </c>
      <c r="Z115" s="710"/>
      <c r="AB115">
        <f>IF($F115="","",MAX(100,ROUNDDOWN($AG$4/($F115*$AG$2)/100,0)*100))</f>
      </c>
      <c r="AC115">
        <f>IF(OR($F115="",$G115="",$U115=""),"",ROUND($V115-($F115+$U115)*$G115*$AG$6-IF($C115="売",$F115*$G115*$AG$7*$W115/365,0),0))</f>
      </c>
      <c r="AD115" s="608"/>
      <c r="AE115" s="624" t="str">
        <f t="shared" si="31"/>
        <v/>
      </c>
      <c r="AF115" s="626"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26"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00" t="str">
        <f t="shared" ca="1" si="32"/>
        <v/>
      </c>
      <c r="AI115" s="600" t="str" cm="1">
        <f t="array" ref="AI115">IFERROR(INDEX(始値!$E$6:$BT$305,MATCH(TEXT($B115,"0"),TEXT(銘柄管理!$B$6:$B$305,"0"),0),MATCH($AE115,始値!$E$3:$BT$3,0)),"")</f>
        <v/>
      </c>
      <c r="AJ115" s="905" t="str">
        <f t="shared" ca="1" si="33"/>
        <v/>
      </c>
      <c r="AK115" s="629" t="str">
        <f t="shared" ca="1" si="34"/>
        <v/>
      </c>
    </row>
    <row r="116" spans="1:37" ht="35.4" customHeight="1">
      <c r="A116" s="619" t="str">
        <f t="shared" si="23"/>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BT$3,0)=1,1,MATCH($E116,始値!$E$3:$BT$3,0)+1)),_xlpm.v,INDEX(始値!$C$6:$B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 t="shared" ca="1" si="35"/>
        <v/>
      </c>
      <c r="L116" s="706" t="str">
        <f t="shared" ca="1" si="36"/>
        <v/>
      </c>
      <c r="M116" s="491">
        <f>IF($F116="","",IF($C116="売",CEILING($F116*IF($C116="売",1-$AG$3,1+$AG$3),IF($F116*IF($C116="売",1-$AG$3,1+$AG$3)&lt;=3000,1,IF($F116*IF($C116="売",1-$AG$3,1+$AG$3)&lt;=5000,5,IF($F116*IF($C116="売",1-$AG$3,1+$AG$3)&lt;=30000,10,IF($F116*IF($C116="売",1-$AG$3,1+$AG$3)&lt;=50000,50,IF($F116*IF($C116="売",1-$AG$3,1+$AG$3)&lt;=300000,100,500)))))),FLOOR($F116*IF($C116="売",1-$AG$3,1+$AG$3),IF($F116*IF($C116="売",1-$AG$3,1+$AG$3)&lt;=3000,1,IF($F116*IF($C116="売",1-$AG$3,1+$AG$3)&lt;=5000,5,IF($F116*IF($C116="売",1-$AG$3,1+$AG$3)&lt;=30000,10,IF($F116*IF($C116="売",1-$AG$3,1+$AG$3)&lt;=50000,50,IF($F116*IF($C116="売",1-$AG$3,1+$AG$3)&lt;=300000,100,500))))))))</f>
      </c>
      <c r="N116" s="491">
        <f>IF($F116="","",IF($C116="売",CEILING($F116*IF($C116="売",1+$AG$2,1-$AG$2),IF($F116*IF($C116="売",1+$AG$2,1-$AG$2)&lt;=3000,1,IF($F116*IF($C116="売",1+$AG$2,1-$AG$2)&lt;=5000,5,IF($F116*IF($C116="売",1+$AG$2,1-$AG$2)&lt;=30000,10,IF($F116*IF($C116="売",1+$AG$2,1-$AG$2)&lt;=50000,50,IF($F116*IF($C116="売",1+$AG$2,1-$AG$2)&lt;=300000,100,500)))))),FLOOR($F116*IF($C116="売",1+$AG$2,1-$AG$2),IF($F116*IF($C116="売",1+$AG$2,1-$AG$2)&lt;=3000,1,IF($F116*IF($C116="売",1+$AG$2,1-$AG$2)&lt;=5000,5,IF($F116*IF($C116="売",1+$AG$2,1-$AG$2)&lt;=30000,10,IF($F116*IF($C116="売",1+$AG$2,1-$AG$2)&lt;=50000,50,IF($F116*IF($C116="売",1+$AG$2,1-$AG$2)&lt;=300000,100,500))))))))</f>
      </c>
      <c r="O116" s="492">
        <f>IF(OR($B116="",$F116="",$H116=""),"",IF($S116="✅売却済","―決済済―",IF($C116="売",  IF($H116&lt;=$M116,"🟢利確",  IF(AND($R116&lt;&gt;"",$H116&gt;=$R116),"🟠TRAIL決済",  IF($H116&gt;=$N116,"🔴損切",  IF($W116&gt;=$AG$5,"⏱時間決済",  IF($H116&gt;=$F116*(1+$AG$2*0.7),"⚠️損切接近","保持継続"))))),  IF($H116&gt;=$M116,"🟢利確",  IF(AND($R116&lt;&gt;"",$H116&lt;=$R116),"🟠TRAIL決済",  IF($H116&lt;=$N116,"🔴損切",  IF($W116&gt;=$AG$5,"⏱時間決済",  IF($H116&lt;=$F116*(1-$AG$2*0.7),"⚠️損切接近","保持継続")))))))</f>
      </c>
      <c r="P116" s="491"/>
      <c r="Q116" s="491"/>
      <c r="R116" s="491">
        <f>IF(OR($F116="",$H116="",$N116=""),"",IF($S116="✅売却済","",IF($C116="売",  IF($H116&gt;$F116*(1-$AG$2),$N116,CEILING(MIN($N116,IF($Q116="",$N116,$Q116*1.03)),IF($N116&lt;=3000,1,IF($N116&lt;=5000,5,IF($N116&lt;=30000,10,IF($N116&lt;=50000,50,IF($N116&lt;=300000,100,500))))))),  IF($H116&lt;$F116*(1+$AG$2),$N116,FLOOR(MAX($N116,IF($P116="",$N116,$P116*0.97)),IF($N116&lt;=3000,1,IF($N116&lt;=5000,5,IF($N116&lt;=30000,10,IF($N116&lt;=50000,50,IF($N116&lt;=300000,100,500))))))))))</f>
      </c>
      <c r="S116" s="586" t="str">
        <f t="shared" si="38"/>
        <v/>
      </c>
      <c r="T116" s="594" t="str">
        <f t="shared" ca="1" si="27"/>
        <v/>
      </c>
      <c r="U116" s="491" t="str">
        <f t="shared" ca="1" si="28"/>
        <v/>
      </c>
      <c r="V116" s="701" t="str">
        <f t="shared" ca="1" si="39"/>
        <v/>
      </c>
      <c r="W116" s="493" t="str">
        <f t="shared" ca="1" si="29"/>
        <v/>
      </c>
      <c r="X116" s="489" t="str">
        <f t="shared" ca="1" si="30"/>
        <v/>
      </c>
      <c r="Y116" s="488">
        <f>IF($B116="","",IF(COUNTIFS($B$4:$B116,$B116,$C$4:$C116,$C116)&gt;1,"⛔重複"&amp;COUNTIFS($B$4:$B116,$B116,$C$4:$C116,$C116)&amp;"回目",""))</f>
      </c>
      <c r="Z116" s="710"/>
      <c r="AB116">
        <f>IF($F116="","",MAX(100,ROUNDDOWN($AG$4/($F116*$AG$2)/100,0)*100))</f>
      </c>
      <c r="AC116">
        <f>IF(OR($F116="",$G116="",$U116=""),"",ROUND($V116-($F116+$U116)*$G116*$AG$6-IF($C116="売",$F116*$G116*$AG$7*$W116/365,0),0))</f>
      </c>
      <c r="AD116" s="608"/>
      <c r="AE116" s="624" t="str">
        <f t="shared" si="31"/>
        <v/>
      </c>
      <c r="AF116" s="626"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26"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00" t="str">
        <f t="shared" ca="1" si="32"/>
        <v/>
      </c>
      <c r="AI116" s="600" t="str" cm="1">
        <f t="array" ref="AI116">IFERROR(INDEX(始値!$E$6:$BT$305,MATCH(TEXT($B116,"0"),TEXT(銘柄管理!$B$6:$B$305,"0"),0),MATCH($AE116,始値!$E$3:$BT$3,0)),"")</f>
        <v/>
      </c>
      <c r="AJ116" s="905" t="str">
        <f t="shared" ca="1" si="33"/>
        <v/>
      </c>
      <c r="AK116" s="629" t="str">
        <f t="shared" ca="1" si="34"/>
        <v/>
      </c>
    </row>
    <row r="117" spans="1:37" ht="35.4" customHeight="1">
      <c r="A117" s="619" t="str">
        <f t="shared" si="23"/>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BT$3,0)=1,1,MATCH($E117,始値!$E$3:$BT$3,0)+1)),_xlpm.v,INDEX(始値!$C$6:$B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 t="shared" ca="1" si="35"/>
        <v/>
      </c>
      <c r="L117" s="706" t="str">
        <f t="shared" ca="1" si="36"/>
        <v/>
      </c>
      <c r="M117" s="491">
        <f>IF($F117="","",IF($C117="売",CEILING($F117*IF($C117="売",1-$AG$3,1+$AG$3),IF($F117*IF($C117="売",1-$AG$3,1+$AG$3)&lt;=3000,1,IF($F117*IF($C117="売",1-$AG$3,1+$AG$3)&lt;=5000,5,IF($F117*IF($C117="売",1-$AG$3,1+$AG$3)&lt;=30000,10,IF($F117*IF($C117="売",1-$AG$3,1+$AG$3)&lt;=50000,50,IF($F117*IF($C117="売",1-$AG$3,1+$AG$3)&lt;=300000,100,500)))))),FLOOR($F117*IF($C117="売",1-$AG$3,1+$AG$3),IF($F117*IF($C117="売",1-$AG$3,1+$AG$3)&lt;=3000,1,IF($F117*IF($C117="売",1-$AG$3,1+$AG$3)&lt;=5000,5,IF($F117*IF($C117="売",1-$AG$3,1+$AG$3)&lt;=30000,10,IF($F117*IF($C117="売",1-$AG$3,1+$AG$3)&lt;=50000,50,IF($F117*IF($C117="売",1-$AG$3,1+$AG$3)&lt;=300000,100,500))))))))</f>
      </c>
      <c r="N117" s="491">
        <f>IF($F117="","",IF($C117="売",CEILING($F117*IF($C117="売",1+$AG$2,1-$AG$2),IF($F117*IF($C117="売",1+$AG$2,1-$AG$2)&lt;=3000,1,IF($F117*IF($C117="売",1+$AG$2,1-$AG$2)&lt;=5000,5,IF($F117*IF($C117="売",1+$AG$2,1-$AG$2)&lt;=30000,10,IF($F117*IF($C117="売",1+$AG$2,1-$AG$2)&lt;=50000,50,IF($F117*IF($C117="売",1+$AG$2,1-$AG$2)&lt;=300000,100,500)))))),FLOOR($F117*IF($C117="売",1+$AG$2,1-$AG$2),IF($F117*IF($C117="売",1+$AG$2,1-$AG$2)&lt;=3000,1,IF($F117*IF($C117="売",1+$AG$2,1-$AG$2)&lt;=5000,5,IF($F117*IF($C117="売",1+$AG$2,1-$AG$2)&lt;=30000,10,IF($F117*IF($C117="売",1+$AG$2,1-$AG$2)&lt;=50000,50,IF($F117*IF($C117="売",1+$AG$2,1-$AG$2)&lt;=300000,100,500))))))))</f>
      </c>
      <c r="O117" s="492">
        <f>IF(OR($B117="",$F117="",$H117=""),"",IF($S117="✅売却済","―決済済―",IF($C117="売",  IF($H117&lt;=$M117,"🟢利確",  IF(AND($R117&lt;&gt;"",$H117&gt;=$R117),"🟠TRAIL決済",  IF($H117&gt;=$N117,"🔴損切",  IF($W117&gt;=$AG$5,"⏱時間決済",  IF($H117&gt;=$F117*(1+$AG$2*0.7),"⚠️損切接近","保持継続"))))),  IF($H117&gt;=$M117,"🟢利確",  IF(AND($R117&lt;&gt;"",$H117&lt;=$R117),"🟠TRAIL決済",  IF($H117&lt;=$N117,"🔴損切",  IF($W117&gt;=$AG$5,"⏱時間決済",  IF($H117&lt;=$F117*(1-$AG$2*0.7),"⚠️損切接近","保持継続")))))))</f>
      </c>
      <c r="P117" s="491"/>
      <c r="Q117" s="491"/>
      <c r="R117" s="491">
        <f>IF(OR($F117="",$H117="",$N117=""),"",IF($S117="✅売却済","",IF($C117="売",  IF($H117&gt;$F117*(1-$AG$2),$N117,CEILING(MIN($N117,IF($Q117="",$N117,$Q117*1.03)),IF($N117&lt;=3000,1,IF($N117&lt;=5000,5,IF($N117&lt;=30000,10,IF($N117&lt;=50000,50,IF($N117&lt;=300000,100,500))))))),  IF($H117&lt;$F117*(1+$AG$2),$N117,FLOOR(MAX($N117,IF($P117="",$N117,$P117*0.97)),IF($N117&lt;=3000,1,IF($N117&lt;=5000,5,IF($N117&lt;=30000,10,IF($N117&lt;=50000,50,IF($N117&lt;=300000,100,500))))))))))</f>
      </c>
      <c r="S117" s="586" t="str">
        <f t="shared" si="38"/>
        <v/>
      </c>
      <c r="T117" s="594" t="str">
        <f t="shared" ca="1" si="27"/>
        <v/>
      </c>
      <c r="U117" s="491" t="str">
        <f t="shared" ca="1" si="28"/>
        <v/>
      </c>
      <c r="V117" s="701" t="str">
        <f t="shared" ca="1" si="39"/>
        <v/>
      </c>
      <c r="W117" s="493" t="str">
        <f t="shared" ca="1" si="29"/>
        <v/>
      </c>
      <c r="X117" s="489" t="str">
        <f t="shared" ca="1" si="30"/>
        <v/>
      </c>
      <c r="Y117" s="488">
        <f>IF($B117="","",IF(COUNTIFS($B$4:$B117,$B117,$C$4:$C117,$C117)&gt;1,"⛔重複"&amp;COUNTIFS($B$4:$B117,$B117,$C$4:$C117,$C117)&amp;"回目",""))</f>
      </c>
      <c r="Z117" s="710"/>
      <c r="AB117">
        <f>IF($F117="","",MAX(100,ROUNDDOWN($AG$4/($F117*$AG$2)/100,0)*100))</f>
      </c>
      <c r="AC117">
        <f>IF(OR($F117="",$G117="",$U117=""),"",ROUND($V117-($F117+$U117)*$G117*$AG$6-IF($C117="売",$F117*$G117*$AG$7*$W117/365,0),0))</f>
      </c>
      <c r="AD117" s="608"/>
      <c r="AE117" s="624" t="str">
        <f t="shared" si="31"/>
        <v/>
      </c>
      <c r="AF117" s="626"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26"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00" t="str">
        <f t="shared" ca="1" si="32"/>
        <v/>
      </c>
      <c r="AI117" s="600" t="str" cm="1">
        <f t="array" ref="AI117">IFERROR(INDEX(始値!$E$6:$BT$305,MATCH(TEXT($B117,"0"),TEXT(銘柄管理!$B$6:$B$305,"0"),0),MATCH($AE117,始値!$E$3:$BT$3,0)),"")</f>
        <v/>
      </c>
      <c r="AJ117" s="905" t="str">
        <f t="shared" ca="1" si="33"/>
        <v/>
      </c>
      <c r="AK117" s="629" t="str">
        <f t="shared" ca="1" si="34"/>
        <v/>
      </c>
    </row>
    <row r="118" spans="1:37" ht="35.4" customHeight="1">
      <c r="A118" s="619" t="str">
        <f t="shared" si="23"/>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BT$3,0)=1,1,MATCH($E118,始値!$E$3:$BT$3,0)+1)),_xlpm.v,INDEX(始値!$C$6:$B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 t="shared" ca="1" si="35"/>
        <v/>
      </c>
      <c r="L118" s="706" t="str">
        <f t="shared" ca="1" si="36"/>
        <v/>
      </c>
      <c r="M118" s="491">
        <f>IF($F118="","",IF($C118="売",CEILING($F118*IF($C118="売",1-$AG$3,1+$AG$3),IF($F118*IF($C118="売",1-$AG$3,1+$AG$3)&lt;=3000,1,IF($F118*IF($C118="売",1-$AG$3,1+$AG$3)&lt;=5000,5,IF($F118*IF($C118="売",1-$AG$3,1+$AG$3)&lt;=30000,10,IF($F118*IF($C118="売",1-$AG$3,1+$AG$3)&lt;=50000,50,IF($F118*IF($C118="売",1-$AG$3,1+$AG$3)&lt;=300000,100,500)))))),FLOOR($F118*IF($C118="売",1-$AG$3,1+$AG$3),IF($F118*IF($C118="売",1-$AG$3,1+$AG$3)&lt;=3000,1,IF($F118*IF($C118="売",1-$AG$3,1+$AG$3)&lt;=5000,5,IF($F118*IF($C118="売",1-$AG$3,1+$AG$3)&lt;=30000,10,IF($F118*IF($C118="売",1-$AG$3,1+$AG$3)&lt;=50000,50,IF($F118*IF($C118="売",1-$AG$3,1+$AG$3)&lt;=300000,100,500))))))))</f>
      </c>
      <c r="N118" s="491">
        <f>IF($F118="","",IF($C118="売",CEILING($F118*IF($C118="売",1+$AG$2,1-$AG$2),IF($F118*IF($C118="売",1+$AG$2,1-$AG$2)&lt;=3000,1,IF($F118*IF($C118="売",1+$AG$2,1-$AG$2)&lt;=5000,5,IF($F118*IF($C118="売",1+$AG$2,1-$AG$2)&lt;=30000,10,IF($F118*IF($C118="売",1+$AG$2,1-$AG$2)&lt;=50000,50,IF($F118*IF($C118="売",1+$AG$2,1-$AG$2)&lt;=300000,100,500)))))),FLOOR($F118*IF($C118="売",1+$AG$2,1-$AG$2),IF($F118*IF($C118="売",1+$AG$2,1-$AG$2)&lt;=3000,1,IF($F118*IF($C118="売",1+$AG$2,1-$AG$2)&lt;=5000,5,IF($F118*IF($C118="売",1+$AG$2,1-$AG$2)&lt;=30000,10,IF($F118*IF($C118="売",1+$AG$2,1-$AG$2)&lt;=50000,50,IF($F118*IF($C118="売",1+$AG$2,1-$AG$2)&lt;=300000,100,500))))))))</f>
      </c>
      <c r="O118" s="492">
        <f>IF(OR($B118="",$F118="",$H118=""),"",IF($S118="✅売却済","―決済済―",IF($C118="売",  IF($H118&lt;=$M118,"🟢利確",  IF(AND($R118&lt;&gt;"",$H118&gt;=$R118),"🟠TRAIL決済",  IF($H118&gt;=$N118,"🔴損切",  IF($W118&gt;=$AG$5,"⏱時間決済",  IF($H118&gt;=$F118*(1+$AG$2*0.7),"⚠️損切接近","保持継続"))))),  IF($H118&gt;=$M118,"🟢利確",  IF(AND($R118&lt;&gt;"",$H118&lt;=$R118),"🟠TRAIL決済",  IF($H118&lt;=$N118,"🔴損切",  IF($W118&gt;=$AG$5,"⏱時間決済",  IF($H118&lt;=$F118*(1-$AG$2*0.7),"⚠️損切接近","保持継続")))))))</f>
      </c>
      <c r="P118" s="491"/>
      <c r="Q118" s="491"/>
      <c r="R118" s="491">
        <f>IF(OR($F118="",$H118="",$N118=""),"",IF($S118="✅売却済","",IF($C118="売",  IF($H118&gt;$F118*(1-$AG$2),$N118,CEILING(MIN($N118,IF($Q118="",$N118,$Q118*1.03)),IF($N118&lt;=3000,1,IF($N118&lt;=5000,5,IF($N118&lt;=30000,10,IF($N118&lt;=50000,50,IF($N118&lt;=300000,100,500))))))),  IF($H118&lt;$F118*(1+$AG$2),$N118,FLOOR(MAX($N118,IF($P118="",$N118,$P118*0.97)),IF($N118&lt;=3000,1,IF($N118&lt;=5000,5,IF($N118&lt;=30000,10,IF($N118&lt;=50000,50,IF($N118&lt;=300000,100,500))))))))))</f>
      </c>
      <c r="S118" s="586" t="str">
        <f t="shared" si="38"/>
        <v/>
      </c>
      <c r="T118" s="594" t="str">
        <f t="shared" ca="1" si="27"/>
        <v/>
      </c>
      <c r="U118" s="491" t="str">
        <f t="shared" ca="1" si="28"/>
        <v/>
      </c>
      <c r="V118" s="701" t="str">
        <f t="shared" ca="1" si="39"/>
        <v/>
      </c>
      <c r="W118" s="493" t="str">
        <f t="shared" ca="1" si="29"/>
        <v/>
      </c>
      <c r="X118" s="489" t="str">
        <f t="shared" ca="1" si="30"/>
        <v/>
      </c>
      <c r="Y118" s="488">
        <f>IF($B118="","",IF(COUNTIFS($B$4:$B118,$B118,$C$4:$C118,$C118)&gt;1,"⛔重複"&amp;COUNTIFS($B$4:$B118,$B118,$C$4:$C118,$C118)&amp;"回目",""))</f>
      </c>
      <c r="Z118" s="710"/>
      <c r="AB118">
        <f>IF($F118="","",MAX(100,ROUNDDOWN($AG$4/($F118*$AG$2)/100,0)*100))</f>
      </c>
      <c r="AC118">
        <f>IF(OR($F118="",$G118="",$U118=""),"",ROUND($V118-($F118+$U118)*$G118*$AG$6-IF($C118="売",$F118*$G118*$AG$7*$W118/365,0),0))</f>
      </c>
      <c r="AD118" s="608"/>
      <c r="AE118" s="624" t="str">
        <f t="shared" si="31"/>
        <v/>
      </c>
      <c r="AF118" s="626"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26"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00" t="str">
        <f t="shared" ca="1" si="32"/>
        <v/>
      </c>
      <c r="AI118" s="600" t="str" cm="1">
        <f t="array" ref="AI118">IFERROR(INDEX(始値!$E$6:$BT$305,MATCH(TEXT($B118,"0"),TEXT(銘柄管理!$B$6:$B$305,"0"),0),MATCH($AE118,始値!$E$3:$BT$3,0)),"")</f>
        <v/>
      </c>
      <c r="AJ118" s="905" t="str">
        <f t="shared" ca="1" si="33"/>
        <v/>
      </c>
      <c r="AK118" s="629" t="str">
        <f t="shared" ca="1" si="34"/>
        <v/>
      </c>
    </row>
    <row r="119" spans="1:37" ht="35.4" customHeight="1">
      <c r="A119" s="619" t="str">
        <f t="shared" si="23"/>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BT$3,0)=1,1,MATCH($E119,始値!$E$3:$BT$3,0)+1)),_xlpm.v,INDEX(始値!$C$6:$B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 t="shared" ca="1" si="35"/>
        <v/>
      </c>
      <c r="L119" s="706" t="str">
        <f t="shared" ca="1" si="36"/>
        <v/>
      </c>
      <c r="M119" s="491">
        <f>IF($F119="","",IF($C119="売",CEILING($F119*IF($C119="売",1-$AG$3,1+$AG$3),IF($F119*IF($C119="売",1-$AG$3,1+$AG$3)&lt;=3000,1,IF($F119*IF($C119="売",1-$AG$3,1+$AG$3)&lt;=5000,5,IF($F119*IF($C119="売",1-$AG$3,1+$AG$3)&lt;=30000,10,IF($F119*IF($C119="売",1-$AG$3,1+$AG$3)&lt;=50000,50,IF($F119*IF($C119="売",1-$AG$3,1+$AG$3)&lt;=300000,100,500)))))),FLOOR($F119*IF($C119="売",1-$AG$3,1+$AG$3),IF($F119*IF($C119="売",1-$AG$3,1+$AG$3)&lt;=3000,1,IF($F119*IF($C119="売",1-$AG$3,1+$AG$3)&lt;=5000,5,IF($F119*IF($C119="売",1-$AG$3,1+$AG$3)&lt;=30000,10,IF($F119*IF($C119="売",1-$AG$3,1+$AG$3)&lt;=50000,50,IF($F119*IF($C119="売",1-$AG$3,1+$AG$3)&lt;=300000,100,500))))))))</f>
      </c>
      <c r="N119" s="491">
        <f>IF($F119="","",IF($C119="売",CEILING($F119*IF($C119="売",1+$AG$2,1-$AG$2),IF($F119*IF($C119="売",1+$AG$2,1-$AG$2)&lt;=3000,1,IF($F119*IF($C119="売",1+$AG$2,1-$AG$2)&lt;=5000,5,IF($F119*IF($C119="売",1+$AG$2,1-$AG$2)&lt;=30000,10,IF($F119*IF($C119="売",1+$AG$2,1-$AG$2)&lt;=50000,50,IF($F119*IF($C119="売",1+$AG$2,1-$AG$2)&lt;=300000,100,500)))))),FLOOR($F119*IF($C119="売",1+$AG$2,1-$AG$2),IF($F119*IF($C119="売",1+$AG$2,1-$AG$2)&lt;=3000,1,IF($F119*IF($C119="売",1+$AG$2,1-$AG$2)&lt;=5000,5,IF($F119*IF($C119="売",1+$AG$2,1-$AG$2)&lt;=30000,10,IF($F119*IF($C119="売",1+$AG$2,1-$AG$2)&lt;=50000,50,IF($F119*IF($C119="売",1+$AG$2,1-$AG$2)&lt;=300000,100,500))))))))</f>
      </c>
      <c r="O119" s="492">
        <f>IF(OR($B119="",$F119="",$H119=""),"",IF($S119="✅売却済","―決済済―",IF($C119="売",  IF($H119&lt;=$M119,"🟢利確",  IF(AND($R119&lt;&gt;"",$H119&gt;=$R119),"🟠TRAIL決済",  IF($H119&gt;=$N119,"🔴損切",  IF($W119&gt;=$AG$5,"⏱時間決済",  IF($H119&gt;=$F119*(1+$AG$2*0.7),"⚠️損切接近","保持継続"))))),  IF($H119&gt;=$M119,"🟢利確",  IF(AND($R119&lt;&gt;"",$H119&lt;=$R119),"🟠TRAIL決済",  IF($H119&lt;=$N119,"🔴損切",  IF($W119&gt;=$AG$5,"⏱時間決済",  IF($H119&lt;=$F119*(1-$AG$2*0.7),"⚠️損切接近","保持継続")))))))</f>
      </c>
      <c r="P119" s="491"/>
      <c r="Q119" s="491"/>
      <c r="R119" s="491">
        <f>IF(OR($F119="",$H119="",$N119=""),"",IF($S119="✅売却済","",IF($C119="売",  IF($H119&gt;$F119*(1-$AG$2),$N119,CEILING(MIN($N119,IF($Q119="",$N119,$Q119*1.03)),IF($N119&lt;=3000,1,IF($N119&lt;=5000,5,IF($N119&lt;=30000,10,IF($N119&lt;=50000,50,IF($N119&lt;=300000,100,500))))))),  IF($H119&lt;$F119*(1+$AG$2),$N119,FLOOR(MAX($N119,IF($P119="",$N119,$P119*0.97)),IF($N119&lt;=3000,1,IF($N119&lt;=5000,5,IF($N119&lt;=30000,10,IF($N119&lt;=50000,50,IF($N119&lt;=300000,100,500))))))))))</f>
      </c>
      <c r="S119" s="586" t="str">
        <f t="shared" si="38"/>
        <v/>
      </c>
      <c r="T119" s="594" t="str">
        <f t="shared" ca="1" si="27"/>
        <v/>
      </c>
      <c r="U119" s="491" t="str">
        <f t="shared" ca="1" si="28"/>
        <v/>
      </c>
      <c r="V119" s="701" t="str">
        <f t="shared" ca="1" si="39"/>
        <v/>
      </c>
      <c r="W119" s="493" t="str">
        <f t="shared" ca="1" si="29"/>
        <v/>
      </c>
      <c r="X119" s="489" t="str">
        <f t="shared" ca="1" si="30"/>
        <v/>
      </c>
      <c r="Y119" s="488">
        <f>IF($B119="","",IF(COUNTIFS($B$4:$B119,$B119,$C$4:$C119,$C119)&gt;1,"⛔重複"&amp;COUNTIFS($B$4:$B119,$B119,$C$4:$C119,$C119)&amp;"回目",""))</f>
      </c>
      <c r="Z119" s="710"/>
      <c r="AB119">
        <f>IF($F119="","",MAX(100,ROUNDDOWN($AG$4/($F119*$AG$2)/100,0)*100))</f>
      </c>
      <c r="AC119">
        <f>IF(OR($F119="",$G119="",$U119=""),"",ROUND($V119-($F119+$U119)*$G119*$AG$6-IF($C119="売",$F119*$G119*$AG$7*$W119/365,0),0))</f>
      </c>
      <c r="AD119" s="608"/>
      <c r="AE119" s="624" t="str">
        <f t="shared" si="31"/>
        <v/>
      </c>
      <c r="AF119" s="626"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26"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00" t="str">
        <f t="shared" ca="1" si="32"/>
        <v/>
      </c>
      <c r="AI119" s="600" t="str" cm="1">
        <f t="array" ref="AI119">IFERROR(INDEX(始値!$E$6:$BT$305,MATCH(TEXT($B119,"0"),TEXT(銘柄管理!$B$6:$B$305,"0"),0),MATCH($AE119,始値!$E$3:$BT$3,0)),"")</f>
        <v/>
      </c>
      <c r="AJ119" s="905" t="str">
        <f t="shared" ca="1" si="33"/>
        <v/>
      </c>
      <c r="AK119" s="629" t="str">
        <f t="shared" ca="1" si="34"/>
        <v/>
      </c>
    </row>
    <row r="120" spans="1:37" ht="35.4" customHeight="1">
      <c r="A120" s="619" t="str">
        <f t="shared" si="23"/>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BT$3,0)=1,1,MATCH($E120,始値!$E$3:$BT$3,0)+1)),_xlpm.v,INDEX(始値!$C$6:$B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 t="shared" ca="1" si="35"/>
        <v/>
      </c>
      <c r="L120" s="706" t="str">
        <f t="shared" ca="1" si="36"/>
        <v/>
      </c>
      <c r="M120" s="491">
        <f>IF($F120="","",IF($C120="売",CEILING($F120*IF($C120="売",1-$AG$3,1+$AG$3),IF($F120*IF($C120="売",1-$AG$3,1+$AG$3)&lt;=3000,1,IF($F120*IF($C120="売",1-$AG$3,1+$AG$3)&lt;=5000,5,IF($F120*IF($C120="売",1-$AG$3,1+$AG$3)&lt;=30000,10,IF($F120*IF($C120="売",1-$AG$3,1+$AG$3)&lt;=50000,50,IF($F120*IF($C120="売",1-$AG$3,1+$AG$3)&lt;=300000,100,500)))))),FLOOR($F120*IF($C120="売",1-$AG$3,1+$AG$3),IF($F120*IF($C120="売",1-$AG$3,1+$AG$3)&lt;=3000,1,IF($F120*IF($C120="売",1-$AG$3,1+$AG$3)&lt;=5000,5,IF($F120*IF($C120="売",1-$AG$3,1+$AG$3)&lt;=30000,10,IF($F120*IF($C120="売",1-$AG$3,1+$AG$3)&lt;=50000,50,IF($F120*IF($C120="売",1-$AG$3,1+$AG$3)&lt;=300000,100,500))))))))</f>
      </c>
      <c r="N120" s="491">
        <f>IF($F120="","",IF($C120="売",CEILING($F120*IF($C120="売",1+$AG$2,1-$AG$2),IF($F120*IF($C120="売",1+$AG$2,1-$AG$2)&lt;=3000,1,IF($F120*IF($C120="売",1+$AG$2,1-$AG$2)&lt;=5000,5,IF($F120*IF($C120="売",1+$AG$2,1-$AG$2)&lt;=30000,10,IF($F120*IF($C120="売",1+$AG$2,1-$AG$2)&lt;=50000,50,IF($F120*IF($C120="売",1+$AG$2,1-$AG$2)&lt;=300000,100,500)))))),FLOOR($F120*IF($C120="売",1+$AG$2,1-$AG$2),IF($F120*IF($C120="売",1+$AG$2,1-$AG$2)&lt;=3000,1,IF($F120*IF($C120="売",1+$AG$2,1-$AG$2)&lt;=5000,5,IF($F120*IF($C120="売",1+$AG$2,1-$AG$2)&lt;=30000,10,IF($F120*IF($C120="売",1+$AG$2,1-$AG$2)&lt;=50000,50,IF($F120*IF($C120="売",1+$AG$2,1-$AG$2)&lt;=300000,100,500))))))))</f>
      </c>
      <c r="O120" s="492">
        <f>IF(OR($B120="",$F120="",$H120=""),"",IF($S120="✅売却済","―決済済―",IF($C120="売",  IF($H120&lt;=$M120,"🟢利確",  IF(AND($R120&lt;&gt;"",$H120&gt;=$R120),"🟠TRAIL決済",  IF($H120&gt;=$N120,"🔴損切",  IF($W120&gt;=$AG$5,"⏱時間決済",  IF($H120&gt;=$F120*(1+$AG$2*0.7),"⚠️損切接近","保持継続"))))),  IF($H120&gt;=$M120,"🟢利確",  IF(AND($R120&lt;&gt;"",$H120&lt;=$R120),"🟠TRAIL決済",  IF($H120&lt;=$N120,"🔴損切",  IF($W120&gt;=$AG$5,"⏱時間決済",  IF($H120&lt;=$F120*(1-$AG$2*0.7),"⚠️損切接近","保持継続")))))))</f>
      </c>
      <c r="P120" s="491"/>
      <c r="Q120" s="491"/>
      <c r="R120" s="491">
        <f>IF(OR($F120="",$H120="",$N120=""),"",IF($S120="✅売却済","",IF($C120="売",  IF($H120&gt;$F120*(1-$AG$2),$N120,CEILING(MIN($N120,IF($Q120="",$N120,$Q120*1.03)),IF($N120&lt;=3000,1,IF($N120&lt;=5000,5,IF($N120&lt;=30000,10,IF($N120&lt;=50000,50,IF($N120&lt;=300000,100,500))))))),  IF($H120&lt;$F120*(1+$AG$2),$N120,FLOOR(MAX($N120,IF($P120="",$N120,$P120*0.97)),IF($N120&lt;=3000,1,IF($N120&lt;=5000,5,IF($N120&lt;=30000,10,IF($N120&lt;=50000,50,IF($N120&lt;=300000,100,500))))))))))</f>
      </c>
      <c r="S120" s="586" t="str">
        <f t="shared" si="38"/>
        <v/>
      </c>
      <c r="T120" s="594" t="str">
        <f t="shared" ca="1" si="27"/>
        <v/>
      </c>
      <c r="U120" s="491" t="str">
        <f t="shared" ca="1" si="28"/>
        <v/>
      </c>
      <c r="V120" s="701" t="str">
        <f t="shared" ca="1" si="39"/>
        <v/>
      </c>
      <c r="W120" s="493" t="str">
        <f t="shared" ca="1" si="29"/>
        <v/>
      </c>
      <c r="X120" s="489" t="str">
        <f t="shared" ca="1" si="30"/>
        <v/>
      </c>
      <c r="Y120" s="488">
        <f>IF($B120="","",IF(COUNTIFS($B$4:$B120,$B120,$C$4:$C120,$C120)&gt;1,"⛔重複"&amp;COUNTIFS($B$4:$B120,$B120,$C$4:$C120,$C120)&amp;"回目",""))</f>
      </c>
      <c r="Z120" s="710"/>
      <c r="AB120">
        <f>IF($F120="","",MAX(100,ROUNDDOWN($AG$4/($F120*$AG$2)/100,0)*100))</f>
      </c>
      <c r="AC120">
        <f>IF(OR($F120="",$G120="",$U120=""),"",ROUND($V120-($F120+$U120)*$G120*$AG$6-IF($C120="売",$F120*$G120*$AG$7*$W120/365,0),0))</f>
      </c>
      <c r="AD120" s="608"/>
      <c r="AE120" s="624" t="str">
        <f t="shared" si="31"/>
        <v/>
      </c>
      <c r="AF120" s="626"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26"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00" t="str">
        <f t="shared" ca="1" si="32"/>
        <v/>
      </c>
      <c r="AI120" s="600" t="str" cm="1">
        <f t="array" ref="AI120">IFERROR(INDEX(始値!$E$6:$BT$305,MATCH(TEXT($B120,"0"),TEXT(銘柄管理!$B$6:$B$305,"0"),0),MATCH($AE120,始値!$E$3:$BT$3,0)),"")</f>
        <v/>
      </c>
      <c r="AJ120" s="905" t="str">
        <f t="shared" ca="1" si="33"/>
        <v/>
      </c>
      <c r="AK120" s="629" t="str">
        <f t="shared" ca="1" si="34"/>
        <v/>
      </c>
    </row>
    <row r="121" spans="1:37" ht="35.4" customHeight="1">
      <c r="A121" s="619" t="str">
        <f t="shared" ref="A121:A131" si="40">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BT$3,0)=1,1,MATCH($E121,始値!$E$3:$BT$3,0)+1)),_xlpm.v,INDEX(始値!$C$6:$B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 t="shared" ref="K121:K137" ca="1" si="41">IF(OR(F121="",G121="",H121=""),"",IF(C121="売",(F121-H121)*G121,(H121-F121)*G121))</f>
        <v/>
      </c>
      <c r="L121" s="706" t="str">
        <f t="shared" ref="L121:L137" ca="1" si="42">IF(OR(F121="",H121=""),"",IF(C121="売",(F121-H121)/F121,(H121-F121)/F121))</f>
        <v/>
      </c>
      <c r="M121" s="491">
        <f>IF($F121="","",IF($C121="売",CEILING($F121*IF($C121="売",1-$AG$3,1+$AG$3),IF($F121*IF($C121="売",1-$AG$3,1+$AG$3)&lt;=3000,1,IF($F121*IF($C121="売",1-$AG$3,1+$AG$3)&lt;=5000,5,IF($F121*IF($C121="売",1-$AG$3,1+$AG$3)&lt;=30000,10,IF($F121*IF($C121="売",1-$AG$3,1+$AG$3)&lt;=50000,50,IF($F121*IF($C121="売",1-$AG$3,1+$AG$3)&lt;=300000,100,500)))))),FLOOR($F121*IF($C121="売",1-$AG$3,1+$AG$3),IF($F121*IF($C121="売",1-$AG$3,1+$AG$3)&lt;=3000,1,IF($F121*IF($C121="売",1-$AG$3,1+$AG$3)&lt;=5000,5,IF($F121*IF($C121="売",1-$AG$3,1+$AG$3)&lt;=30000,10,IF($F121*IF($C121="売",1-$AG$3,1+$AG$3)&lt;=50000,50,IF($F121*IF($C121="売",1-$AG$3,1+$AG$3)&lt;=300000,100,500))))))))</f>
      </c>
      <c r="N121" s="491">
        <f>IF($F121="","",IF($C121="売",CEILING($F121*IF($C121="売",1+$AG$2,1-$AG$2),IF($F121*IF($C121="売",1+$AG$2,1-$AG$2)&lt;=3000,1,IF($F121*IF($C121="売",1+$AG$2,1-$AG$2)&lt;=5000,5,IF($F121*IF($C121="売",1+$AG$2,1-$AG$2)&lt;=30000,10,IF($F121*IF($C121="売",1+$AG$2,1-$AG$2)&lt;=50000,50,IF($F121*IF($C121="売",1+$AG$2,1-$AG$2)&lt;=300000,100,500)))))),FLOOR($F121*IF($C121="売",1+$AG$2,1-$AG$2),IF($F121*IF($C121="売",1+$AG$2,1-$AG$2)&lt;=3000,1,IF($F121*IF($C121="売",1+$AG$2,1-$AG$2)&lt;=5000,5,IF($F121*IF($C121="売",1+$AG$2,1-$AG$2)&lt;=30000,10,IF($F121*IF($C121="売",1+$AG$2,1-$AG$2)&lt;=50000,50,IF($F121*IF($C121="売",1+$AG$2,1-$AG$2)&lt;=300000,100,500))))))))</f>
      </c>
      <c r="O121" s="492">
        <f>IF(OR($B121="",$F121="",$H121=""),"",IF($S121="✅売却済","―決済済―",IF($C121="売",  IF($H121&lt;=$M121,"🟢利確",  IF(AND($R121&lt;&gt;"",$H121&gt;=$R121),"🟠TRAIL決済",  IF($H121&gt;=$N121,"🔴損切",  IF($W121&gt;=$AG$5,"⏱時間決済",  IF($H121&gt;=$F121*(1+$AG$2*0.7),"⚠️損切接近","保持継続"))))),  IF($H121&gt;=$M121,"🟢利確",  IF(AND($R121&lt;&gt;"",$H121&lt;=$R121),"🟠TRAIL決済",  IF($H121&lt;=$N121,"🔴損切",  IF($W121&gt;=$AG$5,"⏱時間決済",  IF($H121&lt;=$F121*(1-$AG$2*0.7),"⚠️損切接近","保持継続")))))))</f>
      </c>
      <c r="P121" s="491"/>
      <c r="Q121" s="491"/>
      <c r="R121" s="491">
        <f>IF(OR($F121="",$H121="",$N121=""),"",IF($S121="✅売却済","",IF($C121="売",  IF($H121&gt;$F121*(1-$AG$2),$N121,CEILING(MIN($N121,IF($Q121="",$N121,$Q121*1.03)),IF($N121&lt;=3000,1,IF($N121&lt;=5000,5,IF($N121&lt;=30000,10,IF($N121&lt;=50000,50,IF($N121&lt;=300000,100,500))))))),  IF($H121&lt;$F121*(1+$AG$2),$N121,FLOOR(MAX($N121,IF($P121="",$N121,$P121*0.97)),IF($N121&lt;=3000,1,IF($N121&lt;=5000,5,IF($N121&lt;=30000,10,IF($N121&lt;=50000,50,IF($N121&lt;=300000,100,500))))))))))</f>
      </c>
      <c r="S121" s="586" t="str">
        <f t="shared" ref="S121:S137" si="47">IF(B121="","",IF(T121&lt;&gt;"","✅売却済",IF(OR(H121="",L121=""),"📌保有中",IF(L121&gt;=0.06,"🟢利確推奨",IF(L121&gt;=0.05,"🟡利確直近",IF(L121&gt;=0.045,"🔵トレーリング検討",IF(L121&gt;-0.03,"📌保有中",IF(L121&gt;-0.04,"⚠️損切注意","🔴損切り"))))))))</f>
        <v/>
      </c>
      <c r="T121" s="594" t="str">
        <f t="shared" ref="T121:T132" ca="1" si="48">IF(OR($AH121="",$AH121="保有中"),"",IF($AH121="日数制限",$AE121,IF($AH121="損切確定",IF(N($AG121)=0,TODAY(),$AG121),IF(N($AF121)=0,TODAY(),$AF121))))</f>
        <v/>
      </c>
      <c r="U121" s="491" t="str">
        <f t="shared" ref="U121:U132" ca="1" si="49">IF(OR($AH121="",$AH121="保有中"),"",ROUND(IF($AH121="日数制限",$AI121,IF($AH121="利益確定",$M121,$N121)),0))</f>
        <v/>
      </c>
      <c r="V121" s="701" t="str">
        <f t="shared" ref="V121:V137" ca="1" si="50">IF(OR(F121="",G121="",U121=""),"",IF(C121="売",(F121-U121)*G121,(U121-F121)*G121))</f>
        <v/>
      </c>
      <c r="W121" s="493" t="str">
        <f t="shared" ref="W121:W132" ca="1" si="51">IF(OR($E121="",$B121=""),"",IF($T121&lt;&gt;"",$T121-$E121,TODAY()-$E121)+1)</f>
        <v/>
      </c>
      <c r="X121" s="489" t="str">
        <f t="shared" ref="X121:X132" ca="1" si="52">IF(OR($AH121="",$AH121="保有中"),"",$AH121)</f>
        <v/>
      </c>
      <c r="Y121" s="488">
        <f>IF($B121="","",IF(COUNTIFS($B$4:$B121,$B121,$C$4:$C121,$C121)&gt;1,"⛔重複"&amp;COUNTIFS($B$4:$B121,$B121,$C$4:$C121,$C121)&amp;"回目",""))</f>
      </c>
      <c r="Z121" s="710"/>
      <c r="AB121">
        <f>IF($F121="","",MAX(100,ROUNDDOWN($AG$4/($F121*$AG$2)/100,0)*100))</f>
      </c>
      <c r="AC121">
        <f>IF(OR($F121="",$G121="",$U121=""),"",ROUND($V121-($F121+$U121)*$G121*$AG$6-IF($C121="売",$F121*$G121*$AG$7*$W121/365,0),0))</f>
      </c>
      <c r="AD121" s="608"/>
      <c r="AE121" s="600" t="str">
        <f t="shared" ref="AE121:AE132" si="53">IF($E121="","",WORKDAY($E121,12))</f>
        <v/>
      </c>
      <c r="AF121" s="600"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00"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00" t="str">
        <f t="shared" ref="AH121:AH132" ca="1" si="54">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IFERROR(INDEX(始値!$E$6:$BT$305,MATCH(TEXT($B121,"0"),TEXT(銘柄管理!$B$6:$B$305,"0"),0),MATCH($AE121,始値!$E$3:$BT$3,0)),"")</f>
        <v/>
      </c>
      <c r="AJ121" s="608" t="str">
        <f t="shared" ref="AJ121:AJ132" ca="1" si="55">IF(OR($V121="",$F121="",$G121=""),"",$V121/($F121*$G121))</f>
        <v/>
      </c>
      <c r="AK121" s="600" t="str">
        <f t="shared" ref="AK121:AK132" ca="1" si="56">IF($V121="","",IF($V121&gt;0,"○勝",IF($V121&lt;0,"●負","△引分")))</f>
        <v/>
      </c>
    </row>
    <row r="122" spans="1:37" ht="35.4" customHeight="1">
      <c r="A122" s="619" t="str">
        <f t="shared" si="40"/>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BT$3,0)=1,1,MATCH($E122,始値!$E$3:$BT$3,0)+1)),_xlpm.v,INDEX(始値!$C$6:$B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 t="shared" ca="1" si="41"/>
        <v/>
      </c>
      <c r="L122" s="706" t="str">
        <f t="shared" ca="1" si="42"/>
        <v/>
      </c>
      <c r="M122" s="491">
        <f>IF($F122="","",IF($C122="売",CEILING($F122*IF($C122="売",1-$AG$3,1+$AG$3),IF($F122*IF($C122="売",1-$AG$3,1+$AG$3)&lt;=3000,1,IF($F122*IF($C122="売",1-$AG$3,1+$AG$3)&lt;=5000,5,IF($F122*IF($C122="売",1-$AG$3,1+$AG$3)&lt;=30000,10,IF($F122*IF($C122="売",1-$AG$3,1+$AG$3)&lt;=50000,50,IF($F122*IF($C122="売",1-$AG$3,1+$AG$3)&lt;=300000,100,500)))))),FLOOR($F122*IF($C122="売",1-$AG$3,1+$AG$3),IF($F122*IF($C122="売",1-$AG$3,1+$AG$3)&lt;=3000,1,IF($F122*IF($C122="売",1-$AG$3,1+$AG$3)&lt;=5000,5,IF($F122*IF($C122="売",1-$AG$3,1+$AG$3)&lt;=30000,10,IF($F122*IF($C122="売",1-$AG$3,1+$AG$3)&lt;=50000,50,IF($F122*IF($C122="売",1-$AG$3,1+$AG$3)&lt;=300000,100,500))))))))</f>
      </c>
      <c r="N122" s="491">
        <f>IF($F122="","",IF($C122="売",CEILING($F122*IF($C122="売",1+$AG$2,1-$AG$2),IF($F122*IF($C122="売",1+$AG$2,1-$AG$2)&lt;=3000,1,IF($F122*IF($C122="売",1+$AG$2,1-$AG$2)&lt;=5000,5,IF($F122*IF($C122="売",1+$AG$2,1-$AG$2)&lt;=30000,10,IF($F122*IF($C122="売",1+$AG$2,1-$AG$2)&lt;=50000,50,IF($F122*IF($C122="売",1+$AG$2,1-$AG$2)&lt;=300000,100,500)))))),FLOOR($F122*IF($C122="売",1+$AG$2,1-$AG$2),IF($F122*IF($C122="売",1+$AG$2,1-$AG$2)&lt;=3000,1,IF($F122*IF($C122="売",1+$AG$2,1-$AG$2)&lt;=5000,5,IF($F122*IF($C122="売",1+$AG$2,1-$AG$2)&lt;=30000,10,IF($F122*IF($C122="売",1+$AG$2,1-$AG$2)&lt;=50000,50,IF($F122*IF($C122="売",1+$AG$2,1-$AG$2)&lt;=300000,100,500))))))))</f>
      </c>
      <c r="O122" s="492">
        <f>IF(OR($B122="",$F122="",$H122=""),"",IF($S122="✅売却済","―決済済―",IF($C122="売",  IF($H122&lt;=$M122,"🟢利確",  IF(AND($R122&lt;&gt;"",$H122&gt;=$R122),"🟠TRAIL決済",  IF($H122&gt;=$N122,"🔴損切",  IF($W122&gt;=$AG$5,"⏱時間決済",  IF($H122&gt;=$F122*(1+$AG$2*0.7),"⚠️損切接近","保持継続"))))),  IF($H122&gt;=$M122,"🟢利確",  IF(AND($R122&lt;&gt;"",$H122&lt;=$R122),"🟠TRAIL決済",  IF($H122&lt;=$N122,"🔴損切",  IF($W122&gt;=$AG$5,"⏱時間決済",  IF($H122&lt;=$F122*(1-$AG$2*0.7),"⚠️損切接近","保持継続")))))))</f>
      </c>
      <c r="P122" s="491"/>
      <c r="Q122" s="491"/>
      <c r="R122" s="491">
        <f>IF(OR($F122="",$H122="",$N122=""),"",IF($S122="✅売却済","",IF($C122="売",  IF($H122&gt;$F122*(1-$AG$2),$N122,CEILING(MIN($N122,IF($Q122="",$N122,$Q122*1.03)),IF($N122&lt;=3000,1,IF($N122&lt;=5000,5,IF($N122&lt;=30000,10,IF($N122&lt;=50000,50,IF($N122&lt;=300000,100,500))))))),  IF($H122&lt;$F122*(1+$AG$2),$N122,FLOOR(MAX($N122,IF($P122="",$N122,$P122*0.97)),IF($N122&lt;=3000,1,IF($N122&lt;=5000,5,IF($N122&lt;=30000,10,IF($N122&lt;=50000,50,IF($N122&lt;=300000,100,500))))))))))</f>
      </c>
      <c r="S122" s="586" t="str">
        <f t="shared" si="47"/>
        <v/>
      </c>
      <c r="T122" s="594" t="str">
        <f t="shared" ca="1" si="48"/>
        <v/>
      </c>
      <c r="U122" s="491" t="str">
        <f t="shared" ca="1" si="49"/>
        <v/>
      </c>
      <c r="V122" s="701" t="str">
        <f t="shared" ca="1" si="50"/>
        <v/>
      </c>
      <c r="W122" s="493" t="str">
        <f t="shared" ca="1" si="51"/>
        <v/>
      </c>
      <c r="X122" s="489" t="str">
        <f t="shared" ca="1" si="52"/>
        <v/>
      </c>
      <c r="Y122" s="488">
        <f>IF($B122="","",IF(COUNTIFS($B$4:$B122,$B122,$C$4:$C122,$C122)&gt;1,"⛔重複"&amp;COUNTIFS($B$4:$B122,$B122,$C$4:$C122,$C122)&amp;"回目",""))</f>
      </c>
      <c r="Z122" s="710"/>
      <c r="AB122">
        <f>IF($F122="","",MAX(100,ROUNDDOWN($AG$4/($F122*$AG$2)/100,0)*100))</f>
      </c>
      <c r="AC122">
        <f>IF(OR($F122="",$G122="",$U122=""),"",ROUND($V122-($F122+$U122)*$G122*$AG$6-IF($C122="売",$F122*$G122*$AG$7*$W122/365,0),0))</f>
      </c>
      <c r="AD122" s="608"/>
      <c r="AE122" s="600" t="str">
        <f t="shared" si="53"/>
        <v/>
      </c>
      <c r="AF122" s="600"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00"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00" t="str">
        <f t="shared" ca="1" si="54"/>
        <v/>
      </c>
      <c r="AI122" s="600" t="str" cm="1">
        <f t="array" ref="AI122">IFERROR(INDEX(始値!$E$6:$BT$305,MATCH(TEXT($B122,"0"),TEXT(銘柄管理!$B$6:$B$305,"0"),0),MATCH($AE122,始値!$E$3:$BT$3,0)),"")</f>
        <v/>
      </c>
      <c r="AJ122" s="608" t="str">
        <f t="shared" ca="1" si="55"/>
        <v/>
      </c>
      <c r="AK122" s="600" t="str">
        <f t="shared" ca="1" si="56"/>
        <v/>
      </c>
    </row>
    <row r="123" spans="1:37" ht="35.4" customHeight="1">
      <c r="A123" s="619" t="str">
        <f t="shared" si="40"/>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BT$3,0)=1,1,MATCH($E123,始値!$E$3:$BT$3,0)+1)),_xlpm.v,INDEX(始値!$C$6:$B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 t="shared" ca="1" si="41"/>
        <v/>
      </c>
      <c r="L123" s="706" t="str">
        <f t="shared" ca="1" si="42"/>
        <v/>
      </c>
      <c r="M123" s="491">
        <f>IF($F123="","",IF($C123="売",CEILING($F123*IF($C123="売",1-$AG$3,1+$AG$3),IF($F123*IF($C123="売",1-$AG$3,1+$AG$3)&lt;=3000,1,IF($F123*IF($C123="売",1-$AG$3,1+$AG$3)&lt;=5000,5,IF($F123*IF($C123="売",1-$AG$3,1+$AG$3)&lt;=30000,10,IF($F123*IF($C123="売",1-$AG$3,1+$AG$3)&lt;=50000,50,IF($F123*IF($C123="売",1-$AG$3,1+$AG$3)&lt;=300000,100,500)))))),FLOOR($F123*IF($C123="売",1-$AG$3,1+$AG$3),IF($F123*IF($C123="売",1-$AG$3,1+$AG$3)&lt;=3000,1,IF($F123*IF($C123="売",1-$AG$3,1+$AG$3)&lt;=5000,5,IF($F123*IF($C123="売",1-$AG$3,1+$AG$3)&lt;=30000,10,IF($F123*IF($C123="売",1-$AG$3,1+$AG$3)&lt;=50000,50,IF($F123*IF($C123="売",1-$AG$3,1+$AG$3)&lt;=300000,100,500))))))))</f>
      </c>
      <c r="N123" s="491">
        <f>IF($F123="","",IF($C123="売",CEILING($F123*IF($C123="売",1+$AG$2,1-$AG$2),IF($F123*IF($C123="売",1+$AG$2,1-$AG$2)&lt;=3000,1,IF($F123*IF($C123="売",1+$AG$2,1-$AG$2)&lt;=5000,5,IF($F123*IF($C123="売",1+$AG$2,1-$AG$2)&lt;=30000,10,IF($F123*IF($C123="売",1+$AG$2,1-$AG$2)&lt;=50000,50,IF($F123*IF($C123="売",1+$AG$2,1-$AG$2)&lt;=300000,100,500)))))),FLOOR($F123*IF($C123="売",1+$AG$2,1-$AG$2),IF($F123*IF($C123="売",1+$AG$2,1-$AG$2)&lt;=3000,1,IF($F123*IF($C123="売",1+$AG$2,1-$AG$2)&lt;=5000,5,IF($F123*IF($C123="売",1+$AG$2,1-$AG$2)&lt;=30000,10,IF($F123*IF($C123="売",1+$AG$2,1-$AG$2)&lt;=50000,50,IF($F123*IF($C123="売",1+$AG$2,1-$AG$2)&lt;=300000,100,500))))))))</f>
      </c>
      <c r="O123" s="492">
        <f>IF(OR($B123="",$F123="",$H123=""),"",IF($S123="✅売却済","―決済済―",IF($C123="売",  IF($H123&lt;=$M123,"🟢利確",  IF(AND($R123&lt;&gt;"",$H123&gt;=$R123),"🟠TRAIL決済",  IF($H123&gt;=$N123,"🔴損切",  IF($W123&gt;=$AG$5,"⏱時間決済",  IF($H123&gt;=$F123*(1+$AG$2*0.7),"⚠️損切接近","保持継続"))))),  IF($H123&gt;=$M123,"🟢利確",  IF(AND($R123&lt;&gt;"",$H123&lt;=$R123),"🟠TRAIL決済",  IF($H123&lt;=$N123,"🔴損切",  IF($W123&gt;=$AG$5,"⏱時間決済",  IF($H123&lt;=$F123*(1-$AG$2*0.7),"⚠️損切接近","保持継続")))))))</f>
      </c>
      <c r="P123" s="491"/>
      <c r="Q123" s="491"/>
      <c r="R123" s="491">
        <f>IF(OR($F123="",$H123="",$N123=""),"",IF($S123="✅売却済","",IF($C123="売",  IF($H123&gt;$F123*(1-$AG$2),$N123,CEILING(MIN($N123,IF($Q123="",$N123,$Q123*1.03)),IF($N123&lt;=3000,1,IF($N123&lt;=5000,5,IF($N123&lt;=30000,10,IF($N123&lt;=50000,50,IF($N123&lt;=300000,100,500))))))),  IF($H123&lt;$F123*(1+$AG$2),$N123,FLOOR(MAX($N123,IF($P123="",$N123,$P123*0.97)),IF($N123&lt;=3000,1,IF($N123&lt;=5000,5,IF($N123&lt;=30000,10,IF($N123&lt;=50000,50,IF($N123&lt;=300000,100,500))))))))))</f>
      </c>
      <c r="S123" s="586" t="str">
        <f t="shared" si="47"/>
        <v/>
      </c>
      <c r="T123" s="594" t="str">
        <f t="shared" ca="1" si="48"/>
        <v/>
      </c>
      <c r="U123" s="491" t="str">
        <f t="shared" ca="1" si="49"/>
        <v/>
      </c>
      <c r="V123" s="701" t="str">
        <f t="shared" ca="1" si="50"/>
        <v/>
      </c>
      <c r="W123" s="493" t="str">
        <f t="shared" ca="1" si="51"/>
        <v/>
      </c>
      <c r="X123" s="489" t="str">
        <f t="shared" ca="1" si="52"/>
        <v/>
      </c>
      <c r="Y123" s="488">
        <f>IF($B123="","",IF(COUNTIFS($B$4:$B123,$B123,$C$4:$C123,$C123)&gt;1,"⛔重複"&amp;COUNTIFS($B$4:$B123,$B123,$C$4:$C123,$C123)&amp;"回目",""))</f>
      </c>
      <c r="Z123" s="710"/>
      <c r="AB123">
        <f>IF($F123="","",MAX(100,ROUNDDOWN($AG$4/($F123*$AG$2)/100,0)*100))</f>
      </c>
      <c r="AC123">
        <f>IF(OR($F123="",$G123="",$U123=""),"",ROUND($V123-($F123+$U123)*$G123*$AG$6-IF($C123="売",$F123*$G123*$AG$7*$W123/365,0),0))</f>
      </c>
      <c r="AD123" s="608"/>
      <c r="AE123" s="600" t="str">
        <f t="shared" si="53"/>
        <v/>
      </c>
      <c r="AF123" s="600"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00"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00" t="str">
        <f t="shared" ca="1" si="54"/>
        <v/>
      </c>
      <c r="AI123" s="600" t="str" cm="1">
        <f t="array" ref="AI123">IFERROR(INDEX(始値!$E$6:$BT$305,MATCH(TEXT($B123,"0"),TEXT(銘柄管理!$B$6:$B$305,"0"),0),MATCH($AE123,始値!$E$3:$BT$3,0)),"")</f>
        <v/>
      </c>
      <c r="AJ123" s="608" t="str">
        <f t="shared" ca="1" si="55"/>
        <v/>
      </c>
      <c r="AK123" s="600" t="str">
        <f t="shared" ca="1" si="56"/>
        <v/>
      </c>
    </row>
    <row r="124" spans="1:37" ht="35.4" customHeight="1">
      <c r="A124" s="619" t="str">
        <f t="shared" si="40"/>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BT$3,0)=1,1,MATCH($E124,始値!$E$3:$BT$3,0)+1)),_xlpm.v,INDEX(始値!$C$6:$B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 t="shared" ca="1" si="41"/>
        <v/>
      </c>
      <c r="L124" s="706" t="str">
        <f t="shared" ca="1" si="42"/>
        <v/>
      </c>
      <c r="M124" s="491">
        <f>IF($F124="","",IF($C124="売",CEILING($F124*IF($C124="売",1-$AG$3,1+$AG$3),IF($F124*IF($C124="売",1-$AG$3,1+$AG$3)&lt;=3000,1,IF($F124*IF($C124="売",1-$AG$3,1+$AG$3)&lt;=5000,5,IF($F124*IF($C124="売",1-$AG$3,1+$AG$3)&lt;=30000,10,IF($F124*IF($C124="売",1-$AG$3,1+$AG$3)&lt;=50000,50,IF($F124*IF($C124="売",1-$AG$3,1+$AG$3)&lt;=300000,100,500)))))),FLOOR($F124*IF($C124="売",1-$AG$3,1+$AG$3),IF($F124*IF($C124="売",1-$AG$3,1+$AG$3)&lt;=3000,1,IF($F124*IF($C124="売",1-$AG$3,1+$AG$3)&lt;=5000,5,IF($F124*IF($C124="売",1-$AG$3,1+$AG$3)&lt;=30000,10,IF($F124*IF($C124="売",1-$AG$3,1+$AG$3)&lt;=50000,50,IF($F124*IF($C124="売",1-$AG$3,1+$AG$3)&lt;=300000,100,500))))))))</f>
      </c>
      <c r="N124" s="491">
        <f>IF($F124="","",IF($C124="売",CEILING($F124*IF($C124="売",1+$AG$2,1-$AG$2),IF($F124*IF($C124="売",1+$AG$2,1-$AG$2)&lt;=3000,1,IF($F124*IF($C124="売",1+$AG$2,1-$AG$2)&lt;=5000,5,IF($F124*IF($C124="売",1+$AG$2,1-$AG$2)&lt;=30000,10,IF($F124*IF($C124="売",1+$AG$2,1-$AG$2)&lt;=50000,50,IF($F124*IF($C124="売",1+$AG$2,1-$AG$2)&lt;=300000,100,500)))))),FLOOR($F124*IF($C124="売",1+$AG$2,1-$AG$2),IF($F124*IF($C124="売",1+$AG$2,1-$AG$2)&lt;=3000,1,IF($F124*IF($C124="売",1+$AG$2,1-$AG$2)&lt;=5000,5,IF($F124*IF($C124="売",1+$AG$2,1-$AG$2)&lt;=30000,10,IF($F124*IF($C124="売",1+$AG$2,1-$AG$2)&lt;=50000,50,IF($F124*IF($C124="売",1+$AG$2,1-$AG$2)&lt;=300000,100,500))))))))</f>
      </c>
      <c r="O124" s="492">
        <f>IF(OR($B124="",$F124="",$H124=""),"",IF($S124="✅売却済","―決済済―",IF($C124="売",  IF($H124&lt;=$M124,"🟢利確",  IF(AND($R124&lt;&gt;"",$H124&gt;=$R124),"🟠TRAIL決済",  IF($H124&gt;=$N124,"🔴損切",  IF($W124&gt;=$AG$5,"⏱時間決済",  IF($H124&gt;=$F124*(1+$AG$2*0.7),"⚠️損切接近","保持継続"))))),  IF($H124&gt;=$M124,"🟢利確",  IF(AND($R124&lt;&gt;"",$H124&lt;=$R124),"🟠TRAIL決済",  IF($H124&lt;=$N124,"🔴損切",  IF($W124&gt;=$AG$5,"⏱時間決済",  IF($H124&lt;=$F124*(1-$AG$2*0.7),"⚠️損切接近","保持継続")))))))</f>
      </c>
      <c r="P124" s="491"/>
      <c r="Q124" s="491"/>
      <c r="R124" s="491">
        <f>IF(OR($F124="",$H124="",$N124=""),"",IF($S124="✅売却済","",IF($C124="売",  IF($H124&gt;$F124*(1-$AG$2),$N124,CEILING(MIN($N124,IF($Q124="",$N124,$Q124*1.03)),IF($N124&lt;=3000,1,IF($N124&lt;=5000,5,IF($N124&lt;=30000,10,IF($N124&lt;=50000,50,IF($N124&lt;=300000,100,500))))))),  IF($H124&lt;$F124*(1+$AG$2),$N124,FLOOR(MAX($N124,IF($P124="",$N124,$P124*0.97)),IF($N124&lt;=3000,1,IF($N124&lt;=5000,5,IF($N124&lt;=30000,10,IF($N124&lt;=50000,50,IF($N124&lt;=300000,100,500))))))))))</f>
      </c>
      <c r="S124" s="586" t="str">
        <f t="shared" si="47"/>
        <v/>
      </c>
      <c r="T124" s="594" t="str">
        <f t="shared" ca="1" si="48"/>
        <v/>
      </c>
      <c r="U124" s="491" t="str">
        <f t="shared" ca="1" si="49"/>
        <v/>
      </c>
      <c r="V124" s="701" t="str">
        <f t="shared" ca="1" si="50"/>
        <v/>
      </c>
      <c r="W124" s="493" t="str">
        <f t="shared" ca="1" si="51"/>
        <v/>
      </c>
      <c r="X124" s="489" t="str">
        <f t="shared" ca="1" si="52"/>
        <v/>
      </c>
      <c r="Y124" s="488">
        <f>IF($B124="","",IF(COUNTIFS($B$4:$B124,$B124,$C$4:$C124,$C124)&gt;1,"⛔重複"&amp;COUNTIFS($B$4:$B124,$B124,$C$4:$C124,$C124)&amp;"回目",""))</f>
      </c>
      <c r="Z124" s="710"/>
      <c r="AB124">
        <f>IF($F124="","",MAX(100,ROUNDDOWN($AG$4/($F124*$AG$2)/100,0)*100))</f>
      </c>
      <c r="AC124">
        <f>IF(OR($F124="",$G124="",$U124=""),"",ROUND($V124-($F124+$U124)*$G124*$AG$6-IF($C124="売",$F124*$G124*$AG$7*$W124/365,0),0))</f>
      </c>
      <c r="AD124" s="608"/>
      <c r="AE124" s="600" t="str">
        <f t="shared" si="53"/>
        <v/>
      </c>
      <c r="AF124" s="600"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00"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00" t="str">
        <f t="shared" ca="1" si="54"/>
        <v/>
      </c>
      <c r="AI124" s="600" t="str" cm="1">
        <f t="array" ref="AI124">IFERROR(INDEX(始値!$E$6:$BT$305,MATCH(TEXT($B124,"0"),TEXT(銘柄管理!$B$6:$B$305,"0"),0),MATCH($AE124,始値!$E$3:$BT$3,0)),"")</f>
        <v/>
      </c>
      <c r="AJ124" s="608" t="str">
        <f t="shared" ca="1" si="55"/>
        <v/>
      </c>
      <c r="AK124" s="600" t="str">
        <f t="shared" ca="1" si="56"/>
        <v/>
      </c>
    </row>
    <row r="125" spans="1:37" ht="35.4" customHeight="1">
      <c r="A125" s="619" t="str">
        <f t="shared" si="40"/>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BT$3,0)=1,1,MATCH($E125,始値!$E$3:$BT$3,0)+1)),_xlpm.v,INDEX(始値!$C$6:$B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 t="shared" ca="1" si="41"/>
        <v/>
      </c>
      <c r="L125" s="706" t="str">
        <f t="shared" ca="1" si="42"/>
        <v/>
      </c>
      <c r="M125" s="491">
        <f>IF($F125="","",IF($C125="売",CEILING($F125*IF($C125="売",1-$AG$3,1+$AG$3),IF($F125*IF($C125="売",1-$AG$3,1+$AG$3)&lt;=3000,1,IF($F125*IF($C125="売",1-$AG$3,1+$AG$3)&lt;=5000,5,IF($F125*IF($C125="売",1-$AG$3,1+$AG$3)&lt;=30000,10,IF($F125*IF($C125="売",1-$AG$3,1+$AG$3)&lt;=50000,50,IF($F125*IF($C125="売",1-$AG$3,1+$AG$3)&lt;=300000,100,500)))))),FLOOR($F125*IF($C125="売",1-$AG$3,1+$AG$3),IF($F125*IF($C125="売",1-$AG$3,1+$AG$3)&lt;=3000,1,IF($F125*IF($C125="売",1-$AG$3,1+$AG$3)&lt;=5000,5,IF($F125*IF($C125="売",1-$AG$3,1+$AG$3)&lt;=30000,10,IF($F125*IF($C125="売",1-$AG$3,1+$AG$3)&lt;=50000,50,IF($F125*IF($C125="売",1-$AG$3,1+$AG$3)&lt;=300000,100,500))))))))</f>
      </c>
      <c r="N125" s="491">
        <f>IF($F125="","",IF($C125="売",CEILING($F125*IF($C125="売",1+$AG$2,1-$AG$2),IF($F125*IF($C125="売",1+$AG$2,1-$AG$2)&lt;=3000,1,IF($F125*IF($C125="売",1+$AG$2,1-$AG$2)&lt;=5000,5,IF($F125*IF($C125="売",1+$AG$2,1-$AG$2)&lt;=30000,10,IF($F125*IF($C125="売",1+$AG$2,1-$AG$2)&lt;=50000,50,IF($F125*IF($C125="売",1+$AG$2,1-$AG$2)&lt;=300000,100,500)))))),FLOOR($F125*IF($C125="売",1+$AG$2,1-$AG$2),IF($F125*IF($C125="売",1+$AG$2,1-$AG$2)&lt;=3000,1,IF($F125*IF($C125="売",1+$AG$2,1-$AG$2)&lt;=5000,5,IF($F125*IF($C125="売",1+$AG$2,1-$AG$2)&lt;=30000,10,IF($F125*IF($C125="売",1+$AG$2,1-$AG$2)&lt;=50000,50,IF($F125*IF($C125="売",1+$AG$2,1-$AG$2)&lt;=300000,100,500))))))))</f>
      </c>
      <c r="O125" s="492">
        <f>IF(OR($B125="",$F125="",$H125=""),"",IF($S125="✅売却済","―決済済―",IF($C125="売",  IF($H125&lt;=$M125,"🟢利確",  IF(AND($R125&lt;&gt;"",$H125&gt;=$R125),"🟠TRAIL決済",  IF($H125&gt;=$N125,"🔴損切",  IF($W125&gt;=$AG$5,"⏱時間決済",  IF($H125&gt;=$F125*(1+$AG$2*0.7),"⚠️損切接近","保持継続"))))),  IF($H125&gt;=$M125,"🟢利確",  IF(AND($R125&lt;&gt;"",$H125&lt;=$R125),"🟠TRAIL決済",  IF($H125&lt;=$N125,"🔴損切",  IF($W125&gt;=$AG$5,"⏱時間決済",  IF($H125&lt;=$F125*(1-$AG$2*0.7),"⚠️損切接近","保持継続")))))))</f>
      </c>
      <c r="P125" s="491"/>
      <c r="Q125" s="491"/>
      <c r="R125" s="491">
        <f>IF(OR($F125="",$H125="",$N125=""),"",IF($S125="✅売却済","",IF($C125="売",  IF($H125&gt;$F125*(1-$AG$2),$N125,CEILING(MIN($N125,IF($Q125="",$N125,$Q125*1.03)),IF($N125&lt;=3000,1,IF($N125&lt;=5000,5,IF($N125&lt;=30000,10,IF($N125&lt;=50000,50,IF($N125&lt;=300000,100,500))))))),  IF($H125&lt;$F125*(1+$AG$2),$N125,FLOOR(MAX($N125,IF($P125="",$N125,$P125*0.97)),IF($N125&lt;=3000,1,IF($N125&lt;=5000,5,IF($N125&lt;=30000,10,IF($N125&lt;=50000,50,IF($N125&lt;=300000,100,500))))))))))</f>
      </c>
      <c r="S125" s="586" t="str">
        <f t="shared" si="47"/>
        <v/>
      </c>
      <c r="T125" s="594" t="str">
        <f t="shared" ca="1" si="48"/>
        <v/>
      </c>
      <c r="U125" s="491" t="str">
        <f t="shared" ca="1" si="49"/>
        <v/>
      </c>
      <c r="V125" s="701" t="str">
        <f t="shared" ca="1" si="50"/>
        <v/>
      </c>
      <c r="W125" s="493" t="str">
        <f t="shared" ca="1" si="51"/>
        <v/>
      </c>
      <c r="X125" s="489" t="str">
        <f t="shared" ca="1" si="52"/>
        <v/>
      </c>
      <c r="Y125" s="488">
        <f>IF($B125="","",IF(COUNTIFS($B$4:$B125,$B125,$C$4:$C125,$C125)&gt;1,"⛔重複"&amp;COUNTIFS($B$4:$B125,$B125,$C$4:$C125,$C125)&amp;"回目",""))</f>
      </c>
      <c r="Z125" s="710"/>
      <c r="AB125">
        <f>IF($F125="","",MAX(100,ROUNDDOWN($AG$4/($F125*$AG$2)/100,0)*100))</f>
      </c>
      <c r="AC125">
        <f>IF(OR($F125="",$G125="",$U125=""),"",ROUND($V125-($F125+$U125)*$G125*$AG$6-IF($C125="売",$F125*$G125*$AG$7*$W125/365,0),0))</f>
      </c>
      <c r="AD125" s="608"/>
      <c r="AE125" s="600" t="str">
        <f t="shared" si="53"/>
        <v/>
      </c>
      <c r="AF125" s="600"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00"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00" t="str">
        <f t="shared" ca="1" si="54"/>
        <v/>
      </c>
      <c r="AI125" s="600" t="str" cm="1">
        <f t="array" ref="AI125">IFERROR(INDEX(始値!$E$6:$BT$305,MATCH(TEXT($B125,"0"),TEXT(銘柄管理!$B$6:$B$305,"0"),0),MATCH($AE125,始値!$E$3:$BT$3,0)),"")</f>
        <v/>
      </c>
      <c r="AJ125" s="608" t="str">
        <f t="shared" ca="1" si="55"/>
        <v/>
      </c>
      <c r="AK125" s="600" t="str">
        <f t="shared" ca="1" si="56"/>
        <v/>
      </c>
    </row>
    <row r="126" spans="1:37" ht="35.4" customHeight="1">
      <c r="A126" s="619" t="str">
        <f t="shared" si="40"/>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BT$3,0)=1,1,MATCH($E126,始値!$E$3:$BT$3,0)+1)),_xlpm.v,INDEX(始値!$C$6:$B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 t="shared" ca="1" si="41"/>
        <v/>
      </c>
      <c r="L126" s="706" t="str">
        <f t="shared" ca="1" si="42"/>
        <v/>
      </c>
      <c r="M126" s="491">
        <f>IF($F126="","",IF($C126="売",CEILING($F126*IF($C126="売",1-$AG$3,1+$AG$3),IF($F126*IF($C126="売",1-$AG$3,1+$AG$3)&lt;=3000,1,IF($F126*IF($C126="売",1-$AG$3,1+$AG$3)&lt;=5000,5,IF($F126*IF($C126="売",1-$AG$3,1+$AG$3)&lt;=30000,10,IF($F126*IF($C126="売",1-$AG$3,1+$AG$3)&lt;=50000,50,IF($F126*IF($C126="売",1-$AG$3,1+$AG$3)&lt;=300000,100,500)))))),FLOOR($F126*IF($C126="売",1-$AG$3,1+$AG$3),IF($F126*IF($C126="売",1-$AG$3,1+$AG$3)&lt;=3000,1,IF($F126*IF($C126="売",1-$AG$3,1+$AG$3)&lt;=5000,5,IF($F126*IF($C126="売",1-$AG$3,1+$AG$3)&lt;=30000,10,IF($F126*IF($C126="売",1-$AG$3,1+$AG$3)&lt;=50000,50,IF($F126*IF($C126="売",1-$AG$3,1+$AG$3)&lt;=300000,100,500))))))))</f>
      </c>
      <c r="N126" s="491">
        <f>IF($F126="","",IF($C126="売",CEILING($F126*IF($C126="売",1+$AG$2,1-$AG$2),IF($F126*IF($C126="売",1+$AG$2,1-$AG$2)&lt;=3000,1,IF($F126*IF($C126="売",1+$AG$2,1-$AG$2)&lt;=5000,5,IF($F126*IF($C126="売",1+$AG$2,1-$AG$2)&lt;=30000,10,IF($F126*IF($C126="売",1+$AG$2,1-$AG$2)&lt;=50000,50,IF($F126*IF($C126="売",1+$AG$2,1-$AG$2)&lt;=300000,100,500)))))),FLOOR($F126*IF($C126="売",1+$AG$2,1-$AG$2),IF($F126*IF($C126="売",1+$AG$2,1-$AG$2)&lt;=3000,1,IF($F126*IF($C126="売",1+$AG$2,1-$AG$2)&lt;=5000,5,IF($F126*IF($C126="売",1+$AG$2,1-$AG$2)&lt;=30000,10,IF($F126*IF($C126="売",1+$AG$2,1-$AG$2)&lt;=50000,50,IF($F126*IF($C126="売",1+$AG$2,1-$AG$2)&lt;=300000,100,500))))))))</f>
      </c>
      <c r="O126" s="492">
        <f>IF(OR($B126="",$F126="",$H126=""),"",IF($S126="✅売却済","―決済済―",IF($C126="売",  IF($H126&lt;=$M126,"🟢利確",  IF(AND($R126&lt;&gt;"",$H126&gt;=$R126),"🟠TRAIL決済",  IF($H126&gt;=$N126,"🔴損切",  IF($W126&gt;=$AG$5,"⏱時間決済",  IF($H126&gt;=$F126*(1+$AG$2*0.7),"⚠️損切接近","保持継続"))))),  IF($H126&gt;=$M126,"🟢利確",  IF(AND($R126&lt;&gt;"",$H126&lt;=$R126),"🟠TRAIL決済",  IF($H126&lt;=$N126,"🔴損切",  IF($W126&gt;=$AG$5,"⏱時間決済",  IF($H126&lt;=$F126*(1-$AG$2*0.7),"⚠️損切接近","保持継続")))))))</f>
      </c>
      <c r="P126" s="491"/>
      <c r="Q126" s="491"/>
      <c r="R126" s="491">
        <f>IF(OR($F126="",$H126="",$N126=""),"",IF($S126="✅売却済","",IF($C126="売",  IF($H126&gt;$F126*(1-$AG$2),$N126,CEILING(MIN($N126,IF($Q126="",$N126,$Q126*1.03)),IF($N126&lt;=3000,1,IF($N126&lt;=5000,5,IF($N126&lt;=30000,10,IF($N126&lt;=50000,50,IF($N126&lt;=300000,100,500))))))),  IF($H126&lt;$F126*(1+$AG$2),$N126,FLOOR(MAX($N126,IF($P126="",$N126,$P126*0.97)),IF($N126&lt;=3000,1,IF($N126&lt;=5000,5,IF($N126&lt;=30000,10,IF($N126&lt;=50000,50,IF($N126&lt;=300000,100,500))))))))))</f>
      </c>
      <c r="S126" s="586" t="str">
        <f t="shared" si="47"/>
        <v/>
      </c>
      <c r="T126" s="594" t="str">
        <f t="shared" ca="1" si="48"/>
        <v/>
      </c>
      <c r="U126" s="491" t="str">
        <f t="shared" ca="1" si="49"/>
        <v/>
      </c>
      <c r="V126" s="701" t="str">
        <f t="shared" ca="1" si="50"/>
        <v/>
      </c>
      <c r="W126" s="493" t="str">
        <f t="shared" ca="1" si="51"/>
        <v/>
      </c>
      <c r="X126" s="489" t="str">
        <f t="shared" ca="1" si="52"/>
        <v/>
      </c>
      <c r="Y126" s="488">
        <f>IF($B126="","",IF(COUNTIFS($B$4:$B126,$B126,$C$4:$C126,$C126)&gt;1,"⛔重複"&amp;COUNTIFS($B$4:$B126,$B126,$C$4:$C126,$C126)&amp;"回目",""))</f>
      </c>
      <c r="Z126" s="710"/>
      <c r="AB126">
        <f>IF($F126="","",MAX(100,ROUNDDOWN($AG$4/($F126*$AG$2)/100,0)*100))</f>
      </c>
      <c r="AC126">
        <f>IF(OR($F126="",$G126="",$U126=""),"",ROUND($V126-($F126+$U126)*$G126*$AG$6-IF($C126="売",$F126*$G126*$AG$7*$W126/365,0),0))</f>
      </c>
      <c r="AD126" s="608"/>
      <c r="AE126" s="600" t="str">
        <f t="shared" si="53"/>
        <v/>
      </c>
      <c r="AF126" s="600"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00"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00" t="str">
        <f t="shared" ca="1" si="54"/>
        <v/>
      </c>
      <c r="AI126" s="600" t="str" cm="1">
        <f t="array" ref="AI126">IFERROR(INDEX(始値!$E$6:$BT$305,MATCH(TEXT($B126,"0"),TEXT(銘柄管理!$B$6:$B$305,"0"),0),MATCH($AE126,始値!$E$3:$BT$3,0)),"")</f>
        <v/>
      </c>
      <c r="AJ126" s="608" t="str">
        <f t="shared" ca="1" si="55"/>
        <v/>
      </c>
      <c r="AK126" s="600" t="str">
        <f t="shared" ca="1" si="56"/>
        <v/>
      </c>
    </row>
    <row r="127" spans="1:37" ht="35.4" customHeight="1">
      <c r="A127" s="619" t="str">
        <f t="shared" si="40"/>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BT$3,0)=1,1,MATCH($E127,始値!$E$3:$BT$3,0)+1)),_xlpm.v,INDEX(始値!$C$6:$B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 t="shared" ca="1" si="41"/>
        <v/>
      </c>
      <c r="L127" s="706" t="str">
        <f t="shared" ca="1" si="42"/>
        <v/>
      </c>
      <c r="M127" s="491">
        <f>IF($F127="","",IF($C127="売",CEILING($F127*IF($C127="売",1-$AG$3,1+$AG$3),IF($F127*IF($C127="売",1-$AG$3,1+$AG$3)&lt;=3000,1,IF($F127*IF($C127="売",1-$AG$3,1+$AG$3)&lt;=5000,5,IF($F127*IF($C127="売",1-$AG$3,1+$AG$3)&lt;=30000,10,IF($F127*IF($C127="売",1-$AG$3,1+$AG$3)&lt;=50000,50,IF($F127*IF($C127="売",1-$AG$3,1+$AG$3)&lt;=300000,100,500)))))),FLOOR($F127*IF($C127="売",1-$AG$3,1+$AG$3),IF($F127*IF($C127="売",1-$AG$3,1+$AG$3)&lt;=3000,1,IF($F127*IF($C127="売",1-$AG$3,1+$AG$3)&lt;=5000,5,IF($F127*IF($C127="売",1-$AG$3,1+$AG$3)&lt;=30000,10,IF($F127*IF($C127="売",1-$AG$3,1+$AG$3)&lt;=50000,50,IF($F127*IF($C127="売",1-$AG$3,1+$AG$3)&lt;=300000,100,500))))))))</f>
      </c>
      <c r="N127" s="491">
        <f>IF($F127="","",IF($C127="売",CEILING($F127*IF($C127="売",1+$AG$2,1-$AG$2),IF($F127*IF($C127="売",1+$AG$2,1-$AG$2)&lt;=3000,1,IF($F127*IF($C127="売",1+$AG$2,1-$AG$2)&lt;=5000,5,IF($F127*IF($C127="売",1+$AG$2,1-$AG$2)&lt;=30000,10,IF($F127*IF($C127="売",1+$AG$2,1-$AG$2)&lt;=50000,50,IF($F127*IF($C127="売",1+$AG$2,1-$AG$2)&lt;=300000,100,500)))))),FLOOR($F127*IF($C127="売",1+$AG$2,1-$AG$2),IF($F127*IF($C127="売",1+$AG$2,1-$AG$2)&lt;=3000,1,IF($F127*IF($C127="売",1+$AG$2,1-$AG$2)&lt;=5000,5,IF($F127*IF($C127="売",1+$AG$2,1-$AG$2)&lt;=30000,10,IF($F127*IF($C127="売",1+$AG$2,1-$AG$2)&lt;=50000,50,IF($F127*IF($C127="売",1+$AG$2,1-$AG$2)&lt;=300000,100,500))))))))</f>
      </c>
      <c r="O127" s="492">
        <f>IF(OR($B127="",$F127="",$H127=""),"",IF($S127="✅売却済","―決済済―",IF($C127="売",  IF($H127&lt;=$M127,"🟢利確",  IF(AND($R127&lt;&gt;"",$H127&gt;=$R127),"🟠TRAIL決済",  IF($H127&gt;=$N127,"🔴損切",  IF($W127&gt;=$AG$5,"⏱時間決済",  IF($H127&gt;=$F127*(1+$AG$2*0.7),"⚠️損切接近","保持継続"))))),  IF($H127&gt;=$M127,"🟢利確",  IF(AND($R127&lt;&gt;"",$H127&lt;=$R127),"🟠TRAIL決済",  IF($H127&lt;=$N127,"🔴損切",  IF($W127&gt;=$AG$5,"⏱時間決済",  IF($H127&lt;=$F127*(1-$AG$2*0.7),"⚠️損切接近","保持継続")))))))</f>
      </c>
      <c r="P127" s="491"/>
      <c r="Q127" s="491"/>
      <c r="R127" s="491">
        <f>IF(OR($F127="",$H127="",$N127=""),"",IF($S127="✅売却済","",IF($C127="売",  IF($H127&gt;$F127*(1-$AG$2),$N127,CEILING(MIN($N127,IF($Q127="",$N127,$Q127*1.03)),IF($N127&lt;=3000,1,IF($N127&lt;=5000,5,IF($N127&lt;=30000,10,IF($N127&lt;=50000,50,IF($N127&lt;=300000,100,500))))))),  IF($H127&lt;$F127*(1+$AG$2),$N127,FLOOR(MAX($N127,IF($P127="",$N127,$P127*0.97)),IF($N127&lt;=3000,1,IF($N127&lt;=5000,5,IF($N127&lt;=30000,10,IF($N127&lt;=50000,50,IF($N127&lt;=300000,100,500))))))))))</f>
      </c>
      <c r="S127" s="586" t="str">
        <f t="shared" si="47"/>
        <v/>
      </c>
      <c r="T127" s="594" t="str">
        <f t="shared" ca="1" si="48"/>
        <v/>
      </c>
      <c r="U127" s="491" t="str">
        <f t="shared" ca="1" si="49"/>
        <v/>
      </c>
      <c r="V127" s="701" t="str">
        <f t="shared" ca="1" si="50"/>
        <v/>
      </c>
      <c r="W127" s="493" t="str">
        <f t="shared" ca="1" si="51"/>
        <v/>
      </c>
      <c r="X127" s="489" t="str">
        <f t="shared" ca="1" si="52"/>
        <v/>
      </c>
      <c r="Y127" s="488">
        <f>IF($B127="","",IF(COUNTIFS($B$4:$B127,$B127,$C$4:$C127,$C127)&gt;1,"⛔重複"&amp;COUNTIFS($B$4:$B127,$B127,$C$4:$C127,$C127)&amp;"回目",""))</f>
      </c>
      <c r="Z127" s="710"/>
      <c r="AB127">
        <f>IF($F127="","",MAX(100,ROUNDDOWN($AG$4/($F127*$AG$2)/100,0)*100))</f>
      </c>
      <c r="AC127">
        <f>IF(OR($F127="",$G127="",$U127=""),"",ROUND($V127-($F127+$U127)*$G127*$AG$6-IF($C127="売",$F127*$G127*$AG$7*$W127/365,0),0))</f>
      </c>
      <c r="AD127" s="608"/>
      <c r="AE127" s="600" t="str">
        <f t="shared" si="53"/>
        <v/>
      </c>
      <c r="AF127" s="600"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00"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00" t="str">
        <f t="shared" ca="1" si="54"/>
        <v/>
      </c>
      <c r="AI127" s="600" t="str" cm="1">
        <f t="array" ref="AI127">IFERROR(INDEX(始値!$E$6:$BT$305,MATCH(TEXT($B127,"0"),TEXT(銘柄管理!$B$6:$B$305,"0"),0),MATCH($AE127,始値!$E$3:$BT$3,0)),"")</f>
        <v/>
      </c>
      <c r="AJ127" s="608" t="str">
        <f t="shared" ca="1" si="55"/>
        <v/>
      </c>
      <c r="AK127" s="600" t="str">
        <f t="shared" ca="1" si="56"/>
        <v/>
      </c>
    </row>
    <row r="128" spans="1:37" ht="35.4" customHeight="1">
      <c r="A128" s="619" t="str">
        <f t="shared" si="40"/>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BT$3,0)=1,1,MATCH($E128,始値!$E$3:$BT$3,0)+1)),_xlpm.v,INDEX(始値!$C$6:$B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 t="shared" ca="1" si="41"/>
        <v/>
      </c>
      <c r="L128" s="706" t="str">
        <f t="shared" ca="1" si="42"/>
        <v/>
      </c>
      <c r="M128" s="491">
        <f>IF($F128="","",IF($C128="売",CEILING($F128*IF($C128="売",1-$AG$3,1+$AG$3),IF($F128*IF($C128="売",1-$AG$3,1+$AG$3)&lt;=3000,1,IF($F128*IF($C128="売",1-$AG$3,1+$AG$3)&lt;=5000,5,IF($F128*IF($C128="売",1-$AG$3,1+$AG$3)&lt;=30000,10,IF($F128*IF($C128="売",1-$AG$3,1+$AG$3)&lt;=50000,50,IF($F128*IF($C128="売",1-$AG$3,1+$AG$3)&lt;=300000,100,500)))))),FLOOR($F128*IF($C128="売",1-$AG$3,1+$AG$3),IF($F128*IF($C128="売",1-$AG$3,1+$AG$3)&lt;=3000,1,IF($F128*IF($C128="売",1-$AG$3,1+$AG$3)&lt;=5000,5,IF($F128*IF($C128="売",1-$AG$3,1+$AG$3)&lt;=30000,10,IF($F128*IF($C128="売",1-$AG$3,1+$AG$3)&lt;=50000,50,IF($F128*IF($C128="売",1-$AG$3,1+$AG$3)&lt;=300000,100,500))))))))</f>
      </c>
      <c r="N128" s="491">
        <f>IF($F128="","",IF($C128="売",CEILING($F128*IF($C128="売",1+$AG$2,1-$AG$2),IF($F128*IF($C128="売",1+$AG$2,1-$AG$2)&lt;=3000,1,IF($F128*IF($C128="売",1+$AG$2,1-$AG$2)&lt;=5000,5,IF($F128*IF($C128="売",1+$AG$2,1-$AG$2)&lt;=30000,10,IF($F128*IF($C128="売",1+$AG$2,1-$AG$2)&lt;=50000,50,IF($F128*IF($C128="売",1+$AG$2,1-$AG$2)&lt;=300000,100,500)))))),FLOOR($F128*IF($C128="売",1+$AG$2,1-$AG$2),IF($F128*IF($C128="売",1+$AG$2,1-$AG$2)&lt;=3000,1,IF($F128*IF($C128="売",1+$AG$2,1-$AG$2)&lt;=5000,5,IF($F128*IF($C128="売",1+$AG$2,1-$AG$2)&lt;=30000,10,IF($F128*IF($C128="売",1+$AG$2,1-$AG$2)&lt;=50000,50,IF($F128*IF($C128="売",1+$AG$2,1-$AG$2)&lt;=300000,100,500))))))))</f>
      </c>
      <c r="O128" s="492">
        <f>IF(OR($B128="",$F128="",$H128=""),"",IF($S128="✅売却済","―決済済―",IF($C128="売",  IF($H128&lt;=$M128,"🟢利確",  IF(AND($R128&lt;&gt;"",$H128&gt;=$R128),"🟠TRAIL決済",  IF($H128&gt;=$N128,"🔴損切",  IF($W128&gt;=$AG$5,"⏱時間決済",  IF($H128&gt;=$F128*(1+$AG$2*0.7),"⚠️損切接近","保持継続"))))),  IF($H128&gt;=$M128,"🟢利確",  IF(AND($R128&lt;&gt;"",$H128&lt;=$R128),"🟠TRAIL決済",  IF($H128&lt;=$N128,"🔴損切",  IF($W128&gt;=$AG$5,"⏱時間決済",  IF($H128&lt;=$F128*(1-$AG$2*0.7),"⚠️損切接近","保持継続")))))))</f>
      </c>
      <c r="P128" s="491"/>
      <c r="Q128" s="491"/>
      <c r="R128" s="491">
        <f>IF(OR($F128="",$H128="",$N128=""),"",IF($S128="✅売却済","",IF($C128="売",  IF($H128&gt;$F128*(1-$AG$2),$N128,CEILING(MIN($N128,IF($Q128="",$N128,$Q128*1.03)),IF($N128&lt;=3000,1,IF($N128&lt;=5000,5,IF($N128&lt;=30000,10,IF($N128&lt;=50000,50,IF($N128&lt;=300000,100,500))))))),  IF($H128&lt;$F128*(1+$AG$2),$N128,FLOOR(MAX($N128,IF($P128="",$N128,$P128*0.97)),IF($N128&lt;=3000,1,IF($N128&lt;=5000,5,IF($N128&lt;=30000,10,IF($N128&lt;=50000,50,IF($N128&lt;=300000,100,500))))))))))</f>
      </c>
      <c r="S128" s="586" t="str">
        <f t="shared" si="47"/>
        <v/>
      </c>
      <c r="T128" s="594" t="str">
        <f t="shared" ca="1" si="48"/>
        <v/>
      </c>
      <c r="U128" s="491" t="str">
        <f t="shared" ca="1" si="49"/>
        <v/>
      </c>
      <c r="V128" s="701" t="str">
        <f t="shared" ca="1" si="50"/>
        <v/>
      </c>
      <c r="W128" s="493" t="str">
        <f t="shared" ca="1" si="51"/>
        <v/>
      </c>
      <c r="X128" s="489" t="str">
        <f t="shared" ca="1" si="52"/>
        <v/>
      </c>
      <c r="Y128" s="488">
        <f>IF($B128="","",IF(COUNTIFS($B$4:$B128,$B128,$C$4:$C128,$C128)&gt;1,"⛔重複"&amp;COUNTIFS($B$4:$B128,$B128,$C$4:$C128,$C128)&amp;"回目",""))</f>
      </c>
      <c r="Z128" s="710"/>
      <c r="AB128">
        <f>IF($F128="","",MAX(100,ROUNDDOWN($AG$4/($F128*$AG$2)/100,0)*100))</f>
      </c>
      <c r="AC128">
        <f>IF(OR($F128="",$G128="",$U128=""),"",ROUND($V128-($F128+$U128)*$G128*$AG$6-IF($C128="売",$F128*$G128*$AG$7*$W128/365,0),0))</f>
      </c>
      <c r="AD128" s="608"/>
      <c r="AE128" s="600" t="str">
        <f t="shared" si="53"/>
        <v/>
      </c>
      <c r="AF128" s="600"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00"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00" t="str">
        <f t="shared" ca="1" si="54"/>
        <v/>
      </c>
      <c r="AI128" s="600" t="str" cm="1">
        <f t="array" ref="AI128">IFERROR(INDEX(始値!$E$6:$BT$305,MATCH(TEXT($B128,"0"),TEXT(銘柄管理!$B$6:$B$305,"0"),0),MATCH($AE128,始値!$E$3:$BT$3,0)),"")</f>
        <v/>
      </c>
      <c r="AJ128" s="608" t="str">
        <f t="shared" ca="1" si="55"/>
        <v/>
      </c>
      <c r="AK128" s="600" t="str">
        <f t="shared" ca="1" si="56"/>
        <v/>
      </c>
    </row>
    <row r="129" spans="1:37" ht="35.4" customHeight="1">
      <c r="A129" s="619" t="str">
        <f t="shared" si="40"/>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BT$3,0)=1,1,MATCH($E129,始値!$E$3:$BT$3,0)+1)),_xlpm.v,INDEX(始値!$C$6:$B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 t="shared" ca="1" si="41"/>
        <v/>
      </c>
      <c r="L129" s="706" t="str">
        <f t="shared" ca="1" si="42"/>
        <v/>
      </c>
      <c r="M129" s="491">
        <f>IF($F129="","",IF($C129="売",CEILING($F129*IF($C129="売",1-$AG$3,1+$AG$3),IF($F129*IF($C129="売",1-$AG$3,1+$AG$3)&lt;=3000,1,IF($F129*IF($C129="売",1-$AG$3,1+$AG$3)&lt;=5000,5,IF($F129*IF($C129="売",1-$AG$3,1+$AG$3)&lt;=30000,10,IF($F129*IF($C129="売",1-$AG$3,1+$AG$3)&lt;=50000,50,IF($F129*IF($C129="売",1-$AG$3,1+$AG$3)&lt;=300000,100,500)))))),FLOOR($F129*IF($C129="売",1-$AG$3,1+$AG$3),IF($F129*IF($C129="売",1-$AG$3,1+$AG$3)&lt;=3000,1,IF($F129*IF($C129="売",1-$AG$3,1+$AG$3)&lt;=5000,5,IF($F129*IF($C129="売",1-$AG$3,1+$AG$3)&lt;=30000,10,IF($F129*IF($C129="売",1-$AG$3,1+$AG$3)&lt;=50000,50,IF($F129*IF($C129="売",1-$AG$3,1+$AG$3)&lt;=300000,100,500))))))))</f>
      </c>
      <c r="N129" s="491">
        <f>IF($F129="","",IF($C129="売",CEILING($F129*IF($C129="売",1+$AG$2,1-$AG$2),IF($F129*IF($C129="売",1+$AG$2,1-$AG$2)&lt;=3000,1,IF($F129*IF($C129="売",1+$AG$2,1-$AG$2)&lt;=5000,5,IF($F129*IF($C129="売",1+$AG$2,1-$AG$2)&lt;=30000,10,IF($F129*IF($C129="売",1+$AG$2,1-$AG$2)&lt;=50000,50,IF($F129*IF($C129="売",1+$AG$2,1-$AG$2)&lt;=300000,100,500)))))),FLOOR($F129*IF($C129="売",1+$AG$2,1-$AG$2),IF($F129*IF($C129="売",1+$AG$2,1-$AG$2)&lt;=3000,1,IF($F129*IF($C129="売",1+$AG$2,1-$AG$2)&lt;=5000,5,IF($F129*IF($C129="売",1+$AG$2,1-$AG$2)&lt;=30000,10,IF($F129*IF($C129="売",1+$AG$2,1-$AG$2)&lt;=50000,50,IF($F129*IF($C129="売",1+$AG$2,1-$AG$2)&lt;=300000,100,500))))))))</f>
      </c>
      <c r="O129" s="492">
        <f>IF(OR($B129="",$F129="",$H129=""),"",IF($S129="✅売却済","―決済済―",IF($C129="売",  IF($H129&lt;=$M129,"🟢利確",  IF(AND($R129&lt;&gt;"",$H129&gt;=$R129),"🟠TRAIL決済",  IF($H129&gt;=$N129,"🔴損切",  IF($W129&gt;=$AG$5,"⏱時間決済",  IF($H129&gt;=$F129*(1+$AG$2*0.7),"⚠️損切接近","保持継続"))))),  IF($H129&gt;=$M129,"🟢利確",  IF(AND($R129&lt;&gt;"",$H129&lt;=$R129),"🟠TRAIL決済",  IF($H129&lt;=$N129,"🔴損切",  IF($W129&gt;=$AG$5,"⏱時間決済",  IF($H129&lt;=$F129*(1-$AG$2*0.7),"⚠️損切接近","保持継続")))))))</f>
      </c>
      <c r="P129" s="491"/>
      <c r="Q129" s="491"/>
      <c r="R129" s="491">
        <f>IF(OR($F129="",$H129="",$N129=""),"",IF($S129="✅売却済","",IF($C129="売",  IF($H129&gt;$F129*(1-$AG$2),$N129,CEILING(MIN($N129,IF($Q129="",$N129,$Q129*1.03)),IF($N129&lt;=3000,1,IF($N129&lt;=5000,5,IF($N129&lt;=30000,10,IF($N129&lt;=50000,50,IF($N129&lt;=300000,100,500))))))),  IF($H129&lt;$F129*(1+$AG$2),$N129,FLOOR(MAX($N129,IF($P129="",$N129,$P129*0.97)),IF($N129&lt;=3000,1,IF($N129&lt;=5000,5,IF($N129&lt;=30000,10,IF($N129&lt;=50000,50,IF($N129&lt;=300000,100,500))))))))))</f>
      </c>
      <c r="S129" s="586" t="str">
        <f t="shared" si="47"/>
        <v/>
      </c>
      <c r="T129" s="594" t="str">
        <f t="shared" ca="1" si="48"/>
        <v/>
      </c>
      <c r="U129" s="491" t="str">
        <f t="shared" ca="1" si="49"/>
        <v/>
      </c>
      <c r="V129" s="701" t="str">
        <f t="shared" ca="1" si="50"/>
        <v/>
      </c>
      <c r="W129" s="493" t="str">
        <f t="shared" ca="1" si="51"/>
        <v/>
      </c>
      <c r="X129" s="489" t="str">
        <f t="shared" ca="1" si="52"/>
        <v/>
      </c>
      <c r="Y129" s="488">
        <f>IF($B129="","",IF(COUNTIFS($B$4:$B129,$B129,$C$4:$C129,$C129)&gt;1,"⛔重複"&amp;COUNTIFS($B$4:$B129,$B129,$C$4:$C129,$C129)&amp;"回目",""))</f>
      </c>
      <c r="Z129" s="710"/>
      <c r="AB129">
        <f>IF($F129="","",MAX(100,ROUNDDOWN($AG$4/($F129*$AG$2)/100,0)*100))</f>
      </c>
      <c r="AC129">
        <f>IF(OR($F129="",$G129="",$U129=""),"",ROUND($V129-($F129+$U129)*$G129*$AG$6-IF($C129="売",$F129*$G129*$AG$7*$W129/365,0),0))</f>
      </c>
      <c r="AD129" s="608"/>
      <c r="AE129" s="600" t="str">
        <f t="shared" si="53"/>
        <v/>
      </c>
      <c r="AF129" s="600"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00"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00" t="str">
        <f t="shared" ca="1" si="54"/>
        <v/>
      </c>
      <c r="AI129" s="600" t="str" cm="1">
        <f t="array" ref="AI129">IFERROR(INDEX(始値!$E$6:$BT$305,MATCH(TEXT($B129,"0"),TEXT(銘柄管理!$B$6:$B$305,"0"),0),MATCH($AE129,始値!$E$3:$BT$3,0)),"")</f>
        <v/>
      </c>
      <c r="AJ129" s="608" t="str">
        <f t="shared" ca="1" si="55"/>
        <v/>
      </c>
      <c r="AK129" s="600" t="str">
        <f t="shared" ca="1" si="56"/>
        <v/>
      </c>
    </row>
    <row r="130" spans="1:37" ht="35.4" customHeight="1">
      <c r="A130" s="619" t="str">
        <f t="shared" si="40"/>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BT$3,0)=1,1,MATCH($E130,始値!$E$3:$BT$3,0)+1)),_xlpm.v,INDEX(始値!$C$6:$B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 t="shared" ca="1" si="41"/>
        <v/>
      </c>
      <c r="L130" s="706" t="str">
        <f t="shared" ca="1" si="42"/>
        <v/>
      </c>
      <c r="M130" s="491">
        <f>IF($F130="","",IF($C130="売",CEILING($F130*IF($C130="売",1-$AG$3,1+$AG$3),IF($F130*IF($C130="売",1-$AG$3,1+$AG$3)&lt;=3000,1,IF($F130*IF($C130="売",1-$AG$3,1+$AG$3)&lt;=5000,5,IF($F130*IF($C130="売",1-$AG$3,1+$AG$3)&lt;=30000,10,IF($F130*IF($C130="売",1-$AG$3,1+$AG$3)&lt;=50000,50,IF($F130*IF($C130="売",1-$AG$3,1+$AG$3)&lt;=300000,100,500)))))),FLOOR($F130*IF($C130="売",1-$AG$3,1+$AG$3),IF($F130*IF($C130="売",1-$AG$3,1+$AG$3)&lt;=3000,1,IF($F130*IF($C130="売",1-$AG$3,1+$AG$3)&lt;=5000,5,IF($F130*IF($C130="売",1-$AG$3,1+$AG$3)&lt;=30000,10,IF($F130*IF($C130="売",1-$AG$3,1+$AG$3)&lt;=50000,50,IF($F130*IF($C130="売",1-$AG$3,1+$AG$3)&lt;=300000,100,500))))))))</f>
      </c>
      <c r="N130" s="491">
        <f>IF($F130="","",IF($C130="売",CEILING($F130*IF($C130="売",1+$AG$2,1-$AG$2),IF($F130*IF($C130="売",1+$AG$2,1-$AG$2)&lt;=3000,1,IF($F130*IF($C130="売",1+$AG$2,1-$AG$2)&lt;=5000,5,IF($F130*IF($C130="売",1+$AG$2,1-$AG$2)&lt;=30000,10,IF($F130*IF($C130="売",1+$AG$2,1-$AG$2)&lt;=50000,50,IF($F130*IF($C130="売",1+$AG$2,1-$AG$2)&lt;=300000,100,500)))))),FLOOR($F130*IF($C130="売",1+$AG$2,1-$AG$2),IF($F130*IF($C130="売",1+$AG$2,1-$AG$2)&lt;=3000,1,IF($F130*IF($C130="売",1+$AG$2,1-$AG$2)&lt;=5000,5,IF($F130*IF($C130="売",1+$AG$2,1-$AG$2)&lt;=30000,10,IF($F130*IF($C130="売",1+$AG$2,1-$AG$2)&lt;=50000,50,IF($F130*IF($C130="売",1+$AG$2,1-$AG$2)&lt;=300000,100,500))))))))</f>
      </c>
      <c r="O130" s="492">
        <f>IF(OR($B130="",$F130="",$H130=""),"",IF($S130="✅売却済","―決済済―",IF($C130="売",  IF($H130&lt;=$M130,"🟢利確",  IF(AND($R130&lt;&gt;"",$H130&gt;=$R130),"🟠TRAIL決済",  IF($H130&gt;=$N130,"🔴損切",  IF($W130&gt;=$AG$5,"⏱時間決済",  IF($H130&gt;=$F130*(1+$AG$2*0.7),"⚠️損切接近","保持継続"))))),  IF($H130&gt;=$M130,"🟢利確",  IF(AND($R130&lt;&gt;"",$H130&lt;=$R130),"🟠TRAIL決済",  IF($H130&lt;=$N130,"🔴損切",  IF($W130&gt;=$AG$5,"⏱時間決済",  IF($H130&lt;=$F130*(1-$AG$2*0.7),"⚠️損切接近","保持継続")))))))</f>
      </c>
      <c r="P130" s="491"/>
      <c r="Q130" s="491"/>
      <c r="R130" s="491">
        <f>IF(OR($F130="",$H130="",$N130=""),"",IF($S130="✅売却済","",IF($C130="売",  IF($H130&gt;$F130*(1-$AG$2),$N130,CEILING(MIN($N130,IF($Q130="",$N130,$Q130*1.03)),IF($N130&lt;=3000,1,IF($N130&lt;=5000,5,IF($N130&lt;=30000,10,IF($N130&lt;=50000,50,IF($N130&lt;=300000,100,500))))))),  IF($H130&lt;$F130*(1+$AG$2),$N130,FLOOR(MAX($N130,IF($P130="",$N130,$P130*0.97)),IF($N130&lt;=3000,1,IF($N130&lt;=5000,5,IF($N130&lt;=30000,10,IF($N130&lt;=50000,50,IF($N130&lt;=300000,100,500))))))))))</f>
      </c>
      <c r="S130" s="586" t="str">
        <f t="shared" si="47"/>
        <v/>
      </c>
      <c r="T130" s="594" t="str">
        <f t="shared" ca="1" si="48"/>
        <v/>
      </c>
      <c r="U130" s="491" t="str">
        <f t="shared" ca="1" si="49"/>
        <v/>
      </c>
      <c r="V130" s="701" t="str">
        <f t="shared" ca="1" si="50"/>
        <v/>
      </c>
      <c r="W130" s="493" t="str">
        <f t="shared" ca="1" si="51"/>
        <v/>
      </c>
      <c r="X130" s="489" t="str">
        <f t="shared" ca="1" si="52"/>
        <v/>
      </c>
      <c r="Y130" s="488">
        <f>IF($B130="","",IF(COUNTIFS($B$4:$B130,$B130,$C$4:$C130,$C130)&gt;1,"⛔重複"&amp;COUNTIFS($B$4:$B130,$B130,$C$4:$C130,$C130)&amp;"回目",""))</f>
      </c>
      <c r="Z130" s="710"/>
      <c r="AB130">
        <f>IF($F130="","",MAX(100,ROUNDDOWN($AG$4/($F130*$AG$2)/100,0)*100))</f>
      </c>
      <c r="AC130">
        <f>IF(OR($F130="",$G130="",$U130=""),"",ROUND($V130-($F130+$U130)*$G130*$AG$6-IF($C130="売",$F130*$G130*$AG$7*$W130/365,0),0))</f>
      </c>
      <c r="AD130" s="608"/>
      <c r="AE130" s="600" t="str">
        <f t="shared" si="53"/>
        <v/>
      </c>
      <c r="AF130" s="600"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00"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00" t="str">
        <f t="shared" ca="1" si="54"/>
        <v/>
      </c>
      <c r="AI130" s="600" t="str" cm="1">
        <f t="array" ref="AI130">IFERROR(INDEX(始値!$E$6:$BT$305,MATCH(TEXT($B130,"0"),TEXT(銘柄管理!$B$6:$B$305,"0"),0),MATCH($AE130,始値!$E$3:$BT$3,0)),"")</f>
        <v/>
      </c>
      <c r="AJ130" s="608" t="str">
        <f t="shared" ca="1" si="55"/>
        <v/>
      </c>
      <c r="AK130" s="600" t="str">
        <f t="shared" ca="1" si="56"/>
        <v/>
      </c>
    </row>
    <row r="131" spans="1:37" ht="35.4" customHeight="1">
      <c r="A131" s="619" t="str">
        <f t="shared" si="40"/>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BT$3,0)=1,1,MATCH($E131,始値!$E$3:$BT$3,0)+1)),_xlpm.v,INDEX(始値!$C$6:$B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 t="shared" ca="1" si="41"/>
        <v/>
      </c>
      <c r="L131" s="706" t="str">
        <f t="shared" ca="1" si="42"/>
        <v/>
      </c>
      <c r="M131" s="491">
        <f>IF($F131="","",IF($C131="売",CEILING($F131*IF($C131="売",1-$AG$3,1+$AG$3),IF($F131*IF($C131="売",1-$AG$3,1+$AG$3)&lt;=3000,1,IF($F131*IF($C131="売",1-$AG$3,1+$AG$3)&lt;=5000,5,IF($F131*IF($C131="売",1-$AG$3,1+$AG$3)&lt;=30000,10,IF($F131*IF($C131="売",1-$AG$3,1+$AG$3)&lt;=50000,50,IF($F131*IF($C131="売",1-$AG$3,1+$AG$3)&lt;=300000,100,500)))))),FLOOR($F131*IF($C131="売",1-$AG$3,1+$AG$3),IF($F131*IF($C131="売",1-$AG$3,1+$AG$3)&lt;=3000,1,IF($F131*IF($C131="売",1-$AG$3,1+$AG$3)&lt;=5000,5,IF($F131*IF($C131="売",1-$AG$3,1+$AG$3)&lt;=30000,10,IF($F131*IF($C131="売",1-$AG$3,1+$AG$3)&lt;=50000,50,IF($F131*IF($C131="売",1-$AG$3,1+$AG$3)&lt;=300000,100,500))))))))</f>
      </c>
      <c r="N131" s="491">
        <f>IF($F131="","",IF($C131="売",CEILING($F131*IF($C131="売",1+$AG$2,1-$AG$2),IF($F131*IF($C131="売",1+$AG$2,1-$AG$2)&lt;=3000,1,IF($F131*IF($C131="売",1+$AG$2,1-$AG$2)&lt;=5000,5,IF($F131*IF($C131="売",1+$AG$2,1-$AG$2)&lt;=30000,10,IF($F131*IF($C131="売",1+$AG$2,1-$AG$2)&lt;=50000,50,IF($F131*IF($C131="売",1+$AG$2,1-$AG$2)&lt;=300000,100,500)))))),FLOOR($F131*IF($C131="売",1+$AG$2,1-$AG$2),IF($F131*IF($C131="売",1+$AG$2,1-$AG$2)&lt;=3000,1,IF($F131*IF($C131="売",1+$AG$2,1-$AG$2)&lt;=5000,5,IF($F131*IF($C131="売",1+$AG$2,1-$AG$2)&lt;=30000,10,IF($F131*IF($C131="売",1+$AG$2,1-$AG$2)&lt;=50000,50,IF($F131*IF($C131="売",1+$AG$2,1-$AG$2)&lt;=300000,100,500))))))))</f>
      </c>
      <c r="O131" s="492">
        <f>IF(OR($B131="",$F131="",$H131=""),"",IF($S131="✅売却済","―決済済―",IF($C131="売",  IF($H131&lt;=$M131,"🟢利確",  IF(AND($R131&lt;&gt;"",$H131&gt;=$R131),"🟠TRAIL決済",  IF($H131&gt;=$N131,"🔴損切",  IF($W131&gt;=$AG$5,"⏱時間決済",  IF($H131&gt;=$F131*(1+$AG$2*0.7),"⚠️損切接近","保持継続"))))),  IF($H131&gt;=$M131,"🟢利確",  IF(AND($R131&lt;&gt;"",$H131&lt;=$R131),"🟠TRAIL決済",  IF($H131&lt;=$N131,"🔴損切",  IF($W131&gt;=$AG$5,"⏱時間決済",  IF($H131&lt;=$F131*(1-$AG$2*0.7),"⚠️損切接近","保持継続")))))))</f>
      </c>
      <c r="P131" s="491"/>
      <c r="Q131" s="491"/>
      <c r="R131" s="491">
        <f>IF(OR($F131="",$H131="",$N131=""),"",IF($S131="✅売却済","",IF($C131="売",  IF($H131&gt;$F131*(1-$AG$2),$N131,CEILING(MIN($N131,IF($Q131="",$N131,$Q131*1.03)),IF($N131&lt;=3000,1,IF($N131&lt;=5000,5,IF($N131&lt;=30000,10,IF($N131&lt;=50000,50,IF($N131&lt;=300000,100,500))))))),  IF($H131&lt;$F131*(1+$AG$2),$N131,FLOOR(MAX($N131,IF($P131="",$N131,$P131*0.97)),IF($N131&lt;=3000,1,IF($N131&lt;=5000,5,IF($N131&lt;=30000,10,IF($N131&lt;=50000,50,IF($N131&lt;=300000,100,500))))))))))</f>
      </c>
      <c r="S131" s="586" t="str">
        <f t="shared" si="47"/>
        <v/>
      </c>
      <c r="T131" s="594" t="str">
        <f t="shared" ca="1" si="48"/>
        <v/>
      </c>
      <c r="U131" s="491" t="str">
        <f t="shared" ca="1" si="49"/>
        <v/>
      </c>
      <c r="V131" s="701" t="str">
        <f t="shared" ca="1" si="50"/>
        <v/>
      </c>
      <c r="W131" s="493" t="str">
        <f t="shared" ca="1" si="51"/>
        <v/>
      </c>
      <c r="X131" s="489" t="str">
        <f t="shared" ca="1" si="52"/>
        <v/>
      </c>
      <c r="Y131" s="488">
        <f>IF($B131="","",IF(COUNTIFS($B$4:$B131,$B131,$C$4:$C131,$C131)&gt;1,"⛔重複"&amp;COUNTIFS($B$4:$B131,$B131,$C$4:$C131,$C131)&amp;"回目",""))</f>
      </c>
      <c r="Z131" s="710"/>
      <c r="AB131">
        <f>IF($F131="","",MAX(100,ROUNDDOWN($AG$4/($F131*$AG$2)/100,0)*100))</f>
      </c>
      <c r="AC131">
        <f>IF(OR($F131="",$G131="",$U131=""),"",ROUND($V131-($F131+$U131)*$G131*$AG$6-IF($C131="売",$F131*$G131*$AG$7*$W131/365,0),0))</f>
      </c>
      <c r="AD131" s="608"/>
      <c r="AE131" s="600" t="str">
        <f t="shared" si="53"/>
        <v/>
      </c>
      <c r="AF131" s="600"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00"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00" t="str">
        <f t="shared" ca="1" si="54"/>
        <v/>
      </c>
      <c r="AI131" s="600" t="str" cm="1">
        <f t="array" ref="AI131">IFERROR(INDEX(始値!$E$6:$BT$305,MATCH(TEXT($B131,"0"),TEXT(銘柄管理!$B$6:$B$305,"0"),0),MATCH($AE131,始値!$E$3:$BT$3,0)),"")</f>
        <v/>
      </c>
      <c r="AJ131" s="608" t="str">
        <f t="shared" ca="1" si="55"/>
        <v/>
      </c>
      <c r="AK131" s="600" t="str">
        <f t="shared" ca="1" si="56"/>
        <v/>
      </c>
    </row>
    <row r="132" spans="1:37" ht="35.4" customHeight="1">
      <c r="A132" s="619" t="str">
        <f t="shared" ref="A132:A195" si="57">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BT$3,0)=1,1,MATCH($E132,始値!$E$3:$BT$3,0)+1)),_xlpm.v,INDEX(始値!$C$6:$B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 t="shared" ca="1" si="41"/>
        <v/>
      </c>
      <c r="L132" s="706" t="str">
        <f t="shared" ca="1" si="42"/>
        <v/>
      </c>
      <c r="M132" s="491">
        <f>IF($F132="","",IF($C132="売",CEILING($F132*IF($C132="売",1-$AG$3,1+$AG$3),IF($F132*IF($C132="売",1-$AG$3,1+$AG$3)&lt;=3000,1,IF($F132*IF($C132="売",1-$AG$3,1+$AG$3)&lt;=5000,5,IF($F132*IF($C132="売",1-$AG$3,1+$AG$3)&lt;=30000,10,IF($F132*IF($C132="売",1-$AG$3,1+$AG$3)&lt;=50000,50,IF($F132*IF($C132="売",1-$AG$3,1+$AG$3)&lt;=300000,100,500)))))),FLOOR($F132*IF($C132="売",1-$AG$3,1+$AG$3),IF($F132*IF($C132="売",1-$AG$3,1+$AG$3)&lt;=3000,1,IF($F132*IF($C132="売",1-$AG$3,1+$AG$3)&lt;=5000,5,IF($F132*IF($C132="売",1-$AG$3,1+$AG$3)&lt;=30000,10,IF($F132*IF($C132="売",1-$AG$3,1+$AG$3)&lt;=50000,50,IF($F132*IF($C132="売",1-$AG$3,1+$AG$3)&lt;=300000,100,500))))))))</f>
      </c>
      <c r="N132" s="491">
        <f>IF($F132="","",IF($C132="売",CEILING($F132*IF($C132="売",1+$AG$2,1-$AG$2),IF($F132*IF($C132="売",1+$AG$2,1-$AG$2)&lt;=3000,1,IF($F132*IF($C132="売",1+$AG$2,1-$AG$2)&lt;=5000,5,IF($F132*IF($C132="売",1+$AG$2,1-$AG$2)&lt;=30000,10,IF($F132*IF($C132="売",1+$AG$2,1-$AG$2)&lt;=50000,50,IF($F132*IF($C132="売",1+$AG$2,1-$AG$2)&lt;=300000,100,500)))))),FLOOR($F132*IF($C132="売",1+$AG$2,1-$AG$2),IF($F132*IF($C132="売",1+$AG$2,1-$AG$2)&lt;=3000,1,IF($F132*IF($C132="売",1+$AG$2,1-$AG$2)&lt;=5000,5,IF($F132*IF($C132="売",1+$AG$2,1-$AG$2)&lt;=30000,10,IF($F132*IF($C132="売",1+$AG$2,1-$AG$2)&lt;=50000,50,IF($F132*IF($C132="売",1+$AG$2,1-$AG$2)&lt;=300000,100,500))))))))</f>
      </c>
      <c r="O132" s="492">
        <f>IF(OR($B132="",$F132="",$H132=""),"",IF($S132="✅売却済","―決済済―",IF($C132="売",  IF($H132&lt;=$M132,"🟢利確",  IF(AND($R132&lt;&gt;"",$H132&gt;=$R132),"🟠TRAIL決済",  IF($H132&gt;=$N132,"🔴損切",  IF($W132&gt;=$AG$5,"⏱時間決済",  IF($H132&gt;=$F132*(1+$AG$2*0.7),"⚠️損切接近","保持継続"))))),  IF($H132&gt;=$M132,"🟢利確",  IF(AND($R132&lt;&gt;"",$H132&lt;=$R132),"🟠TRAIL決済",  IF($H132&lt;=$N132,"🔴損切",  IF($W132&gt;=$AG$5,"⏱時間決済",  IF($H132&lt;=$F132*(1-$AG$2*0.7),"⚠️損切接近","保持継続")))))))</f>
      </c>
      <c r="P132" s="491"/>
      <c r="Q132" s="491"/>
      <c r="R132" s="491">
        <f>IF(OR($F132="",$H132="",$N132=""),"",IF($S132="✅売却済","",IF($C132="売",  IF($H132&gt;$F132*(1-$AG$2),$N132,CEILING(MIN($N132,IF($Q132="",$N132,$Q132*1.03)),IF($N132&lt;=3000,1,IF($N132&lt;=5000,5,IF($N132&lt;=30000,10,IF($N132&lt;=50000,50,IF($N132&lt;=300000,100,500))))))),  IF($H132&lt;$F132*(1+$AG$2),$N132,FLOOR(MAX($N132,IF($P132="",$N132,$P132*0.97)),IF($N132&lt;=3000,1,IF($N132&lt;=5000,5,IF($N132&lt;=30000,10,IF($N132&lt;=50000,50,IF($N132&lt;=300000,100,500))))))))))</f>
      </c>
      <c r="S132" s="586" t="str">
        <f t="shared" si="47"/>
        <v/>
      </c>
      <c r="T132" s="594" t="str">
        <f t="shared" ca="1" si="48"/>
        <v/>
      </c>
      <c r="U132" s="491" t="str">
        <f t="shared" ca="1" si="49"/>
        <v/>
      </c>
      <c r="V132" s="701" t="str">
        <f t="shared" ca="1" si="50"/>
        <v/>
      </c>
      <c r="W132" s="493" t="str">
        <f t="shared" ca="1" si="51"/>
        <v/>
      </c>
      <c r="X132" s="489" t="str">
        <f t="shared" ca="1" si="52"/>
        <v/>
      </c>
      <c r="Y132" s="488">
        <f>IF($B132="","",IF(COUNTIFS($B$4:$B132,$B132,$C$4:$C132,$C132)&gt;1,"⛔重複"&amp;COUNTIFS($B$4:$B132,$B132,$C$4:$C132,$C132)&amp;"回目",""))</f>
      </c>
      <c r="Z132" s="710"/>
      <c r="AB132">
        <f>IF($F132="","",MAX(100,ROUNDDOWN($AG$4/($F132*$AG$2)/100,0)*100))</f>
      </c>
      <c r="AC132">
        <f>IF(OR($F132="",$G132="",$U132=""),"",ROUND($V132-($F132+$U132)*$G132*$AG$6-IF($C132="売",$F132*$G132*$AG$7*$W132/365,0),0))</f>
      </c>
      <c r="AD132" s="608"/>
      <c r="AE132" s="600" t="str">
        <f t="shared" si="53"/>
        <v/>
      </c>
      <c r="AF132" s="600"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00"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00" t="str">
        <f t="shared" ca="1" si="54"/>
        <v/>
      </c>
      <c r="AI132" s="600" t="str" cm="1">
        <f t="array" ref="AI132">IFERROR(INDEX(始値!$E$6:$BT$305,MATCH(TEXT($B132,"0"),TEXT(銘柄管理!$B$6:$B$305,"0"),0),MATCH($AE132,始値!$E$3:$BT$3,0)),"")</f>
        <v/>
      </c>
      <c r="AJ132" s="608" t="str">
        <f t="shared" ca="1" si="55"/>
        <v/>
      </c>
      <c r="AK132" s="600" t="str">
        <f t="shared" ca="1" si="56"/>
        <v/>
      </c>
    </row>
    <row r="133" spans="1:37" ht="35.4" customHeight="1">
      <c r="A133" s="619" t="str">
        <f t="shared" si="57"/>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BT$3,0)=1,1,MATCH($E133,始値!$E$3:$BT$3,0)+1)),_xlpm.v,INDEX(始値!$C$6:$B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 t="shared" ca="1" si="41"/>
        <v/>
      </c>
      <c r="L133" s="706" t="str">
        <f t="shared" ca="1" si="42"/>
        <v/>
      </c>
      <c r="M133" s="491">
        <f>IF($F133="","",IF($C133="売",CEILING($F133*IF($C133="売",1-$AG$3,1+$AG$3),IF($F133*IF($C133="売",1-$AG$3,1+$AG$3)&lt;=3000,1,IF($F133*IF($C133="売",1-$AG$3,1+$AG$3)&lt;=5000,5,IF($F133*IF($C133="売",1-$AG$3,1+$AG$3)&lt;=30000,10,IF($F133*IF($C133="売",1-$AG$3,1+$AG$3)&lt;=50000,50,IF($F133*IF($C133="売",1-$AG$3,1+$AG$3)&lt;=300000,100,500)))))),FLOOR($F133*IF($C133="売",1-$AG$3,1+$AG$3),IF($F133*IF($C133="売",1-$AG$3,1+$AG$3)&lt;=3000,1,IF($F133*IF($C133="売",1-$AG$3,1+$AG$3)&lt;=5000,5,IF($F133*IF($C133="売",1-$AG$3,1+$AG$3)&lt;=30000,10,IF($F133*IF($C133="売",1-$AG$3,1+$AG$3)&lt;=50000,50,IF($F133*IF($C133="売",1-$AG$3,1+$AG$3)&lt;=300000,100,500))))))))</f>
      </c>
      <c r="N133" s="491">
        <f>IF($F133="","",IF($C133="売",CEILING($F133*IF($C133="売",1+$AG$2,1-$AG$2),IF($F133*IF($C133="売",1+$AG$2,1-$AG$2)&lt;=3000,1,IF($F133*IF($C133="売",1+$AG$2,1-$AG$2)&lt;=5000,5,IF($F133*IF($C133="売",1+$AG$2,1-$AG$2)&lt;=30000,10,IF($F133*IF($C133="売",1+$AG$2,1-$AG$2)&lt;=50000,50,IF($F133*IF($C133="売",1+$AG$2,1-$AG$2)&lt;=300000,100,500)))))),FLOOR($F133*IF($C133="売",1+$AG$2,1-$AG$2),IF($F133*IF($C133="売",1+$AG$2,1-$AG$2)&lt;=3000,1,IF($F133*IF($C133="売",1+$AG$2,1-$AG$2)&lt;=5000,5,IF($F133*IF($C133="売",1+$AG$2,1-$AG$2)&lt;=30000,10,IF($F133*IF($C133="売",1+$AG$2,1-$AG$2)&lt;=50000,50,IF($F133*IF($C133="売",1+$AG$2,1-$AG$2)&lt;=300000,100,500))))))))</f>
      </c>
      <c r="O133" s="492">
        <f>IF(OR($B133="",$F133="",$H133=""),"",IF($S133="✅売却済","―決済済―",IF($C133="売",  IF($H133&lt;=$M133,"🟢利確",  IF(AND($R133&lt;&gt;"",$H133&gt;=$R133),"🟠TRAIL決済",  IF($H133&gt;=$N133,"🔴損切",  IF($W133&gt;=$AG$5,"⏱時間決済",  IF($H133&gt;=$F133*(1+$AG$2*0.7),"⚠️損切接近","保持継続"))))),  IF($H133&gt;=$M133,"🟢利確",  IF(AND($R133&lt;&gt;"",$H133&lt;=$R133),"🟠TRAIL決済",  IF($H133&lt;=$N133,"🔴損切",  IF($W133&gt;=$AG$5,"⏱時間決済",  IF($H133&lt;=$F133*(1-$AG$2*0.7),"⚠️損切接近","保持継続")))))))</f>
      </c>
      <c r="P133" s="491"/>
      <c r="Q133" s="491"/>
      <c r="R133" s="491">
        <f>IF(OR($F133="",$H133="",$N133=""),"",IF($S133="✅売却済","",IF($C133="売",  IF($H133&gt;$F133*(1-$AG$2),$N133,CEILING(MIN($N133,IF($Q133="",$N133,$Q133*1.03)),IF($N133&lt;=3000,1,IF($N133&lt;=5000,5,IF($N133&lt;=30000,10,IF($N133&lt;=50000,50,IF($N133&lt;=300000,100,500))))))),  IF($H133&lt;$F133*(1+$AG$2),$N133,FLOOR(MAX($N133,IF($P133="",$N133,$P133*0.97)),IF($N133&lt;=3000,1,IF($N133&lt;=5000,5,IF($N133&lt;=30000,10,IF($N133&lt;=50000,50,IF($N133&lt;=300000,100,500))))))))))</f>
      </c>
      <c r="S133" s="586" t="str">
        <f t="shared" si="47"/>
        <v/>
      </c>
      <c r="T133" s="594" t="str">
        <f t="shared" ref="T133:T196" ca="1" si="61">IF(OR($AH133="",$AH133="保有中"),"",IF($AH133="日数制限",$AE133,IF($AH133="損切確定",IF(N($AG133)=0,TODAY(),$AG133),IF(N($AF133)=0,TODAY(),$AF133))))</f>
        <v/>
      </c>
      <c r="U133" s="491" t="str">
        <f t="shared" ref="U133:U196" ca="1" si="62">IF(OR($AH133="",$AH133="保有中"),"",ROUND(IF($AH133="日数制限",$AI133,IF($AH133="利益確定",$M133,$N133)),0))</f>
        <v/>
      </c>
      <c r="V133" s="701" t="str">
        <f t="shared" ca="1" si="50"/>
        <v/>
      </c>
      <c r="W133" s="493" t="str">
        <f t="shared" ref="W133:W196" ca="1" si="63">IF(OR($E133="",$B133=""),"",IF($T133&lt;&gt;"",$T133-$E133,TODAY()-$E133)+1)</f>
        <v/>
      </c>
      <c r="X133" s="489" t="str">
        <f t="shared" ref="X133:X196" ca="1" si="64">IF(OR($AH133="",$AH133="保有中"),"",$AH133)</f>
        <v/>
      </c>
      <c r="Y133" s="488">
        <f>IF($B133="","",IF(COUNTIFS($B$4:$B133,$B133,$C$4:$C133,$C133)&gt;1,"⛔重複"&amp;COUNTIFS($B$4:$B133,$B133,$C$4:$C133,$C133)&amp;"回目",""))</f>
      </c>
      <c r="Z133" s="710"/>
      <c r="AB133">
        <f>IF($F133="","",MAX(100,ROUNDDOWN($AG$4/($F133*$AG$2)/100,0)*100))</f>
      </c>
      <c r="AC133">
        <f>IF(OR($F133="",$G133="",$U133=""),"",ROUND($V133-($F133+$U133)*$G133*$AG$6-IF($C133="売",$F133*$G133*$AG$7*$W133/365,0),0))</f>
      </c>
      <c r="AD133" s="608"/>
      <c r="AE133" s="600" t="str">
        <f t="shared" ref="AE133:AE196" si="65">IF($E133="","",WORKDAY($E133,12))</f>
        <v/>
      </c>
      <c r="AF133" s="600"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00"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00" t="str">
        <f t="shared" ref="AH133:AH196" ca="1" si="66">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IFERROR(INDEX(始値!$E$6:$BT$305,MATCH(TEXT($B133,"0"),TEXT(銘柄管理!$B$6:$B$305,"0"),0),MATCH($AE133,始値!$E$3:$BT$3,0)),"")</f>
        <v/>
      </c>
      <c r="AJ133" s="608" t="str">
        <f t="shared" ref="AJ133:AJ196" ca="1" si="67">IF(OR($V133="",$F133="",$G133=""),"",$V133/($F133*$G133))</f>
        <v/>
      </c>
      <c r="AK133" s="600" t="str">
        <f t="shared" ref="AK133:AK196" ca="1" si="68">IF($V133="","",IF($V133&gt;0,"○勝",IF($V133&lt;0,"●負","△引分")))</f>
        <v/>
      </c>
    </row>
    <row r="134" spans="1:37" ht="35.4" customHeight="1">
      <c r="A134" s="619" t="str">
        <f t="shared" si="57"/>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BT$3,0)=1,1,MATCH($E134,始値!$E$3:$BT$3,0)+1)),_xlpm.v,INDEX(始値!$C$6:$B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 t="shared" ca="1" si="41"/>
        <v/>
      </c>
      <c r="L134" s="706" t="str">
        <f t="shared" ca="1" si="42"/>
        <v/>
      </c>
      <c r="M134" s="491">
        <f>IF($F134="","",IF($C134="売",CEILING($F134*IF($C134="売",1-$AG$3,1+$AG$3),IF($F134*IF($C134="売",1-$AG$3,1+$AG$3)&lt;=3000,1,IF($F134*IF($C134="売",1-$AG$3,1+$AG$3)&lt;=5000,5,IF($F134*IF($C134="売",1-$AG$3,1+$AG$3)&lt;=30000,10,IF($F134*IF($C134="売",1-$AG$3,1+$AG$3)&lt;=50000,50,IF($F134*IF($C134="売",1-$AG$3,1+$AG$3)&lt;=300000,100,500)))))),FLOOR($F134*IF($C134="売",1-$AG$3,1+$AG$3),IF($F134*IF($C134="売",1-$AG$3,1+$AG$3)&lt;=3000,1,IF($F134*IF($C134="売",1-$AG$3,1+$AG$3)&lt;=5000,5,IF($F134*IF($C134="売",1-$AG$3,1+$AG$3)&lt;=30000,10,IF($F134*IF($C134="売",1-$AG$3,1+$AG$3)&lt;=50000,50,IF($F134*IF($C134="売",1-$AG$3,1+$AG$3)&lt;=300000,100,500))))))))</f>
      </c>
      <c r="N134" s="491">
        <f>IF($F134="","",IF($C134="売",CEILING($F134*IF($C134="売",1+$AG$2,1-$AG$2),IF($F134*IF($C134="売",1+$AG$2,1-$AG$2)&lt;=3000,1,IF($F134*IF($C134="売",1+$AG$2,1-$AG$2)&lt;=5000,5,IF($F134*IF($C134="売",1+$AG$2,1-$AG$2)&lt;=30000,10,IF($F134*IF($C134="売",1+$AG$2,1-$AG$2)&lt;=50000,50,IF($F134*IF($C134="売",1+$AG$2,1-$AG$2)&lt;=300000,100,500)))))),FLOOR($F134*IF($C134="売",1+$AG$2,1-$AG$2),IF($F134*IF($C134="売",1+$AG$2,1-$AG$2)&lt;=3000,1,IF($F134*IF($C134="売",1+$AG$2,1-$AG$2)&lt;=5000,5,IF($F134*IF($C134="売",1+$AG$2,1-$AG$2)&lt;=30000,10,IF($F134*IF($C134="売",1+$AG$2,1-$AG$2)&lt;=50000,50,IF($F134*IF($C134="売",1+$AG$2,1-$AG$2)&lt;=300000,100,500))))))))</f>
      </c>
      <c r="O134" s="492">
        <f>IF(OR($B134="",$F134="",$H134=""),"",IF($S134="✅売却済","―決済済―",IF($C134="売",  IF($H134&lt;=$M134,"🟢利確",  IF(AND($R134&lt;&gt;"",$H134&gt;=$R134),"🟠TRAIL決済",  IF($H134&gt;=$N134,"🔴損切",  IF($W134&gt;=$AG$5,"⏱時間決済",  IF($H134&gt;=$F134*(1+$AG$2*0.7),"⚠️損切接近","保持継続"))))),  IF($H134&gt;=$M134,"🟢利確",  IF(AND($R134&lt;&gt;"",$H134&lt;=$R134),"🟠TRAIL決済",  IF($H134&lt;=$N134,"🔴損切",  IF($W134&gt;=$AG$5,"⏱時間決済",  IF($H134&lt;=$F134*(1-$AG$2*0.7),"⚠️損切接近","保持継続")))))))</f>
      </c>
      <c r="P134" s="491"/>
      <c r="Q134" s="491"/>
      <c r="R134" s="491">
        <f>IF(OR($F134="",$H134="",$N134=""),"",IF($S134="✅売却済","",IF($C134="売",  IF($H134&gt;$F134*(1-$AG$2),$N134,CEILING(MIN($N134,IF($Q134="",$N134,$Q134*1.03)),IF($N134&lt;=3000,1,IF($N134&lt;=5000,5,IF($N134&lt;=30000,10,IF($N134&lt;=50000,50,IF($N134&lt;=300000,100,500))))))),  IF($H134&lt;$F134*(1+$AG$2),$N134,FLOOR(MAX($N134,IF($P134="",$N134,$P134*0.97)),IF($N134&lt;=3000,1,IF($N134&lt;=5000,5,IF($N134&lt;=30000,10,IF($N134&lt;=50000,50,IF($N134&lt;=300000,100,500))))))))))</f>
      </c>
      <c r="S134" s="586" t="str">
        <f t="shared" si="47"/>
        <v/>
      </c>
      <c r="T134" s="594" t="str">
        <f t="shared" ca="1" si="61"/>
        <v/>
      </c>
      <c r="U134" s="491" t="str">
        <f t="shared" ca="1" si="62"/>
        <v/>
      </c>
      <c r="V134" s="701" t="str">
        <f t="shared" ca="1" si="50"/>
        <v/>
      </c>
      <c r="W134" s="493" t="str">
        <f t="shared" ca="1" si="63"/>
        <v/>
      </c>
      <c r="X134" s="489" t="str">
        <f t="shared" ca="1" si="64"/>
        <v/>
      </c>
      <c r="Y134" s="488">
        <f>IF($B134="","",IF(COUNTIFS($B$4:$B134,$B134,$C$4:$C134,$C134)&gt;1,"⛔重複"&amp;COUNTIFS($B$4:$B134,$B134,$C$4:$C134,$C134)&amp;"回目",""))</f>
      </c>
      <c r="Z134" s="710"/>
      <c r="AB134">
        <f>IF($F134="","",MAX(100,ROUNDDOWN($AG$4/($F134*$AG$2)/100,0)*100))</f>
      </c>
      <c r="AC134">
        <f>IF(OR($F134="",$G134="",$U134=""),"",ROUND($V134-($F134+$U134)*$G134*$AG$6-IF($C134="売",$F134*$G134*$AG$7*$W134/365,0),0))</f>
      </c>
      <c r="AD134" s="608"/>
      <c r="AE134" s="600" t="str">
        <f t="shared" si="65"/>
        <v/>
      </c>
      <c r="AF134" s="600"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00"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00" t="str">
        <f t="shared" ca="1" si="66"/>
        <v/>
      </c>
      <c r="AI134" s="600" t="str" cm="1">
        <f t="array" ref="AI134">IFERROR(INDEX(始値!$E$6:$BT$305,MATCH(TEXT($B134,"0"),TEXT(銘柄管理!$B$6:$B$305,"0"),0),MATCH($AE134,始値!$E$3:$BT$3,0)),"")</f>
        <v/>
      </c>
      <c r="AJ134" s="608" t="str">
        <f t="shared" ca="1" si="67"/>
        <v/>
      </c>
      <c r="AK134" s="600" t="str">
        <f t="shared" ca="1" si="68"/>
        <v/>
      </c>
    </row>
    <row r="135" spans="1:37" ht="35.4" customHeight="1">
      <c r="A135" s="619" t="str">
        <f t="shared" si="57"/>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BT$3,0)=1,1,MATCH($E135,始値!$E$3:$BT$3,0)+1)),_xlpm.v,INDEX(始値!$C$6:$B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 t="shared" ca="1" si="41"/>
        <v/>
      </c>
      <c r="L135" s="706" t="str">
        <f t="shared" ca="1" si="42"/>
        <v/>
      </c>
      <c r="M135" s="491">
        <f>IF($F135="","",IF($C135="売",CEILING($F135*IF($C135="売",1-$AG$3,1+$AG$3),IF($F135*IF($C135="売",1-$AG$3,1+$AG$3)&lt;=3000,1,IF($F135*IF($C135="売",1-$AG$3,1+$AG$3)&lt;=5000,5,IF($F135*IF($C135="売",1-$AG$3,1+$AG$3)&lt;=30000,10,IF($F135*IF($C135="売",1-$AG$3,1+$AG$3)&lt;=50000,50,IF($F135*IF($C135="売",1-$AG$3,1+$AG$3)&lt;=300000,100,500)))))),FLOOR($F135*IF($C135="売",1-$AG$3,1+$AG$3),IF($F135*IF($C135="売",1-$AG$3,1+$AG$3)&lt;=3000,1,IF($F135*IF($C135="売",1-$AG$3,1+$AG$3)&lt;=5000,5,IF($F135*IF($C135="売",1-$AG$3,1+$AG$3)&lt;=30000,10,IF($F135*IF($C135="売",1-$AG$3,1+$AG$3)&lt;=50000,50,IF($F135*IF($C135="売",1-$AG$3,1+$AG$3)&lt;=300000,100,500))))))))</f>
      </c>
      <c r="N135" s="491">
        <f>IF($F135="","",IF($C135="売",CEILING($F135*IF($C135="売",1+$AG$2,1-$AG$2),IF($F135*IF($C135="売",1+$AG$2,1-$AG$2)&lt;=3000,1,IF($F135*IF($C135="売",1+$AG$2,1-$AG$2)&lt;=5000,5,IF($F135*IF($C135="売",1+$AG$2,1-$AG$2)&lt;=30000,10,IF($F135*IF($C135="売",1+$AG$2,1-$AG$2)&lt;=50000,50,IF($F135*IF($C135="売",1+$AG$2,1-$AG$2)&lt;=300000,100,500)))))),FLOOR($F135*IF($C135="売",1+$AG$2,1-$AG$2),IF($F135*IF($C135="売",1+$AG$2,1-$AG$2)&lt;=3000,1,IF($F135*IF($C135="売",1+$AG$2,1-$AG$2)&lt;=5000,5,IF($F135*IF($C135="売",1+$AG$2,1-$AG$2)&lt;=30000,10,IF($F135*IF($C135="売",1+$AG$2,1-$AG$2)&lt;=50000,50,IF($F135*IF($C135="売",1+$AG$2,1-$AG$2)&lt;=300000,100,500))))))))</f>
      </c>
      <c r="O135" s="492">
        <f>IF(OR($B135="",$F135="",$H135=""),"",IF($S135="✅売却済","―決済済―",IF($C135="売",  IF($H135&lt;=$M135,"🟢利確",  IF(AND($R135&lt;&gt;"",$H135&gt;=$R135),"🟠TRAIL決済",  IF($H135&gt;=$N135,"🔴損切",  IF($W135&gt;=$AG$5,"⏱時間決済",  IF($H135&gt;=$F135*(1+$AG$2*0.7),"⚠️損切接近","保持継続"))))),  IF($H135&gt;=$M135,"🟢利確",  IF(AND($R135&lt;&gt;"",$H135&lt;=$R135),"🟠TRAIL決済",  IF($H135&lt;=$N135,"🔴損切",  IF($W135&gt;=$AG$5,"⏱時間決済",  IF($H135&lt;=$F135*(1-$AG$2*0.7),"⚠️損切接近","保持継続")))))))</f>
      </c>
      <c r="P135" s="491"/>
      <c r="Q135" s="491"/>
      <c r="R135" s="491">
        <f>IF(OR($F135="",$H135="",$N135=""),"",IF($S135="✅売却済","",IF($C135="売",  IF($H135&gt;$F135*(1-$AG$2),$N135,CEILING(MIN($N135,IF($Q135="",$N135,$Q135*1.03)),IF($N135&lt;=3000,1,IF($N135&lt;=5000,5,IF($N135&lt;=30000,10,IF($N135&lt;=50000,50,IF($N135&lt;=300000,100,500))))))),  IF($H135&lt;$F135*(1+$AG$2),$N135,FLOOR(MAX($N135,IF($P135="",$N135,$P135*0.97)),IF($N135&lt;=3000,1,IF($N135&lt;=5000,5,IF($N135&lt;=30000,10,IF($N135&lt;=50000,50,IF($N135&lt;=300000,100,500))))))))))</f>
      </c>
      <c r="S135" s="586" t="str">
        <f t="shared" si="47"/>
        <v/>
      </c>
      <c r="T135" s="594" t="str">
        <f t="shared" ca="1" si="61"/>
        <v/>
      </c>
      <c r="U135" s="491" t="str">
        <f t="shared" ca="1" si="62"/>
        <v/>
      </c>
      <c r="V135" s="701" t="str">
        <f t="shared" ca="1" si="50"/>
        <v/>
      </c>
      <c r="W135" s="493" t="str">
        <f t="shared" ca="1" si="63"/>
        <v/>
      </c>
      <c r="X135" s="489" t="str">
        <f t="shared" ca="1" si="64"/>
        <v/>
      </c>
      <c r="Y135" s="488">
        <f>IF($B135="","",IF(COUNTIFS($B$4:$B135,$B135,$C$4:$C135,$C135)&gt;1,"⛔重複"&amp;COUNTIFS($B$4:$B135,$B135,$C$4:$C135,$C135)&amp;"回目",""))</f>
      </c>
      <c r="Z135" s="710"/>
      <c r="AB135">
        <f>IF($F135="","",MAX(100,ROUNDDOWN($AG$4/($F135*$AG$2)/100,0)*100))</f>
      </c>
      <c r="AC135">
        <f>IF(OR($F135="",$G135="",$U135=""),"",ROUND($V135-($F135+$U135)*$G135*$AG$6-IF($C135="売",$F135*$G135*$AG$7*$W135/365,0),0))</f>
      </c>
      <c r="AD135" s="608"/>
      <c r="AE135" s="600" t="str">
        <f t="shared" si="65"/>
        <v/>
      </c>
      <c r="AF135" s="600"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00"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00" t="str">
        <f t="shared" ca="1" si="66"/>
        <v/>
      </c>
      <c r="AI135" s="600" t="str" cm="1">
        <f t="array" ref="AI135">IFERROR(INDEX(始値!$E$6:$BT$305,MATCH(TEXT($B135,"0"),TEXT(銘柄管理!$B$6:$B$305,"0"),0),MATCH($AE135,始値!$E$3:$BT$3,0)),"")</f>
        <v/>
      </c>
      <c r="AJ135" s="608" t="str">
        <f t="shared" ca="1" si="67"/>
        <v/>
      </c>
      <c r="AK135" s="600" t="str">
        <f t="shared" ca="1" si="68"/>
        <v/>
      </c>
    </row>
    <row r="136" spans="1:37" ht="35.4" customHeight="1">
      <c r="A136" s="619" t="str">
        <f t="shared" si="57"/>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BT$3,0)=1,1,MATCH($E136,始値!$E$3:$BT$3,0)+1)),_xlpm.v,INDEX(始値!$C$6:$B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 t="shared" ca="1" si="41"/>
        <v/>
      </c>
      <c r="L136" s="706" t="str">
        <f t="shared" ca="1" si="42"/>
        <v/>
      </c>
      <c r="M136" s="491">
        <f>IF($F136="","",IF($C136="売",CEILING($F136*IF($C136="売",1-$AG$3,1+$AG$3),IF($F136*IF($C136="売",1-$AG$3,1+$AG$3)&lt;=3000,1,IF($F136*IF($C136="売",1-$AG$3,1+$AG$3)&lt;=5000,5,IF($F136*IF($C136="売",1-$AG$3,1+$AG$3)&lt;=30000,10,IF($F136*IF($C136="売",1-$AG$3,1+$AG$3)&lt;=50000,50,IF($F136*IF($C136="売",1-$AG$3,1+$AG$3)&lt;=300000,100,500)))))),FLOOR($F136*IF($C136="売",1-$AG$3,1+$AG$3),IF($F136*IF($C136="売",1-$AG$3,1+$AG$3)&lt;=3000,1,IF($F136*IF($C136="売",1-$AG$3,1+$AG$3)&lt;=5000,5,IF($F136*IF($C136="売",1-$AG$3,1+$AG$3)&lt;=30000,10,IF($F136*IF($C136="売",1-$AG$3,1+$AG$3)&lt;=50000,50,IF($F136*IF($C136="売",1-$AG$3,1+$AG$3)&lt;=300000,100,500))))))))</f>
      </c>
      <c r="N136" s="491">
        <f>IF($F136="","",IF($C136="売",CEILING($F136*IF($C136="売",1+$AG$2,1-$AG$2),IF($F136*IF($C136="売",1+$AG$2,1-$AG$2)&lt;=3000,1,IF($F136*IF($C136="売",1+$AG$2,1-$AG$2)&lt;=5000,5,IF($F136*IF($C136="売",1+$AG$2,1-$AG$2)&lt;=30000,10,IF($F136*IF($C136="売",1+$AG$2,1-$AG$2)&lt;=50000,50,IF($F136*IF($C136="売",1+$AG$2,1-$AG$2)&lt;=300000,100,500)))))),FLOOR($F136*IF($C136="売",1+$AG$2,1-$AG$2),IF($F136*IF($C136="売",1+$AG$2,1-$AG$2)&lt;=3000,1,IF($F136*IF($C136="売",1+$AG$2,1-$AG$2)&lt;=5000,5,IF($F136*IF($C136="売",1+$AG$2,1-$AG$2)&lt;=30000,10,IF($F136*IF($C136="売",1+$AG$2,1-$AG$2)&lt;=50000,50,IF($F136*IF($C136="売",1+$AG$2,1-$AG$2)&lt;=300000,100,500))))))))</f>
      </c>
      <c r="O136" s="492">
        <f>IF(OR($B136="",$F136="",$H136=""),"",IF($S136="✅売却済","―決済済―",IF($C136="売",  IF($H136&lt;=$M136,"🟢利確",  IF(AND($R136&lt;&gt;"",$H136&gt;=$R136),"🟠TRAIL決済",  IF($H136&gt;=$N136,"🔴損切",  IF($W136&gt;=$AG$5,"⏱時間決済",  IF($H136&gt;=$F136*(1+$AG$2*0.7),"⚠️損切接近","保持継続"))))),  IF($H136&gt;=$M136,"🟢利確",  IF(AND($R136&lt;&gt;"",$H136&lt;=$R136),"🟠TRAIL決済",  IF($H136&lt;=$N136,"🔴損切",  IF($W136&gt;=$AG$5,"⏱時間決済",  IF($H136&lt;=$F136*(1-$AG$2*0.7),"⚠️損切接近","保持継続")))))))</f>
      </c>
      <c r="P136" s="491"/>
      <c r="Q136" s="491"/>
      <c r="R136" s="491">
        <f>IF(OR($F136="",$H136="",$N136=""),"",IF($S136="✅売却済","",IF($C136="売",  IF($H136&gt;$F136*(1-$AG$2),$N136,CEILING(MIN($N136,IF($Q136="",$N136,$Q136*1.03)),IF($N136&lt;=3000,1,IF($N136&lt;=5000,5,IF($N136&lt;=30000,10,IF($N136&lt;=50000,50,IF($N136&lt;=300000,100,500))))))),  IF($H136&lt;$F136*(1+$AG$2),$N136,FLOOR(MAX($N136,IF($P136="",$N136,$P136*0.97)),IF($N136&lt;=3000,1,IF($N136&lt;=5000,5,IF($N136&lt;=30000,10,IF($N136&lt;=50000,50,IF($N136&lt;=300000,100,500))))))))))</f>
      </c>
      <c r="S136" s="586" t="str">
        <f t="shared" si="47"/>
        <v/>
      </c>
      <c r="T136" s="594" t="str">
        <f t="shared" ca="1" si="61"/>
        <v/>
      </c>
      <c r="U136" s="491" t="str">
        <f t="shared" ca="1" si="62"/>
        <v/>
      </c>
      <c r="V136" s="701" t="str">
        <f t="shared" ca="1" si="50"/>
        <v/>
      </c>
      <c r="W136" s="493" t="str">
        <f t="shared" ca="1" si="63"/>
        <v/>
      </c>
      <c r="X136" s="489" t="str">
        <f t="shared" ca="1" si="64"/>
        <v/>
      </c>
      <c r="Y136" s="488">
        <f>IF($B136="","",IF(COUNTIFS($B$4:$B136,$B136,$C$4:$C136,$C136)&gt;1,"⛔重複"&amp;COUNTIFS($B$4:$B136,$B136,$C$4:$C136,$C136)&amp;"回目",""))</f>
      </c>
      <c r="Z136" s="710"/>
      <c r="AB136">
        <f>IF($F136="","",MAX(100,ROUNDDOWN($AG$4/($F136*$AG$2)/100,0)*100))</f>
      </c>
      <c r="AC136">
        <f>IF(OR($F136="",$G136="",$U136=""),"",ROUND($V136-($F136+$U136)*$G136*$AG$6-IF($C136="売",$F136*$G136*$AG$7*$W136/365,0),0))</f>
      </c>
      <c r="AD136" s="608"/>
      <c r="AE136" s="600" t="str">
        <f t="shared" si="65"/>
        <v/>
      </c>
      <c r="AF136" s="600"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00"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00" t="str">
        <f t="shared" ca="1" si="66"/>
        <v/>
      </c>
      <c r="AI136" s="600" t="str" cm="1">
        <f t="array" ref="AI136">IFERROR(INDEX(始値!$E$6:$BT$305,MATCH(TEXT($B136,"0"),TEXT(銘柄管理!$B$6:$B$305,"0"),0),MATCH($AE136,始値!$E$3:$BT$3,0)),"")</f>
        <v/>
      </c>
      <c r="AJ136" s="608" t="str">
        <f t="shared" ca="1" si="67"/>
        <v/>
      </c>
      <c r="AK136" s="600" t="str">
        <f t="shared" ca="1" si="68"/>
        <v/>
      </c>
    </row>
    <row r="137" spans="1:37" ht="35.4" customHeight="1">
      <c r="A137" s="619" t="str">
        <f t="shared" si="57"/>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BT$3,0)=1,1,MATCH($E137,始値!$E$3:$BT$3,0)+1)),_xlpm.v,INDEX(始値!$C$6:$B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 t="shared" ca="1" si="41"/>
        <v/>
      </c>
      <c r="L137" s="706" t="str">
        <f t="shared" ca="1" si="42"/>
        <v/>
      </c>
      <c r="M137" s="491">
        <f>IF($F137="","",IF($C137="売",CEILING($F137*IF($C137="売",1-$AG$3,1+$AG$3),IF($F137*IF($C137="売",1-$AG$3,1+$AG$3)&lt;=3000,1,IF($F137*IF($C137="売",1-$AG$3,1+$AG$3)&lt;=5000,5,IF($F137*IF($C137="売",1-$AG$3,1+$AG$3)&lt;=30000,10,IF($F137*IF($C137="売",1-$AG$3,1+$AG$3)&lt;=50000,50,IF($F137*IF($C137="売",1-$AG$3,1+$AG$3)&lt;=300000,100,500)))))),FLOOR($F137*IF($C137="売",1-$AG$3,1+$AG$3),IF($F137*IF($C137="売",1-$AG$3,1+$AG$3)&lt;=3000,1,IF($F137*IF($C137="売",1-$AG$3,1+$AG$3)&lt;=5000,5,IF($F137*IF($C137="売",1-$AG$3,1+$AG$3)&lt;=30000,10,IF($F137*IF($C137="売",1-$AG$3,1+$AG$3)&lt;=50000,50,IF($F137*IF($C137="売",1-$AG$3,1+$AG$3)&lt;=300000,100,500))))))))</f>
      </c>
      <c r="N137" s="491">
        <f>IF($F137="","",IF($C137="売",CEILING($F137*IF($C137="売",1+$AG$2,1-$AG$2),IF($F137*IF($C137="売",1+$AG$2,1-$AG$2)&lt;=3000,1,IF($F137*IF($C137="売",1+$AG$2,1-$AG$2)&lt;=5000,5,IF($F137*IF($C137="売",1+$AG$2,1-$AG$2)&lt;=30000,10,IF($F137*IF($C137="売",1+$AG$2,1-$AG$2)&lt;=50000,50,IF($F137*IF($C137="売",1+$AG$2,1-$AG$2)&lt;=300000,100,500)))))),FLOOR($F137*IF($C137="売",1+$AG$2,1-$AG$2),IF($F137*IF($C137="売",1+$AG$2,1-$AG$2)&lt;=3000,1,IF($F137*IF($C137="売",1+$AG$2,1-$AG$2)&lt;=5000,5,IF($F137*IF($C137="売",1+$AG$2,1-$AG$2)&lt;=30000,10,IF($F137*IF($C137="売",1+$AG$2,1-$AG$2)&lt;=50000,50,IF($F137*IF($C137="売",1+$AG$2,1-$AG$2)&lt;=300000,100,500))))))))</f>
      </c>
      <c r="O137" s="492">
        <f>IF(OR($B137="",$F137="",$H137=""),"",IF($S137="✅売却済","―決済済―",IF($C137="売",  IF($H137&lt;=$M137,"🟢利確",  IF(AND($R137&lt;&gt;"",$H137&gt;=$R137),"🟠TRAIL決済",  IF($H137&gt;=$N137,"🔴損切",  IF($W137&gt;=$AG$5,"⏱時間決済",  IF($H137&gt;=$F137*(1+$AG$2*0.7),"⚠️損切接近","保持継続"))))),  IF($H137&gt;=$M137,"🟢利確",  IF(AND($R137&lt;&gt;"",$H137&lt;=$R137),"🟠TRAIL決済",  IF($H137&lt;=$N137,"🔴損切",  IF($W137&gt;=$AG$5,"⏱時間決済",  IF($H137&lt;=$F137*(1-$AG$2*0.7),"⚠️損切接近","保持継続")))))))</f>
      </c>
      <c r="P137" s="491"/>
      <c r="Q137" s="491"/>
      <c r="R137" s="491">
        <f>IF(OR($F137="",$H137="",$N137=""),"",IF($S137="✅売却済","",IF($C137="売",  IF($H137&gt;$F137*(1-$AG$2),$N137,CEILING(MIN($N137,IF($Q137="",$N137,$Q137*1.03)),IF($N137&lt;=3000,1,IF($N137&lt;=5000,5,IF($N137&lt;=30000,10,IF($N137&lt;=50000,50,IF($N137&lt;=300000,100,500))))))),  IF($H137&lt;$F137*(1+$AG$2),$N137,FLOOR(MAX($N137,IF($P137="",$N137,$P137*0.97)),IF($N137&lt;=3000,1,IF($N137&lt;=5000,5,IF($N137&lt;=30000,10,IF($N137&lt;=50000,50,IF($N137&lt;=300000,100,500))))))))))</f>
      </c>
      <c r="S137" s="586" t="str">
        <f t="shared" si="47"/>
        <v/>
      </c>
      <c r="T137" s="594" t="str">
        <f t="shared" ca="1" si="61"/>
        <v/>
      </c>
      <c r="U137" s="491" t="str">
        <f t="shared" ca="1" si="62"/>
        <v/>
      </c>
      <c r="V137" s="701" t="str">
        <f t="shared" ca="1" si="50"/>
        <v/>
      </c>
      <c r="W137" s="493" t="str">
        <f t="shared" ca="1" si="63"/>
        <v/>
      </c>
      <c r="X137" s="489" t="str">
        <f t="shared" ca="1" si="64"/>
        <v/>
      </c>
      <c r="Y137" s="488">
        <f>IF($B137="","",IF(COUNTIFS($B$4:$B137,$B137,$C$4:$C137,$C137)&gt;1,"⛔重複"&amp;COUNTIFS($B$4:$B137,$B137,$C$4:$C137,$C137)&amp;"回目",""))</f>
      </c>
      <c r="Z137" s="710"/>
      <c r="AB137">
        <f>IF($F137="","",MAX(100,ROUNDDOWN($AG$4/($F137*$AG$2)/100,0)*100))</f>
      </c>
      <c r="AC137">
        <f>IF(OR($F137="",$G137="",$U137=""),"",ROUND($V137-($F137+$U137)*$G137*$AG$6-IF($C137="売",$F137*$G137*$AG$7*$W137/365,0),0))</f>
      </c>
      <c r="AD137" s="608"/>
      <c r="AE137" s="600" t="str">
        <f t="shared" si="65"/>
        <v/>
      </c>
      <c r="AF137" s="600"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00"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00" t="str">
        <f t="shared" ca="1" si="66"/>
        <v/>
      </c>
      <c r="AI137" s="600" t="str" cm="1">
        <f t="array" ref="AI137">IFERROR(INDEX(始値!$E$6:$BT$305,MATCH(TEXT($B137,"0"),TEXT(銘柄管理!$B$6:$B$305,"0"),0),MATCH($AE137,始値!$E$3:$BT$3,0)),"")</f>
        <v/>
      </c>
      <c r="AJ137" s="608" t="str">
        <f t="shared" ca="1" si="67"/>
        <v/>
      </c>
      <c r="AK137" s="600" t="str">
        <f t="shared" ca="1" si="68"/>
        <v/>
      </c>
    </row>
    <row r="138" spans="1:37" ht="35.4" customHeight="1">
      <c r="A138" s="619" t="str">
        <f t="shared" si="57"/>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BT$3,0)=1,1,MATCH($E138,始値!$E$3:$BT$3,0)+1)),_xlpm.v,INDEX(始値!$C$6:$B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 t="shared" ref="K138:K201" ca="1" si="69">IF(OR(F138="",G138="",H138=""),"",IF(C138="売",(F138-H138)*G138,(H138-F138)*G138))</f>
        <v/>
      </c>
      <c r="L138" s="706" t="str">
        <f t="shared" ref="L138:L201" ca="1" si="70">IF(OR(F138="",H138=""),"",IF(C138="売",(F138-H138)/F138,(H138-F138)/F138))</f>
        <v/>
      </c>
      <c r="M138" s="491">
        <f>IF($F138="","",IF($C138="売",CEILING($F138*IF($C138="売",1-$AG$3,1+$AG$3),IF($F138*IF($C138="売",1-$AG$3,1+$AG$3)&lt;=3000,1,IF($F138*IF($C138="売",1-$AG$3,1+$AG$3)&lt;=5000,5,IF($F138*IF($C138="売",1-$AG$3,1+$AG$3)&lt;=30000,10,IF($F138*IF($C138="売",1-$AG$3,1+$AG$3)&lt;=50000,50,IF($F138*IF($C138="売",1-$AG$3,1+$AG$3)&lt;=300000,100,500)))))),FLOOR($F138*IF($C138="売",1-$AG$3,1+$AG$3),IF($F138*IF($C138="売",1-$AG$3,1+$AG$3)&lt;=3000,1,IF($F138*IF($C138="売",1-$AG$3,1+$AG$3)&lt;=5000,5,IF($F138*IF($C138="売",1-$AG$3,1+$AG$3)&lt;=30000,10,IF($F138*IF($C138="売",1-$AG$3,1+$AG$3)&lt;=50000,50,IF($F138*IF($C138="売",1-$AG$3,1+$AG$3)&lt;=300000,100,500))))))))</f>
      </c>
      <c r="N138" s="491">
        <f>IF($F138="","",IF($C138="売",CEILING($F138*IF($C138="売",1+$AG$2,1-$AG$2),IF($F138*IF($C138="売",1+$AG$2,1-$AG$2)&lt;=3000,1,IF($F138*IF($C138="売",1+$AG$2,1-$AG$2)&lt;=5000,5,IF($F138*IF($C138="売",1+$AG$2,1-$AG$2)&lt;=30000,10,IF($F138*IF($C138="売",1+$AG$2,1-$AG$2)&lt;=50000,50,IF($F138*IF($C138="売",1+$AG$2,1-$AG$2)&lt;=300000,100,500)))))),FLOOR($F138*IF($C138="売",1+$AG$2,1-$AG$2),IF($F138*IF($C138="売",1+$AG$2,1-$AG$2)&lt;=3000,1,IF($F138*IF($C138="売",1+$AG$2,1-$AG$2)&lt;=5000,5,IF($F138*IF($C138="売",1+$AG$2,1-$AG$2)&lt;=30000,10,IF($F138*IF($C138="売",1+$AG$2,1-$AG$2)&lt;=50000,50,IF($F138*IF($C138="売",1+$AG$2,1-$AG$2)&lt;=300000,100,500))))))))</f>
      </c>
      <c r="O138" s="492">
        <f>IF(OR($B138="",$F138="",$H138=""),"",IF($S138="✅売却済","―決済済―",IF($C138="売",  IF($H138&lt;=$M138,"🟢利確",  IF(AND($R138&lt;&gt;"",$H138&gt;=$R138),"🟠TRAIL決済",  IF($H138&gt;=$N138,"🔴損切",  IF($W138&gt;=$AG$5,"⏱時間決済",  IF($H138&gt;=$F138*(1+$AG$2*0.7),"⚠️損切接近","保持継続"))))),  IF($H138&gt;=$M138,"🟢利確",  IF(AND($R138&lt;&gt;"",$H138&lt;=$R138),"🟠TRAIL決済",  IF($H138&lt;=$N138,"🔴損切",  IF($W138&gt;=$AG$5,"⏱時間決済",  IF($H138&lt;=$F138*(1-$AG$2*0.7),"⚠️損切接近","保持継続")))))))</f>
      </c>
      <c r="P138" s="491"/>
      <c r="Q138" s="491"/>
      <c r="R138" s="491">
        <f>IF(OR($F138="",$H138="",$N138=""),"",IF($S138="✅売却済","",IF($C138="売",  IF($H138&gt;$F138*(1-$AG$2),$N138,CEILING(MIN($N138,IF($Q138="",$N138,$Q138*1.03)),IF($N138&lt;=3000,1,IF($N138&lt;=5000,5,IF($N138&lt;=30000,10,IF($N138&lt;=50000,50,IF($N138&lt;=300000,100,500))))))),  IF($H138&lt;$F138*(1+$AG$2),$N138,FLOOR(MAX($N138,IF($P138="",$N138,$P138*0.97)),IF($N138&lt;=3000,1,IF($N138&lt;=5000,5,IF($N138&lt;=30000,10,IF($N138&lt;=50000,50,IF($N138&lt;=300000,100,500))))))))))</f>
      </c>
      <c r="S138" s="586" t="str">
        <f t="shared" ref="S138:S201" si="72">IF(B138="","",IF(T138&lt;&gt;"","✅売却済",IF(OR(H138="",L138=""),"📌保有中",IF(L138&gt;=0.06,"🟢利確推奨",IF(L138&gt;=0.05,"🟡利確直近",IF(L138&gt;=0.045,"🔵トレーリング検討",IF(L138&gt;-0.03,"📌保有中",IF(L138&gt;-0.04,"⚠️損切注意","🔴損切り"))))))))</f>
        <v/>
      </c>
      <c r="T138" s="594" t="str">
        <f t="shared" ca="1" si="61"/>
        <v/>
      </c>
      <c r="U138" s="491" t="str">
        <f t="shared" ca="1" si="62"/>
        <v/>
      </c>
      <c r="V138" s="701" t="str">
        <f t="shared" ref="V138:V201" ca="1" si="73">IF(OR(F138="",G138="",U138=""),"",IF(C138="売",(F138-U138)*G138,(U138-F138)*G138))</f>
        <v/>
      </c>
      <c r="W138" s="493" t="str">
        <f t="shared" ca="1" si="63"/>
        <v/>
      </c>
      <c r="X138" s="489" t="str">
        <f t="shared" ca="1" si="64"/>
        <v/>
      </c>
      <c r="Y138" s="488">
        <f>IF($B138="","",IF(COUNTIFS($B$4:$B138,$B138,$C$4:$C138,$C138)&gt;1,"⛔重複"&amp;COUNTIFS($B$4:$B138,$B138,$C$4:$C138,$C138)&amp;"回目",""))</f>
      </c>
      <c r="Z138" s="710"/>
      <c r="AB138">
        <f>IF($F138="","",MAX(100,ROUNDDOWN($AG$4/($F138*$AG$2)/100,0)*100))</f>
      </c>
      <c r="AC138">
        <f>IF(OR($F138="",$G138="",$U138=""),"",ROUND($V138-($F138+$U138)*$G138*$AG$6-IF($C138="売",$F138*$G138*$AG$7*$W138/365,0),0))</f>
      </c>
      <c r="AD138" s="608"/>
      <c r="AE138" s="600" t="str">
        <f t="shared" si="65"/>
        <v/>
      </c>
      <c r="AF138" s="600"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00"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00" t="str">
        <f t="shared" ca="1" si="66"/>
        <v/>
      </c>
      <c r="AI138" s="600" t="str" cm="1">
        <f t="array" ref="AI138">IFERROR(INDEX(始値!$E$6:$BT$305,MATCH(TEXT($B138,"0"),TEXT(銘柄管理!$B$6:$B$305,"0"),0),MATCH($AE138,始値!$E$3:$BT$3,0)),"")</f>
        <v/>
      </c>
      <c r="AJ138" s="608" t="str">
        <f t="shared" ca="1" si="67"/>
        <v/>
      </c>
      <c r="AK138" s="600" t="str">
        <f t="shared" ca="1" si="68"/>
        <v/>
      </c>
    </row>
    <row r="139" spans="1:37" ht="35.4" customHeight="1">
      <c r="A139" s="619" t="str">
        <f t="shared" si="57"/>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BT$3,0)=1,1,MATCH($E139,始値!$E$3:$BT$3,0)+1)),_xlpm.v,INDEX(始値!$C$6:$B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 t="shared" ca="1" si="69"/>
        <v/>
      </c>
      <c r="L139" s="706" t="str">
        <f t="shared" ca="1" si="70"/>
        <v/>
      </c>
      <c r="M139" s="491">
        <f>IF($F139="","",IF($C139="売",CEILING($F139*IF($C139="売",1-$AG$3,1+$AG$3),IF($F139*IF($C139="売",1-$AG$3,1+$AG$3)&lt;=3000,1,IF($F139*IF($C139="売",1-$AG$3,1+$AG$3)&lt;=5000,5,IF($F139*IF($C139="売",1-$AG$3,1+$AG$3)&lt;=30000,10,IF($F139*IF($C139="売",1-$AG$3,1+$AG$3)&lt;=50000,50,IF($F139*IF($C139="売",1-$AG$3,1+$AG$3)&lt;=300000,100,500)))))),FLOOR($F139*IF($C139="売",1-$AG$3,1+$AG$3),IF($F139*IF($C139="売",1-$AG$3,1+$AG$3)&lt;=3000,1,IF($F139*IF($C139="売",1-$AG$3,1+$AG$3)&lt;=5000,5,IF($F139*IF($C139="売",1-$AG$3,1+$AG$3)&lt;=30000,10,IF($F139*IF($C139="売",1-$AG$3,1+$AG$3)&lt;=50000,50,IF($F139*IF($C139="売",1-$AG$3,1+$AG$3)&lt;=300000,100,500))))))))</f>
      </c>
      <c r="N139" s="491">
        <f>IF($F139="","",IF($C139="売",CEILING($F139*IF($C139="売",1+$AG$2,1-$AG$2),IF($F139*IF($C139="売",1+$AG$2,1-$AG$2)&lt;=3000,1,IF($F139*IF($C139="売",1+$AG$2,1-$AG$2)&lt;=5000,5,IF($F139*IF($C139="売",1+$AG$2,1-$AG$2)&lt;=30000,10,IF($F139*IF($C139="売",1+$AG$2,1-$AG$2)&lt;=50000,50,IF($F139*IF($C139="売",1+$AG$2,1-$AG$2)&lt;=300000,100,500)))))),FLOOR($F139*IF($C139="売",1+$AG$2,1-$AG$2),IF($F139*IF($C139="売",1+$AG$2,1-$AG$2)&lt;=3000,1,IF($F139*IF($C139="売",1+$AG$2,1-$AG$2)&lt;=5000,5,IF($F139*IF($C139="売",1+$AG$2,1-$AG$2)&lt;=30000,10,IF($F139*IF($C139="売",1+$AG$2,1-$AG$2)&lt;=50000,50,IF($F139*IF($C139="売",1+$AG$2,1-$AG$2)&lt;=300000,100,500))))))))</f>
      </c>
      <c r="O139" s="492">
        <f>IF(OR($B139="",$F139="",$H139=""),"",IF($S139="✅売却済","―決済済―",IF($C139="売",  IF($H139&lt;=$M139,"🟢利確",  IF(AND($R139&lt;&gt;"",$H139&gt;=$R139),"🟠TRAIL決済",  IF($H139&gt;=$N139,"🔴損切",  IF($W139&gt;=$AG$5,"⏱時間決済",  IF($H139&gt;=$F139*(1+$AG$2*0.7),"⚠️損切接近","保持継続"))))),  IF($H139&gt;=$M139,"🟢利確",  IF(AND($R139&lt;&gt;"",$H139&lt;=$R139),"🟠TRAIL決済",  IF($H139&lt;=$N139,"🔴損切",  IF($W139&gt;=$AG$5,"⏱時間決済",  IF($H139&lt;=$F139*(1-$AG$2*0.7),"⚠️損切接近","保持継続")))))))</f>
      </c>
      <c r="P139" s="491"/>
      <c r="Q139" s="491"/>
      <c r="R139" s="491">
        <f>IF(OR($F139="",$H139="",$N139=""),"",IF($S139="✅売却済","",IF($C139="売",  IF($H139&gt;$F139*(1-$AG$2),$N139,CEILING(MIN($N139,IF($Q139="",$N139,$Q139*1.03)),IF($N139&lt;=3000,1,IF($N139&lt;=5000,5,IF($N139&lt;=30000,10,IF($N139&lt;=50000,50,IF($N139&lt;=300000,100,500))))))),  IF($H139&lt;$F139*(1+$AG$2),$N139,FLOOR(MAX($N139,IF($P139="",$N139,$P139*0.97)),IF($N139&lt;=3000,1,IF($N139&lt;=5000,5,IF($N139&lt;=30000,10,IF($N139&lt;=50000,50,IF($N139&lt;=300000,100,500))))))))))</f>
      </c>
      <c r="S139" s="586" t="str">
        <f t="shared" si="72"/>
        <v/>
      </c>
      <c r="T139" s="594" t="str">
        <f t="shared" ca="1" si="61"/>
        <v/>
      </c>
      <c r="U139" s="491" t="str">
        <f t="shared" ca="1" si="62"/>
        <v/>
      </c>
      <c r="V139" s="701" t="str">
        <f t="shared" ca="1" si="73"/>
        <v/>
      </c>
      <c r="W139" s="493" t="str">
        <f t="shared" ca="1" si="63"/>
        <v/>
      </c>
      <c r="X139" s="489" t="str">
        <f t="shared" ca="1" si="64"/>
        <v/>
      </c>
      <c r="Y139" s="488">
        <f>IF($B139="","",IF(COUNTIFS($B$4:$B139,$B139,$C$4:$C139,$C139)&gt;1,"⛔重複"&amp;COUNTIFS($B$4:$B139,$B139,$C$4:$C139,$C139)&amp;"回目",""))</f>
      </c>
      <c r="Z139" s="710"/>
      <c r="AB139">
        <f>IF($F139="","",MAX(100,ROUNDDOWN($AG$4/($F139*$AG$2)/100,0)*100))</f>
      </c>
      <c r="AC139">
        <f>IF(OR($F139="",$G139="",$U139=""),"",ROUND($V139-($F139+$U139)*$G139*$AG$6-IF($C139="売",$F139*$G139*$AG$7*$W139/365,0),0))</f>
      </c>
      <c r="AD139" s="608"/>
      <c r="AE139" s="600" t="str">
        <f t="shared" si="65"/>
        <v/>
      </c>
      <c r="AF139" s="600"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00"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00" t="str">
        <f t="shared" ca="1" si="66"/>
        <v/>
      </c>
      <c r="AI139" s="600" t="str" cm="1">
        <f t="array" ref="AI139">IFERROR(INDEX(始値!$E$6:$BT$305,MATCH(TEXT($B139,"0"),TEXT(銘柄管理!$B$6:$B$305,"0"),0),MATCH($AE139,始値!$E$3:$BT$3,0)),"")</f>
        <v/>
      </c>
      <c r="AJ139" s="608" t="str">
        <f t="shared" ca="1" si="67"/>
        <v/>
      </c>
      <c r="AK139" s="600" t="str">
        <f t="shared" ca="1" si="68"/>
        <v/>
      </c>
    </row>
    <row r="140" spans="1:37" ht="35.4" customHeight="1">
      <c r="A140" s="619" t="str">
        <f t="shared" si="57"/>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BT$3,0)=1,1,MATCH($E140,始値!$E$3:$BT$3,0)+1)),_xlpm.v,INDEX(始値!$C$6:$B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 t="shared" ca="1" si="69"/>
        <v/>
      </c>
      <c r="L140" s="706" t="str">
        <f t="shared" ca="1" si="70"/>
        <v/>
      </c>
      <c r="M140" s="491">
        <f>IF($F140="","",IF($C140="売",CEILING($F140*IF($C140="売",1-$AG$3,1+$AG$3),IF($F140*IF($C140="売",1-$AG$3,1+$AG$3)&lt;=3000,1,IF($F140*IF($C140="売",1-$AG$3,1+$AG$3)&lt;=5000,5,IF($F140*IF($C140="売",1-$AG$3,1+$AG$3)&lt;=30000,10,IF($F140*IF($C140="売",1-$AG$3,1+$AG$3)&lt;=50000,50,IF($F140*IF($C140="売",1-$AG$3,1+$AG$3)&lt;=300000,100,500)))))),FLOOR($F140*IF($C140="売",1-$AG$3,1+$AG$3),IF($F140*IF($C140="売",1-$AG$3,1+$AG$3)&lt;=3000,1,IF($F140*IF($C140="売",1-$AG$3,1+$AG$3)&lt;=5000,5,IF($F140*IF($C140="売",1-$AG$3,1+$AG$3)&lt;=30000,10,IF($F140*IF($C140="売",1-$AG$3,1+$AG$3)&lt;=50000,50,IF($F140*IF($C140="売",1-$AG$3,1+$AG$3)&lt;=300000,100,500))))))))</f>
      </c>
      <c r="N140" s="491">
        <f>IF($F140="","",IF($C140="売",CEILING($F140*IF($C140="売",1+$AG$2,1-$AG$2),IF($F140*IF($C140="売",1+$AG$2,1-$AG$2)&lt;=3000,1,IF($F140*IF($C140="売",1+$AG$2,1-$AG$2)&lt;=5000,5,IF($F140*IF($C140="売",1+$AG$2,1-$AG$2)&lt;=30000,10,IF($F140*IF($C140="売",1+$AG$2,1-$AG$2)&lt;=50000,50,IF($F140*IF($C140="売",1+$AG$2,1-$AG$2)&lt;=300000,100,500)))))),FLOOR($F140*IF($C140="売",1+$AG$2,1-$AG$2),IF($F140*IF($C140="売",1+$AG$2,1-$AG$2)&lt;=3000,1,IF($F140*IF($C140="売",1+$AG$2,1-$AG$2)&lt;=5000,5,IF($F140*IF($C140="売",1+$AG$2,1-$AG$2)&lt;=30000,10,IF($F140*IF($C140="売",1+$AG$2,1-$AG$2)&lt;=50000,50,IF($F140*IF($C140="売",1+$AG$2,1-$AG$2)&lt;=300000,100,500))))))))</f>
      </c>
      <c r="O140" s="492">
        <f>IF(OR($B140="",$F140="",$H140=""),"",IF($S140="✅売却済","―決済済―",IF($C140="売",  IF($H140&lt;=$M140,"🟢利確",  IF(AND($R140&lt;&gt;"",$H140&gt;=$R140),"🟠TRAIL決済",  IF($H140&gt;=$N140,"🔴損切",  IF($W140&gt;=$AG$5,"⏱時間決済",  IF($H140&gt;=$F140*(1+$AG$2*0.7),"⚠️損切接近","保持継続"))))),  IF($H140&gt;=$M140,"🟢利確",  IF(AND($R140&lt;&gt;"",$H140&lt;=$R140),"🟠TRAIL決済",  IF($H140&lt;=$N140,"🔴損切",  IF($W140&gt;=$AG$5,"⏱時間決済",  IF($H140&lt;=$F140*(1-$AG$2*0.7),"⚠️損切接近","保持継続")))))))</f>
      </c>
      <c r="P140" s="491"/>
      <c r="Q140" s="491"/>
      <c r="R140" s="491">
        <f>IF(OR($F140="",$H140="",$N140=""),"",IF($S140="✅売却済","",IF($C140="売",  IF($H140&gt;$F140*(1-$AG$2),$N140,CEILING(MIN($N140,IF($Q140="",$N140,$Q140*1.03)),IF($N140&lt;=3000,1,IF($N140&lt;=5000,5,IF($N140&lt;=30000,10,IF($N140&lt;=50000,50,IF($N140&lt;=300000,100,500))))))),  IF($H140&lt;$F140*(1+$AG$2),$N140,FLOOR(MAX($N140,IF($P140="",$N140,$P140*0.97)),IF($N140&lt;=3000,1,IF($N140&lt;=5000,5,IF($N140&lt;=30000,10,IF($N140&lt;=50000,50,IF($N140&lt;=300000,100,500))))))))))</f>
      </c>
      <c r="S140" s="586" t="str">
        <f t="shared" si="72"/>
        <v/>
      </c>
      <c r="T140" s="594" t="str">
        <f t="shared" ca="1" si="61"/>
        <v/>
      </c>
      <c r="U140" s="491" t="str">
        <f t="shared" ca="1" si="62"/>
        <v/>
      </c>
      <c r="V140" s="701" t="str">
        <f t="shared" ca="1" si="73"/>
        <v/>
      </c>
      <c r="W140" s="493" t="str">
        <f t="shared" ca="1" si="63"/>
        <v/>
      </c>
      <c r="X140" s="489" t="str">
        <f t="shared" ca="1" si="64"/>
        <v/>
      </c>
      <c r="Y140" s="488">
        <f>IF($B140="","",IF(COUNTIFS($B$4:$B140,$B140,$C$4:$C140,$C140)&gt;1,"⛔重複"&amp;COUNTIFS($B$4:$B140,$B140,$C$4:$C140,$C140)&amp;"回目",""))</f>
      </c>
      <c r="Z140" s="710"/>
      <c r="AB140">
        <f>IF($F140="","",MAX(100,ROUNDDOWN($AG$4/($F140*$AG$2)/100,0)*100))</f>
      </c>
      <c r="AC140">
        <f>IF(OR($F140="",$G140="",$U140=""),"",ROUND($V140-($F140+$U140)*$G140*$AG$6-IF($C140="売",$F140*$G140*$AG$7*$W140/365,0),0))</f>
      </c>
      <c r="AD140" s="608"/>
      <c r="AE140" s="600" t="str">
        <f t="shared" si="65"/>
        <v/>
      </c>
      <c r="AF140" s="600"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00"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00" t="str">
        <f t="shared" ca="1" si="66"/>
        <v/>
      </c>
      <c r="AI140" s="600" t="str" cm="1">
        <f t="array" ref="AI140">IFERROR(INDEX(始値!$E$6:$BT$305,MATCH(TEXT($B140,"0"),TEXT(銘柄管理!$B$6:$B$305,"0"),0),MATCH($AE140,始値!$E$3:$BT$3,0)),"")</f>
        <v/>
      </c>
      <c r="AJ140" s="608" t="str">
        <f t="shared" ca="1" si="67"/>
        <v/>
      </c>
      <c r="AK140" s="600" t="str">
        <f t="shared" ca="1" si="68"/>
        <v/>
      </c>
    </row>
    <row r="141" spans="1:37" ht="35.4" customHeight="1">
      <c r="A141" s="619" t="str">
        <f t="shared" si="57"/>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BT$3,0)=1,1,MATCH($E141,始値!$E$3:$BT$3,0)+1)),_xlpm.v,INDEX(始値!$C$6:$B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 t="shared" ca="1" si="69"/>
        <v/>
      </c>
      <c r="L141" s="706" t="str">
        <f t="shared" ca="1" si="70"/>
        <v/>
      </c>
      <c r="M141" s="491">
        <f>IF($F141="","",IF($C141="売",CEILING($F141*IF($C141="売",1-$AG$3,1+$AG$3),IF($F141*IF($C141="売",1-$AG$3,1+$AG$3)&lt;=3000,1,IF($F141*IF($C141="売",1-$AG$3,1+$AG$3)&lt;=5000,5,IF($F141*IF($C141="売",1-$AG$3,1+$AG$3)&lt;=30000,10,IF($F141*IF($C141="売",1-$AG$3,1+$AG$3)&lt;=50000,50,IF($F141*IF($C141="売",1-$AG$3,1+$AG$3)&lt;=300000,100,500)))))),FLOOR($F141*IF($C141="売",1-$AG$3,1+$AG$3),IF($F141*IF($C141="売",1-$AG$3,1+$AG$3)&lt;=3000,1,IF($F141*IF($C141="売",1-$AG$3,1+$AG$3)&lt;=5000,5,IF($F141*IF($C141="売",1-$AG$3,1+$AG$3)&lt;=30000,10,IF($F141*IF($C141="売",1-$AG$3,1+$AG$3)&lt;=50000,50,IF($F141*IF($C141="売",1-$AG$3,1+$AG$3)&lt;=300000,100,500))))))))</f>
      </c>
      <c r="N141" s="491">
        <f>IF($F141="","",IF($C141="売",CEILING($F141*IF($C141="売",1+$AG$2,1-$AG$2),IF($F141*IF($C141="売",1+$AG$2,1-$AG$2)&lt;=3000,1,IF($F141*IF($C141="売",1+$AG$2,1-$AG$2)&lt;=5000,5,IF($F141*IF($C141="売",1+$AG$2,1-$AG$2)&lt;=30000,10,IF($F141*IF($C141="売",1+$AG$2,1-$AG$2)&lt;=50000,50,IF($F141*IF($C141="売",1+$AG$2,1-$AG$2)&lt;=300000,100,500)))))),FLOOR($F141*IF($C141="売",1+$AG$2,1-$AG$2),IF($F141*IF($C141="売",1+$AG$2,1-$AG$2)&lt;=3000,1,IF($F141*IF($C141="売",1+$AG$2,1-$AG$2)&lt;=5000,5,IF($F141*IF($C141="売",1+$AG$2,1-$AG$2)&lt;=30000,10,IF($F141*IF($C141="売",1+$AG$2,1-$AG$2)&lt;=50000,50,IF($F141*IF($C141="売",1+$AG$2,1-$AG$2)&lt;=300000,100,500))))))))</f>
      </c>
      <c r="O141" s="492">
        <f>IF(OR($B141="",$F141="",$H141=""),"",IF($S141="✅売却済","―決済済―",IF($C141="売",  IF($H141&lt;=$M141,"🟢利確",  IF(AND($R141&lt;&gt;"",$H141&gt;=$R141),"🟠TRAIL決済",  IF($H141&gt;=$N141,"🔴損切",  IF($W141&gt;=$AG$5,"⏱時間決済",  IF($H141&gt;=$F141*(1+$AG$2*0.7),"⚠️損切接近","保持継続"))))),  IF($H141&gt;=$M141,"🟢利確",  IF(AND($R141&lt;&gt;"",$H141&lt;=$R141),"🟠TRAIL決済",  IF($H141&lt;=$N141,"🔴損切",  IF($W141&gt;=$AG$5,"⏱時間決済",  IF($H141&lt;=$F141*(1-$AG$2*0.7),"⚠️損切接近","保持継続")))))))</f>
      </c>
      <c r="P141" s="491"/>
      <c r="Q141" s="491"/>
      <c r="R141" s="491">
        <f>IF(OR($F141="",$H141="",$N141=""),"",IF($S141="✅売却済","",IF($C141="売",  IF($H141&gt;$F141*(1-$AG$2),$N141,CEILING(MIN($N141,IF($Q141="",$N141,$Q141*1.03)),IF($N141&lt;=3000,1,IF($N141&lt;=5000,5,IF($N141&lt;=30000,10,IF($N141&lt;=50000,50,IF($N141&lt;=300000,100,500))))))),  IF($H141&lt;$F141*(1+$AG$2),$N141,FLOOR(MAX($N141,IF($P141="",$N141,$P141*0.97)),IF($N141&lt;=3000,1,IF($N141&lt;=5000,5,IF($N141&lt;=30000,10,IF($N141&lt;=50000,50,IF($N141&lt;=300000,100,500))))))))))</f>
      </c>
      <c r="S141" s="586" t="str">
        <f t="shared" si="72"/>
        <v/>
      </c>
      <c r="T141" s="594" t="str">
        <f t="shared" ca="1" si="61"/>
        <v/>
      </c>
      <c r="U141" s="491" t="str">
        <f t="shared" ca="1" si="62"/>
        <v/>
      </c>
      <c r="V141" s="701" t="str">
        <f t="shared" ca="1" si="73"/>
        <v/>
      </c>
      <c r="W141" s="493" t="str">
        <f t="shared" ca="1" si="63"/>
        <v/>
      </c>
      <c r="X141" s="489" t="str">
        <f t="shared" ca="1" si="64"/>
        <v/>
      </c>
      <c r="Y141" s="488">
        <f>IF($B141="","",IF(COUNTIFS($B$4:$B141,$B141,$C$4:$C141,$C141)&gt;1,"⛔重複"&amp;COUNTIFS($B$4:$B141,$B141,$C$4:$C141,$C141)&amp;"回目",""))</f>
      </c>
      <c r="Z141" s="710"/>
      <c r="AB141">
        <f>IF($F141="","",MAX(100,ROUNDDOWN($AG$4/($F141*$AG$2)/100,0)*100))</f>
      </c>
      <c r="AC141">
        <f>IF(OR($F141="",$G141="",$U141=""),"",ROUND($V141-($F141+$U141)*$G141*$AG$6-IF($C141="売",$F141*$G141*$AG$7*$W141/365,0),0))</f>
      </c>
      <c r="AD141" s="608"/>
      <c r="AE141" s="600" t="str">
        <f t="shared" si="65"/>
        <v/>
      </c>
      <c r="AF141" s="600"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00"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00" t="str">
        <f t="shared" ca="1" si="66"/>
        <v/>
      </c>
      <c r="AI141" s="600" t="str" cm="1">
        <f t="array" ref="AI141">IFERROR(INDEX(始値!$E$6:$BT$305,MATCH(TEXT($B141,"0"),TEXT(銘柄管理!$B$6:$B$305,"0"),0),MATCH($AE141,始値!$E$3:$BT$3,0)),"")</f>
        <v/>
      </c>
      <c r="AJ141" s="608" t="str">
        <f t="shared" ca="1" si="67"/>
        <v/>
      </c>
      <c r="AK141" s="600" t="str">
        <f t="shared" ca="1" si="68"/>
        <v/>
      </c>
    </row>
    <row r="142" spans="1:37" ht="35.4" customHeight="1">
      <c r="A142" s="619" t="str">
        <f t="shared" si="57"/>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BT$3,0)=1,1,MATCH($E142,始値!$E$3:$BT$3,0)+1)),_xlpm.v,INDEX(始値!$C$6:$B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 t="shared" ca="1" si="69"/>
        <v/>
      </c>
      <c r="L142" s="706" t="str">
        <f t="shared" ca="1" si="70"/>
        <v/>
      </c>
      <c r="M142" s="491">
        <f>IF($F142="","",IF($C142="売",CEILING($F142*IF($C142="売",1-$AG$3,1+$AG$3),IF($F142*IF($C142="売",1-$AG$3,1+$AG$3)&lt;=3000,1,IF($F142*IF($C142="売",1-$AG$3,1+$AG$3)&lt;=5000,5,IF($F142*IF($C142="売",1-$AG$3,1+$AG$3)&lt;=30000,10,IF($F142*IF($C142="売",1-$AG$3,1+$AG$3)&lt;=50000,50,IF($F142*IF($C142="売",1-$AG$3,1+$AG$3)&lt;=300000,100,500)))))),FLOOR($F142*IF($C142="売",1-$AG$3,1+$AG$3),IF($F142*IF($C142="売",1-$AG$3,1+$AG$3)&lt;=3000,1,IF($F142*IF($C142="売",1-$AG$3,1+$AG$3)&lt;=5000,5,IF($F142*IF($C142="売",1-$AG$3,1+$AG$3)&lt;=30000,10,IF($F142*IF($C142="売",1-$AG$3,1+$AG$3)&lt;=50000,50,IF($F142*IF($C142="売",1-$AG$3,1+$AG$3)&lt;=300000,100,500))))))))</f>
      </c>
      <c r="N142" s="491">
        <f>IF($F142="","",IF($C142="売",CEILING($F142*IF($C142="売",1+$AG$2,1-$AG$2),IF($F142*IF($C142="売",1+$AG$2,1-$AG$2)&lt;=3000,1,IF($F142*IF($C142="売",1+$AG$2,1-$AG$2)&lt;=5000,5,IF($F142*IF($C142="売",1+$AG$2,1-$AG$2)&lt;=30000,10,IF($F142*IF($C142="売",1+$AG$2,1-$AG$2)&lt;=50000,50,IF($F142*IF($C142="売",1+$AG$2,1-$AG$2)&lt;=300000,100,500)))))),FLOOR($F142*IF($C142="売",1+$AG$2,1-$AG$2),IF($F142*IF($C142="売",1+$AG$2,1-$AG$2)&lt;=3000,1,IF($F142*IF($C142="売",1+$AG$2,1-$AG$2)&lt;=5000,5,IF($F142*IF($C142="売",1+$AG$2,1-$AG$2)&lt;=30000,10,IF($F142*IF($C142="売",1+$AG$2,1-$AG$2)&lt;=50000,50,IF($F142*IF($C142="売",1+$AG$2,1-$AG$2)&lt;=300000,100,500))))))))</f>
      </c>
      <c r="O142" s="492">
        <f>IF(OR($B142="",$F142="",$H142=""),"",IF($S142="✅売却済","―決済済―",IF($C142="売",  IF($H142&lt;=$M142,"🟢利確",  IF(AND($R142&lt;&gt;"",$H142&gt;=$R142),"🟠TRAIL決済",  IF($H142&gt;=$N142,"🔴損切",  IF($W142&gt;=$AG$5,"⏱時間決済",  IF($H142&gt;=$F142*(1+$AG$2*0.7),"⚠️損切接近","保持継続"))))),  IF($H142&gt;=$M142,"🟢利確",  IF(AND($R142&lt;&gt;"",$H142&lt;=$R142),"🟠TRAIL決済",  IF($H142&lt;=$N142,"🔴損切",  IF($W142&gt;=$AG$5,"⏱時間決済",  IF($H142&lt;=$F142*(1-$AG$2*0.7),"⚠️損切接近","保持継続")))))))</f>
      </c>
      <c r="P142" s="491"/>
      <c r="Q142" s="491"/>
      <c r="R142" s="491">
        <f>IF(OR($F142="",$H142="",$N142=""),"",IF($S142="✅売却済","",IF($C142="売",  IF($H142&gt;$F142*(1-$AG$2),$N142,CEILING(MIN($N142,IF($Q142="",$N142,$Q142*1.03)),IF($N142&lt;=3000,1,IF($N142&lt;=5000,5,IF($N142&lt;=30000,10,IF($N142&lt;=50000,50,IF($N142&lt;=300000,100,500))))))),  IF($H142&lt;$F142*(1+$AG$2),$N142,FLOOR(MAX($N142,IF($P142="",$N142,$P142*0.97)),IF($N142&lt;=3000,1,IF($N142&lt;=5000,5,IF($N142&lt;=30000,10,IF($N142&lt;=50000,50,IF($N142&lt;=300000,100,500))))))))))</f>
      </c>
      <c r="S142" s="586" t="str">
        <f t="shared" si="72"/>
        <v/>
      </c>
      <c r="T142" s="594" t="str">
        <f t="shared" ca="1" si="61"/>
        <v/>
      </c>
      <c r="U142" s="491" t="str">
        <f t="shared" ca="1" si="62"/>
        <v/>
      </c>
      <c r="V142" s="701" t="str">
        <f t="shared" ca="1" si="73"/>
        <v/>
      </c>
      <c r="W142" s="493" t="str">
        <f t="shared" ca="1" si="63"/>
        <v/>
      </c>
      <c r="X142" s="489" t="str">
        <f t="shared" ca="1" si="64"/>
        <v/>
      </c>
      <c r="Y142" s="488">
        <f>IF($B142="","",IF(COUNTIFS($B$4:$B142,$B142,$C$4:$C142,$C142)&gt;1,"⛔重複"&amp;COUNTIFS($B$4:$B142,$B142,$C$4:$C142,$C142)&amp;"回目",""))</f>
      </c>
      <c r="Z142" s="710"/>
      <c r="AB142">
        <f>IF($F142="","",MAX(100,ROUNDDOWN($AG$4/($F142*$AG$2)/100,0)*100))</f>
      </c>
      <c r="AC142">
        <f>IF(OR($F142="",$G142="",$U142=""),"",ROUND($V142-($F142+$U142)*$G142*$AG$6-IF($C142="売",$F142*$G142*$AG$7*$W142/365,0),0))</f>
      </c>
      <c r="AD142" s="608"/>
      <c r="AE142" s="600" t="str">
        <f t="shared" si="65"/>
        <v/>
      </c>
      <c r="AF142" s="600"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00"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00" t="str">
        <f t="shared" ca="1" si="66"/>
        <v/>
      </c>
      <c r="AI142" s="600" t="str" cm="1">
        <f t="array" ref="AI142">IFERROR(INDEX(始値!$E$6:$BT$305,MATCH(TEXT($B142,"0"),TEXT(銘柄管理!$B$6:$B$305,"0"),0),MATCH($AE142,始値!$E$3:$BT$3,0)),"")</f>
        <v/>
      </c>
      <c r="AJ142" s="608" t="str">
        <f t="shared" ca="1" si="67"/>
        <v/>
      </c>
      <c r="AK142" s="600" t="str">
        <f t="shared" ca="1" si="68"/>
        <v/>
      </c>
    </row>
    <row r="143" spans="1:37" ht="35.4" customHeight="1">
      <c r="A143" s="619" t="str">
        <f t="shared" si="57"/>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BT$3,0)=1,1,MATCH($E143,始値!$E$3:$BT$3,0)+1)),_xlpm.v,INDEX(始値!$C$6:$B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 t="shared" ca="1" si="69"/>
        <v/>
      </c>
      <c r="L143" s="706" t="str">
        <f t="shared" ca="1" si="70"/>
        <v/>
      </c>
      <c r="M143" s="491">
        <f>IF($F143="","",IF($C143="売",CEILING($F143*IF($C143="売",1-$AG$3,1+$AG$3),IF($F143*IF($C143="売",1-$AG$3,1+$AG$3)&lt;=3000,1,IF($F143*IF($C143="売",1-$AG$3,1+$AG$3)&lt;=5000,5,IF($F143*IF($C143="売",1-$AG$3,1+$AG$3)&lt;=30000,10,IF($F143*IF($C143="売",1-$AG$3,1+$AG$3)&lt;=50000,50,IF($F143*IF($C143="売",1-$AG$3,1+$AG$3)&lt;=300000,100,500)))))),FLOOR($F143*IF($C143="売",1-$AG$3,1+$AG$3),IF($F143*IF($C143="売",1-$AG$3,1+$AG$3)&lt;=3000,1,IF($F143*IF($C143="売",1-$AG$3,1+$AG$3)&lt;=5000,5,IF($F143*IF($C143="売",1-$AG$3,1+$AG$3)&lt;=30000,10,IF($F143*IF($C143="売",1-$AG$3,1+$AG$3)&lt;=50000,50,IF($F143*IF($C143="売",1-$AG$3,1+$AG$3)&lt;=300000,100,500))))))))</f>
      </c>
      <c r="N143" s="491">
        <f>IF($F143="","",IF($C143="売",CEILING($F143*IF($C143="売",1+$AG$2,1-$AG$2),IF($F143*IF($C143="売",1+$AG$2,1-$AG$2)&lt;=3000,1,IF($F143*IF($C143="売",1+$AG$2,1-$AG$2)&lt;=5000,5,IF($F143*IF($C143="売",1+$AG$2,1-$AG$2)&lt;=30000,10,IF($F143*IF($C143="売",1+$AG$2,1-$AG$2)&lt;=50000,50,IF($F143*IF($C143="売",1+$AG$2,1-$AG$2)&lt;=300000,100,500)))))),FLOOR($F143*IF($C143="売",1+$AG$2,1-$AG$2),IF($F143*IF($C143="売",1+$AG$2,1-$AG$2)&lt;=3000,1,IF($F143*IF($C143="売",1+$AG$2,1-$AG$2)&lt;=5000,5,IF($F143*IF($C143="売",1+$AG$2,1-$AG$2)&lt;=30000,10,IF($F143*IF($C143="売",1+$AG$2,1-$AG$2)&lt;=50000,50,IF($F143*IF($C143="売",1+$AG$2,1-$AG$2)&lt;=300000,100,500))))))))</f>
      </c>
      <c r="O143" s="492">
        <f>IF(OR($B143="",$F143="",$H143=""),"",IF($S143="✅売却済","―決済済―",IF($C143="売",  IF($H143&lt;=$M143,"🟢利確",  IF(AND($R143&lt;&gt;"",$H143&gt;=$R143),"🟠TRAIL決済",  IF($H143&gt;=$N143,"🔴損切",  IF($W143&gt;=$AG$5,"⏱時間決済",  IF($H143&gt;=$F143*(1+$AG$2*0.7),"⚠️損切接近","保持継続"))))),  IF($H143&gt;=$M143,"🟢利確",  IF(AND($R143&lt;&gt;"",$H143&lt;=$R143),"🟠TRAIL決済",  IF($H143&lt;=$N143,"🔴損切",  IF($W143&gt;=$AG$5,"⏱時間決済",  IF($H143&lt;=$F143*(1-$AG$2*0.7),"⚠️損切接近","保持継続")))))))</f>
      </c>
      <c r="P143" s="491"/>
      <c r="Q143" s="491"/>
      <c r="R143" s="491">
        <f>IF(OR($F143="",$H143="",$N143=""),"",IF($S143="✅売却済","",IF($C143="売",  IF($H143&gt;$F143*(1-$AG$2),$N143,CEILING(MIN($N143,IF($Q143="",$N143,$Q143*1.03)),IF($N143&lt;=3000,1,IF($N143&lt;=5000,5,IF($N143&lt;=30000,10,IF($N143&lt;=50000,50,IF($N143&lt;=300000,100,500))))))),  IF($H143&lt;$F143*(1+$AG$2),$N143,FLOOR(MAX($N143,IF($P143="",$N143,$P143*0.97)),IF($N143&lt;=3000,1,IF($N143&lt;=5000,5,IF($N143&lt;=30000,10,IF($N143&lt;=50000,50,IF($N143&lt;=300000,100,500))))))))))</f>
      </c>
      <c r="S143" s="586" t="str">
        <f t="shared" si="72"/>
        <v/>
      </c>
      <c r="T143" s="594" t="str">
        <f t="shared" ca="1" si="61"/>
        <v/>
      </c>
      <c r="U143" s="491" t="str">
        <f t="shared" ca="1" si="62"/>
        <v/>
      </c>
      <c r="V143" s="701" t="str">
        <f t="shared" ca="1" si="73"/>
        <v/>
      </c>
      <c r="W143" s="493" t="str">
        <f t="shared" ca="1" si="63"/>
        <v/>
      </c>
      <c r="X143" s="489" t="str">
        <f t="shared" ca="1" si="64"/>
        <v/>
      </c>
      <c r="Y143" s="488">
        <f>IF($B143="","",IF(COUNTIFS($B$4:$B143,$B143,$C$4:$C143,$C143)&gt;1,"⛔重複"&amp;COUNTIFS($B$4:$B143,$B143,$C$4:$C143,$C143)&amp;"回目",""))</f>
      </c>
      <c r="Z143" s="710"/>
      <c r="AB143">
        <f>IF($F143="","",MAX(100,ROUNDDOWN($AG$4/($F143*$AG$2)/100,0)*100))</f>
      </c>
      <c r="AC143">
        <f>IF(OR($F143="",$G143="",$U143=""),"",ROUND($V143-($F143+$U143)*$G143*$AG$6-IF($C143="売",$F143*$G143*$AG$7*$W143/365,0),0))</f>
      </c>
      <c r="AD143" s="608"/>
      <c r="AE143" s="600" t="str">
        <f t="shared" si="65"/>
        <v/>
      </c>
      <c r="AF143" s="600"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00"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00" t="str">
        <f t="shared" ca="1" si="66"/>
        <v/>
      </c>
      <c r="AI143" s="600" t="str" cm="1">
        <f t="array" ref="AI143">IFERROR(INDEX(始値!$E$6:$BT$305,MATCH(TEXT($B143,"0"),TEXT(銘柄管理!$B$6:$B$305,"0"),0),MATCH($AE143,始値!$E$3:$BT$3,0)),"")</f>
        <v/>
      </c>
      <c r="AJ143" s="608" t="str">
        <f t="shared" ca="1" si="67"/>
        <v/>
      </c>
      <c r="AK143" s="600" t="str">
        <f t="shared" ca="1" si="68"/>
        <v/>
      </c>
    </row>
    <row r="144" spans="1:37" ht="35.4" customHeight="1">
      <c r="A144" s="619" t="str">
        <f t="shared" si="57"/>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BT$3,0)=1,1,MATCH($E144,始値!$E$3:$BT$3,0)+1)),_xlpm.v,INDEX(始値!$C$6:$B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 t="shared" ca="1" si="69"/>
        <v/>
      </c>
      <c r="L144" s="706" t="str">
        <f t="shared" ca="1" si="70"/>
        <v/>
      </c>
      <c r="M144" s="491">
        <f>IF($F144="","",IF($C144="売",CEILING($F144*IF($C144="売",1-$AG$3,1+$AG$3),IF($F144*IF($C144="売",1-$AG$3,1+$AG$3)&lt;=3000,1,IF($F144*IF($C144="売",1-$AG$3,1+$AG$3)&lt;=5000,5,IF($F144*IF($C144="売",1-$AG$3,1+$AG$3)&lt;=30000,10,IF($F144*IF($C144="売",1-$AG$3,1+$AG$3)&lt;=50000,50,IF($F144*IF($C144="売",1-$AG$3,1+$AG$3)&lt;=300000,100,500)))))),FLOOR($F144*IF($C144="売",1-$AG$3,1+$AG$3),IF($F144*IF($C144="売",1-$AG$3,1+$AG$3)&lt;=3000,1,IF($F144*IF($C144="売",1-$AG$3,1+$AG$3)&lt;=5000,5,IF($F144*IF($C144="売",1-$AG$3,1+$AG$3)&lt;=30000,10,IF($F144*IF($C144="売",1-$AG$3,1+$AG$3)&lt;=50000,50,IF($F144*IF($C144="売",1-$AG$3,1+$AG$3)&lt;=300000,100,500))))))))</f>
      </c>
      <c r="N144" s="491">
        <f>IF($F144="","",IF($C144="売",CEILING($F144*IF($C144="売",1+$AG$2,1-$AG$2),IF($F144*IF($C144="売",1+$AG$2,1-$AG$2)&lt;=3000,1,IF($F144*IF($C144="売",1+$AG$2,1-$AG$2)&lt;=5000,5,IF($F144*IF($C144="売",1+$AG$2,1-$AG$2)&lt;=30000,10,IF($F144*IF($C144="売",1+$AG$2,1-$AG$2)&lt;=50000,50,IF($F144*IF($C144="売",1+$AG$2,1-$AG$2)&lt;=300000,100,500)))))),FLOOR($F144*IF($C144="売",1+$AG$2,1-$AG$2),IF($F144*IF($C144="売",1+$AG$2,1-$AG$2)&lt;=3000,1,IF($F144*IF($C144="売",1+$AG$2,1-$AG$2)&lt;=5000,5,IF($F144*IF($C144="売",1+$AG$2,1-$AG$2)&lt;=30000,10,IF($F144*IF($C144="売",1+$AG$2,1-$AG$2)&lt;=50000,50,IF($F144*IF($C144="売",1+$AG$2,1-$AG$2)&lt;=300000,100,500))))))))</f>
      </c>
      <c r="O144" s="492">
        <f>IF(OR($B144="",$F144="",$H144=""),"",IF($S144="✅売却済","―決済済―",IF($C144="売",  IF($H144&lt;=$M144,"🟢利確",  IF(AND($R144&lt;&gt;"",$H144&gt;=$R144),"🟠TRAIL決済",  IF($H144&gt;=$N144,"🔴損切",  IF($W144&gt;=$AG$5,"⏱時間決済",  IF($H144&gt;=$F144*(1+$AG$2*0.7),"⚠️損切接近","保持継続"))))),  IF($H144&gt;=$M144,"🟢利確",  IF(AND($R144&lt;&gt;"",$H144&lt;=$R144),"🟠TRAIL決済",  IF($H144&lt;=$N144,"🔴損切",  IF($W144&gt;=$AG$5,"⏱時間決済",  IF($H144&lt;=$F144*(1-$AG$2*0.7),"⚠️損切接近","保持継続")))))))</f>
      </c>
      <c r="P144" s="491"/>
      <c r="Q144" s="491"/>
      <c r="R144" s="491">
        <f>IF(OR($F144="",$H144="",$N144=""),"",IF($S144="✅売却済","",IF($C144="売",  IF($H144&gt;$F144*(1-$AG$2),$N144,CEILING(MIN($N144,IF($Q144="",$N144,$Q144*1.03)),IF($N144&lt;=3000,1,IF($N144&lt;=5000,5,IF($N144&lt;=30000,10,IF($N144&lt;=50000,50,IF($N144&lt;=300000,100,500))))))),  IF($H144&lt;$F144*(1+$AG$2),$N144,FLOOR(MAX($N144,IF($P144="",$N144,$P144*0.97)),IF($N144&lt;=3000,1,IF($N144&lt;=5000,5,IF($N144&lt;=30000,10,IF($N144&lt;=50000,50,IF($N144&lt;=300000,100,500))))))))))</f>
      </c>
      <c r="S144" s="586" t="str">
        <f t="shared" si="72"/>
        <v/>
      </c>
      <c r="T144" s="594" t="str">
        <f t="shared" ca="1" si="61"/>
        <v/>
      </c>
      <c r="U144" s="491" t="str">
        <f t="shared" ca="1" si="62"/>
        <v/>
      </c>
      <c r="V144" s="701" t="str">
        <f t="shared" ca="1" si="73"/>
        <v/>
      </c>
      <c r="W144" s="493" t="str">
        <f t="shared" ca="1" si="63"/>
        <v/>
      </c>
      <c r="X144" s="489" t="str">
        <f t="shared" ca="1" si="64"/>
        <v/>
      </c>
      <c r="Y144" s="488">
        <f>IF($B144="","",IF(COUNTIFS($B$4:$B144,$B144,$C$4:$C144,$C144)&gt;1,"⛔重複"&amp;COUNTIFS($B$4:$B144,$B144,$C$4:$C144,$C144)&amp;"回目",""))</f>
      </c>
      <c r="Z144" s="710"/>
      <c r="AB144">
        <f>IF($F144="","",MAX(100,ROUNDDOWN($AG$4/($F144*$AG$2)/100,0)*100))</f>
      </c>
      <c r="AC144">
        <f>IF(OR($F144="",$G144="",$U144=""),"",ROUND($V144-($F144+$U144)*$G144*$AG$6-IF($C144="売",$F144*$G144*$AG$7*$W144/365,0),0))</f>
      </c>
      <c r="AD144" s="608"/>
      <c r="AE144" s="600" t="str">
        <f t="shared" si="65"/>
        <v/>
      </c>
      <c r="AF144" s="600"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00"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00" t="str">
        <f t="shared" ca="1" si="66"/>
        <v/>
      </c>
      <c r="AI144" s="600" t="str" cm="1">
        <f t="array" ref="AI144">IFERROR(INDEX(始値!$E$6:$BT$305,MATCH(TEXT($B144,"0"),TEXT(銘柄管理!$B$6:$B$305,"0"),0),MATCH($AE144,始値!$E$3:$BT$3,0)),"")</f>
        <v/>
      </c>
      <c r="AJ144" s="608" t="str">
        <f t="shared" ca="1" si="67"/>
        <v/>
      </c>
      <c r="AK144" s="600" t="str">
        <f t="shared" ca="1" si="68"/>
        <v/>
      </c>
    </row>
    <row r="145" spans="1:37" ht="35.4" customHeight="1">
      <c r="A145" s="619" t="str">
        <f t="shared" si="57"/>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BT$3,0)=1,1,MATCH($E145,始値!$E$3:$BT$3,0)+1)),_xlpm.v,INDEX(始値!$C$6:$B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 t="shared" ca="1" si="69"/>
        <v/>
      </c>
      <c r="L145" s="706" t="str">
        <f t="shared" ca="1" si="70"/>
        <v/>
      </c>
      <c r="M145" s="491">
        <f>IF($F145="","",IF($C145="売",CEILING($F145*IF($C145="売",1-$AG$3,1+$AG$3),IF($F145*IF($C145="売",1-$AG$3,1+$AG$3)&lt;=3000,1,IF($F145*IF($C145="売",1-$AG$3,1+$AG$3)&lt;=5000,5,IF($F145*IF($C145="売",1-$AG$3,1+$AG$3)&lt;=30000,10,IF($F145*IF($C145="売",1-$AG$3,1+$AG$3)&lt;=50000,50,IF($F145*IF($C145="売",1-$AG$3,1+$AG$3)&lt;=300000,100,500)))))),FLOOR($F145*IF($C145="売",1-$AG$3,1+$AG$3),IF($F145*IF($C145="売",1-$AG$3,1+$AG$3)&lt;=3000,1,IF($F145*IF($C145="売",1-$AG$3,1+$AG$3)&lt;=5000,5,IF($F145*IF($C145="売",1-$AG$3,1+$AG$3)&lt;=30000,10,IF($F145*IF($C145="売",1-$AG$3,1+$AG$3)&lt;=50000,50,IF($F145*IF($C145="売",1-$AG$3,1+$AG$3)&lt;=300000,100,500))))))))</f>
      </c>
      <c r="N145" s="491">
        <f>IF($F145="","",IF($C145="売",CEILING($F145*IF($C145="売",1+$AG$2,1-$AG$2),IF($F145*IF($C145="売",1+$AG$2,1-$AG$2)&lt;=3000,1,IF($F145*IF($C145="売",1+$AG$2,1-$AG$2)&lt;=5000,5,IF($F145*IF($C145="売",1+$AG$2,1-$AG$2)&lt;=30000,10,IF($F145*IF($C145="売",1+$AG$2,1-$AG$2)&lt;=50000,50,IF($F145*IF($C145="売",1+$AG$2,1-$AG$2)&lt;=300000,100,500)))))),FLOOR($F145*IF($C145="売",1+$AG$2,1-$AG$2),IF($F145*IF($C145="売",1+$AG$2,1-$AG$2)&lt;=3000,1,IF($F145*IF($C145="売",1+$AG$2,1-$AG$2)&lt;=5000,5,IF($F145*IF($C145="売",1+$AG$2,1-$AG$2)&lt;=30000,10,IF($F145*IF($C145="売",1+$AG$2,1-$AG$2)&lt;=50000,50,IF($F145*IF($C145="売",1+$AG$2,1-$AG$2)&lt;=300000,100,500))))))))</f>
      </c>
      <c r="O145" s="492">
        <f>IF(OR($B145="",$F145="",$H145=""),"",IF($S145="✅売却済","―決済済―",IF($C145="売",  IF($H145&lt;=$M145,"🟢利確",  IF(AND($R145&lt;&gt;"",$H145&gt;=$R145),"🟠TRAIL決済",  IF($H145&gt;=$N145,"🔴損切",  IF($W145&gt;=$AG$5,"⏱時間決済",  IF($H145&gt;=$F145*(1+$AG$2*0.7),"⚠️損切接近","保持継続"))))),  IF($H145&gt;=$M145,"🟢利確",  IF(AND($R145&lt;&gt;"",$H145&lt;=$R145),"🟠TRAIL決済",  IF($H145&lt;=$N145,"🔴損切",  IF($W145&gt;=$AG$5,"⏱時間決済",  IF($H145&lt;=$F145*(1-$AG$2*0.7),"⚠️損切接近","保持継続")))))))</f>
      </c>
      <c r="P145" s="491"/>
      <c r="Q145" s="491"/>
      <c r="R145" s="491">
        <f>IF(OR($F145="",$H145="",$N145=""),"",IF($S145="✅売却済","",IF($C145="売",  IF($H145&gt;$F145*(1-$AG$2),$N145,CEILING(MIN($N145,IF($Q145="",$N145,$Q145*1.03)),IF($N145&lt;=3000,1,IF($N145&lt;=5000,5,IF($N145&lt;=30000,10,IF($N145&lt;=50000,50,IF($N145&lt;=300000,100,500))))))),  IF($H145&lt;$F145*(1+$AG$2),$N145,FLOOR(MAX($N145,IF($P145="",$N145,$P145*0.97)),IF($N145&lt;=3000,1,IF($N145&lt;=5000,5,IF($N145&lt;=30000,10,IF($N145&lt;=50000,50,IF($N145&lt;=300000,100,500))))))))))</f>
      </c>
      <c r="S145" s="586" t="str">
        <f t="shared" si="72"/>
        <v/>
      </c>
      <c r="T145" s="594" t="str">
        <f t="shared" ca="1" si="61"/>
        <v/>
      </c>
      <c r="U145" s="491" t="str">
        <f t="shared" ca="1" si="62"/>
        <v/>
      </c>
      <c r="V145" s="701" t="str">
        <f t="shared" ca="1" si="73"/>
        <v/>
      </c>
      <c r="W145" s="493" t="str">
        <f t="shared" ca="1" si="63"/>
        <v/>
      </c>
      <c r="X145" s="489" t="str">
        <f t="shared" ca="1" si="64"/>
        <v/>
      </c>
      <c r="Y145" s="488">
        <f>IF($B145="","",IF(COUNTIFS($B$4:$B145,$B145,$C$4:$C145,$C145)&gt;1,"⛔重複"&amp;COUNTIFS($B$4:$B145,$B145,$C$4:$C145,$C145)&amp;"回目",""))</f>
      </c>
      <c r="Z145" s="710"/>
      <c r="AB145">
        <f>IF($F145="","",MAX(100,ROUNDDOWN($AG$4/($F145*$AG$2)/100,0)*100))</f>
      </c>
      <c r="AC145">
        <f>IF(OR($F145="",$G145="",$U145=""),"",ROUND($V145-($F145+$U145)*$G145*$AG$6-IF($C145="売",$F145*$G145*$AG$7*$W145/365,0),0))</f>
      </c>
      <c r="AD145" s="608"/>
      <c r="AE145" s="600" t="str">
        <f t="shared" si="65"/>
        <v/>
      </c>
      <c r="AF145" s="600"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00"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00" t="str">
        <f t="shared" ca="1" si="66"/>
        <v/>
      </c>
      <c r="AI145" s="600" t="str" cm="1">
        <f t="array" ref="AI145">IFERROR(INDEX(始値!$E$6:$BT$305,MATCH(TEXT($B145,"0"),TEXT(銘柄管理!$B$6:$B$305,"0"),0),MATCH($AE145,始値!$E$3:$BT$3,0)),"")</f>
        <v/>
      </c>
      <c r="AJ145" s="608" t="str">
        <f t="shared" ca="1" si="67"/>
        <v/>
      </c>
      <c r="AK145" s="600" t="str">
        <f t="shared" ca="1" si="68"/>
        <v/>
      </c>
    </row>
    <row r="146" spans="1:37" ht="35.4" customHeight="1">
      <c r="A146" s="619" t="str">
        <f t="shared" si="57"/>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BT$3,0)=1,1,MATCH($E146,始値!$E$3:$BT$3,0)+1)),_xlpm.v,INDEX(始値!$C$6:$B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 t="shared" ca="1" si="69"/>
        <v/>
      </c>
      <c r="L146" s="706" t="str">
        <f t="shared" ca="1" si="70"/>
        <v/>
      </c>
      <c r="M146" s="491">
        <f>IF($F146="","",IF($C146="売",CEILING($F146*IF($C146="売",1-$AG$3,1+$AG$3),IF($F146*IF($C146="売",1-$AG$3,1+$AG$3)&lt;=3000,1,IF($F146*IF($C146="売",1-$AG$3,1+$AG$3)&lt;=5000,5,IF($F146*IF($C146="売",1-$AG$3,1+$AG$3)&lt;=30000,10,IF($F146*IF($C146="売",1-$AG$3,1+$AG$3)&lt;=50000,50,IF($F146*IF($C146="売",1-$AG$3,1+$AG$3)&lt;=300000,100,500)))))),FLOOR($F146*IF($C146="売",1-$AG$3,1+$AG$3),IF($F146*IF($C146="売",1-$AG$3,1+$AG$3)&lt;=3000,1,IF($F146*IF($C146="売",1-$AG$3,1+$AG$3)&lt;=5000,5,IF($F146*IF($C146="売",1-$AG$3,1+$AG$3)&lt;=30000,10,IF($F146*IF($C146="売",1-$AG$3,1+$AG$3)&lt;=50000,50,IF($F146*IF($C146="売",1-$AG$3,1+$AG$3)&lt;=300000,100,500))))))))</f>
      </c>
      <c r="N146" s="491">
        <f>IF($F146="","",IF($C146="売",CEILING($F146*IF($C146="売",1+$AG$2,1-$AG$2),IF($F146*IF($C146="売",1+$AG$2,1-$AG$2)&lt;=3000,1,IF($F146*IF($C146="売",1+$AG$2,1-$AG$2)&lt;=5000,5,IF($F146*IF($C146="売",1+$AG$2,1-$AG$2)&lt;=30000,10,IF($F146*IF($C146="売",1+$AG$2,1-$AG$2)&lt;=50000,50,IF($F146*IF($C146="売",1+$AG$2,1-$AG$2)&lt;=300000,100,500)))))),FLOOR($F146*IF($C146="売",1+$AG$2,1-$AG$2),IF($F146*IF($C146="売",1+$AG$2,1-$AG$2)&lt;=3000,1,IF($F146*IF($C146="売",1+$AG$2,1-$AG$2)&lt;=5000,5,IF($F146*IF($C146="売",1+$AG$2,1-$AG$2)&lt;=30000,10,IF($F146*IF($C146="売",1+$AG$2,1-$AG$2)&lt;=50000,50,IF($F146*IF($C146="売",1+$AG$2,1-$AG$2)&lt;=300000,100,500))))))))</f>
      </c>
      <c r="O146" s="492">
        <f>IF(OR($B146="",$F146="",$H146=""),"",IF($S146="✅売却済","―決済済―",IF($C146="売",  IF($H146&lt;=$M146,"🟢利確",  IF(AND($R146&lt;&gt;"",$H146&gt;=$R146),"🟠TRAIL決済",  IF($H146&gt;=$N146,"🔴損切",  IF($W146&gt;=$AG$5,"⏱時間決済",  IF($H146&gt;=$F146*(1+$AG$2*0.7),"⚠️損切接近","保持継続"))))),  IF($H146&gt;=$M146,"🟢利確",  IF(AND($R146&lt;&gt;"",$H146&lt;=$R146),"🟠TRAIL決済",  IF($H146&lt;=$N146,"🔴損切",  IF($W146&gt;=$AG$5,"⏱時間決済",  IF($H146&lt;=$F146*(1-$AG$2*0.7),"⚠️損切接近","保持継続")))))))</f>
      </c>
      <c r="P146" s="491"/>
      <c r="Q146" s="491"/>
      <c r="R146" s="491">
        <f>IF(OR($F146="",$H146="",$N146=""),"",IF($S146="✅売却済","",IF($C146="売",  IF($H146&gt;$F146*(1-$AG$2),$N146,CEILING(MIN($N146,IF($Q146="",$N146,$Q146*1.03)),IF($N146&lt;=3000,1,IF($N146&lt;=5000,5,IF($N146&lt;=30000,10,IF($N146&lt;=50000,50,IF($N146&lt;=300000,100,500))))))),  IF($H146&lt;$F146*(1+$AG$2),$N146,FLOOR(MAX($N146,IF($P146="",$N146,$P146*0.97)),IF($N146&lt;=3000,1,IF($N146&lt;=5000,5,IF($N146&lt;=30000,10,IF($N146&lt;=50000,50,IF($N146&lt;=300000,100,500))))))))))</f>
      </c>
      <c r="S146" s="586" t="str">
        <f t="shared" si="72"/>
        <v/>
      </c>
      <c r="T146" s="594" t="str">
        <f t="shared" ca="1" si="61"/>
        <v/>
      </c>
      <c r="U146" s="491" t="str">
        <f t="shared" ca="1" si="62"/>
        <v/>
      </c>
      <c r="V146" s="701" t="str">
        <f t="shared" ca="1" si="73"/>
        <v/>
      </c>
      <c r="W146" s="493" t="str">
        <f t="shared" ca="1" si="63"/>
        <v/>
      </c>
      <c r="X146" s="489" t="str">
        <f t="shared" ca="1" si="64"/>
        <v/>
      </c>
      <c r="Y146" s="488">
        <f>IF($B146="","",IF(COUNTIFS($B$4:$B146,$B146,$C$4:$C146,$C146)&gt;1,"⛔重複"&amp;COUNTIFS($B$4:$B146,$B146,$C$4:$C146,$C146)&amp;"回目",""))</f>
      </c>
      <c r="Z146" s="710"/>
      <c r="AB146">
        <f>IF($F146="","",MAX(100,ROUNDDOWN($AG$4/($F146*$AG$2)/100,0)*100))</f>
      </c>
      <c r="AC146">
        <f>IF(OR($F146="",$G146="",$U146=""),"",ROUND($V146-($F146+$U146)*$G146*$AG$6-IF($C146="売",$F146*$G146*$AG$7*$W146/365,0),0))</f>
      </c>
      <c r="AD146" s="608"/>
      <c r="AE146" s="600" t="str">
        <f t="shared" si="65"/>
        <v/>
      </c>
      <c r="AF146" s="600"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00"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00" t="str">
        <f t="shared" ca="1" si="66"/>
        <v/>
      </c>
      <c r="AI146" s="600" t="str" cm="1">
        <f t="array" ref="AI146">IFERROR(INDEX(始値!$E$6:$BT$305,MATCH(TEXT($B146,"0"),TEXT(銘柄管理!$B$6:$B$305,"0"),0),MATCH($AE146,始値!$E$3:$BT$3,0)),"")</f>
        <v/>
      </c>
      <c r="AJ146" s="608" t="str">
        <f t="shared" ca="1" si="67"/>
        <v/>
      </c>
      <c r="AK146" s="600" t="str">
        <f t="shared" ca="1" si="68"/>
        <v/>
      </c>
    </row>
    <row r="147" spans="1:37" ht="35.4" customHeight="1">
      <c r="A147" s="619" t="str">
        <f t="shared" si="57"/>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BT$3,0)=1,1,MATCH($E147,始値!$E$3:$BT$3,0)+1)),_xlpm.v,INDEX(始値!$C$6:$B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 t="shared" ca="1" si="69"/>
        <v/>
      </c>
      <c r="L147" s="706" t="str">
        <f t="shared" ca="1" si="70"/>
        <v/>
      </c>
      <c r="M147" s="491">
        <f>IF($F147="","",IF($C147="売",CEILING($F147*IF($C147="売",1-$AG$3,1+$AG$3),IF($F147*IF($C147="売",1-$AG$3,1+$AG$3)&lt;=3000,1,IF($F147*IF($C147="売",1-$AG$3,1+$AG$3)&lt;=5000,5,IF($F147*IF($C147="売",1-$AG$3,1+$AG$3)&lt;=30000,10,IF($F147*IF($C147="売",1-$AG$3,1+$AG$3)&lt;=50000,50,IF($F147*IF($C147="売",1-$AG$3,1+$AG$3)&lt;=300000,100,500)))))),FLOOR($F147*IF($C147="売",1-$AG$3,1+$AG$3),IF($F147*IF($C147="売",1-$AG$3,1+$AG$3)&lt;=3000,1,IF($F147*IF($C147="売",1-$AG$3,1+$AG$3)&lt;=5000,5,IF($F147*IF($C147="売",1-$AG$3,1+$AG$3)&lt;=30000,10,IF($F147*IF($C147="売",1-$AG$3,1+$AG$3)&lt;=50000,50,IF($F147*IF($C147="売",1-$AG$3,1+$AG$3)&lt;=300000,100,500))))))))</f>
      </c>
      <c r="N147" s="491">
        <f>IF($F147="","",IF($C147="売",CEILING($F147*IF($C147="売",1+$AG$2,1-$AG$2),IF($F147*IF($C147="売",1+$AG$2,1-$AG$2)&lt;=3000,1,IF($F147*IF($C147="売",1+$AG$2,1-$AG$2)&lt;=5000,5,IF($F147*IF($C147="売",1+$AG$2,1-$AG$2)&lt;=30000,10,IF($F147*IF($C147="売",1+$AG$2,1-$AG$2)&lt;=50000,50,IF($F147*IF($C147="売",1+$AG$2,1-$AG$2)&lt;=300000,100,500)))))),FLOOR($F147*IF($C147="売",1+$AG$2,1-$AG$2),IF($F147*IF($C147="売",1+$AG$2,1-$AG$2)&lt;=3000,1,IF($F147*IF($C147="売",1+$AG$2,1-$AG$2)&lt;=5000,5,IF($F147*IF($C147="売",1+$AG$2,1-$AG$2)&lt;=30000,10,IF($F147*IF($C147="売",1+$AG$2,1-$AG$2)&lt;=50000,50,IF($F147*IF($C147="売",1+$AG$2,1-$AG$2)&lt;=300000,100,500))))))))</f>
      </c>
      <c r="O147" s="492">
        <f>IF(OR($B147="",$F147="",$H147=""),"",IF($S147="✅売却済","―決済済―",IF($C147="売",  IF($H147&lt;=$M147,"🟢利確",  IF(AND($R147&lt;&gt;"",$H147&gt;=$R147),"🟠TRAIL決済",  IF($H147&gt;=$N147,"🔴損切",  IF($W147&gt;=$AG$5,"⏱時間決済",  IF($H147&gt;=$F147*(1+$AG$2*0.7),"⚠️損切接近","保持継続"))))),  IF($H147&gt;=$M147,"🟢利確",  IF(AND($R147&lt;&gt;"",$H147&lt;=$R147),"🟠TRAIL決済",  IF($H147&lt;=$N147,"🔴損切",  IF($W147&gt;=$AG$5,"⏱時間決済",  IF($H147&lt;=$F147*(1-$AG$2*0.7),"⚠️損切接近","保持継続")))))))</f>
      </c>
      <c r="P147" s="491"/>
      <c r="Q147" s="491"/>
      <c r="R147" s="491">
        <f>IF(OR($F147="",$H147="",$N147=""),"",IF($S147="✅売却済","",IF($C147="売",  IF($H147&gt;$F147*(1-$AG$2),$N147,CEILING(MIN($N147,IF($Q147="",$N147,$Q147*1.03)),IF($N147&lt;=3000,1,IF($N147&lt;=5000,5,IF($N147&lt;=30000,10,IF($N147&lt;=50000,50,IF($N147&lt;=300000,100,500))))))),  IF($H147&lt;$F147*(1+$AG$2),$N147,FLOOR(MAX($N147,IF($P147="",$N147,$P147*0.97)),IF($N147&lt;=3000,1,IF($N147&lt;=5000,5,IF($N147&lt;=30000,10,IF($N147&lt;=50000,50,IF($N147&lt;=300000,100,500))))))))))</f>
      </c>
      <c r="S147" s="586" t="str">
        <f t="shared" si="72"/>
        <v/>
      </c>
      <c r="T147" s="594" t="str">
        <f t="shared" ca="1" si="61"/>
        <v/>
      </c>
      <c r="U147" s="491" t="str">
        <f t="shared" ca="1" si="62"/>
        <v/>
      </c>
      <c r="V147" s="701" t="str">
        <f t="shared" ca="1" si="73"/>
        <v/>
      </c>
      <c r="W147" s="493" t="str">
        <f t="shared" ca="1" si="63"/>
        <v/>
      </c>
      <c r="X147" s="489" t="str">
        <f t="shared" ca="1" si="64"/>
        <v/>
      </c>
      <c r="Y147" s="488">
        <f>IF($B147="","",IF(COUNTIFS($B$4:$B147,$B147,$C$4:$C147,$C147)&gt;1,"⛔重複"&amp;COUNTIFS($B$4:$B147,$B147,$C$4:$C147,$C147)&amp;"回目",""))</f>
      </c>
      <c r="Z147" s="710"/>
      <c r="AB147">
        <f>IF($F147="","",MAX(100,ROUNDDOWN($AG$4/($F147*$AG$2)/100,0)*100))</f>
      </c>
      <c r="AC147">
        <f>IF(OR($F147="",$G147="",$U147=""),"",ROUND($V147-($F147+$U147)*$G147*$AG$6-IF($C147="売",$F147*$G147*$AG$7*$W147/365,0),0))</f>
      </c>
      <c r="AD147" s="608"/>
      <c r="AE147" s="600" t="str">
        <f t="shared" si="65"/>
        <v/>
      </c>
      <c r="AF147" s="600"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00"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00" t="str">
        <f t="shared" ca="1" si="66"/>
        <v/>
      </c>
      <c r="AI147" s="600" t="str" cm="1">
        <f t="array" ref="AI147">IFERROR(INDEX(始値!$E$6:$BT$305,MATCH(TEXT($B147,"0"),TEXT(銘柄管理!$B$6:$B$305,"0"),0),MATCH($AE147,始値!$E$3:$BT$3,0)),"")</f>
        <v/>
      </c>
      <c r="AJ147" s="608" t="str">
        <f t="shared" ca="1" si="67"/>
        <v/>
      </c>
      <c r="AK147" s="600" t="str">
        <f t="shared" ca="1" si="68"/>
        <v/>
      </c>
    </row>
    <row r="148" spans="1:37" ht="35.4" customHeight="1">
      <c r="A148" s="619" t="str">
        <f t="shared" si="57"/>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BT$3,0)=1,1,MATCH($E148,始値!$E$3:$BT$3,0)+1)),_xlpm.v,INDEX(始値!$C$6:$B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 t="shared" ca="1" si="69"/>
        <v/>
      </c>
      <c r="L148" s="706" t="str">
        <f t="shared" ca="1" si="70"/>
        <v/>
      </c>
      <c r="M148" s="491">
        <f>IF($F148="","",IF($C148="売",CEILING($F148*IF($C148="売",1-$AG$3,1+$AG$3),IF($F148*IF($C148="売",1-$AG$3,1+$AG$3)&lt;=3000,1,IF($F148*IF($C148="売",1-$AG$3,1+$AG$3)&lt;=5000,5,IF($F148*IF($C148="売",1-$AG$3,1+$AG$3)&lt;=30000,10,IF($F148*IF($C148="売",1-$AG$3,1+$AG$3)&lt;=50000,50,IF($F148*IF($C148="売",1-$AG$3,1+$AG$3)&lt;=300000,100,500)))))),FLOOR($F148*IF($C148="売",1-$AG$3,1+$AG$3),IF($F148*IF($C148="売",1-$AG$3,1+$AG$3)&lt;=3000,1,IF($F148*IF($C148="売",1-$AG$3,1+$AG$3)&lt;=5000,5,IF($F148*IF($C148="売",1-$AG$3,1+$AG$3)&lt;=30000,10,IF($F148*IF($C148="売",1-$AG$3,1+$AG$3)&lt;=50000,50,IF($F148*IF($C148="売",1-$AG$3,1+$AG$3)&lt;=300000,100,500))))))))</f>
      </c>
      <c r="N148" s="491">
        <f>IF($F148="","",IF($C148="売",CEILING($F148*IF($C148="売",1+$AG$2,1-$AG$2),IF($F148*IF($C148="売",1+$AG$2,1-$AG$2)&lt;=3000,1,IF($F148*IF($C148="売",1+$AG$2,1-$AG$2)&lt;=5000,5,IF($F148*IF($C148="売",1+$AG$2,1-$AG$2)&lt;=30000,10,IF($F148*IF($C148="売",1+$AG$2,1-$AG$2)&lt;=50000,50,IF($F148*IF($C148="売",1+$AG$2,1-$AG$2)&lt;=300000,100,500)))))),FLOOR($F148*IF($C148="売",1+$AG$2,1-$AG$2),IF($F148*IF($C148="売",1+$AG$2,1-$AG$2)&lt;=3000,1,IF($F148*IF($C148="売",1+$AG$2,1-$AG$2)&lt;=5000,5,IF($F148*IF($C148="売",1+$AG$2,1-$AG$2)&lt;=30000,10,IF($F148*IF($C148="売",1+$AG$2,1-$AG$2)&lt;=50000,50,IF($F148*IF($C148="売",1+$AG$2,1-$AG$2)&lt;=300000,100,500))))))))</f>
      </c>
      <c r="O148" s="492">
        <f>IF(OR($B148="",$F148="",$H148=""),"",IF($S148="✅売却済","―決済済―",IF($C148="売",  IF($H148&lt;=$M148,"🟢利確",  IF(AND($R148&lt;&gt;"",$H148&gt;=$R148),"🟠TRAIL決済",  IF($H148&gt;=$N148,"🔴損切",  IF($W148&gt;=$AG$5,"⏱時間決済",  IF($H148&gt;=$F148*(1+$AG$2*0.7),"⚠️損切接近","保持継続"))))),  IF($H148&gt;=$M148,"🟢利確",  IF(AND($R148&lt;&gt;"",$H148&lt;=$R148),"🟠TRAIL決済",  IF($H148&lt;=$N148,"🔴損切",  IF($W148&gt;=$AG$5,"⏱時間決済",  IF($H148&lt;=$F148*(1-$AG$2*0.7),"⚠️損切接近","保持継続")))))))</f>
      </c>
      <c r="P148" s="491"/>
      <c r="Q148" s="491"/>
      <c r="R148" s="491">
        <f>IF(OR($F148="",$H148="",$N148=""),"",IF($S148="✅売却済","",IF($C148="売",  IF($H148&gt;$F148*(1-$AG$2),$N148,CEILING(MIN($N148,IF($Q148="",$N148,$Q148*1.03)),IF($N148&lt;=3000,1,IF($N148&lt;=5000,5,IF($N148&lt;=30000,10,IF($N148&lt;=50000,50,IF($N148&lt;=300000,100,500))))))),  IF($H148&lt;$F148*(1+$AG$2),$N148,FLOOR(MAX($N148,IF($P148="",$N148,$P148*0.97)),IF($N148&lt;=3000,1,IF($N148&lt;=5000,5,IF($N148&lt;=30000,10,IF($N148&lt;=50000,50,IF($N148&lt;=300000,100,500))))))))))</f>
      </c>
      <c r="S148" s="586" t="str">
        <f t="shared" si="72"/>
        <v/>
      </c>
      <c r="T148" s="594" t="str">
        <f t="shared" ca="1" si="61"/>
        <v/>
      </c>
      <c r="U148" s="491" t="str">
        <f t="shared" ca="1" si="62"/>
        <v/>
      </c>
      <c r="V148" s="701" t="str">
        <f t="shared" ca="1" si="73"/>
        <v/>
      </c>
      <c r="W148" s="493" t="str">
        <f t="shared" ca="1" si="63"/>
        <v/>
      </c>
      <c r="X148" s="489" t="str">
        <f t="shared" ca="1" si="64"/>
        <v/>
      </c>
      <c r="Y148" s="488">
        <f>IF($B148="","",IF(COUNTIFS($B$4:$B148,$B148,$C$4:$C148,$C148)&gt;1,"⛔重複"&amp;COUNTIFS($B$4:$B148,$B148,$C$4:$C148,$C148)&amp;"回目",""))</f>
      </c>
      <c r="Z148" s="710"/>
      <c r="AB148">
        <f>IF($F148="","",MAX(100,ROUNDDOWN($AG$4/($F148*$AG$2)/100,0)*100))</f>
      </c>
      <c r="AC148">
        <f>IF(OR($F148="",$G148="",$U148=""),"",ROUND($V148-($F148+$U148)*$G148*$AG$6-IF($C148="売",$F148*$G148*$AG$7*$W148/365,0),0))</f>
      </c>
      <c r="AD148" s="608"/>
      <c r="AE148" s="600" t="str">
        <f t="shared" si="65"/>
        <v/>
      </c>
      <c r="AF148" s="600"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00"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00" t="str">
        <f t="shared" ca="1" si="66"/>
        <v/>
      </c>
      <c r="AI148" s="600" t="str" cm="1">
        <f t="array" ref="AI148">IFERROR(INDEX(始値!$E$6:$BT$305,MATCH(TEXT($B148,"0"),TEXT(銘柄管理!$B$6:$B$305,"0"),0),MATCH($AE148,始値!$E$3:$BT$3,0)),"")</f>
        <v/>
      </c>
      <c r="AJ148" s="608" t="str">
        <f t="shared" ca="1" si="67"/>
        <v/>
      </c>
      <c r="AK148" s="600" t="str">
        <f t="shared" ca="1" si="68"/>
        <v/>
      </c>
    </row>
    <row r="149" spans="1:37" ht="35.4" customHeight="1">
      <c r="A149" s="619" t="str">
        <f t="shared" si="57"/>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BT$3,0)=1,1,MATCH($E149,始値!$E$3:$BT$3,0)+1)),_xlpm.v,INDEX(始値!$C$6:$B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 t="shared" ca="1" si="69"/>
        <v/>
      </c>
      <c r="L149" s="706" t="str">
        <f t="shared" ca="1" si="70"/>
        <v/>
      </c>
      <c r="M149" s="491">
        <f>IF($F149="","",IF($C149="売",CEILING($F149*IF($C149="売",1-$AG$3,1+$AG$3),IF($F149*IF($C149="売",1-$AG$3,1+$AG$3)&lt;=3000,1,IF($F149*IF($C149="売",1-$AG$3,1+$AG$3)&lt;=5000,5,IF($F149*IF($C149="売",1-$AG$3,1+$AG$3)&lt;=30000,10,IF($F149*IF($C149="売",1-$AG$3,1+$AG$3)&lt;=50000,50,IF($F149*IF($C149="売",1-$AG$3,1+$AG$3)&lt;=300000,100,500)))))),FLOOR($F149*IF($C149="売",1-$AG$3,1+$AG$3),IF($F149*IF($C149="売",1-$AG$3,1+$AG$3)&lt;=3000,1,IF($F149*IF($C149="売",1-$AG$3,1+$AG$3)&lt;=5000,5,IF($F149*IF($C149="売",1-$AG$3,1+$AG$3)&lt;=30000,10,IF($F149*IF($C149="売",1-$AG$3,1+$AG$3)&lt;=50000,50,IF($F149*IF($C149="売",1-$AG$3,1+$AG$3)&lt;=300000,100,500))))))))</f>
      </c>
      <c r="N149" s="491">
        <f>IF($F149="","",IF($C149="売",CEILING($F149*IF($C149="売",1+$AG$2,1-$AG$2),IF($F149*IF($C149="売",1+$AG$2,1-$AG$2)&lt;=3000,1,IF($F149*IF($C149="売",1+$AG$2,1-$AG$2)&lt;=5000,5,IF($F149*IF($C149="売",1+$AG$2,1-$AG$2)&lt;=30000,10,IF($F149*IF($C149="売",1+$AG$2,1-$AG$2)&lt;=50000,50,IF($F149*IF($C149="売",1+$AG$2,1-$AG$2)&lt;=300000,100,500)))))),FLOOR($F149*IF($C149="売",1+$AG$2,1-$AG$2),IF($F149*IF($C149="売",1+$AG$2,1-$AG$2)&lt;=3000,1,IF($F149*IF($C149="売",1+$AG$2,1-$AG$2)&lt;=5000,5,IF($F149*IF($C149="売",1+$AG$2,1-$AG$2)&lt;=30000,10,IF($F149*IF($C149="売",1+$AG$2,1-$AG$2)&lt;=50000,50,IF($F149*IF($C149="売",1+$AG$2,1-$AG$2)&lt;=300000,100,500))))))))</f>
      </c>
      <c r="O149" s="492">
        <f>IF(OR($B149="",$F149="",$H149=""),"",IF($S149="✅売却済","―決済済―",IF($C149="売",  IF($H149&lt;=$M149,"🟢利確",  IF(AND($R149&lt;&gt;"",$H149&gt;=$R149),"🟠TRAIL決済",  IF($H149&gt;=$N149,"🔴損切",  IF($W149&gt;=$AG$5,"⏱時間決済",  IF($H149&gt;=$F149*(1+$AG$2*0.7),"⚠️損切接近","保持継続"))))),  IF($H149&gt;=$M149,"🟢利確",  IF(AND($R149&lt;&gt;"",$H149&lt;=$R149),"🟠TRAIL決済",  IF($H149&lt;=$N149,"🔴損切",  IF($W149&gt;=$AG$5,"⏱時間決済",  IF($H149&lt;=$F149*(1-$AG$2*0.7),"⚠️損切接近","保持継続")))))))</f>
      </c>
      <c r="P149" s="491"/>
      <c r="Q149" s="491"/>
      <c r="R149" s="491">
        <f>IF(OR($F149="",$H149="",$N149=""),"",IF($S149="✅売却済","",IF($C149="売",  IF($H149&gt;$F149*(1-$AG$2),$N149,CEILING(MIN($N149,IF($Q149="",$N149,$Q149*1.03)),IF($N149&lt;=3000,1,IF($N149&lt;=5000,5,IF($N149&lt;=30000,10,IF($N149&lt;=50000,50,IF($N149&lt;=300000,100,500))))))),  IF($H149&lt;$F149*(1+$AG$2),$N149,FLOOR(MAX($N149,IF($P149="",$N149,$P149*0.97)),IF($N149&lt;=3000,1,IF($N149&lt;=5000,5,IF($N149&lt;=30000,10,IF($N149&lt;=50000,50,IF($N149&lt;=300000,100,500))))))))))</f>
      </c>
      <c r="S149" s="586" t="str">
        <f t="shared" si="72"/>
        <v/>
      </c>
      <c r="T149" s="594" t="str">
        <f t="shared" ca="1" si="61"/>
        <v/>
      </c>
      <c r="U149" s="491" t="str">
        <f t="shared" ca="1" si="62"/>
        <v/>
      </c>
      <c r="V149" s="701" t="str">
        <f t="shared" ca="1" si="73"/>
        <v/>
      </c>
      <c r="W149" s="493" t="str">
        <f t="shared" ca="1" si="63"/>
        <v/>
      </c>
      <c r="X149" s="489" t="str">
        <f t="shared" ca="1" si="64"/>
        <v/>
      </c>
      <c r="Y149" s="488">
        <f>IF($B149="","",IF(COUNTIFS($B$4:$B149,$B149,$C$4:$C149,$C149)&gt;1,"⛔重複"&amp;COUNTIFS($B$4:$B149,$B149,$C$4:$C149,$C149)&amp;"回目",""))</f>
      </c>
      <c r="Z149" s="710"/>
      <c r="AB149">
        <f>IF($F149="","",MAX(100,ROUNDDOWN($AG$4/($F149*$AG$2)/100,0)*100))</f>
      </c>
      <c r="AC149">
        <f>IF(OR($F149="",$G149="",$U149=""),"",ROUND($V149-($F149+$U149)*$G149*$AG$6-IF($C149="売",$F149*$G149*$AG$7*$W149/365,0),0))</f>
      </c>
      <c r="AD149" s="608"/>
      <c r="AE149" s="600" t="str">
        <f t="shared" si="65"/>
        <v/>
      </c>
      <c r="AF149" s="600"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00"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00" t="str">
        <f t="shared" ca="1" si="66"/>
        <v/>
      </c>
      <c r="AI149" s="600" t="str" cm="1">
        <f t="array" ref="AI149">IFERROR(INDEX(始値!$E$6:$BT$305,MATCH(TEXT($B149,"0"),TEXT(銘柄管理!$B$6:$B$305,"0"),0),MATCH($AE149,始値!$E$3:$BT$3,0)),"")</f>
        <v/>
      </c>
      <c r="AJ149" s="608" t="str">
        <f t="shared" ca="1" si="67"/>
        <v/>
      </c>
      <c r="AK149" s="600" t="str">
        <f t="shared" ca="1" si="68"/>
        <v/>
      </c>
    </row>
    <row r="150" spans="1:37" ht="35.4" customHeight="1">
      <c r="A150" s="619" t="str">
        <f t="shared" si="57"/>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BT$3,0)=1,1,MATCH($E150,始値!$E$3:$BT$3,0)+1)),_xlpm.v,INDEX(始値!$C$6:$B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 t="shared" ca="1" si="69"/>
        <v/>
      </c>
      <c r="L150" s="706" t="str">
        <f t="shared" ca="1" si="70"/>
        <v/>
      </c>
      <c r="M150" s="491">
        <f>IF($F150="","",IF($C150="売",CEILING($F150*IF($C150="売",1-$AG$3,1+$AG$3),IF($F150*IF($C150="売",1-$AG$3,1+$AG$3)&lt;=3000,1,IF($F150*IF($C150="売",1-$AG$3,1+$AG$3)&lt;=5000,5,IF($F150*IF($C150="売",1-$AG$3,1+$AG$3)&lt;=30000,10,IF($F150*IF($C150="売",1-$AG$3,1+$AG$3)&lt;=50000,50,IF($F150*IF($C150="売",1-$AG$3,1+$AG$3)&lt;=300000,100,500)))))),FLOOR($F150*IF($C150="売",1-$AG$3,1+$AG$3),IF($F150*IF($C150="売",1-$AG$3,1+$AG$3)&lt;=3000,1,IF($F150*IF($C150="売",1-$AG$3,1+$AG$3)&lt;=5000,5,IF($F150*IF($C150="売",1-$AG$3,1+$AG$3)&lt;=30000,10,IF($F150*IF($C150="売",1-$AG$3,1+$AG$3)&lt;=50000,50,IF($F150*IF($C150="売",1-$AG$3,1+$AG$3)&lt;=300000,100,500))))))))</f>
      </c>
      <c r="N150" s="491">
        <f>IF($F150="","",IF($C150="売",CEILING($F150*IF($C150="売",1+$AG$2,1-$AG$2),IF($F150*IF($C150="売",1+$AG$2,1-$AG$2)&lt;=3000,1,IF($F150*IF($C150="売",1+$AG$2,1-$AG$2)&lt;=5000,5,IF($F150*IF($C150="売",1+$AG$2,1-$AG$2)&lt;=30000,10,IF($F150*IF($C150="売",1+$AG$2,1-$AG$2)&lt;=50000,50,IF($F150*IF($C150="売",1+$AG$2,1-$AG$2)&lt;=300000,100,500)))))),FLOOR($F150*IF($C150="売",1+$AG$2,1-$AG$2),IF($F150*IF($C150="売",1+$AG$2,1-$AG$2)&lt;=3000,1,IF($F150*IF($C150="売",1+$AG$2,1-$AG$2)&lt;=5000,5,IF($F150*IF($C150="売",1+$AG$2,1-$AG$2)&lt;=30000,10,IF($F150*IF($C150="売",1+$AG$2,1-$AG$2)&lt;=50000,50,IF($F150*IF($C150="売",1+$AG$2,1-$AG$2)&lt;=300000,100,500))))))))</f>
      </c>
      <c r="O150" s="492">
        <f>IF(OR($B150="",$F150="",$H150=""),"",IF($S150="✅売却済","―決済済―",IF($C150="売",  IF($H150&lt;=$M150,"🟢利確",  IF(AND($R150&lt;&gt;"",$H150&gt;=$R150),"🟠TRAIL決済",  IF($H150&gt;=$N150,"🔴損切",  IF($W150&gt;=$AG$5,"⏱時間決済",  IF($H150&gt;=$F150*(1+$AG$2*0.7),"⚠️損切接近","保持継続"))))),  IF($H150&gt;=$M150,"🟢利確",  IF(AND($R150&lt;&gt;"",$H150&lt;=$R150),"🟠TRAIL決済",  IF($H150&lt;=$N150,"🔴損切",  IF($W150&gt;=$AG$5,"⏱時間決済",  IF($H150&lt;=$F150*(1-$AG$2*0.7),"⚠️損切接近","保持継続")))))))</f>
      </c>
      <c r="P150" s="491"/>
      <c r="Q150" s="491"/>
      <c r="R150" s="491">
        <f>IF(OR($F150="",$H150="",$N150=""),"",IF($S150="✅売却済","",IF($C150="売",  IF($H150&gt;$F150*(1-$AG$2),$N150,CEILING(MIN($N150,IF($Q150="",$N150,$Q150*1.03)),IF($N150&lt;=3000,1,IF($N150&lt;=5000,5,IF($N150&lt;=30000,10,IF($N150&lt;=50000,50,IF($N150&lt;=300000,100,500))))))),  IF($H150&lt;$F150*(1+$AG$2),$N150,FLOOR(MAX($N150,IF($P150="",$N150,$P150*0.97)),IF($N150&lt;=3000,1,IF($N150&lt;=5000,5,IF($N150&lt;=30000,10,IF($N150&lt;=50000,50,IF($N150&lt;=300000,100,500))))))))))</f>
      </c>
      <c r="S150" s="586" t="str">
        <f t="shared" si="72"/>
        <v/>
      </c>
      <c r="T150" s="594" t="str">
        <f t="shared" ca="1" si="61"/>
        <v/>
      </c>
      <c r="U150" s="491" t="str">
        <f t="shared" ca="1" si="62"/>
        <v/>
      </c>
      <c r="V150" s="701" t="str">
        <f t="shared" ca="1" si="73"/>
        <v/>
      </c>
      <c r="W150" s="493" t="str">
        <f t="shared" ca="1" si="63"/>
        <v/>
      </c>
      <c r="X150" s="489" t="str">
        <f t="shared" ca="1" si="64"/>
        <v/>
      </c>
      <c r="Y150" s="488">
        <f>IF($B150="","",IF(COUNTIFS($B$4:$B150,$B150,$C$4:$C150,$C150)&gt;1,"⛔重複"&amp;COUNTIFS($B$4:$B150,$B150,$C$4:$C150,$C150)&amp;"回目",""))</f>
      </c>
      <c r="Z150" s="710"/>
      <c r="AB150">
        <f>IF($F150="","",MAX(100,ROUNDDOWN($AG$4/($F150*$AG$2)/100,0)*100))</f>
      </c>
      <c r="AC150">
        <f>IF(OR($F150="",$G150="",$U150=""),"",ROUND($V150-($F150+$U150)*$G150*$AG$6-IF($C150="売",$F150*$G150*$AG$7*$W150/365,0),0))</f>
      </c>
      <c r="AD150" s="608"/>
      <c r="AE150" s="600" t="str">
        <f t="shared" si="65"/>
        <v/>
      </c>
      <c r="AF150" s="600"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00"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00" t="str">
        <f t="shared" ca="1" si="66"/>
        <v/>
      </c>
      <c r="AI150" s="600" t="str" cm="1">
        <f t="array" ref="AI150">IFERROR(INDEX(始値!$E$6:$BT$305,MATCH(TEXT($B150,"0"),TEXT(銘柄管理!$B$6:$B$305,"0"),0),MATCH($AE150,始値!$E$3:$BT$3,0)),"")</f>
        <v/>
      </c>
      <c r="AJ150" s="608" t="str">
        <f t="shared" ca="1" si="67"/>
        <v/>
      </c>
      <c r="AK150" s="600" t="str">
        <f t="shared" ca="1" si="68"/>
        <v/>
      </c>
    </row>
    <row r="151" spans="1:37" ht="35.4" customHeight="1">
      <c r="A151" s="619" t="str">
        <f t="shared" si="57"/>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BT$3,0)=1,1,MATCH($E151,始値!$E$3:$BT$3,0)+1)),_xlpm.v,INDEX(始値!$C$6:$B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 t="shared" ca="1" si="69"/>
        <v/>
      </c>
      <c r="L151" s="706" t="str">
        <f t="shared" ca="1" si="70"/>
        <v/>
      </c>
      <c r="M151" s="491">
        <f>IF($F151="","",IF($C151="売",CEILING($F151*IF($C151="売",1-$AG$3,1+$AG$3),IF($F151*IF($C151="売",1-$AG$3,1+$AG$3)&lt;=3000,1,IF($F151*IF($C151="売",1-$AG$3,1+$AG$3)&lt;=5000,5,IF($F151*IF($C151="売",1-$AG$3,1+$AG$3)&lt;=30000,10,IF($F151*IF($C151="売",1-$AG$3,1+$AG$3)&lt;=50000,50,IF($F151*IF($C151="売",1-$AG$3,1+$AG$3)&lt;=300000,100,500)))))),FLOOR($F151*IF($C151="売",1-$AG$3,1+$AG$3),IF($F151*IF($C151="売",1-$AG$3,1+$AG$3)&lt;=3000,1,IF($F151*IF($C151="売",1-$AG$3,1+$AG$3)&lt;=5000,5,IF($F151*IF($C151="売",1-$AG$3,1+$AG$3)&lt;=30000,10,IF($F151*IF($C151="売",1-$AG$3,1+$AG$3)&lt;=50000,50,IF($F151*IF($C151="売",1-$AG$3,1+$AG$3)&lt;=300000,100,500))))))))</f>
      </c>
      <c r="N151" s="491">
        <f>IF($F151="","",IF($C151="売",CEILING($F151*IF($C151="売",1+$AG$2,1-$AG$2),IF($F151*IF($C151="売",1+$AG$2,1-$AG$2)&lt;=3000,1,IF($F151*IF($C151="売",1+$AG$2,1-$AG$2)&lt;=5000,5,IF($F151*IF($C151="売",1+$AG$2,1-$AG$2)&lt;=30000,10,IF($F151*IF($C151="売",1+$AG$2,1-$AG$2)&lt;=50000,50,IF($F151*IF($C151="売",1+$AG$2,1-$AG$2)&lt;=300000,100,500)))))),FLOOR($F151*IF($C151="売",1+$AG$2,1-$AG$2),IF($F151*IF($C151="売",1+$AG$2,1-$AG$2)&lt;=3000,1,IF($F151*IF($C151="売",1+$AG$2,1-$AG$2)&lt;=5000,5,IF($F151*IF($C151="売",1+$AG$2,1-$AG$2)&lt;=30000,10,IF($F151*IF($C151="売",1+$AG$2,1-$AG$2)&lt;=50000,50,IF($F151*IF($C151="売",1+$AG$2,1-$AG$2)&lt;=300000,100,500))))))))</f>
      </c>
      <c r="O151" s="492">
        <f>IF(OR($B151="",$F151="",$H151=""),"",IF($S151="✅売却済","―決済済―",IF($C151="売",  IF($H151&lt;=$M151,"🟢利確",  IF(AND($R151&lt;&gt;"",$H151&gt;=$R151),"🟠TRAIL決済",  IF($H151&gt;=$N151,"🔴損切",  IF($W151&gt;=$AG$5,"⏱時間決済",  IF($H151&gt;=$F151*(1+$AG$2*0.7),"⚠️損切接近","保持継続"))))),  IF($H151&gt;=$M151,"🟢利確",  IF(AND($R151&lt;&gt;"",$H151&lt;=$R151),"🟠TRAIL決済",  IF($H151&lt;=$N151,"🔴損切",  IF($W151&gt;=$AG$5,"⏱時間決済",  IF($H151&lt;=$F151*(1-$AG$2*0.7),"⚠️損切接近","保持継続")))))))</f>
      </c>
      <c r="P151" s="491"/>
      <c r="Q151" s="491"/>
      <c r="R151" s="491">
        <f>IF(OR($F151="",$H151="",$N151=""),"",IF($S151="✅売却済","",IF($C151="売",  IF($H151&gt;$F151*(1-$AG$2),$N151,CEILING(MIN($N151,IF($Q151="",$N151,$Q151*1.03)),IF($N151&lt;=3000,1,IF($N151&lt;=5000,5,IF($N151&lt;=30000,10,IF($N151&lt;=50000,50,IF($N151&lt;=300000,100,500))))))),  IF($H151&lt;$F151*(1+$AG$2),$N151,FLOOR(MAX($N151,IF($P151="",$N151,$P151*0.97)),IF($N151&lt;=3000,1,IF($N151&lt;=5000,5,IF($N151&lt;=30000,10,IF($N151&lt;=50000,50,IF($N151&lt;=300000,100,500))))))))))</f>
      </c>
      <c r="S151" s="586" t="str">
        <f t="shared" si="72"/>
        <v/>
      </c>
      <c r="T151" s="594" t="str">
        <f t="shared" ca="1" si="61"/>
        <v/>
      </c>
      <c r="U151" s="491" t="str">
        <f t="shared" ca="1" si="62"/>
        <v/>
      </c>
      <c r="V151" s="701" t="str">
        <f t="shared" ca="1" si="73"/>
        <v/>
      </c>
      <c r="W151" s="493" t="str">
        <f t="shared" ca="1" si="63"/>
        <v/>
      </c>
      <c r="X151" s="489" t="str">
        <f t="shared" ca="1" si="64"/>
        <v/>
      </c>
      <c r="Y151" s="488">
        <f>IF($B151="","",IF(COUNTIFS($B$4:$B151,$B151,$C$4:$C151,$C151)&gt;1,"⛔重複"&amp;COUNTIFS($B$4:$B151,$B151,$C$4:$C151,$C151)&amp;"回目",""))</f>
      </c>
      <c r="Z151" s="710"/>
      <c r="AB151">
        <f>IF($F151="","",MAX(100,ROUNDDOWN($AG$4/($F151*$AG$2)/100,0)*100))</f>
      </c>
      <c r="AC151">
        <f>IF(OR($F151="",$G151="",$U151=""),"",ROUND($V151-($F151+$U151)*$G151*$AG$6-IF($C151="売",$F151*$G151*$AG$7*$W151/365,0),0))</f>
      </c>
      <c r="AD151" s="608"/>
      <c r="AE151" s="600" t="str">
        <f t="shared" si="65"/>
        <v/>
      </c>
      <c r="AF151" s="600"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00"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00" t="str">
        <f t="shared" ca="1" si="66"/>
        <v/>
      </c>
      <c r="AI151" s="600" t="str" cm="1">
        <f t="array" ref="AI151">IFERROR(INDEX(始値!$E$6:$BT$305,MATCH(TEXT($B151,"0"),TEXT(銘柄管理!$B$6:$B$305,"0"),0),MATCH($AE151,始値!$E$3:$BT$3,0)),"")</f>
        <v/>
      </c>
      <c r="AJ151" s="608" t="str">
        <f t="shared" ca="1" si="67"/>
        <v/>
      </c>
      <c r="AK151" s="600" t="str">
        <f t="shared" ca="1" si="68"/>
        <v/>
      </c>
    </row>
    <row r="152" spans="1:37" ht="35.4" customHeight="1">
      <c r="A152" s="619" t="str">
        <f t="shared" si="57"/>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BT$3,0)=1,1,MATCH($E152,始値!$E$3:$BT$3,0)+1)),_xlpm.v,INDEX(始値!$C$6:$B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 t="shared" ca="1" si="69"/>
        <v/>
      </c>
      <c r="L152" s="706" t="str">
        <f t="shared" ca="1" si="70"/>
        <v/>
      </c>
      <c r="M152" s="491">
        <f>IF($F152="","",IF($C152="売",CEILING($F152*IF($C152="売",1-$AG$3,1+$AG$3),IF($F152*IF($C152="売",1-$AG$3,1+$AG$3)&lt;=3000,1,IF($F152*IF($C152="売",1-$AG$3,1+$AG$3)&lt;=5000,5,IF($F152*IF($C152="売",1-$AG$3,1+$AG$3)&lt;=30000,10,IF($F152*IF($C152="売",1-$AG$3,1+$AG$3)&lt;=50000,50,IF($F152*IF($C152="売",1-$AG$3,1+$AG$3)&lt;=300000,100,500)))))),FLOOR($F152*IF($C152="売",1-$AG$3,1+$AG$3),IF($F152*IF($C152="売",1-$AG$3,1+$AG$3)&lt;=3000,1,IF($F152*IF($C152="売",1-$AG$3,1+$AG$3)&lt;=5000,5,IF($F152*IF($C152="売",1-$AG$3,1+$AG$3)&lt;=30000,10,IF($F152*IF($C152="売",1-$AG$3,1+$AG$3)&lt;=50000,50,IF($F152*IF($C152="売",1-$AG$3,1+$AG$3)&lt;=300000,100,500))))))))</f>
      </c>
      <c r="N152" s="491">
        <f>IF($F152="","",IF($C152="売",CEILING($F152*IF($C152="売",1+$AG$2,1-$AG$2),IF($F152*IF($C152="売",1+$AG$2,1-$AG$2)&lt;=3000,1,IF($F152*IF($C152="売",1+$AG$2,1-$AG$2)&lt;=5000,5,IF($F152*IF($C152="売",1+$AG$2,1-$AG$2)&lt;=30000,10,IF($F152*IF($C152="売",1+$AG$2,1-$AG$2)&lt;=50000,50,IF($F152*IF($C152="売",1+$AG$2,1-$AG$2)&lt;=300000,100,500)))))),FLOOR($F152*IF($C152="売",1+$AG$2,1-$AG$2),IF($F152*IF($C152="売",1+$AG$2,1-$AG$2)&lt;=3000,1,IF($F152*IF($C152="売",1+$AG$2,1-$AG$2)&lt;=5000,5,IF($F152*IF($C152="売",1+$AG$2,1-$AG$2)&lt;=30000,10,IF($F152*IF($C152="売",1+$AG$2,1-$AG$2)&lt;=50000,50,IF($F152*IF($C152="売",1+$AG$2,1-$AG$2)&lt;=300000,100,500))))))))</f>
      </c>
      <c r="O152" s="492">
        <f>IF(OR($B152="",$F152="",$H152=""),"",IF($S152="✅売却済","―決済済―",IF($C152="売",  IF($H152&lt;=$M152,"🟢利確",  IF(AND($R152&lt;&gt;"",$H152&gt;=$R152),"🟠TRAIL決済",  IF($H152&gt;=$N152,"🔴損切",  IF($W152&gt;=$AG$5,"⏱時間決済",  IF($H152&gt;=$F152*(1+$AG$2*0.7),"⚠️損切接近","保持継続"))))),  IF($H152&gt;=$M152,"🟢利確",  IF(AND($R152&lt;&gt;"",$H152&lt;=$R152),"🟠TRAIL決済",  IF($H152&lt;=$N152,"🔴損切",  IF($W152&gt;=$AG$5,"⏱時間決済",  IF($H152&lt;=$F152*(1-$AG$2*0.7),"⚠️損切接近","保持継続")))))))</f>
      </c>
      <c r="P152" s="491"/>
      <c r="Q152" s="491"/>
      <c r="R152" s="491">
        <f>IF(OR($F152="",$H152="",$N152=""),"",IF($S152="✅売却済","",IF($C152="売",  IF($H152&gt;$F152*(1-$AG$2),$N152,CEILING(MIN($N152,IF($Q152="",$N152,$Q152*1.03)),IF($N152&lt;=3000,1,IF($N152&lt;=5000,5,IF($N152&lt;=30000,10,IF($N152&lt;=50000,50,IF($N152&lt;=300000,100,500))))))),  IF($H152&lt;$F152*(1+$AG$2),$N152,FLOOR(MAX($N152,IF($P152="",$N152,$P152*0.97)),IF($N152&lt;=3000,1,IF($N152&lt;=5000,5,IF($N152&lt;=30000,10,IF($N152&lt;=50000,50,IF($N152&lt;=300000,100,500))))))))))</f>
      </c>
      <c r="S152" s="586" t="str">
        <f t="shared" si="72"/>
        <v/>
      </c>
      <c r="T152" s="594" t="str">
        <f t="shared" ca="1" si="61"/>
        <v/>
      </c>
      <c r="U152" s="491" t="str">
        <f t="shared" ca="1" si="62"/>
        <v/>
      </c>
      <c r="V152" s="701" t="str">
        <f t="shared" ca="1" si="73"/>
        <v/>
      </c>
      <c r="W152" s="493" t="str">
        <f t="shared" ca="1" si="63"/>
        <v/>
      </c>
      <c r="X152" s="489" t="str">
        <f t="shared" ca="1" si="64"/>
        <v/>
      </c>
      <c r="Y152" s="488">
        <f>IF($B152="","",IF(COUNTIFS($B$4:$B152,$B152,$C$4:$C152,$C152)&gt;1,"⛔重複"&amp;COUNTIFS($B$4:$B152,$B152,$C$4:$C152,$C152)&amp;"回目",""))</f>
      </c>
      <c r="Z152" s="710"/>
      <c r="AB152">
        <f>IF($F152="","",MAX(100,ROUNDDOWN($AG$4/($F152*$AG$2)/100,0)*100))</f>
      </c>
      <c r="AC152">
        <f>IF(OR($F152="",$G152="",$U152=""),"",ROUND($V152-($F152+$U152)*$G152*$AG$6-IF($C152="売",$F152*$G152*$AG$7*$W152/365,0),0))</f>
      </c>
      <c r="AD152" s="608"/>
      <c r="AE152" s="600" t="str">
        <f t="shared" si="65"/>
        <v/>
      </c>
      <c r="AF152" s="600"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00"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00" t="str">
        <f t="shared" ca="1" si="66"/>
        <v/>
      </c>
      <c r="AI152" s="600" t="str" cm="1">
        <f t="array" ref="AI152">IFERROR(INDEX(始値!$E$6:$BT$305,MATCH(TEXT($B152,"0"),TEXT(銘柄管理!$B$6:$B$305,"0"),0),MATCH($AE152,始値!$E$3:$BT$3,0)),"")</f>
        <v/>
      </c>
      <c r="AJ152" s="608" t="str">
        <f t="shared" ca="1" si="67"/>
        <v/>
      </c>
      <c r="AK152" s="600" t="str">
        <f t="shared" ca="1" si="68"/>
        <v/>
      </c>
    </row>
    <row r="153" spans="1:37" ht="35.4" customHeight="1">
      <c r="A153" s="619" t="str">
        <f t="shared" si="57"/>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BT$3,0)=1,1,MATCH($E153,始値!$E$3:$BT$3,0)+1)),_xlpm.v,INDEX(始値!$C$6:$B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 t="shared" ca="1" si="69"/>
        <v/>
      </c>
      <c r="L153" s="706" t="str">
        <f t="shared" ca="1" si="70"/>
        <v/>
      </c>
      <c r="M153" s="491">
        <f>IF($F153="","",IF($C153="売",CEILING($F153*IF($C153="売",1-$AG$3,1+$AG$3),IF($F153*IF($C153="売",1-$AG$3,1+$AG$3)&lt;=3000,1,IF($F153*IF($C153="売",1-$AG$3,1+$AG$3)&lt;=5000,5,IF($F153*IF($C153="売",1-$AG$3,1+$AG$3)&lt;=30000,10,IF($F153*IF($C153="売",1-$AG$3,1+$AG$3)&lt;=50000,50,IF($F153*IF($C153="売",1-$AG$3,1+$AG$3)&lt;=300000,100,500)))))),FLOOR($F153*IF($C153="売",1-$AG$3,1+$AG$3),IF($F153*IF($C153="売",1-$AG$3,1+$AG$3)&lt;=3000,1,IF($F153*IF($C153="売",1-$AG$3,1+$AG$3)&lt;=5000,5,IF($F153*IF($C153="売",1-$AG$3,1+$AG$3)&lt;=30000,10,IF($F153*IF($C153="売",1-$AG$3,1+$AG$3)&lt;=50000,50,IF($F153*IF($C153="売",1-$AG$3,1+$AG$3)&lt;=300000,100,500))))))))</f>
      </c>
      <c r="N153" s="491">
        <f>IF($F153="","",IF($C153="売",CEILING($F153*IF($C153="売",1+$AG$2,1-$AG$2),IF($F153*IF($C153="売",1+$AG$2,1-$AG$2)&lt;=3000,1,IF($F153*IF($C153="売",1+$AG$2,1-$AG$2)&lt;=5000,5,IF($F153*IF($C153="売",1+$AG$2,1-$AG$2)&lt;=30000,10,IF($F153*IF($C153="売",1+$AG$2,1-$AG$2)&lt;=50000,50,IF($F153*IF($C153="売",1+$AG$2,1-$AG$2)&lt;=300000,100,500)))))),FLOOR($F153*IF($C153="売",1+$AG$2,1-$AG$2),IF($F153*IF($C153="売",1+$AG$2,1-$AG$2)&lt;=3000,1,IF($F153*IF($C153="売",1+$AG$2,1-$AG$2)&lt;=5000,5,IF($F153*IF($C153="売",1+$AG$2,1-$AG$2)&lt;=30000,10,IF($F153*IF($C153="売",1+$AG$2,1-$AG$2)&lt;=50000,50,IF($F153*IF($C153="売",1+$AG$2,1-$AG$2)&lt;=300000,100,500))))))))</f>
      </c>
      <c r="O153" s="492">
        <f>IF(OR($B153="",$F153="",$H153=""),"",IF($S153="✅売却済","―決済済―",IF($C153="売",  IF($H153&lt;=$M153,"🟢利確",  IF(AND($R153&lt;&gt;"",$H153&gt;=$R153),"🟠TRAIL決済",  IF($H153&gt;=$N153,"🔴損切",  IF($W153&gt;=$AG$5,"⏱時間決済",  IF($H153&gt;=$F153*(1+$AG$2*0.7),"⚠️損切接近","保持継続"))))),  IF($H153&gt;=$M153,"🟢利確",  IF(AND($R153&lt;&gt;"",$H153&lt;=$R153),"🟠TRAIL決済",  IF($H153&lt;=$N153,"🔴損切",  IF($W153&gt;=$AG$5,"⏱時間決済",  IF($H153&lt;=$F153*(1-$AG$2*0.7),"⚠️損切接近","保持継続")))))))</f>
      </c>
      <c r="P153" s="491"/>
      <c r="Q153" s="491"/>
      <c r="R153" s="491">
        <f>IF(OR($F153="",$H153="",$N153=""),"",IF($S153="✅売却済","",IF($C153="売",  IF($H153&gt;$F153*(1-$AG$2),$N153,CEILING(MIN($N153,IF($Q153="",$N153,$Q153*1.03)),IF($N153&lt;=3000,1,IF($N153&lt;=5000,5,IF($N153&lt;=30000,10,IF($N153&lt;=50000,50,IF($N153&lt;=300000,100,500))))))),  IF($H153&lt;$F153*(1+$AG$2),$N153,FLOOR(MAX($N153,IF($P153="",$N153,$P153*0.97)),IF($N153&lt;=3000,1,IF($N153&lt;=5000,5,IF($N153&lt;=30000,10,IF($N153&lt;=50000,50,IF($N153&lt;=300000,100,500))))))))))</f>
      </c>
      <c r="S153" s="586" t="str">
        <f t="shared" si="72"/>
        <v/>
      </c>
      <c r="T153" s="594" t="str">
        <f t="shared" ca="1" si="61"/>
        <v/>
      </c>
      <c r="U153" s="491" t="str">
        <f t="shared" ca="1" si="62"/>
        <v/>
      </c>
      <c r="V153" s="701" t="str">
        <f t="shared" ca="1" si="73"/>
        <v/>
      </c>
      <c r="W153" s="493" t="str">
        <f t="shared" ca="1" si="63"/>
        <v/>
      </c>
      <c r="X153" s="489" t="str">
        <f t="shared" ca="1" si="64"/>
        <v/>
      </c>
      <c r="Y153" s="488">
        <f>IF($B153="","",IF(COUNTIFS($B$4:$B153,$B153,$C$4:$C153,$C153)&gt;1,"⛔重複"&amp;COUNTIFS($B$4:$B153,$B153,$C$4:$C153,$C153)&amp;"回目",""))</f>
      </c>
      <c r="Z153" s="710"/>
      <c r="AB153">
        <f>IF($F153="","",MAX(100,ROUNDDOWN($AG$4/($F153*$AG$2)/100,0)*100))</f>
      </c>
      <c r="AC153">
        <f>IF(OR($F153="",$G153="",$U153=""),"",ROUND($V153-($F153+$U153)*$G153*$AG$6-IF($C153="売",$F153*$G153*$AG$7*$W153/365,0),0))</f>
      </c>
      <c r="AD153" s="608"/>
      <c r="AE153" s="600" t="str">
        <f t="shared" si="65"/>
        <v/>
      </c>
      <c r="AF153" s="600"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00"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00" t="str">
        <f t="shared" ca="1" si="66"/>
        <v/>
      </c>
      <c r="AI153" s="600" t="str" cm="1">
        <f t="array" ref="AI153">IFERROR(INDEX(始値!$E$6:$BT$305,MATCH(TEXT($B153,"0"),TEXT(銘柄管理!$B$6:$B$305,"0"),0),MATCH($AE153,始値!$E$3:$BT$3,0)),"")</f>
        <v/>
      </c>
      <c r="AJ153" s="608" t="str">
        <f t="shared" ca="1" si="67"/>
        <v/>
      </c>
      <c r="AK153" s="600" t="str">
        <f t="shared" ca="1" si="68"/>
        <v/>
      </c>
    </row>
    <row r="154" spans="1:37" ht="35.4" customHeight="1">
      <c r="A154" s="619" t="str">
        <f t="shared" si="57"/>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BT$3,0)=1,1,MATCH($E154,始値!$E$3:$BT$3,0)+1)),_xlpm.v,INDEX(始値!$C$6:$B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 t="shared" ca="1" si="69"/>
        <v/>
      </c>
      <c r="L154" s="706" t="str">
        <f t="shared" ca="1" si="70"/>
        <v/>
      </c>
      <c r="M154" s="491">
        <f>IF($F154="","",IF($C154="売",CEILING($F154*IF($C154="売",1-$AG$3,1+$AG$3),IF($F154*IF($C154="売",1-$AG$3,1+$AG$3)&lt;=3000,1,IF($F154*IF($C154="売",1-$AG$3,1+$AG$3)&lt;=5000,5,IF($F154*IF($C154="売",1-$AG$3,1+$AG$3)&lt;=30000,10,IF($F154*IF($C154="売",1-$AG$3,1+$AG$3)&lt;=50000,50,IF($F154*IF($C154="売",1-$AG$3,1+$AG$3)&lt;=300000,100,500)))))),FLOOR($F154*IF($C154="売",1-$AG$3,1+$AG$3),IF($F154*IF($C154="売",1-$AG$3,1+$AG$3)&lt;=3000,1,IF($F154*IF($C154="売",1-$AG$3,1+$AG$3)&lt;=5000,5,IF($F154*IF($C154="売",1-$AG$3,1+$AG$3)&lt;=30000,10,IF($F154*IF($C154="売",1-$AG$3,1+$AG$3)&lt;=50000,50,IF($F154*IF($C154="売",1-$AG$3,1+$AG$3)&lt;=300000,100,500))))))))</f>
      </c>
      <c r="N154" s="491">
        <f>IF($F154="","",IF($C154="売",CEILING($F154*IF($C154="売",1+$AG$2,1-$AG$2),IF($F154*IF($C154="売",1+$AG$2,1-$AG$2)&lt;=3000,1,IF($F154*IF($C154="売",1+$AG$2,1-$AG$2)&lt;=5000,5,IF($F154*IF($C154="売",1+$AG$2,1-$AG$2)&lt;=30000,10,IF($F154*IF($C154="売",1+$AG$2,1-$AG$2)&lt;=50000,50,IF($F154*IF($C154="売",1+$AG$2,1-$AG$2)&lt;=300000,100,500)))))),FLOOR($F154*IF($C154="売",1+$AG$2,1-$AG$2),IF($F154*IF($C154="売",1+$AG$2,1-$AG$2)&lt;=3000,1,IF($F154*IF($C154="売",1+$AG$2,1-$AG$2)&lt;=5000,5,IF($F154*IF($C154="売",1+$AG$2,1-$AG$2)&lt;=30000,10,IF($F154*IF($C154="売",1+$AG$2,1-$AG$2)&lt;=50000,50,IF($F154*IF($C154="売",1+$AG$2,1-$AG$2)&lt;=300000,100,500))))))))</f>
      </c>
      <c r="O154" s="492">
        <f>IF(OR($B154="",$F154="",$H154=""),"",IF($S154="✅売却済","―決済済―",IF($C154="売",  IF($H154&lt;=$M154,"🟢利確",  IF(AND($R154&lt;&gt;"",$H154&gt;=$R154),"🟠TRAIL決済",  IF($H154&gt;=$N154,"🔴損切",  IF($W154&gt;=$AG$5,"⏱時間決済",  IF($H154&gt;=$F154*(1+$AG$2*0.7),"⚠️損切接近","保持継続"))))),  IF($H154&gt;=$M154,"🟢利確",  IF(AND($R154&lt;&gt;"",$H154&lt;=$R154),"🟠TRAIL決済",  IF($H154&lt;=$N154,"🔴損切",  IF($W154&gt;=$AG$5,"⏱時間決済",  IF($H154&lt;=$F154*(1-$AG$2*0.7),"⚠️損切接近","保持継続")))))))</f>
      </c>
      <c r="P154" s="491"/>
      <c r="Q154" s="491"/>
      <c r="R154" s="491">
        <f>IF(OR($F154="",$H154="",$N154=""),"",IF($S154="✅売却済","",IF($C154="売",  IF($H154&gt;$F154*(1-$AG$2),$N154,CEILING(MIN($N154,IF($Q154="",$N154,$Q154*1.03)),IF($N154&lt;=3000,1,IF($N154&lt;=5000,5,IF($N154&lt;=30000,10,IF($N154&lt;=50000,50,IF($N154&lt;=300000,100,500))))))),  IF($H154&lt;$F154*(1+$AG$2),$N154,FLOOR(MAX($N154,IF($P154="",$N154,$P154*0.97)),IF($N154&lt;=3000,1,IF($N154&lt;=5000,5,IF($N154&lt;=30000,10,IF($N154&lt;=50000,50,IF($N154&lt;=300000,100,500))))))))))</f>
      </c>
      <c r="S154" s="586" t="str">
        <f t="shared" si="72"/>
        <v/>
      </c>
      <c r="T154" s="594" t="str">
        <f t="shared" ca="1" si="61"/>
        <v/>
      </c>
      <c r="U154" s="491" t="str">
        <f t="shared" ca="1" si="62"/>
        <v/>
      </c>
      <c r="V154" s="701" t="str">
        <f t="shared" ca="1" si="73"/>
        <v/>
      </c>
      <c r="W154" s="493" t="str">
        <f t="shared" ca="1" si="63"/>
        <v/>
      </c>
      <c r="X154" s="489" t="str">
        <f t="shared" ca="1" si="64"/>
        <v/>
      </c>
      <c r="Y154" s="488">
        <f>IF($B154="","",IF(COUNTIFS($B$4:$B154,$B154,$C$4:$C154,$C154)&gt;1,"⛔重複"&amp;COUNTIFS($B$4:$B154,$B154,$C$4:$C154,$C154)&amp;"回目",""))</f>
      </c>
      <c r="Z154" s="710"/>
      <c r="AB154">
        <f>IF($F154="","",MAX(100,ROUNDDOWN($AG$4/($F154*$AG$2)/100,0)*100))</f>
      </c>
      <c r="AC154">
        <f>IF(OR($F154="",$G154="",$U154=""),"",ROUND($V154-($F154+$U154)*$G154*$AG$6-IF($C154="売",$F154*$G154*$AG$7*$W154/365,0),0))</f>
      </c>
      <c r="AD154" s="608"/>
      <c r="AE154" s="600" t="str">
        <f t="shared" si="65"/>
        <v/>
      </c>
      <c r="AF154" s="600"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00"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00" t="str">
        <f t="shared" ca="1" si="66"/>
        <v/>
      </c>
      <c r="AI154" s="600" t="str" cm="1">
        <f t="array" ref="AI154">IFERROR(INDEX(始値!$E$6:$BT$305,MATCH(TEXT($B154,"0"),TEXT(銘柄管理!$B$6:$B$305,"0"),0),MATCH($AE154,始値!$E$3:$BT$3,0)),"")</f>
        <v/>
      </c>
      <c r="AJ154" s="608" t="str">
        <f t="shared" ca="1" si="67"/>
        <v/>
      </c>
      <c r="AK154" s="600" t="str">
        <f t="shared" ca="1" si="68"/>
        <v/>
      </c>
    </row>
    <row r="155" spans="1:37" ht="35.4" customHeight="1">
      <c r="A155" s="619" t="str">
        <f t="shared" si="57"/>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BT$3,0)=1,1,MATCH($E155,始値!$E$3:$BT$3,0)+1)),_xlpm.v,INDEX(始値!$C$6:$B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 t="shared" ca="1" si="69"/>
        <v/>
      </c>
      <c r="L155" s="706" t="str">
        <f t="shared" ca="1" si="70"/>
        <v/>
      </c>
      <c r="M155" s="491">
        <f>IF($F155="","",IF($C155="売",CEILING($F155*IF($C155="売",1-$AG$3,1+$AG$3),IF($F155*IF($C155="売",1-$AG$3,1+$AG$3)&lt;=3000,1,IF($F155*IF($C155="売",1-$AG$3,1+$AG$3)&lt;=5000,5,IF($F155*IF($C155="売",1-$AG$3,1+$AG$3)&lt;=30000,10,IF($F155*IF($C155="売",1-$AG$3,1+$AG$3)&lt;=50000,50,IF($F155*IF($C155="売",1-$AG$3,1+$AG$3)&lt;=300000,100,500)))))),FLOOR($F155*IF($C155="売",1-$AG$3,1+$AG$3),IF($F155*IF($C155="売",1-$AG$3,1+$AG$3)&lt;=3000,1,IF($F155*IF($C155="売",1-$AG$3,1+$AG$3)&lt;=5000,5,IF($F155*IF($C155="売",1-$AG$3,1+$AG$3)&lt;=30000,10,IF($F155*IF($C155="売",1-$AG$3,1+$AG$3)&lt;=50000,50,IF($F155*IF($C155="売",1-$AG$3,1+$AG$3)&lt;=300000,100,500))))))))</f>
      </c>
      <c r="N155" s="491">
        <f>IF($F155="","",IF($C155="売",CEILING($F155*IF($C155="売",1+$AG$2,1-$AG$2),IF($F155*IF($C155="売",1+$AG$2,1-$AG$2)&lt;=3000,1,IF($F155*IF($C155="売",1+$AG$2,1-$AG$2)&lt;=5000,5,IF($F155*IF($C155="売",1+$AG$2,1-$AG$2)&lt;=30000,10,IF($F155*IF($C155="売",1+$AG$2,1-$AG$2)&lt;=50000,50,IF($F155*IF($C155="売",1+$AG$2,1-$AG$2)&lt;=300000,100,500)))))),FLOOR($F155*IF($C155="売",1+$AG$2,1-$AG$2),IF($F155*IF($C155="売",1+$AG$2,1-$AG$2)&lt;=3000,1,IF($F155*IF($C155="売",1+$AG$2,1-$AG$2)&lt;=5000,5,IF($F155*IF($C155="売",1+$AG$2,1-$AG$2)&lt;=30000,10,IF($F155*IF($C155="売",1+$AG$2,1-$AG$2)&lt;=50000,50,IF($F155*IF($C155="売",1+$AG$2,1-$AG$2)&lt;=300000,100,500))))))))</f>
      </c>
      <c r="O155" s="492">
        <f>IF(OR($B155="",$F155="",$H155=""),"",IF($S155="✅売却済","―決済済―",IF($C155="売",  IF($H155&lt;=$M155,"🟢利確",  IF(AND($R155&lt;&gt;"",$H155&gt;=$R155),"🟠TRAIL決済",  IF($H155&gt;=$N155,"🔴損切",  IF($W155&gt;=$AG$5,"⏱時間決済",  IF($H155&gt;=$F155*(1+$AG$2*0.7),"⚠️損切接近","保持継続"))))),  IF($H155&gt;=$M155,"🟢利確",  IF(AND($R155&lt;&gt;"",$H155&lt;=$R155),"🟠TRAIL決済",  IF($H155&lt;=$N155,"🔴損切",  IF($W155&gt;=$AG$5,"⏱時間決済",  IF($H155&lt;=$F155*(1-$AG$2*0.7),"⚠️損切接近","保持継続")))))))</f>
      </c>
      <c r="P155" s="491"/>
      <c r="Q155" s="491"/>
      <c r="R155" s="491">
        <f>IF(OR($F155="",$H155="",$N155=""),"",IF($S155="✅売却済","",IF($C155="売",  IF($H155&gt;$F155*(1-$AG$2),$N155,CEILING(MIN($N155,IF($Q155="",$N155,$Q155*1.03)),IF($N155&lt;=3000,1,IF($N155&lt;=5000,5,IF($N155&lt;=30000,10,IF($N155&lt;=50000,50,IF($N155&lt;=300000,100,500))))))),  IF($H155&lt;$F155*(1+$AG$2),$N155,FLOOR(MAX($N155,IF($P155="",$N155,$P155*0.97)),IF($N155&lt;=3000,1,IF($N155&lt;=5000,5,IF($N155&lt;=30000,10,IF($N155&lt;=50000,50,IF($N155&lt;=300000,100,500))))))))))</f>
      </c>
      <c r="S155" s="586" t="str">
        <f t="shared" si="72"/>
        <v/>
      </c>
      <c r="T155" s="594" t="str">
        <f t="shared" ca="1" si="61"/>
        <v/>
      </c>
      <c r="U155" s="491" t="str">
        <f t="shared" ca="1" si="62"/>
        <v/>
      </c>
      <c r="V155" s="701" t="str">
        <f t="shared" ca="1" si="73"/>
        <v/>
      </c>
      <c r="W155" s="493" t="str">
        <f t="shared" ca="1" si="63"/>
        <v/>
      </c>
      <c r="X155" s="489" t="str">
        <f t="shared" ca="1" si="64"/>
        <v/>
      </c>
      <c r="Y155" s="488">
        <f>IF($B155="","",IF(COUNTIFS($B$4:$B155,$B155,$C$4:$C155,$C155)&gt;1,"⛔重複"&amp;COUNTIFS($B$4:$B155,$B155,$C$4:$C155,$C155)&amp;"回目",""))</f>
      </c>
      <c r="Z155" s="710"/>
      <c r="AB155">
        <f>IF($F155="","",MAX(100,ROUNDDOWN($AG$4/($F155*$AG$2)/100,0)*100))</f>
      </c>
      <c r="AC155">
        <f>IF(OR($F155="",$G155="",$U155=""),"",ROUND($V155-($F155+$U155)*$G155*$AG$6-IF($C155="売",$F155*$G155*$AG$7*$W155/365,0),0))</f>
      </c>
      <c r="AD155" s="608"/>
      <c r="AE155" s="600" t="str">
        <f t="shared" si="65"/>
        <v/>
      </c>
      <c r="AF155" s="600"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00"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00" t="str">
        <f t="shared" ca="1" si="66"/>
        <v/>
      </c>
      <c r="AI155" s="600" t="str" cm="1">
        <f t="array" ref="AI155">IFERROR(INDEX(始値!$E$6:$BT$305,MATCH(TEXT($B155,"0"),TEXT(銘柄管理!$B$6:$B$305,"0"),0),MATCH($AE155,始値!$E$3:$BT$3,0)),"")</f>
        <v/>
      </c>
      <c r="AJ155" s="608" t="str">
        <f t="shared" ca="1" si="67"/>
        <v/>
      </c>
      <c r="AK155" s="600" t="str">
        <f t="shared" ca="1" si="68"/>
        <v/>
      </c>
    </row>
    <row r="156" spans="1:37" ht="35.4" customHeight="1">
      <c r="A156" s="619" t="str">
        <f t="shared" si="57"/>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BT$3,0)=1,1,MATCH($E156,始値!$E$3:$BT$3,0)+1)),_xlpm.v,INDEX(始値!$C$6:$B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 t="shared" ca="1" si="69"/>
        <v/>
      </c>
      <c r="L156" s="706" t="str">
        <f t="shared" ca="1" si="70"/>
        <v/>
      </c>
      <c r="M156" s="491">
        <f>IF($F156="","",IF($C156="売",CEILING($F156*IF($C156="売",1-$AG$3,1+$AG$3),IF($F156*IF($C156="売",1-$AG$3,1+$AG$3)&lt;=3000,1,IF($F156*IF($C156="売",1-$AG$3,1+$AG$3)&lt;=5000,5,IF($F156*IF($C156="売",1-$AG$3,1+$AG$3)&lt;=30000,10,IF($F156*IF($C156="売",1-$AG$3,1+$AG$3)&lt;=50000,50,IF($F156*IF($C156="売",1-$AG$3,1+$AG$3)&lt;=300000,100,500)))))),FLOOR($F156*IF($C156="売",1-$AG$3,1+$AG$3),IF($F156*IF($C156="売",1-$AG$3,1+$AG$3)&lt;=3000,1,IF($F156*IF($C156="売",1-$AG$3,1+$AG$3)&lt;=5000,5,IF($F156*IF($C156="売",1-$AG$3,1+$AG$3)&lt;=30000,10,IF($F156*IF($C156="売",1-$AG$3,1+$AG$3)&lt;=50000,50,IF($F156*IF($C156="売",1-$AG$3,1+$AG$3)&lt;=300000,100,500))))))))</f>
      </c>
      <c r="N156" s="491">
        <f>IF($F156="","",IF($C156="売",CEILING($F156*IF($C156="売",1+$AG$2,1-$AG$2),IF($F156*IF($C156="売",1+$AG$2,1-$AG$2)&lt;=3000,1,IF($F156*IF($C156="売",1+$AG$2,1-$AG$2)&lt;=5000,5,IF($F156*IF($C156="売",1+$AG$2,1-$AG$2)&lt;=30000,10,IF($F156*IF($C156="売",1+$AG$2,1-$AG$2)&lt;=50000,50,IF($F156*IF($C156="売",1+$AG$2,1-$AG$2)&lt;=300000,100,500)))))),FLOOR($F156*IF($C156="売",1+$AG$2,1-$AG$2),IF($F156*IF($C156="売",1+$AG$2,1-$AG$2)&lt;=3000,1,IF($F156*IF($C156="売",1+$AG$2,1-$AG$2)&lt;=5000,5,IF($F156*IF($C156="売",1+$AG$2,1-$AG$2)&lt;=30000,10,IF($F156*IF($C156="売",1+$AG$2,1-$AG$2)&lt;=50000,50,IF($F156*IF($C156="売",1+$AG$2,1-$AG$2)&lt;=300000,100,500))))))))</f>
      </c>
      <c r="O156" s="492">
        <f>IF(OR($B156="",$F156="",$H156=""),"",IF($S156="✅売却済","―決済済―",IF($C156="売",  IF($H156&lt;=$M156,"🟢利確",  IF(AND($R156&lt;&gt;"",$H156&gt;=$R156),"🟠TRAIL決済",  IF($H156&gt;=$N156,"🔴損切",  IF($W156&gt;=$AG$5,"⏱時間決済",  IF($H156&gt;=$F156*(1+$AG$2*0.7),"⚠️損切接近","保持継続"))))),  IF($H156&gt;=$M156,"🟢利確",  IF(AND($R156&lt;&gt;"",$H156&lt;=$R156),"🟠TRAIL決済",  IF($H156&lt;=$N156,"🔴損切",  IF($W156&gt;=$AG$5,"⏱時間決済",  IF($H156&lt;=$F156*(1-$AG$2*0.7),"⚠️損切接近","保持継続")))))))</f>
      </c>
      <c r="P156" s="491"/>
      <c r="Q156" s="491"/>
      <c r="R156" s="491">
        <f>IF(OR($F156="",$H156="",$N156=""),"",IF($S156="✅売却済","",IF($C156="売",  IF($H156&gt;$F156*(1-$AG$2),$N156,CEILING(MIN($N156,IF($Q156="",$N156,$Q156*1.03)),IF($N156&lt;=3000,1,IF($N156&lt;=5000,5,IF($N156&lt;=30000,10,IF($N156&lt;=50000,50,IF($N156&lt;=300000,100,500))))))),  IF($H156&lt;$F156*(1+$AG$2),$N156,FLOOR(MAX($N156,IF($P156="",$N156,$P156*0.97)),IF($N156&lt;=3000,1,IF($N156&lt;=5000,5,IF($N156&lt;=30000,10,IF($N156&lt;=50000,50,IF($N156&lt;=300000,100,500))))))))))</f>
      </c>
      <c r="S156" s="586" t="str">
        <f t="shared" si="72"/>
        <v/>
      </c>
      <c r="T156" s="594" t="str">
        <f t="shared" ca="1" si="61"/>
        <v/>
      </c>
      <c r="U156" s="491" t="str">
        <f t="shared" ca="1" si="62"/>
        <v/>
      </c>
      <c r="V156" s="701" t="str">
        <f t="shared" ca="1" si="73"/>
        <v/>
      </c>
      <c r="W156" s="493" t="str">
        <f t="shared" ca="1" si="63"/>
        <v/>
      </c>
      <c r="X156" s="489" t="str">
        <f t="shared" ca="1" si="64"/>
        <v/>
      </c>
      <c r="Y156" s="488">
        <f>IF($B156="","",IF(COUNTIFS($B$4:$B156,$B156,$C$4:$C156,$C156)&gt;1,"⛔重複"&amp;COUNTIFS($B$4:$B156,$B156,$C$4:$C156,$C156)&amp;"回目",""))</f>
      </c>
      <c r="Z156" s="710"/>
      <c r="AB156">
        <f>IF($F156="","",MAX(100,ROUNDDOWN($AG$4/($F156*$AG$2)/100,0)*100))</f>
      </c>
      <c r="AC156">
        <f>IF(OR($F156="",$G156="",$U156=""),"",ROUND($V156-($F156+$U156)*$G156*$AG$6-IF($C156="売",$F156*$G156*$AG$7*$W156/365,0),0))</f>
      </c>
      <c r="AD156" s="608"/>
      <c r="AE156" s="600" t="str">
        <f t="shared" si="65"/>
        <v/>
      </c>
      <c r="AF156" s="600"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00"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00" t="str">
        <f t="shared" ca="1" si="66"/>
        <v/>
      </c>
      <c r="AI156" s="600" t="str" cm="1">
        <f t="array" ref="AI156">IFERROR(INDEX(始値!$E$6:$BT$305,MATCH(TEXT($B156,"0"),TEXT(銘柄管理!$B$6:$B$305,"0"),0),MATCH($AE156,始値!$E$3:$BT$3,0)),"")</f>
        <v/>
      </c>
      <c r="AJ156" s="608" t="str">
        <f t="shared" ca="1" si="67"/>
        <v/>
      </c>
      <c r="AK156" s="600" t="str">
        <f t="shared" ca="1" si="68"/>
        <v/>
      </c>
    </row>
    <row r="157" spans="1:37" ht="35.4" customHeight="1">
      <c r="A157" s="619" t="str">
        <f t="shared" si="57"/>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BT$3,0)=1,1,MATCH($E157,始値!$E$3:$BT$3,0)+1)),_xlpm.v,INDEX(始値!$C$6:$B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 t="shared" ca="1" si="69"/>
        <v/>
      </c>
      <c r="L157" s="706" t="str">
        <f t="shared" ca="1" si="70"/>
        <v/>
      </c>
      <c r="M157" s="491">
        <f>IF($F157="","",IF($C157="売",CEILING($F157*IF($C157="売",1-$AG$3,1+$AG$3),IF($F157*IF($C157="売",1-$AG$3,1+$AG$3)&lt;=3000,1,IF($F157*IF($C157="売",1-$AG$3,1+$AG$3)&lt;=5000,5,IF($F157*IF($C157="売",1-$AG$3,1+$AG$3)&lt;=30000,10,IF($F157*IF($C157="売",1-$AG$3,1+$AG$3)&lt;=50000,50,IF($F157*IF($C157="売",1-$AG$3,1+$AG$3)&lt;=300000,100,500)))))),FLOOR($F157*IF($C157="売",1-$AG$3,1+$AG$3),IF($F157*IF($C157="売",1-$AG$3,1+$AG$3)&lt;=3000,1,IF($F157*IF($C157="売",1-$AG$3,1+$AG$3)&lt;=5000,5,IF($F157*IF($C157="売",1-$AG$3,1+$AG$3)&lt;=30000,10,IF($F157*IF($C157="売",1-$AG$3,1+$AG$3)&lt;=50000,50,IF($F157*IF($C157="売",1-$AG$3,1+$AG$3)&lt;=300000,100,500))))))))</f>
      </c>
      <c r="N157" s="491">
        <f>IF($F157="","",IF($C157="売",CEILING($F157*IF($C157="売",1+$AG$2,1-$AG$2),IF($F157*IF($C157="売",1+$AG$2,1-$AG$2)&lt;=3000,1,IF($F157*IF($C157="売",1+$AG$2,1-$AG$2)&lt;=5000,5,IF($F157*IF($C157="売",1+$AG$2,1-$AG$2)&lt;=30000,10,IF($F157*IF($C157="売",1+$AG$2,1-$AG$2)&lt;=50000,50,IF($F157*IF($C157="売",1+$AG$2,1-$AG$2)&lt;=300000,100,500)))))),FLOOR($F157*IF($C157="売",1+$AG$2,1-$AG$2),IF($F157*IF($C157="売",1+$AG$2,1-$AG$2)&lt;=3000,1,IF($F157*IF($C157="売",1+$AG$2,1-$AG$2)&lt;=5000,5,IF($F157*IF($C157="売",1+$AG$2,1-$AG$2)&lt;=30000,10,IF($F157*IF($C157="売",1+$AG$2,1-$AG$2)&lt;=50000,50,IF($F157*IF($C157="売",1+$AG$2,1-$AG$2)&lt;=300000,100,500))))))))</f>
      </c>
      <c r="O157" s="492">
        <f>IF(OR($B157="",$F157="",$H157=""),"",IF($S157="✅売却済","―決済済―",IF($C157="売",  IF($H157&lt;=$M157,"🟢利確",  IF(AND($R157&lt;&gt;"",$H157&gt;=$R157),"🟠TRAIL決済",  IF($H157&gt;=$N157,"🔴損切",  IF($W157&gt;=$AG$5,"⏱時間決済",  IF($H157&gt;=$F157*(1+$AG$2*0.7),"⚠️損切接近","保持継続"))))),  IF($H157&gt;=$M157,"🟢利確",  IF(AND($R157&lt;&gt;"",$H157&lt;=$R157),"🟠TRAIL決済",  IF($H157&lt;=$N157,"🔴損切",  IF($W157&gt;=$AG$5,"⏱時間決済",  IF($H157&lt;=$F157*(1-$AG$2*0.7),"⚠️損切接近","保持継続")))))))</f>
      </c>
      <c r="P157" s="491"/>
      <c r="Q157" s="491"/>
      <c r="R157" s="491">
        <f>IF(OR($F157="",$H157="",$N157=""),"",IF($S157="✅売却済","",IF($C157="売",  IF($H157&gt;$F157*(1-$AG$2),$N157,CEILING(MIN($N157,IF($Q157="",$N157,$Q157*1.03)),IF($N157&lt;=3000,1,IF($N157&lt;=5000,5,IF($N157&lt;=30000,10,IF($N157&lt;=50000,50,IF($N157&lt;=300000,100,500))))))),  IF($H157&lt;$F157*(1+$AG$2),$N157,FLOOR(MAX($N157,IF($P157="",$N157,$P157*0.97)),IF($N157&lt;=3000,1,IF($N157&lt;=5000,5,IF($N157&lt;=30000,10,IF($N157&lt;=50000,50,IF($N157&lt;=300000,100,500))))))))))</f>
      </c>
      <c r="S157" s="586" t="str">
        <f t="shared" si="72"/>
        <v/>
      </c>
      <c r="T157" s="594" t="str">
        <f t="shared" ca="1" si="61"/>
        <v/>
      </c>
      <c r="U157" s="491" t="str">
        <f t="shared" ca="1" si="62"/>
        <v/>
      </c>
      <c r="V157" s="701" t="str">
        <f t="shared" ca="1" si="73"/>
        <v/>
      </c>
      <c r="W157" s="493" t="str">
        <f t="shared" ca="1" si="63"/>
        <v/>
      </c>
      <c r="X157" s="489" t="str">
        <f t="shared" ca="1" si="64"/>
        <v/>
      </c>
      <c r="Y157" s="488">
        <f>IF($B157="","",IF(COUNTIFS($B$4:$B157,$B157,$C$4:$C157,$C157)&gt;1,"⛔重複"&amp;COUNTIFS($B$4:$B157,$B157,$C$4:$C157,$C157)&amp;"回目",""))</f>
      </c>
      <c r="Z157" s="710"/>
      <c r="AB157">
        <f>IF($F157="","",MAX(100,ROUNDDOWN($AG$4/($F157*$AG$2)/100,0)*100))</f>
      </c>
      <c r="AC157">
        <f>IF(OR($F157="",$G157="",$U157=""),"",ROUND($V157-($F157+$U157)*$G157*$AG$6-IF($C157="売",$F157*$G157*$AG$7*$W157/365,0),0))</f>
      </c>
      <c r="AD157" s="608"/>
      <c r="AE157" s="600" t="str">
        <f t="shared" si="65"/>
        <v/>
      </c>
      <c r="AF157" s="600"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00"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00" t="str">
        <f t="shared" ca="1" si="66"/>
        <v/>
      </c>
      <c r="AI157" s="600" t="str" cm="1">
        <f t="array" ref="AI157">IFERROR(INDEX(始値!$E$6:$BT$305,MATCH(TEXT($B157,"0"),TEXT(銘柄管理!$B$6:$B$305,"0"),0),MATCH($AE157,始値!$E$3:$BT$3,0)),"")</f>
        <v/>
      </c>
      <c r="AJ157" s="608" t="str">
        <f t="shared" ca="1" si="67"/>
        <v/>
      </c>
      <c r="AK157" s="600" t="str">
        <f t="shared" ca="1" si="68"/>
        <v/>
      </c>
    </row>
    <row r="158" spans="1:37" ht="35.4" customHeight="1">
      <c r="A158" s="619" t="str">
        <f t="shared" si="57"/>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BT$3,0)=1,1,MATCH($E158,始値!$E$3:$BT$3,0)+1)),_xlpm.v,INDEX(始値!$C$6:$B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 t="shared" ca="1" si="69"/>
        <v/>
      </c>
      <c r="L158" s="706" t="str">
        <f t="shared" ca="1" si="70"/>
        <v/>
      </c>
      <c r="M158" s="491">
        <f>IF($F158="","",IF($C158="売",CEILING($F158*IF($C158="売",1-$AG$3,1+$AG$3),IF($F158*IF($C158="売",1-$AG$3,1+$AG$3)&lt;=3000,1,IF($F158*IF($C158="売",1-$AG$3,1+$AG$3)&lt;=5000,5,IF($F158*IF($C158="売",1-$AG$3,1+$AG$3)&lt;=30000,10,IF($F158*IF($C158="売",1-$AG$3,1+$AG$3)&lt;=50000,50,IF($F158*IF($C158="売",1-$AG$3,1+$AG$3)&lt;=300000,100,500)))))),FLOOR($F158*IF($C158="売",1-$AG$3,1+$AG$3),IF($F158*IF($C158="売",1-$AG$3,1+$AG$3)&lt;=3000,1,IF($F158*IF($C158="売",1-$AG$3,1+$AG$3)&lt;=5000,5,IF($F158*IF($C158="売",1-$AG$3,1+$AG$3)&lt;=30000,10,IF($F158*IF($C158="売",1-$AG$3,1+$AG$3)&lt;=50000,50,IF($F158*IF($C158="売",1-$AG$3,1+$AG$3)&lt;=300000,100,500))))))))</f>
      </c>
      <c r="N158" s="491">
        <f>IF($F158="","",IF($C158="売",CEILING($F158*IF($C158="売",1+$AG$2,1-$AG$2),IF($F158*IF($C158="売",1+$AG$2,1-$AG$2)&lt;=3000,1,IF($F158*IF($C158="売",1+$AG$2,1-$AG$2)&lt;=5000,5,IF($F158*IF($C158="売",1+$AG$2,1-$AG$2)&lt;=30000,10,IF($F158*IF($C158="売",1+$AG$2,1-$AG$2)&lt;=50000,50,IF($F158*IF($C158="売",1+$AG$2,1-$AG$2)&lt;=300000,100,500)))))),FLOOR($F158*IF($C158="売",1+$AG$2,1-$AG$2),IF($F158*IF($C158="売",1+$AG$2,1-$AG$2)&lt;=3000,1,IF($F158*IF($C158="売",1+$AG$2,1-$AG$2)&lt;=5000,5,IF($F158*IF($C158="売",1+$AG$2,1-$AG$2)&lt;=30000,10,IF($F158*IF($C158="売",1+$AG$2,1-$AG$2)&lt;=50000,50,IF($F158*IF($C158="売",1+$AG$2,1-$AG$2)&lt;=300000,100,500))))))))</f>
      </c>
      <c r="O158" s="492">
        <f>IF(OR($B158="",$F158="",$H158=""),"",IF($S158="✅売却済","―決済済―",IF($C158="売",  IF($H158&lt;=$M158,"🟢利確",  IF(AND($R158&lt;&gt;"",$H158&gt;=$R158),"🟠TRAIL決済",  IF($H158&gt;=$N158,"🔴損切",  IF($W158&gt;=$AG$5,"⏱時間決済",  IF($H158&gt;=$F158*(1+$AG$2*0.7),"⚠️損切接近","保持継続"))))),  IF($H158&gt;=$M158,"🟢利確",  IF(AND($R158&lt;&gt;"",$H158&lt;=$R158),"🟠TRAIL決済",  IF($H158&lt;=$N158,"🔴損切",  IF($W158&gt;=$AG$5,"⏱時間決済",  IF($H158&lt;=$F158*(1-$AG$2*0.7),"⚠️損切接近","保持継続")))))))</f>
      </c>
      <c r="P158" s="491"/>
      <c r="Q158" s="491"/>
      <c r="R158" s="491">
        <f>IF(OR($F158="",$H158="",$N158=""),"",IF($S158="✅売却済","",IF($C158="売",  IF($H158&gt;$F158*(1-$AG$2),$N158,CEILING(MIN($N158,IF($Q158="",$N158,$Q158*1.03)),IF($N158&lt;=3000,1,IF($N158&lt;=5000,5,IF($N158&lt;=30000,10,IF($N158&lt;=50000,50,IF($N158&lt;=300000,100,500))))))),  IF($H158&lt;$F158*(1+$AG$2),$N158,FLOOR(MAX($N158,IF($P158="",$N158,$P158*0.97)),IF($N158&lt;=3000,1,IF($N158&lt;=5000,5,IF($N158&lt;=30000,10,IF($N158&lt;=50000,50,IF($N158&lt;=300000,100,500))))))))))</f>
      </c>
      <c r="S158" s="586" t="str">
        <f t="shared" si="72"/>
        <v/>
      </c>
      <c r="T158" s="594" t="str">
        <f t="shared" ca="1" si="61"/>
        <v/>
      </c>
      <c r="U158" s="491" t="str">
        <f t="shared" ca="1" si="62"/>
        <v/>
      </c>
      <c r="V158" s="701" t="str">
        <f t="shared" ca="1" si="73"/>
        <v/>
      </c>
      <c r="W158" s="493" t="str">
        <f t="shared" ca="1" si="63"/>
        <v/>
      </c>
      <c r="X158" s="489" t="str">
        <f t="shared" ca="1" si="64"/>
        <v/>
      </c>
      <c r="Y158" s="488">
        <f>IF($B158="","",IF(COUNTIFS($B$4:$B158,$B158,$C$4:$C158,$C158)&gt;1,"⛔重複"&amp;COUNTIFS($B$4:$B158,$B158,$C$4:$C158,$C158)&amp;"回目",""))</f>
      </c>
      <c r="Z158" s="710"/>
      <c r="AB158">
        <f>IF($F158="","",MAX(100,ROUNDDOWN($AG$4/($F158*$AG$2)/100,0)*100))</f>
      </c>
      <c r="AC158">
        <f>IF(OR($F158="",$G158="",$U158=""),"",ROUND($V158-($F158+$U158)*$G158*$AG$6-IF($C158="売",$F158*$G158*$AG$7*$W158/365,0),0))</f>
      </c>
      <c r="AD158" s="608"/>
      <c r="AE158" s="600" t="str">
        <f t="shared" si="65"/>
        <v/>
      </c>
      <c r="AF158" s="600"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00"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00" t="str">
        <f t="shared" ca="1" si="66"/>
        <v/>
      </c>
      <c r="AI158" s="600" t="str" cm="1">
        <f t="array" ref="AI158">IFERROR(INDEX(始値!$E$6:$BT$305,MATCH(TEXT($B158,"0"),TEXT(銘柄管理!$B$6:$B$305,"0"),0),MATCH($AE158,始値!$E$3:$BT$3,0)),"")</f>
        <v/>
      </c>
      <c r="AJ158" s="608" t="str">
        <f t="shared" ca="1" si="67"/>
        <v/>
      </c>
      <c r="AK158" s="600" t="str">
        <f t="shared" ca="1" si="68"/>
        <v/>
      </c>
    </row>
    <row r="159" spans="1:37" ht="35.4" customHeight="1">
      <c r="A159" s="619" t="str">
        <f t="shared" si="57"/>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BT$3,0)=1,1,MATCH($E159,始値!$E$3:$BT$3,0)+1)),_xlpm.v,INDEX(始値!$C$6:$B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 t="shared" ca="1" si="69"/>
        <v/>
      </c>
      <c r="L159" s="706" t="str">
        <f t="shared" ca="1" si="70"/>
        <v/>
      </c>
      <c r="M159" s="491">
        <f>IF($F159="","",IF($C159="売",CEILING($F159*IF($C159="売",1-$AG$3,1+$AG$3),IF($F159*IF($C159="売",1-$AG$3,1+$AG$3)&lt;=3000,1,IF($F159*IF($C159="売",1-$AG$3,1+$AG$3)&lt;=5000,5,IF($F159*IF($C159="売",1-$AG$3,1+$AG$3)&lt;=30000,10,IF($F159*IF($C159="売",1-$AG$3,1+$AG$3)&lt;=50000,50,IF($F159*IF($C159="売",1-$AG$3,1+$AG$3)&lt;=300000,100,500)))))),FLOOR($F159*IF($C159="売",1-$AG$3,1+$AG$3),IF($F159*IF($C159="売",1-$AG$3,1+$AG$3)&lt;=3000,1,IF($F159*IF($C159="売",1-$AG$3,1+$AG$3)&lt;=5000,5,IF($F159*IF($C159="売",1-$AG$3,1+$AG$3)&lt;=30000,10,IF($F159*IF($C159="売",1-$AG$3,1+$AG$3)&lt;=50000,50,IF($F159*IF($C159="売",1-$AG$3,1+$AG$3)&lt;=300000,100,500))))))))</f>
      </c>
      <c r="N159" s="491">
        <f>IF($F159="","",IF($C159="売",CEILING($F159*IF($C159="売",1+$AG$2,1-$AG$2),IF($F159*IF($C159="売",1+$AG$2,1-$AG$2)&lt;=3000,1,IF($F159*IF($C159="売",1+$AG$2,1-$AG$2)&lt;=5000,5,IF($F159*IF($C159="売",1+$AG$2,1-$AG$2)&lt;=30000,10,IF($F159*IF($C159="売",1+$AG$2,1-$AG$2)&lt;=50000,50,IF($F159*IF($C159="売",1+$AG$2,1-$AG$2)&lt;=300000,100,500)))))),FLOOR($F159*IF($C159="売",1+$AG$2,1-$AG$2),IF($F159*IF($C159="売",1+$AG$2,1-$AG$2)&lt;=3000,1,IF($F159*IF($C159="売",1+$AG$2,1-$AG$2)&lt;=5000,5,IF($F159*IF($C159="売",1+$AG$2,1-$AG$2)&lt;=30000,10,IF($F159*IF($C159="売",1+$AG$2,1-$AG$2)&lt;=50000,50,IF($F159*IF($C159="売",1+$AG$2,1-$AG$2)&lt;=300000,100,500))))))))</f>
      </c>
      <c r="O159" s="492">
        <f>IF(OR($B159="",$F159="",$H159=""),"",IF($S159="✅売却済","―決済済―",IF($C159="売",  IF($H159&lt;=$M159,"🟢利確",  IF(AND($R159&lt;&gt;"",$H159&gt;=$R159),"🟠TRAIL決済",  IF($H159&gt;=$N159,"🔴損切",  IF($W159&gt;=$AG$5,"⏱時間決済",  IF($H159&gt;=$F159*(1+$AG$2*0.7),"⚠️損切接近","保持継続"))))),  IF($H159&gt;=$M159,"🟢利確",  IF(AND($R159&lt;&gt;"",$H159&lt;=$R159),"🟠TRAIL決済",  IF($H159&lt;=$N159,"🔴損切",  IF($W159&gt;=$AG$5,"⏱時間決済",  IF($H159&lt;=$F159*(1-$AG$2*0.7),"⚠️損切接近","保持継続")))))))</f>
      </c>
      <c r="P159" s="491"/>
      <c r="Q159" s="491"/>
      <c r="R159" s="491">
        <f>IF(OR($F159="",$H159="",$N159=""),"",IF($S159="✅売却済","",IF($C159="売",  IF($H159&gt;$F159*(1-$AG$2),$N159,CEILING(MIN($N159,IF($Q159="",$N159,$Q159*1.03)),IF($N159&lt;=3000,1,IF($N159&lt;=5000,5,IF($N159&lt;=30000,10,IF($N159&lt;=50000,50,IF($N159&lt;=300000,100,500))))))),  IF($H159&lt;$F159*(1+$AG$2),$N159,FLOOR(MAX($N159,IF($P159="",$N159,$P159*0.97)),IF($N159&lt;=3000,1,IF($N159&lt;=5000,5,IF($N159&lt;=30000,10,IF($N159&lt;=50000,50,IF($N159&lt;=300000,100,500))))))))))</f>
      </c>
      <c r="S159" s="586" t="str">
        <f t="shared" si="72"/>
        <v/>
      </c>
      <c r="T159" s="594" t="str">
        <f t="shared" ca="1" si="61"/>
        <v/>
      </c>
      <c r="U159" s="491" t="str">
        <f t="shared" ca="1" si="62"/>
        <v/>
      </c>
      <c r="V159" s="701" t="str">
        <f t="shared" ca="1" si="73"/>
        <v/>
      </c>
      <c r="W159" s="493" t="str">
        <f t="shared" ca="1" si="63"/>
        <v/>
      </c>
      <c r="X159" s="489" t="str">
        <f t="shared" ca="1" si="64"/>
        <v/>
      </c>
      <c r="Y159" s="488">
        <f>IF($B159="","",IF(COUNTIFS($B$4:$B159,$B159,$C$4:$C159,$C159)&gt;1,"⛔重複"&amp;COUNTIFS($B$4:$B159,$B159,$C$4:$C159,$C159)&amp;"回目",""))</f>
      </c>
      <c r="Z159" s="710"/>
      <c r="AB159">
        <f>IF($F159="","",MAX(100,ROUNDDOWN($AG$4/($F159*$AG$2)/100,0)*100))</f>
      </c>
      <c r="AC159">
        <f>IF(OR($F159="",$G159="",$U159=""),"",ROUND($V159-($F159+$U159)*$G159*$AG$6-IF($C159="売",$F159*$G159*$AG$7*$W159/365,0),0))</f>
      </c>
      <c r="AD159" s="608"/>
      <c r="AE159" s="600" t="str">
        <f t="shared" si="65"/>
        <v/>
      </c>
      <c r="AF159" s="600"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00"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00" t="str">
        <f t="shared" ca="1" si="66"/>
        <v/>
      </c>
      <c r="AI159" s="600" t="str" cm="1">
        <f t="array" ref="AI159">IFERROR(INDEX(始値!$E$6:$BT$305,MATCH(TEXT($B159,"0"),TEXT(銘柄管理!$B$6:$B$305,"0"),0),MATCH($AE159,始値!$E$3:$BT$3,0)),"")</f>
        <v/>
      </c>
      <c r="AJ159" s="608" t="str">
        <f t="shared" ca="1" si="67"/>
        <v/>
      </c>
      <c r="AK159" s="600" t="str">
        <f t="shared" ca="1" si="68"/>
        <v/>
      </c>
    </row>
    <row r="160" spans="1:37" ht="35.4" customHeight="1">
      <c r="A160" s="619" t="str">
        <f t="shared" si="57"/>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BT$3,0)=1,1,MATCH($E160,始値!$E$3:$BT$3,0)+1)),_xlpm.v,INDEX(始値!$C$6:$B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 t="shared" ca="1" si="69"/>
        <v/>
      </c>
      <c r="L160" s="706" t="str">
        <f t="shared" ca="1" si="70"/>
        <v/>
      </c>
      <c r="M160" s="491">
        <f>IF($F160="","",IF($C160="売",CEILING($F160*IF($C160="売",1-$AG$3,1+$AG$3),IF($F160*IF($C160="売",1-$AG$3,1+$AG$3)&lt;=3000,1,IF($F160*IF($C160="売",1-$AG$3,1+$AG$3)&lt;=5000,5,IF($F160*IF($C160="売",1-$AG$3,1+$AG$3)&lt;=30000,10,IF($F160*IF($C160="売",1-$AG$3,1+$AG$3)&lt;=50000,50,IF($F160*IF($C160="売",1-$AG$3,1+$AG$3)&lt;=300000,100,500)))))),FLOOR($F160*IF($C160="売",1-$AG$3,1+$AG$3),IF($F160*IF($C160="売",1-$AG$3,1+$AG$3)&lt;=3000,1,IF($F160*IF($C160="売",1-$AG$3,1+$AG$3)&lt;=5000,5,IF($F160*IF($C160="売",1-$AG$3,1+$AG$3)&lt;=30000,10,IF($F160*IF($C160="売",1-$AG$3,1+$AG$3)&lt;=50000,50,IF($F160*IF($C160="売",1-$AG$3,1+$AG$3)&lt;=300000,100,500))))))))</f>
      </c>
      <c r="N160" s="491">
        <f>IF($F160="","",IF($C160="売",CEILING($F160*IF($C160="売",1+$AG$2,1-$AG$2),IF($F160*IF($C160="売",1+$AG$2,1-$AG$2)&lt;=3000,1,IF($F160*IF($C160="売",1+$AG$2,1-$AG$2)&lt;=5000,5,IF($F160*IF($C160="売",1+$AG$2,1-$AG$2)&lt;=30000,10,IF($F160*IF($C160="売",1+$AG$2,1-$AG$2)&lt;=50000,50,IF($F160*IF($C160="売",1+$AG$2,1-$AG$2)&lt;=300000,100,500)))))),FLOOR($F160*IF($C160="売",1+$AG$2,1-$AG$2),IF($F160*IF($C160="売",1+$AG$2,1-$AG$2)&lt;=3000,1,IF($F160*IF($C160="売",1+$AG$2,1-$AG$2)&lt;=5000,5,IF($F160*IF($C160="売",1+$AG$2,1-$AG$2)&lt;=30000,10,IF($F160*IF($C160="売",1+$AG$2,1-$AG$2)&lt;=50000,50,IF($F160*IF($C160="売",1+$AG$2,1-$AG$2)&lt;=300000,100,500))))))))</f>
      </c>
      <c r="O160" s="492">
        <f>IF(OR($B160="",$F160="",$H160=""),"",IF($S160="✅売却済","―決済済―",IF($C160="売",  IF($H160&lt;=$M160,"🟢利確",  IF(AND($R160&lt;&gt;"",$H160&gt;=$R160),"🟠TRAIL決済",  IF($H160&gt;=$N160,"🔴損切",  IF($W160&gt;=$AG$5,"⏱時間決済",  IF($H160&gt;=$F160*(1+$AG$2*0.7),"⚠️損切接近","保持継続"))))),  IF($H160&gt;=$M160,"🟢利確",  IF(AND($R160&lt;&gt;"",$H160&lt;=$R160),"🟠TRAIL決済",  IF($H160&lt;=$N160,"🔴損切",  IF($W160&gt;=$AG$5,"⏱時間決済",  IF($H160&lt;=$F160*(1-$AG$2*0.7),"⚠️損切接近","保持継続")))))))</f>
      </c>
      <c r="P160" s="491"/>
      <c r="Q160" s="491"/>
      <c r="R160" s="491">
        <f>IF(OR($F160="",$H160="",$N160=""),"",IF($S160="✅売却済","",IF($C160="売",  IF($H160&gt;$F160*(1-$AG$2),$N160,CEILING(MIN($N160,IF($Q160="",$N160,$Q160*1.03)),IF($N160&lt;=3000,1,IF($N160&lt;=5000,5,IF($N160&lt;=30000,10,IF($N160&lt;=50000,50,IF($N160&lt;=300000,100,500))))))),  IF($H160&lt;$F160*(1+$AG$2),$N160,FLOOR(MAX($N160,IF($P160="",$N160,$P160*0.97)),IF($N160&lt;=3000,1,IF($N160&lt;=5000,5,IF($N160&lt;=30000,10,IF($N160&lt;=50000,50,IF($N160&lt;=300000,100,500))))))))))</f>
      </c>
      <c r="S160" s="586" t="str">
        <f t="shared" si="72"/>
        <v/>
      </c>
      <c r="T160" s="594" t="str">
        <f t="shared" ca="1" si="61"/>
        <v/>
      </c>
      <c r="U160" s="491" t="str">
        <f t="shared" ca="1" si="62"/>
        <v/>
      </c>
      <c r="V160" s="701" t="str">
        <f t="shared" ca="1" si="73"/>
        <v/>
      </c>
      <c r="W160" s="493" t="str">
        <f t="shared" ca="1" si="63"/>
        <v/>
      </c>
      <c r="X160" s="489" t="str">
        <f t="shared" ca="1" si="64"/>
        <v/>
      </c>
      <c r="Y160" s="488">
        <f>IF($B160="","",IF(COUNTIFS($B$4:$B160,$B160,$C$4:$C160,$C160)&gt;1,"⛔重複"&amp;COUNTIFS($B$4:$B160,$B160,$C$4:$C160,$C160)&amp;"回目",""))</f>
      </c>
      <c r="Z160" s="710"/>
      <c r="AB160">
        <f>IF($F160="","",MAX(100,ROUNDDOWN($AG$4/($F160*$AG$2)/100,0)*100))</f>
      </c>
      <c r="AC160">
        <f>IF(OR($F160="",$G160="",$U160=""),"",ROUND($V160-($F160+$U160)*$G160*$AG$6-IF($C160="売",$F160*$G160*$AG$7*$W160/365,0),0))</f>
      </c>
      <c r="AD160" s="608"/>
      <c r="AE160" s="600" t="str">
        <f t="shared" si="65"/>
        <v/>
      </c>
      <c r="AF160" s="600"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00"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00" t="str">
        <f t="shared" ca="1" si="66"/>
        <v/>
      </c>
      <c r="AI160" s="600" t="str" cm="1">
        <f t="array" ref="AI160">IFERROR(INDEX(始値!$E$6:$BT$305,MATCH(TEXT($B160,"0"),TEXT(銘柄管理!$B$6:$B$305,"0"),0),MATCH($AE160,始値!$E$3:$BT$3,0)),"")</f>
        <v/>
      </c>
      <c r="AJ160" s="608" t="str">
        <f t="shared" ca="1" si="67"/>
        <v/>
      </c>
      <c r="AK160" s="600" t="str">
        <f t="shared" ca="1" si="68"/>
        <v/>
      </c>
    </row>
    <row r="161" spans="1:37" ht="35.4" customHeight="1">
      <c r="A161" s="619" t="str">
        <f t="shared" si="57"/>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BT$3,0)=1,1,MATCH($E161,始値!$E$3:$BT$3,0)+1)),_xlpm.v,INDEX(始値!$C$6:$B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 t="shared" ca="1" si="69"/>
        <v/>
      </c>
      <c r="L161" s="706" t="str">
        <f t="shared" ca="1" si="70"/>
        <v/>
      </c>
      <c r="M161" s="491">
        <f>IF($F161="","",IF($C161="売",CEILING($F161*IF($C161="売",1-$AG$3,1+$AG$3),IF($F161*IF($C161="売",1-$AG$3,1+$AG$3)&lt;=3000,1,IF($F161*IF($C161="売",1-$AG$3,1+$AG$3)&lt;=5000,5,IF($F161*IF($C161="売",1-$AG$3,1+$AG$3)&lt;=30000,10,IF($F161*IF($C161="売",1-$AG$3,1+$AG$3)&lt;=50000,50,IF($F161*IF($C161="売",1-$AG$3,1+$AG$3)&lt;=300000,100,500)))))),FLOOR($F161*IF($C161="売",1-$AG$3,1+$AG$3),IF($F161*IF($C161="売",1-$AG$3,1+$AG$3)&lt;=3000,1,IF($F161*IF($C161="売",1-$AG$3,1+$AG$3)&lt;=5000,5,IF($F161*IF($C161="売",1-$AG$3,1+$AG$3)&lt;=30000,10,IF($F161*IF($C161="売",1-$AG$3,1+$AG$3)&lt;=50000,50,IF($F161*IF($C161="売",1-$AG$3,1+$AG$3)&lt;=300000,100,500))))))))</f>
      </c>
      <c r="N161" s="491">
        <f>IF($F161="","",IF($C161="売",CEILING($F161*IF($C161="売",1+$AG$2,1-$AG$2),IF($F161*IF($C161="売",1+$AG$2,1-$AG$2)&lt;=3000,1,IF($F161*IF($C161="売",1+$AG$2,1-$AG$2)&lt;=5000,5,IF($F161*IF($C161="売",1+$AG$2,1-$AG$2)&lt;=30000,10,IF($F161*IF($C161="売",1+$AG$2,1-$AG$2)&lt;=50000,50,IF($F161*IF($C161="売",1+$AG$2,1-$AG$2)&lt;=300000,100,500)))))),FLOOR($F161*IF($C161="売",1+$AG$2,1-$AG$2),IF($F161*IF($C161="売",1+$AG$2,1-$AG$2)&lt;=3000,1,IF($F161*IF($C161="売",1+$AG$2,1-$AG$2)&lt;=5000,5,IF($F161*IF($C161="売",1+$AG$2,1-$AG$2)&lt;=30000,10,IF($F161*IF($C161="売",1+$AG$2,1-$AG$2)&lt;=50000,50,IF($F161*IF($C161="売",1+$AG$2,1-$AG$2)&lt;=300000,100,500))))))))</f>
      </c>
      <c r="O161" s="492">
        <f>IF(OR($B161="",$F161="",$H161=""),"",IF($S161="✅売却済","―決済済―",IF($C161="売",  IF($H161&lt;=$M161,"🟢利確",  IF(AND($R161&lt;&gt;"",$H161&gt;=$R161),"🟠TRAIL決済",  IF($H161&gt;=$N161,"🔴損切",  IF($W161&gt;=$AG$5,"⏱時間決済",  IF($H161&gt;=$F161*(1+$AG$2*0.7),"⚠️損切接近","保持継続"))))),  IF($H161&gt;=$M161,"🟢利確",  IF(AND($R161&lt;&gt;"",$H161&lt;=$R161),"🟠TRAIL決済",  IF($H161&lt;=$N161,"🔴損切",  IF($W161&gt;=$AG$5,"⏱時間決済",  IF($H161&lt;=$F161*(1-$AG$2*0.7),"⚠️損切接近","保持継続")))))))</f>
      </c>
      <c r="P161" s="491"/>
      <c r="Q161" s="491"/>
      <c r="R161" s="491">
        <f>IF(OR($F161="",$H161="",$N161=""),"",IF($S161="✅売却済","",IF($C161="売",  IF($H161&gt;$F161*(1-$AG$2),$N161,CEILING(MIN($N161,IF($Q161="",$N161,$Q161*1.03)),IF($N161&lt;=3000,1,IF($N161&lt;=5000,5,IF($N161&lt;=30000,10,IF($N161&lt;=50000,50,IF($N161&lt;=300000,100,500))))))),  IF($H161&lt;$F161*(1+$AG$2),$N161,FLOOR(MAX($N161,IF($P161="",$N161,$P161*0.97)),IF($N161&lt;=3000,1,IF($N161&lt;=5000,5,IF($N161&lt;=30000,10,IF($N161&lt;=50000,50,IF($N161&lt;=300000,100,500))))))))))</f>
      </c>
      <c r="S161" s="586" t="str">
        <f t="shared" si="72"/>
        <v/>
      </c>
      <c r="T161" s="594" t="str">
        <f t="shared" ca="1" si="61"/>
        <v/>
      </c>
      <c r="U161" s="491" t="str">
        <f t="shared" ca="1" si="62"/>
        <v/>
      </c>
      <c r="V161" s="701" t="str">
        <f t="shared" ca="1" si="73"/>
        <v/>
      </c>
      <c r="W161" s="493" t="str">
        <f t="shared" ca="1" si="63"/>
        <v/>
      </c>
      <c r="X161" s="489" t="str">
        <f t="shared" ca="1" si="64"/>
        <v/>
      </c>
      <c r="Y161" s="488">
        <f>IF($B161="","",IF(COUNTIFS($B$4:$B161,$B161,$C$4:$C161,$C161)&gt;1,"⛔重複"&amp;COUNTIFS($B$4:$B161,$B161,$C$4:$C161,$C161)&amp;"回目",""))</f>
      </c>
      <c r="Z161" s="710"/>
      <c r="AB161">
        <f>IF($F161="","",MAX(100,ROUNDDOWN($AG$4/($F161*$AG$2)/100,0)*100))</f>
      </c>
      <c r="AC161">
        <f>IF(OR($F161="",$G161="",$U161=""),"",ROUND($V161-($F161+$U161)*$G161*$AG$6-IF($C161="売",$F161*$G161*$AG$7*$W161/365,0),0))</f>
      </c>
      <c r="AD161" s="608"/>
      <c r="AE161" s="600" t="str">
        <f t="shared" si="65"/>
        <v/>
      </c>
      <c r="AF161" s="600"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00"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00" t="str">
        <f t="shared" ca="1" si="66"/>
        <v/>
      </c>
      <c r="AI161" s="600" t="str" cm="1">
        <f t="array" ref="AI161">IFERROR(INDEX(始値!$E$6:$BT$305,MATCH(TEXT($B161,"0"),TEXT(銘柄管理!$B$6:$B$305,"0"),0),MATCH($AE161,始値!$E$3:$BT$3,0)),"")</f>
        <v/>
      </c>
      <c r="AJ161" s="608" t="str">
        <f t="shared" ca="1" si="67"/>
        <v/>
      </c>
      <c r="AK161" s="600" t="str">
        <f t="shared" ca="1" si="68"/>
        <v/>
      </c>
    </row>
    <row r="162" spans="1:37" ht="35.4" customHeight="1">
      <c r="A162" s="619" t="str">
        <f t="shared" si="57"/>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BT$3,0)=1,1,MATCH($E162,始値!$E$3:$BT$3,0)+1)),_xlpm.v,INDEX(始値!$C$6:$B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 t="shared" ca="1" si="69"/>
        <v/>
      </c>
      <c r="L162" s="706" t="str">
        <f t="shared" ca="1" si="70"/>
        <v/>
      </c>
      <c r="M162" s="491">
        <f>IF($F162="","",IF($C162="売",CEILING($F162*IF($C162="売",1-$AG$3,1+$AG$3),IF($F162*IF($C162="売",1-$AG$3,1+$AG$3)&lt;=3000,1,IF($F162*IF($C162="売",1-$AG$3,1+$AG$3)&lt;=5000,5,IF($F162*IF($C162="売",1-$AG$3,1+$AG$3)&lt;=30000,10,IF($F162*IF($C162="売",1-$AG$3,1+$AG$3)&lt;=50000,50,IF($F162*IF($C162="売",1-$AG$3,1+$AG$3)&lt;=300000,100,500)))))),FLOOR($F162*IF($C162="売",1-$AG$3,1+$AG$3),IF($F162*IF($C162="売",1-$AG$3,1+$AG$3)&lt;=3000,1,IF($F162*IF($C162="売",1-$AG$3,1+$AG$3)&lt;=5000,5,IF($F162*IF($C162="売",1-$AG$3,1+$AG$3)&lt;=30000,10,IF($F162*IF($C162="売",1-$AG$3,1+$AG$3)&lt;=50000,50,IF($F162*IF($C162="売",1-$AG$3,1+$AG$3)&lt;=300000,100,500))))))))</f>
      </c>
      <c r="N162" s="491">
        <f>IF($F162="","",IF($C162="売",CEILING($F162*IF($C162="売",1+$AG$2,1-$AG$2),IF($F162*IF($C162="売",1+$AG$2,1-$AG$2)&lt;=3000,1,IF($F162*IF($C162="売",1+$AG$2,1-$AG$2)&lt;=5000,5,IF($F162*IF($C162="売",1+$AG$2,1-$AG$2)&lt;=30000,10,IF($F162*IF($C162="売",1+$AG$2,1-$AG$2)&lt;=50000,50,IF($F162*IF($C162="売",1+$AG$2,1-$AG$2)&lt;=300000,100,500)))))),FLOOR($F162*IF($C162="売",1+$AG$2,1-$AG$2),IF($F162*IF($C162="売",1+$AG$2,1-$AG$2)&lt;=3000,1,IF($F162*IF($C162="売",1+$AG$2,1-$AG$2)&lt;=5000,5,IF($F162*IF($C162="売",1+$AG$2,1-$AG$2)&lt;=30000,10,IF($F162*IF($C162="売",1+$AG$2,1-$AG$2)&lt;=50000,50,IF($F162*IF($C162="売",1+$AG$2,1-$AG$2)&lt;=300000,100,500))))))))</f>
      </c>
      <c r="O162" s="492">
        <f>IF(OR($B162="",$F162="",$H162=""),"",IF($S162="✅売却済","―決済済―",IF($C162="売",  IF($H162&lt;=$M162,"🟢利確",  IF(AND($R162&lt;&gt;"",$H162&gt;=$R162),"🟠TRAIL決済",  IF($H162&gt;=$N162,"🔴損切",  IF($W162&gt;=$AG$5,"⏱時間決済",  IF($H162&gt;=$F162*(1+$AG$2*0.7),"⚠️損切接近","保持継続"))))),  IF($H162&gt;=$M162,"🟢利確",  IF(AND($R162&lt;&gt;"",$H162&lt;=$R162),"🟠TRAIL決済",  IF($H162&lt;=$N162,"🔴損切",  IF($W162&gt;=$AG$5,"⏱時間決済",  IF($H162&lt;=$F162*(1-$AG$2*0.7),"⚠️損切接近","保持継続")))))))</f>
      </c>
      <c r="P162" s="491"/>
      <c r="Q162" s="491"/>
      <c r="R162" s="491">
        <f>IF(OR($F162="",$H162="",$N162=""),"",IF($S162="✅売却済","",IF($C162="売",  IF($H162&gt;$F162*(1-$AG$2),$N162,CEILING(MIN($N162,IF($Q162="",$N162,$Q162*1.03)),IF($N162&lt;=3000,1,IF($N162&lt;=5000,5,IF($N162&lt;=30000,10,IF($N162&lt;=50000,50,IF($N162&lt;=300000,100,500))))))),  IF($H162&lt;$F162*(1+$AG$2),$N162,FLOOR(MAX($N162,IF($P162="",$N162,$P162*0.97)),IF($N162&lt;=3000,1,IF($N162&lt;=5000,5,IF($N162&lt;=30000,10,IF($N162&lt;=50000,50,IF($N162&lt;=300000,100,500))))))))))</f>
      </c>
      <c r="S162" s="586" t="str">
        <f t="shared" si="72"/>
        <v/>
      </c>
      <c r="T162" s="594" t="str">
        <f t="shared" ca="1" si="61"/>
        <v/>
      </c>
      <c r="U162" s="491" t="str">
        <f t="shared" ca="1" si="62"/>
        <v/>
      </c>
      <c r="V162" s="701" t="str">
        <f t="shared" ca="1" si="73"/>
        <v/>
      </c>
      <c r="W162" s="493" t="str">
        <f t="shared" ca="1" si="63"/>
        <v/>
      </c>
      <c r="X162" s="489" t="str">
        <f t="shared" ca="1" si="64"/>
        <v/>
      </c>
      <c r="Y162" s="488">
        <f>IF($B162="","",IF(COUNTIFS($B$4:$B162,$B162,$C$4:$C162,$C162)&gt;1,"⛔重複"&amp;COUNTIFS($B$4:$B162,$B162,$C$4:$C162,$C162)&amp;"回目",""))</f>
      </c>
      <c r="Z162" s="710"/>
      <c r="AB162">
        <f>IF($F162="","",MAX(100,ROUNDDOWN($AG$4/($F162*$AG$2)/100,0)*100))</f>
      </c>
      <c r="AC162">
        <f>IF(OR($F162="",$G162="",$U162=""),"",ROUND($V162-($F162+$U162)*$G162*$AG$6-IF($C162="売",$F162*$G162*$AG$7*$W162/365,0),0))</f>
      </c>
      <c r="AD162" s="608"/>
      <c r="AE162" s="600" t="str">
        <f t="shared" si="65"/>
        <v/>
      </c>
      <c r="AF162" s="600"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00"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00" t="str">
        <f t="shared" ca="1" si="66"/>
        <v/>
      </c>
      <c r="AI162" s="600" t="str" cm="1">
        <f t="array" ref="AI162">IFERROR(INDEX(始値!$E$6:$BT$305,MATCH(TEXT($B162,"0"),TEXT(銘柄管理!$B$6:$B$305,"0"),0),MATCH($AE162,始値!$E$3:$BT$3,0)),"")</f>
        <v/>
      </c>
      <c r="AJ162" s="608" t="str">
        <f t="shared" ca="1" si="67"/>
        <v/>
      </c>
      <c r="AK162" s="600" t="str">
        <f t="shared" ca="1" si="68"/>
        <v/>
      </c>
    </row>
    <row r="163" spans="1:37" ht="35.4" customHeight="1">
      <c r="A163" s="619" t="str">
        <f t="shared" si="57"/>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BT$3,0)=1,1,MATCH($E163,始値!$E$3:$BT$3,0)+1)),_xlpm.v,INDEX(始値!$C$6:$B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 t="shared" ca="1" si="69"/>
        <v/>
      </c>
      <c r="L163" s="706" t="str">
        <f t="shared" ca="1" si="70"/>
        <v/>
      </c>
      <c r="M163" s="491">
        <f>IF($F163="","",IF($C163="売",CEILING($F163*IF($C163="売",1-$AG$3,1+$AG$3),IF($F163*IF($C163="売",1-$AG$3,1+$AG$3)&lt;=3000,1,IF($F163*IF($C163="売",1-$AG$3,1+$AG$3)&lt;=5000,5,IF($F163*IF($C163="売",1-$AG$3,1+$AG$3)&lt;=30000,10,IF($F163*IF($C163="売",1-$AG$3,1+$AG$3)&lt;=50000,50,IF($F163*IF($C163="売",1-$AG$3,1+$AG$3)&lt;=300000,100,500)))))),FLOOR($F163*IF($C163="売",1-$AG$3,1+$AG$3),IF($F163*IF($C163="売",1-$AG$3,1+$AG$3)&lt;=3000,1,IF($F163*IF($C163="売",1-$AG$3,1+$AG$3)&lt;=5000,5,IF($F163*IF($C163="売",1-$AG$3,1+$AG$3)&lt;=30000,10,IF($F163*IF($C163="売",1-$AG$3,1+$AG$3)&lt;=50000,50,IF($F163*IF($C163="売",1-$AG$3,1+$AG$3)&lt;=300000,100,500))))))))</f>
      </c>
      <c r="N163" s="491">
        <f>IF($F163="","",IF($C163="売",CEILING($F163*IF($C163="売",1+$AG$2,1-$AG$2),IF($F163*IF($C163="売",1+$AG$2,1-$AG$2)&lt;=3000,1,IF($F163*IF($C163="売",1+$AG$2,1-$AG$2)&lt;=5000,5,IF($F163*IF($C163="売",1+$AG$2,1-$AG$2)&lt;=30000,10,IF($F163*IF($C163="売",1+$AG$2,1-$AG$2)&lt;=50000,50,IF($F163*IF($C163="売",1+$AG$2,1-$AG$2)&lt;=300000,100,500)))))),FLOOR($F163*IF($C163="売",1+$AG$2,1-$AG$2),IF($F163*IF($C163="売",1+$AG$2,1-$AG$2)&lt;=3000,1,IF($F163*IF($C163="売",1+$AG$2,1-$AG$2)&lt;=5000,5,IF($F163*IF($C163="売",1+$AG$2,1-$AG$2)&lt;=30000,10,IF($F163*IF($C163="売",1+$AG$2,1-$AG$2)&lt;=50000,50,IF($F163*IF($C163="売",1+$AG$2,1-$AG$2)&lt;=300000,100,500))))))))</f>
      </c>
      <c r="O163" s="492">
        <f>IF(OR($B163="",$F163="",$H163=""),"",IF($S163="✅売却済","―決済済―",IF($C163="売",  IF($H163&lt;=$M163,"🟢利確",  IF(AND($R163&lt;&gt;"",$H163&gt;=$R163),"🟠TRAIL決済",  IF($H163&gt;=$N163,"🔴損切",  IF($W163&gt;=$AG$5,"⏱時間決済",  IF($H163&gt;=$F163*(1+$AG$2*0.7),"⚠️損切接近","保持継続"))))),  IF($H163&gt;=$M163,"🟢利確",  IF(AND($R163&lt;&gt;"",$H163&lt;=$R163),"🟠TRAIL決済",  IF($H163&lt;=$N163,"🔴損切",  IF($W163&gt;=$AG$5,"⏱時間決済",  IF($H163&lt;=$F163*(1-$AG$2*0.7),"⚠️損切接近","保持継続")))))))</f>
      </c>
      <c r="P163" s="491"/>
      <c r="Q163" s="491"/>
      <c r="R163" s="491">
        <f>IF(OR($F163="",$H163="",$N163=""),"",IF($S163="✅売却済","",IF($C163="売",  IF($H163&gt;$F163*(1-$AG$2),$N163,CEILING(MIN($N163,IF($Q163="",$N163,$Q163*1.03)),IF($N163&lt;=3000,1,IF($N163&lt;=5000,5,IF($N163&lt;=30000,10,IF($N163&lt;=50000,50,IF($N163&lt;=300000,100,500))))))),  IF($H163&lt;$F163*(1+$AG$2),$N163,FLOOR(MAX($N163,IF($P163="",$N163,$P163*0.97)),IF($N163&lt;=3000,1,IF($N163&lt;=5000,5,IF($N163&lt;=30000,10,IF($N163&lt;=50000,50,IF($N163&lt;=300000,100,500))))))))))</f>
      </c>
      <c r="S163" s="586" t="str">
        <f t="shared" si="72"/>
        <v/>
      </c>
      <c r="T163" s="594" t="str">
        <f t="shared" ca="1" si="61"/>
        <v/>
      </c>
      <c r="U163" s="491" t="str">
        <f t="shared" ca="1" si="62"/>
        <v/>
      </c>
      <c r="V163" s="701" t="str">
        <f t="shared" ca="1" si="73"/>
        <v/>
      </c>
      <c r="W163" s="493" t="str">
        <f t="shared" ca="1" si="63"/>
        <v/>
      </c>
      <c r="X163" s="489" t="str">
        <f t="shared" ca="1" si="64"/>
        <v/>
      </c>
      <c r="Y163" s="488">
        <f>IF($B163="","",IF(COUNTIFS($B$4:$B163,$B163,$C$4:$C163,$C163)&gt;1,"⛔重複"&amp;COUNTIFS($B$4:$B163,$B163,$C$4:$C163,$C163)&amp;"回目",""))</f>
      </c>
      <c r="Z163" s="710"/>
      <c r="AB163">
        <f>IF($F163="","",MAX(100,ROUNDDOWN($AG$4/($F163*$AG$2)/100,0)*100))</f>
      </c>
      <c r="AC163">
        <f>IF(OR($F163="",$G163="",$U163=""),"",ROUND($V163-($F163+$U163)*$G163*$AG$6-IF($C163="売",$F163*$G163*$AG$7*$W163/365,0),0))</f>
      </c>
      <c r="AD163" s="608"/>
      <c r="AE163" s="600" t="str">
        <f t="shared" si="65"/>
        <v/>
      </c>
      <c r="AF163" s="600"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00"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00" t="str">
        <f t="shared" ca="1" si="66"/>
        <v/>
      </c>
      <c r="AI163" s="600" t="str" cm="1">
        <f t="array" ref="AI163">IFERROR(INDEX(始値!$E$6:$BT$305,MATCH(TEXT($B163,"0"),TEXT(銘柄管理!$B$6:$B$305,"0"),0),MATCH($AE163,始値!$E$3:$BT$3,0)),"")</f>
        <v/>
      </c>
      <c r="AJ163" s="608" t="str">
        <f t="shared" ca="1" si="67"/>
        <v/>
      </c>
      <c r="AK163" s="600" t="str">
        <f t="shared" ca="1" si="68"/>
        <v/>
      </c>
    </row>
    <row r="164" spans="1:37" ht="35.4" customHeight="1">
      <c r="A164" s="619" t="str">
        <f t="shared" si="57"/>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BT$3,0)=1,1,MATCH($E164,始値!$E$3:$BT$3,0)+1)),_xlpm.v,INDEX(始値!$C$6:$B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 t="shared" ca="1" si="69"/>
        <v/>
      </c>
      <c r="L164" s="706" t="str">
        <f t="shared" ca="1" si="70"/>
        <v/>
      </c>
      <c r="M164" s="491">
        <f>IF($F164="","",IF($C164="売",CEILING($F164*IF($C164="売",1-$AG$3,1+$AG$3),IF($F164*IF($C164="売",1-$AG$3,1+$AG$3)&lt;=3000,1,IF($F164*IF($C164="売",1-$AG$3,1+$AG$3)&lt;=5000,5,IF($F164*IF($C164="売",1-$AG$3,1+$AG$3)&lt;=30000,10,IF($F164*IF($C164="売",1-$AG$3,1+$AG$3)&lt;=50000,50,IF($F164*IF($C164="売",1-$AG$3,1+$AG$3)&lt;=300000,100,500)))))),FLOOR($F164*IF($C164="売",1-$AG$3,1+$AG$3),IF($F164*IF($C164="売",1-$AG$3,1+$AG$3)&lt;=3000,1,IF($F164*IF($C164="売",1-$AG$3,1+$AG$3)&lt;=5000,5,IF($F164*IF($C164="売",1-$AG$3,1+$AG$3)&lt;=30000,10,IF($F164*IF($C164="売",1-$AG$3,1+$AG$3)&lt;=50000,50,IF($F164*IF($C164="売",1-$AG$3,1+$AG$3)&lt;=300000,100,500))))))))</f>
      </c>
      <c r="N164" s="491">
        <f>IF($F164="","",IF($C164="売",CEILING($F164*IF($C164="売",1+$AG$2,1-$AG$2),IF($F164*IF($C164="売",1+$AG$2,1-$AG$2)&lt;=3000,1,IF($F164*IF($C164="売",1+$AG$2,1-$AG$2)&lt;=5000,5,IF($F164*IF($C164="売",1+$AG$2,1-$AG$2)&lt;=30000,10,IF($F164*IF($C164="売",1+$AG$2,1-$AG$2)&lt;=50000,50,IF($F164*IF($C164="売",1+$AG$2,1-$AG$2)&lt;=300000,100,500)))))),FLOOR($F164*IF($C164="売",1+$AG$2,1-$AG$2),IF($F164*IF($C164="売",1+$AG$2,1-$AG$2)&lt;=3000,1,IF($F164*IF($C164="売",1+$AG$2,1-$AG$2)&lt;=5000,5,IF($F164*IF($C164="売",1+$AG$2,1-$AG$2)&lt;=30000,10,IF($F164*IF($C164="売",1+$AG$2,1-$AG$2)&lt;=50000,50,IF($F164*IF($C164="売",1+$AG$2,1-$AG$2)&lt;=300000,100,500))))))))</f>
      </c>
      <c r="O164" s="492">
        <f>IF(OR($B164="",$F164="",$H164=""),"",IF($S164="✅売却済","―決済済―",IF($C164="売",  IF($H164&lt;=$M164,"🟢利確",  IF(AND($R164&lt;&gt;"",$H164&gt;=$R164),"🟠TRAIL決済",  IF($H164&gt;=$N164,"🔴損切",  IF($W164&gt;=$AG$5,"⏱時間決済",  IF($H164&gt;=$F164*(1+$AG$2*0.7),"⚠️損切接近","保持継続"))))),  IF($H164&gt;=$M164,"🟢利確",  IF(AND($R164&lt;&gt;"",$H164&lt;=$R164),"🟠TRAIL決済",  IF($H164&lt;=$N164,"🔴損切",  IF($W164&gt;=$AG$5,"⏱時間決済",  IF($H164&lt;=$F164*(1-$AG$2*0.7),"⚠️損切接近","保持継続")))))))</f>
      </c>
      <c r="P164" s="491"/>
      <c r="Q164" s="491"/>
      <c r="R164" s="491">
        <f>IF(OR($F164="",$H164="",$N164=""),"",IF($S164="✅売却済","",IF($C164="売",  IF($H164&gt;$F164*(1-$AG$2),$N164,CEILING(MIN($N164,IF($Q164="",$N164,$Q164*1.03)),IF($N164&lt;=3000,1,IF($N164&lt;=5000,5,IF($N164&lt;=30000,10,IF($N164&lt;=50000,50,IF($N164&lt;=300000,100,500))))))),  IF($H164&lt;$F164*(1+$AG$2),$N164,FLOOR(MAX($N164,IF($P164="",$N164,$P164*0.97)),IF($N164&lt;=3000,1,IF($N164&lt;=5000,5,IF($N164&lt;=30000,10,IF($N164&lt;=50000,50,IF($N164&lt;=300000,100,500))))))))))</f>
      </c>
      <c r="S164" s="586" t="str">
        <f t="shared" si="72"/>
        <v/>
      </c>
      <c r="T164" s="594" t="str">
        <f t="shared" ca="1" si="61"/>
        <v/>
      </c>
      <c r="U164" s="491" t="str">
        <f t="shared" ca="1" si="62"/>
        <v/>
      </c>
      <c r="V164" s="701" t="str">
        <f t="shared" ca="1" si="73"/>
        <v/>
      </c>
      <c r="W164" s="493" t="str">
        <f t="shared" ca="1" si="63"/>
        <v/>
      </c>
      <c r="X164" s="489" t="str">
        <f t="shared" ca="1" si="64"/>
        <v/>
      </c>
      <c r="Y164" s="488">
        <f>IF($B164="","",IF(COUNTIFS($B$4:$B164,$B164,$C$4:$C164,$C164)&gt;1,"⛔重複"&amp;COUNTIFS($B$4:$B164,$B164,$C$4:$C164,$C164)&amp;"回目",""))</f>
      </c>
      <c r="Z164" s="710"/>
      <c r="AB164">
        <f>IF($F164="","",MAX(100,ROUNDDOWN($AG$4/($F164*$AG$2)/100,0)*100))</f>
      </c>
      <c r="AC164">
        <f>IF(OR($F164="",$G164="",$U164=""),"",ROUND($V164-($F164+$U164)*$G164*$AG$6-IF($C164="売",$F164*$G164*$AG$7*$W164/365,0),0))</f>
      </c>
      <c r="AD164" s="608"/>
      <c r="AE164" s="600" t="str">
        <f t="shared" si="65"/>
        <v/>
      </c>
      <c r="AF164" s="600"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00"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00" t="str">
        <f t="shared" ca="1" si="66"/>
        <v/>
      </c>
      <c r="AI164" s="600" t="str" cm="1">
        <f t="array" ref="AI164">IFERROR(INDEX(始値!$E$6:$BT$305,MATCH(TEXT($B164,"0"),TEXT(銘柄管理!$B$6:$B$305,"0"),0),MATCH($AE164,始値!$E$3:$BT$3,0)),"")</f>
        <v/>
      </c>
      <c r="AJ164" s="608" t="str">
        <f t="shared" ca="1" si="67"/>
        <v/>
      </c>
      <c r="AK164" s="600" t="str">
        <f t="shared" ca="1" si="68"/>
        <v/>
      </c>
    </row>
    <row r="165" spans="1:37" ht="35.4" customHeight="1">
      <c r="A165" s="619" t="str">
        <f t="shared" si="57"/>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BT$3,0)=1,1,MATCH($E165,始値!$E$3:$BT$3,0)+1)),_xlpm.v,INDEX(始値!$C$6:$B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 t="shared" ca="1" si="69"/>
        <v/>
      </c>
      <c r="L165" s="706" t="str">
        <f t="shared" ca="1" si="70"/>
        <v/>
      </c>
      <c r="M165" s="491">
        <f>IF($F165="","",IF($C165="売",CEILING($F165*IF($C165="売",1-$AG$3,1+$AG$3),IF($F165*IF($C165="売",1-$AG$3,1+$AG$3)&lt;=3000,1,IF($F165*IF($C165="売",1-$AG$3,1+$AG$3)&lt;=5000,5,IF($F165*IF($C165="売",1-$AG$3,1+$AG$3)&lt;=30000,10,IF($F165*IF($C165="売",1-$AG$3,1+$AG$3)&lt;=50000,50,IF($F165*IF($C165="売",1-$AG$3,1+$AG$3)&lt;=300000,100,500)))))),FLOOR($F165*IF($C165="売",1-$AG$3,1+$AG$3),IF($F165*IF($C165="売",1-$AG$3,1+$AG$3)&lt;=3000,1,IF($F165*IF($C165="売",1-$AG$3,1+$AG$3)&lt;=5000,5,IF($F165*IF($C165="売",1-$AG$3,1+$AG$3)&lt;=30000,10,IF($F165*IF($C165="売",1-$AG$3,1+$AG$3)&lt;=50000,50,IF($F165*IF($C165="売",1-$AG$3,1+$AG$3)&lt;=300000,100,500))))))))</f>
      </c>
      <c r="N165" s="491">
        <f>IF($F165="","",IF($C165="売",CEILING($F165*IF($C165="売",1+$AG$2,1-$AG$2),IF($F165*IF($C165="売",1+$AG$2,1-$AG$2)&lt;=3000,1,IF($F165*IF($C165="売",1+$AG$2,1-$AG$2)&lt;=5000,5,IF($F165*IF($C165="売",1+$AG$2,1-$AG$2)&lt;=30000,10,IF($F165*IF($C165="売",1+$AG$2,1-$AG$2)&lt;=50000,50,IF($F165*IF($C165="売",1+$AG$2,1-$AG$2)&lt;=300000,100,500)))))),FLOOR($F165*IF($C165="売",1+$AG$2,1-$AG$2),IF($F165*IF($C165="売",1+$AG$2,1-$AG$2)&lt;=3000,1,IF($F165*IF($C165="売",1+$AG$2,1-$AG$2)&lt;=5000,5,IF($F165*IF($C165="売",1+$AG$2,1-$AG$2)&lt;=30000,10,IF($F165*IF($C165="売",1+$AG$2,1-$AG$2)&lt;=50000,50,IF($F165*IF($C165="売",1+$AG$2,1-$AG$2)&lt;=300000,100,500))))))))</f>
      </c>
      <c r="O165" s="492">
        <f>IF(OR($B165="",$F165="",$H165=""),"",IF($S165="✅売却済","―決済済―",IF($C165="売",  IF($H165&lt;=$M165,"🟢利確",  IF(AND($R165&lt;&gt;"",$H165&gt;=$R165),"🟠TRAIL決済",  IF($H165&gt;=$N165,"🔴損切",  IF($W165&gt;=$AG$5,"⏱時間決済",  IF($H165&gt;=$F165*(1+$AG$2*0.7),"⚠️損切接近","保持継続"))))),  IF($H165&gt;=$M165,"🟢利確",  IF(AND($R165&lt;&gt;"",$H165&lt;=$R165),"🟠TRAIL決済",  IF($H165&lt;=$N165,"🔴損切",  IF($W165&gt;=$AG$5,"⏱時間決済",  IF($H165&lt;=$F165*(1-$AG$2*0.7),"⚠️損切接近","保持継続")))))))</f>
      </c>
      <c r="P165" s="491"/>
      <c r="Q165" s="491"/>
      <c r="R165" s="491">
        <f>IF(OR($F165="",$H165="",$N165=""),"",IF($S165="✅売却済","",IF($C165="売",  IF($H165&gt;$F165*(1-$AG$2),$N165,CEILING(MIN($N165,IF($Q165="",$N165,$Q165*1.03)),IF($N165&lt;=3000,1,IF($N165&lt;=5000,5,IF($N165&lt;=30000,10,IF($N165&lt;=50000,50,IF($N165&lt;=300000,100,500))))))),  IF($H165&lt;$F165*(1+$AG$2),$N165,FLOOR(MAX($N165,IF($P165="",$N165,$P165*0.97)),IF($N165&lt;=3000,1,IF($N165&lt;=5000,5,IF($N165&lt;=30000,10,IF($N165&lt;=50000,50,IF($N165&lt;=300000,100,500))))))))))</f>
      </c>
      <c r="S165" s="586" t="str">
        <f t="shared" si="72"/>
        <v/>
      </c>
      <c r="T165" s="594" t="str">
        <f t="shared" ca="1" si="61"/>
        <v/>
      </c>
      <c r="U165" s="491" t="str">
        <f t="shared" ca="1" si="62"/>
        <v/>
      </c>
      <c r="V165" s="701" t="str">
        <f t="shared" ca="1" si="73"/>
        <v/>
      </c>
      <c r="W165" s="493" t="str">
        <f t="shared" ca="1" si="63"/>
        <v/>
      </c>
      <c r="X165" s="489" t="str">
        <f t="shared" ca="1" si="64"/>
        <v/>
      </c>
      <c r="Y165" s="488">
        <f>IF($B165="","",IF(COUNTIFS($B$4:$B165,$B165,$C$4:$C165,$C165)&gt;1,"⛔重複"&amp;COUNTIFS($B$4:$B165,$B165,$C$4:$C165,$C165)&amp;"回目",""))</f>
      </c>
      <c r="Z165" s="710"/>
      <c r="AB165">
        <f>IF($F165="","",MAX(100,ROUNDDOWN($AG$4/($F165*$AG$2)/100,0)*100))</f>
      </c>
      <c r="AC165">
        <f>IF(OR($F165="",$G165="",$U165=""),"",ROUND($V165-($F165+$U165)*$G165*$AG$6-IF($C165="売",$F165*$G165*$AG$7*$W165/365,0),0))</f>
      </c>
      <c r="AD165" s="608"/>
      <c r="AE165" s="600" t="str">
        <f t="shared" si="65"/>
        <v/>
      </c>
      <c r="AF165" s="600"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00"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00" t="str">
        <f t="shared" ca="1" si="66"/>
        <v/>
      </c>
      <c r="AI165" s="600" t="str" cm="1">
        <f t="array" ref="AI165">IFERROR(INDEX(始値!$E$6:$BT$305,MATCH(TEXT($B165,"0"),TEXT(銘柄管理!$B$6:$B$305,"0"),0),MATCH($AE165,始値!$E$3:$BT$3,0)),"")</f>
        <v/>
      </c>
      <c r="AJ165" s="608" t="str">
        <f t="shared" ca="1" si="67"/>
        <v/>
      </c>
      <c r="AK165" s="600" t="str">
        <f t="shared" ca="1" si="68"/>
        <v/>
      </c>
    </row>
    <row r="166" spans="1:37" ht="35.4" customHeight="1">
      <c r="A166" s="619" t="str">
        <f t="shared" si="57"/>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BT$3,0)=1,1,MATCH($E166,始値!$E$3:$BT$3,0)+1)),_xlpm.v,INDEX(始値!$C$6:$B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 t="shared" ca="1" si="69"/>
        <v/>
      </c>
      <c r="L166" s="706" t="str">
        <f t="shared" ca="1" si="70"/>
        <v/>
      </c>
      <c r="M166" s="491">
        <f>IF($F166="","",IF($C166="売",CEILING($F166*IF($C166="売",1-$AG$3,1+$AG$3),IF($F166*IF($C166="売",1-$AG$3,1+$AG$3)&lt;=3000,1,IF($F166*IF($C166="売",1-$AG$3,1+$AG$3)&lt;=5000,5,IF($F166*IF($C166="売",1-$AG$3,1+$AG$3)&lt;=30000,10,IF($F166*IF($C166="売",1-$AG$3,1+$AG$3)&lt;=50000,50,IF($F166*IF($C166="売",1-$AG$3,1+$AG$3)&lt;=300000,100,500)))))),FLOOR($F166*IF($C166="売",1-$AG$3,1+$AG$3),IF($F166*IF($C166="売",1-$AG$3,1+$AG$3)&lt;=3000,1,IF($F166*IF($C166="売",1-$AG$3,1+$AG$3)&lt;=5000,5,IF($F166*IF($C166="売",1-$AG$3,1+$AG$3)&lt;=30000,10,IF($F166*IF($C166="売",1-$AG$3,1+$AG$3)&lt;=50000,50,IF($F166*IF($C166="売",1-$AG$3,1+$AG$3)&lt;=300000,100,500))))))))</f>
      </c>
      <c r="N166" s="491">
        <f>IF($F166="","",IF($C166="売",CEILING($F166*IF($C166="売",1+$AG$2,1-$AG$2),IF($F166*IF($C166="売",1+$AG$2,1-$AG$2)&lt;=3000,1,IF($F166*IF($C166="売",1+$AG$2,1-$AG$2)&lt;=5000,5,IF($F166*IF($C166="売",1+$AG$2,1-$AG$2)&lt;=30000,10,IF($F166*IF($C166="売",1+$AG$2,1-$AG$2)&lt;=50000,50,IF($F166*IF($C166="売",1+$AG$2,1-$AG$2)&lt;=300000,100,500)))))),FLOOR($F166*IF($C166="売",1+$AG$2,1-$AG$2),IF($F166*IF($C166="売",1+$AG$2,1-$AG$2)&lt;=3000,1,IF($F166*IF($C166="売",1+$AG$2,1-$AG$2)&lt;=5000,5,IF($F166*IF($C166="売",1+$AG$2,1-$AG$2)&lt;=30000,10,IF($F166*IF($C166="売",1+$AG$2,1-$AG$2)&lt;=50000,50,IF($F166*IF($C166="売",1+$AG$2,1-$AG$2)&lt;=300000,100,500))))))))</f>
      </c>
      <c r="O166" s="492">
        <f>IF(OR($B166="",$F166="",$H166=""),"",IF($S166="✅売却済","―決済済―",IF($C166="売",  IF($H166&lt;=$M166,"🟢利確",  IF(AND($R166&lt;&gt;"",$H166&gt;=$R166),"🟠TRAIL決済",  IF($H166&gt;=$N166,"🔴損切",  IF($W166&gt;=$AG$5,"⏱時間決済",  IF($H166&gt;=$F166*(1+$AG$2*0.7),"⚠️損切接近","保持継続"))))),  IF($H166&gt;=$M166,"🟢利確",  IF(AND($R166&lt;&gt;"",$H166&lt;=$R166),"🟠TRAIL決済",  IF($H166&lt;=$N166,"🔴損切",  IF($W166&gt;=$AG$5,"⏱時間決済",  IF($H166&lt;=$F166*(1-$AG$2*0.7),"⚠️損切接近","保持継続")))))))</f>
      </c>
      <c r="P166" s="491"/>
      <c r="Q166" s="491"/>
      <c r="R166" s="491">
        <f>IF(OR($F166="",$H166="",$N166=""),"",IF($S166="✅売却済","",IF($C166="売",  IF($H166&gt;$F166*(1-$AG$2),$N166,CEILING(MIN($N166,IF($Q166="",$N166,$Q166*1.03)),IF($N166&lt;=3000,1,IF($N166&lt;=5000,5,IF($N166&lt;=30000,10,IF($N166&lt;=50000,50,IF($N166&lt;=300000,100,500))))))),  IF($H166&lt;$F166*(1+$AG$2),$N166,FLOOR(MAX($N166,IF($P166="",$N166,$P166*0.97)),IF($N166&lt;=3000,1,IF($N166&lt;=5000,5,IF($N166&lt;=30000,10,IF($N166&lt;=50000,50,IF($N166&lt;=300000,100,500))))))))))</f>
      </c>
      <c r="S166" s="586" t="str">
        <f t="shared" si="72"/>
        <v/>
      </c>
      <c r="T166" s="594" t="str">
        <f t="shared" ca="1" si="61"/>
        <v/>
      </c>
      <c r="U166" s="491" t="str">
        <f t="shared" ca="1" si="62"/>
        <v/>
      </c>
      <c r="V166" s="701" t="str">
        <f t="shared" ca="1" si="73"/>
        <v/>
      </c>
      <c r="W166" s="493" t="str">
        <f t="shared" ca="1" si="63"/>
        <v/>
      </c>
      <c r="X166" s="489" t="str">
        <f t="shared" ca="1" si="64"/>
        <v/>
      </c>
      <c r="Y166" s="488">
        <f>IF($B166="","",IF(COUNTIFS($B$4:$B166,$B166,$C$4:$C166,$C166)&gt;1,"⛔重複"&amp;COUNTIFS($B$4:$B166,$B166,$C$4:$C166,$C166)&amp;"回目",""))</f>
      </c>
      <c r="Z166" s="710"/>
      <c r="AB166">
        <f>IF($F166="","",MAX(100,ROUNDDOWN($AG$4/($F166*$AG$2)/100,0)*100))</f>
      </c>
      <c r="AC166">
        <f>IF(OR($F166="",$G166="",$U166=""),"",ROUND($V166-($F166+$U166)*$G166*$AG$6-IF($C166="売",$F166*$G166*$AG$7*$W166/365,0),0))</f>
      </c>
      <c r="AD166" s="608"/>
      <c r="AE166" s="600" t="str">
        <f t="shared" si="65"/>
        <v/>
      </c>
      <c r="AF166" s="600"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00"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00" t="str">
        <f t="shared" ca="1" si="66"/>
        <v/>
      </c>
      <c r="AI166" s="600" t="str" cm="1">
        <f t="array" ref="AI166">IFERROR(INDEX(始値!$E$6:$BT$305,MATCH(TEXT($B166,"0"),TEXT(銘柄管理!$B$6:$B$305,"0"),0),MATCH($AE166,始値!$E$3:$BT$3,0)),"")</f>
        <v/>
      </c>
      <c r="AJ166" s="608" t="str">
        <f t="shared" ca="1" si="67"/>
        <v/>
      </c>
      <c r="AK166" s="600" t="str">
        <f t="shared" ca="1" si="68"/>
        <v/>
      </c>
    </row>
    <row r="167" spans="1:37" ht="35.4" customHeight="1">
      <c r="A167" s="619" t="str">
        <f t="shared" si="57"/>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BT$3,0)=1,1,MATCH($E167,始値!$E$3:$BT$3,0)+1)),_xlpm.v,INDEX(始値!$C$6:$B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 t="shared" ca="1" si="69"/>
        <v/>
      </c>
      <c r="L167" s="706" t="str">
        <f t="shared" ca="1" si="70"/>
        <v/>
      </c>
      <c r="M167" s="491">
        <f>IF($F167="","",IF($C167="売",CEILING($F167*IF($C167="売",1-$AG$3,1+$AG$3),IF($F167*IF($C167="売",1-$AG$3,1+$AG$3)&lt;=3000,1,IF($F167*IF($C167="売",1-$AG$3,1+$AG$3)&lt;=5000,5,IF($F167*IF($C167="売",1-$AG$3,1+$AG$3)&lt;=30000,10,IF($F167*IF($C167="売",1-$AG$3,1+$AG$3)&lt;=50000,50,IF($F167*IF($C167="売",1-$AG$3,1+$AG$3)&lt;=300000,100,500)))))),FLOOR($F167*IF($C167="売",1-$AG$3,1+$AG$3),IF($F167*IF($C167="売",1-$AG$3,1+$AG$3)&lt;=3000,1,IF($F167*IF($C167="売",1-$AG$3,1+$AG$3)&lt;=5000,5,IF($F167*IF($C167="売",1-$AG$3,1+$AG$3)&lt;=30000,10,IF($F167*IF($C167="売",1-$AG$3,1+$AG$3)&lt;=50000,50,IF($F167*IF($C167="売",1-$AG$3,1+$AG$3)&lt;=300000,100,500))))))))</f>
      </c>
      <c r="N167" s="491">
        <f>IF($F167="","",IF($C167="売",CEILING($F167*IF($C167="売",1+$AG$2,1-$AG$2),IF($F167*IF($C167="売",1+$AG$2,1-$AG$2)&lt;=3000,1,IF($F167*IF($C167="売",1+$AG$2,1-$AG$2)&lt;=5000,5,IF($F167*IF($C167="売",1+$AG$2,1-$AG$2)&lt;=30000,10,IF($F167*IF($C167="売",1+$AG$2,1-$AG$2)&lt;=50000,50,IF($F167*IF($C167="売",1+$AG$2,1-$AG$2)&lt;=300000,100,500)))))),FLOOR($F167*IF($C167="売",1+$AG$2,1-$AG$2),IF($F167*IF($C167="売",1+$AG$2,1-$AG$2)&lt;=3000,1,IF($F167*IF($C167="売",1+$AG$2,1-$AG$2)&lt;=5000,5,IF($F167*IF($C167="売",1+$AG$2,1-$AG$2)&lt;=30000,10,IF($F167*IF($C167="売",1+$AG$2,1-$AG$2)&lt;=50000,50,IF($F167*IF($C167="売",1+$AG$2,1-$AG$2)&lt;=300000,100,500))))))))</f>
      </c>
      <c r="O167" s="492">
        <f>IF(OR($B167="",$F167="",$H167=""),"",IF($S167="✅売却済","―決済済―",IF($C167="売",  IF($H167&lt;=$M167,"🟢利確",  IF(AND($R167&lt;&gt;"",$H167&gt;=$R167),"🟠TRAIL決済",  IF($H167&gt;=$N167,"🔴損切",  IF($W167&gt;=$AG$5,"⏱時間決済",  IF($H167&gt;=$F167*(1+$AG$2*0.7),"⚠️損切接近","保持継続"))))),  IF($H167&gt;=$M167,"🟢利確",  IF(AND($R167&lt;&gt;"",$H167&lt;=$R167),"🟠TRAIL決済",  IF($H167&lt;=$N167,"🔴損切",  IF($W167&gt;=$AG$5,"⏱時間決済",  IF($H167&lt;=$F167*(1-$AG$2*0.7),"⚠️損切接近","保持継続")))))))</f>
      </c>
      <c r="P167" s="491"/>
      <c r="Q167" s="491"/>
      <c r="R167" s="491">
        <f>IF(OR($F167="",$H167="",$N167=""),"",IF($S167="✅売却済","",IF($C167="売",  IF($H167&gt;$F167*(1-$AG$2),$N167,CEILING(MIN($N167,IF($Q167="",$N167,$Q167*1.03)),IF($N167&lt;=3000,1,IF($N167&lt;=5000,5,IF($N167&lt;=30000,10,IF($N167&lt;=50000,50,IF($N167&lt;=300000,100,500))))))),  IF($H167&lt;$F167*(1+$AG$2),$N167,FLOOR(MAX($N167,IF($P167="",$N167,$P167*0.97)),IF($N167&lt;=3000,1,IF($N167&lt;=5000,5,IF($N167&lt;=30000,10,IF($N167&lt;=50000,50,IF($N167&lt;=300000,100,500))))))))))</f>
      </c>
      <c r="S167" s="586" t="str">
        <f t="shared" si="72"/>
        <v/>
      </c>
      <c r="T167" s="594" t="str">
        <f t="shared" ca="1" si="61"/>
        <v/>
      </c>
      <c r="U167" s="491" t="str">
        <f t="shared" ca="1" si="62"/>
        <v/>
      </c>
      <c r="V167" s="701" t="str">
        <f t="shared" ca="1" si="73"/>
        <v/>
      </c>
      <c r="W167" s="493" t="str">
        <f t="shared" ca="1" si="63"/>
        <v/>
      </c>
      <c r="X167" s="489" t="str">
        <f t="shared" ca="1" si="64"/>
        <v/>
      </c>
      <c r="Y167" s="488">
        <f>IF($B167="","",IF(COUNTIFS($B$4:$B167,$B167,$C$4:$C167,$C167)&gt;1,"⛔重複"&amp;COUNTIFS($B$4:$B167,$B167,$C$4:$C167,$C167)&amp;"回目",""))</f>
      </c>
      <c r="Z167" s="710"/>
      <c r="AB167">
        <f>IF($F167="","",MAX(100,ROUNDDOWN($AG$4/($F167*$AG$2)/100,0)*100))</f>
      </c>
      <c r="AC167">
        <f>IF(OR($F167="",$G167="",$U167=""),"",ROUND($V167-($F167+$U167)*$G167*$AG$6-IF($C167="売",$F167*$G167*$AG$7*$W167/365,0),0))</f>
      </c>
      <c r="AD167" s="608"/>
      <c r="AE167" s="600" t="str">
        <f t="shared" si="65"/>
        <v/>
      </c>
      <c r="AF167" s="600"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00"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00" t="str">
        <f t="shared" ca="1" si="66"/>
        <v/>
      </c>
      <c r="AI167" s="600" t="str" cm="1">
        <f t="array" ref="AI167">IFERROR(INDEX(始値!$E$6:$BT$305,MATCH(TEXT($B167,"0"),TEXT(銘柄管理!$B$6:$B$305,"0"),0),MATCH($AE167,始値!$E$3:$BT$3,0)),"")</f>
        <v/>
      </c>
      <c r="AJ167" s="608" t="str">
        <f t="shared" ca="1" si="67"/>
        <v/>
      </c>
      <c r="AK167" s="600" t="str">
        <f t="shared" ca="1" si="68"/>
        <v/>
      </c>
    </row>
    <row r="168" spans="1:37" ht="35.4" customHeight="1">
      <c r="A168" s="619" t="str">
        <f t="shared" si="57"/>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BT$3,0)=1,1,MATCH($E168,始値!$E$3:$BT$3,0)+1)),_xlpm.v,INDEX(始値!$C$6:$B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 t="shared" ca="1" si="69"/>
        <v/>
      </c>
      <c r="L168" s="706" t="str">
        <f t="shared" ca="1" si="70"/>
        <v/>
      </c>
      <c r="M168" s="491">
        <f>IF($F168="","",IF($C168="売",CEILING($F168*IF($C168="売",1-$AG$3,1+$AG$3),IF($F168*IF($C168="売",1-$AG$3,1+$AG$3)&lt;=3000,1,IF($F168*IF($C168="売",1-$AG$3,1+$AG$3)&lt;=5000,5,IF($F168*IF($C168="売",1-$AG$3,1+$AG$3)&lt;=30000,10,IF($F168*IF($C168="売",1-$AG$3,1+$AG$3)&lt;=50000,50,IF($F168*IF($C168="売",1-$AG$3,1+$AG$3)&lt;=300000,100,500)))))),FLOOR($F168*IF($C168="売",1-$AG$3,1+$AG$3),IF($F168*IF($C168="売",1-$AG$3,1+$AG$3)&lt;=3000,1,IF($F168*IF($C168="売",1-$AG$3,1+$AG$3)&lt;=5000,5,IF($F168*IF($C168="売",1-$AG$3,1+$AG$3)&lt;=30000,10,IF($F168*IF($C168="売",1-$AG$3,1+$AG$3)&lt;=50000,50,IF($F168*IF($C168="売",1-$AG$3,1+$AG$3)&lt;=300000,100,500))))))))</f>
      </c>
      <c r="N168" s="491">
        <f>IF($F168="","",IF($C168="売",CEILING($F168*IF($C168="売",1+$AG$2,1-$AG$2),IF($F168*IF($C168="売",1+$AG$2,1-$AG$2)&lt;=3000,1,IF($F168*IF($C168="売",1+$AG$2,1-$AG$2)&lt;=5000,5,IF($F168*IF($C168="売",1+$AG$2,1-$AG$2)&lt;=30000,10,IF($F168*IF($C168="売",1+$AG$2,1-$AG$2)&lt;=50000,50,IF($F168*IF($C168="売",1+$AG$2,1-$AG$2)&lt;=300000,100,500)))))),FLOOR($F168*IF($C168="売",1+$AG$2,1-$AG$2),IF($F168*IF($C168="売",1+$AG$2,1-$AG$2)&lt;=3000,1,IF($F168*IF($C168="売",1+$AG$2,1-$AG$2)&lt;=5000,5,IF($F168*IF($C168="売",1+$AG$2,1-$AG$2)&lt;=30000,10,IF($F168*IF($C168="売",1+$AG$2,1-$AG$2)&lt;=50000,50,IF($F168*IF($C168="売",1+$AG$2,1-$AG$2)&lt;=300000,100,500))))))))</f>
      </c>
      <c r="O168" s="492">
        <f>IF(OR($B168="",$F168="",$H168=""),"",IF($S168="✅売却済","―決済済―",IF($C168="売",  IF($H168&lt;=$M168,"🟢利確",  IF(AND($R168&lt;&gt;"",$H168&gt;=$R168),"🟠TRAIL決済",  IF($H168&gt;=$N168,"🔴損切",  IF($W168&gt;=$AG$5,"⏱時間決済",  IF($H168&gt;=$F168*(1+$AG$2*0.7),"⚠️損切接近","保持継続"))))),  IF($H168&gt;=$M168,"🟢利確",  IF(AND($R168&lt;&gt;"",$H168&lt;=$R168),"🟠TRAIL決済",  IF($H168&lt;=$N168,"🔴損切",  IF($W168&gt;=$AG$5,"⏱時間決済",  IF($H168&lt;=$F168*(1-$AG$2*0.7),"⚠️損切接近","保持継続")))))))</f>
      </c>
      <c r="P168" s="491"/>
      <c r="Q168" s="491"/>
      <c r="R168" s="491">
        <f>IF(OR($F168="",$H168="",$N168=""),"",IF($S168="✅売却済","",IF($C168="売",  IF($H168&gt;$F168*(1-$AG$2),$N168,CEILING(MIN($N168,IF($Q168="",$N168,$Q168*1.03)),IF($N168&lt;=3000,1,IF($N168&lt;=5000,5,IF($N168&lt;=30000,10,IF($N168&lt;=50000,50,IF($N168&lt;=300000,100,500))))))),  IF($H168&lt;$F168*(1+$AG$2),$N168,FLOOR(MAX($N168,IF($P168="",$N168,$P168*0.97)),IF($N168&lt;=3000,1,IF($N168&lt;=5000,5,IF($N168&lt;=30000,10,IF($N168&lt;=50000,50,IF($N168&lt;=300000,100,500))))))))))</f>
      </c>
      <c r="S168" s="586" t="str">
        <f t="shared" si="72"/>
        <v/>
      </c>
      <c r="T168" s="594" t="str">
        <f t="shared" ca="1" si="61"/>
        <v/>
      </c>
      <c r="U168" s="491" t="str">
        <f t="shared" ca="1" si="62"/>
        <v/>
      </c>
      <c r="V168" s="701" t="str">
        <f t="shared" ca="1" si="73"/>
        <v/>
      </c>
      <c r="W168" s="493" t="str">
        <f t="shared" ca="1" si="63"/>
        <v/>
      </c>
      <c r="X168" s="489" t="str">
        <f t="shared" ca="1" si="64"/>
        <v/>
      </c>
      <c r="Y168" s="488">
        <f>IF($B168="","",IF(COUNTIFS($B$4:$B168,$B168,$C$4:$C168,$C168)&gt;1,"⛔重複"&amp;COUNTIFS($B$4:$B168,$B168,$C$4:$C168,$C168)&amp;"回目",""))</f>
      </c>
      <c r="Z168" s="710"/>
      <c r="AB168">
        <f>IF($F168="","",MAX(100,ROUNDDOWN($AG$4/($F168*$AG$2)/100,0)*100))</f>
      </c>
      <c r="AC168">
        <f>IF(OR($F168="",$G168="",$U168=""),"",ROUND($V168-($F168+$U168)*$G168*$AG$6-IF($C168="売",$F168*$G168*$AG$7*$W168/365,0),0))</f>
      </c>
      <c r="AD168" s="608"/>
      <c r="AE168" s="600" t="str">
        <f t="shared" si="65"/>
        <v/>
      </c>
      <c r="AF168" s="600"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00"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00" t="str">
        <f t="shared" ca="1" si="66"/>
        <v/>
      </c>
      <c r="AI168" s="600" t="str" cm="1">
        <f t="array" ref="AI168">IFERROR(INDEX(始値!$E$6:$BT$305,MATCH(TEXT($B168,"0"),TEXT(銘柄管理!$B$6:$B$305,"0"),0),MATCH($AE168,始値!$E$3:$BT$3,0)),"")</f>
        <v/>
      </c>
      <c r="AJ168" s="608" t="str">
        <f t="shared" ca="1" si="67"/>
        <v/>
      </c>
      <c r="AK168" s="600" t="str">
        <f t="shared" ca="1" si="68"/>
        <v/>
      </c>
    </row>
    <row r="169" spans="1:37" ht="35.4" customHeight="1">
      <c r="A169" s="619" t="str">
        <f t="shared" si="57"/>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BT$3,0)=1,1,MATCH($E169,始値!$E$3:$BT$3,0)+1)),_xlpm.v,INDEX(始値!$C$6:$B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 t="shared" ca="1" si="69"/>
        <v/>
      </c>
      <c r="L169" s="706" t="str">
        <f t="shared" ca="1" si="70"/>
        <v/>
      </c>
      <c r="M169" s="491">
        <f>IF($F169="","",IF($C169="売",CEILING($F169*IF($C169="売",1-$AG$3,1+$AG$3),IF($F169*IF($C169="売",1-$AG$3,1+$AG$3)&lt;=3000,1,IF($F169*IF($C169="売",1-$AG$3,1+$AG$3)&lt;=5000,5,IF($F169*IF($C169="売",1-$AG$3,1+$AG$3)&lt;=30000,10,IF($F169*IF($C169="売",1-$AG$3,1+$AG$3)&lt;=50000,50,IF($F169*IF($C169="売",1-$AG$3,1+$AG$3)&lt;=300000,100,500)))))),FLOOR($F169*IF($C169="売",1-$AG$3,1+$AG$3),IF($F169*IF($C169="売",1-$AG$3,1+$AG$3)&lt;=3000,1,IF($F169*IF($C169="売",1-$AG$3,1+$AG$3)&lt;=5000,5,IF($F169*IF($C169="売",1-$AG$3,1+$AG$3)&lt;=30000,10,IF($F169*IF($C169="売",1-$AG$3,1+$AG$3)&lt;=50000,50,IF($F169*IF($C169="売",1-$AG$3,1+$AG$3)&lt;=300000,100,500))))))))</f>
      </c>
      <c r="N169" s="491">
        <f>IF($F169="","",IF($C169="売",CEILING($F169*IF($C169="売",1+$AG$2,1-$AG$2),IF($F169*IF($C169="売",1+$AG$2,1-$AG$2)&lt;=3000,1,IF($F169*IF($C169="売",1+$AG$2,1-$AG$2)&lt;=5000,5,IF($F169*IF($C169="売",1+$AG$2,1-$AG$2)&lt;=30000,10,IF($F169*IF($C169="売",1+$AG$2,1-$AG$2)&lt;=50000,50,IF($F169*IF($C169="売",1+$AG$2,1-$AG$2)&lt;=300000,100,500)))))),FLOOR($F169*IF($C169="売",1+$AG$2,1-$AG$2),IF($F169*IF($C169="売",1+$AG$2,1-$AG$2)&lt;=3000,1,IF($F169*IF($C169="売",1+$AG$2,1-$AG$2)&lt;=5000,5,IF($F169*IF($C169="売",1+$AG$2,1-$AG$2)&lt;=30000,10,IF($F169*IF($C169="売",1+$AG$2,1-$AG$2)&lt;=50000,50,IF($F169*IF($C169="売",1+$AG$2,1-$AG$2)&lt;=300000,100,500))))))))</f>
      </c>
      <c r="O169" s="492">
        <f>IF(OR($B169="",$F169="",$H169=""),"",IF($S169="✅売却済","―決済済―",IF($C169="売",  IF($H169&lt;=$M169,"🟢利確",  IF(AND($R169&lt;&gt;"",$H169&gt;=$R169),"🟠TRAIL決済",  IF($H169&gt;=$N169,"🔴損切",  IF($W169&gt;=$AG$5,"⏱時間決済",  IF($H169&gt;=$F169*(1+$AG$2*0.7),"⚠️損切接近","保持継続"))))),  IF($H169&gt;=$M169,"🟢利確",  IF(AND($R169&lt;&gt;"",$H169&lt;=$R169),"🟠TRAIL決済",  IF($H169&lt;=$N169,"🔴損切",  IF($W169&gt;=$AG$5,"⏱時間決済",  IF($H169&lt;=$F169*(1-$AG$2*0.7),"⚠️損切接近","保持継続")))))))</f>
      </c>
      <c r="P169" s="491"/>
      <c r="Q169" s="491"/>
      <c r="R169" s="491">
        <f>IF(OR($F169="",$H169="",$N169=""),"",IF($S169="✅売却済","",IF($C169="売",  IF($H169&gt;$F169*(1-$AG$2),$N169,CEILING(MIN($N169,IF($Q169="",$N169,$Q169*1.03)),IF($N169&lt;=3000,1,IF($N169&lt;=5000,5,IF($N169&lt;=30000,10,IF($N169&lt;=50000,50,IF($N169&lt;=300000,100,500))))))),  IF($H169&lt;$F169*(1+$AG$2),$N169,FLOOR(MAX($N169,IF($P169="",$N169,$P169*0.97)),IF($N169&lt;=3000,1,IF($N169&lt;=5000,5,IF($N169&lt;=30000,10,IF($N169&lt;=50000,50,IF($N169&lt;=300000,100,500))))))))))</f>
      </c>
      <c r="S169" s="586" t="str">
        <f t="shared" si="72"/>
        <v/>
      </c>
      <c r="T169" s="594" t="str">
        <f t="shared" ca="1" si="61"/>
        <v/>
      </c>
      <c r="U169" s="491" t="str">
        <f t="shared" ca="1" si="62"/>
        <v/>
      </c>
      <c r="V169" s="701" t="str">
        <f t="shared" ca="1" si="73"/>
        <v/>
      </c>
      <c r="W169" s="493" t="str">
        <f t="shared" ca="1" si="63"/>
        <v/>
      </c>
      <c r="X169" s="489" t="str">
        <f t="shared" ca="1" si="64"/>
        <v/>
      </c>
      <c r="Y169" s="488">
        <f>IF($B169="","",IF(COUNTIFS($B$4:$B169,$B169,$C$4:$C169,$C169)&gt;1,"⛔重複"&amp;COUNTIFS($B$4:$B169,$B169,$C$4:$C169,$C169)&amp;"回目",""))</f>
      </c>
      <c r="Z169" s="710"/>
      <c r="AB169">
        <f>IF($F169="","",MAX(100,ROUNDDOWN($AG$4/($F169*$AG$2)/100,0)*100))</f>
      </c>
      <c r="AC169">
        <f>IF(OR($F169="",$G169="",$U169=""),"",ROUND($V169-($F169+$U169)*$G169*$AG$6-IF($C169="売",$F169*$G169*$AG$7*$W169/365,0),0))</f>
      </c>
      <c r="AD169" s="608"/>
      <c r="AE169" s="600" t="str">
        <f t="shared" si="65"/>
        <v/>
      </c>
      <c r="AF169" s="600"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00"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00" t="str">
        <f t="shared" ca="1" si="66"/>
        <v/>
      </c>
      <c r="AI169" s="600" t="str" cm="1">
        <f t="array" ref="AI169">IFERROR(INDEX(始値!$E$6:$BT$305,MATCH(TEXT($B169,"0"),TEXT(銘柄管理!$B$6:$B$305,"0"),0),MATCH($AE169,始値!$E$3:$BT$3,0)),"")</f>
        <v/>
      </c>
      <c r="AJ169" s="608" t="str">
        <f t="shared" ca="1" si="67"/>
        <v/>
      </c>
      <c r="AK169" s="600" t="str">
        <f t="shared" ca="1" si="68"/>
        <v/>
      </c>
    </row>
    <row r="170" spans="1:37" ht="35.4" customHeight="1">
      <c r="A170" s="619" t="str">
        <f t="shared" si="57"/>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BT$3,0)=1,1,MATCH($E170,始値!$E$3:$BT$3,0)+1)),_xlpm.v,INDEX(始値!$C$6:$B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 t="shared" ca="1" si="69"/>
        <v/>
      </c>
      <c r="L170" s="706" t="str">
        <f t="shared" ca="1" si="70"/>
        <v/>
      </c>
      <c r="M170" s="491">
        <f>IF($F170="","",IF($C170="売",CEILING($F170*IF($C170="売",1-$AG$3,1+$AG$3),IF($F170*IF($C170="売",1-$AG$3,1+$AG$3)&lt;=3000,1,IF($F170*IF($C170="売",1-$AG$3,1+$AG$3)&lt;=5000,5,IF($F170*IF($C170="売",1-$AG$3,1+$AG$3)&lt;=30000,10,IF($F170*IF($C170="売",1-$AG$3,1+$AG$3)&lt;=50000,50,IF($F170*IF($C170="売",1-$AG$3,1+$AG$3)&lt;=300000,100,500)))))),FLOOR($F170*IF($C170="売",1-$AG$3,1+$AG$3),IF($F170*IF($C170="売",1-$AG$3,1+$AG$3)&lt;=3000,1,IF($F170*IF($C170="売",1-$AG$3,1+$AG$3)&lt;=5000,5,IF($F170*IF($C170="売",1-$AG$3,1+$AG$3)&lt;=30000,10,IF($F170*IF($C170="売",1-$AG$3,1+$AG$3)&lt;=50000,50,IF($F170*IF($C170="売",1-$AG$3,1+$AG$3)&lt;=300000,100,500))))))))</f>
      </c>
      <c r="N170" s="491">
        <f>IF($F170="","",IF($C170="売",CEILING($F170*IF($C170="売",1+$AG$2,1-$AG$2),IF($F170*IF($C170="売",1+$AG$2,1-$AG$2)&lt;=3000,1,IF($F170*IF($C170="売",1+$AG$2,1-$AG$2)&lt;=5000,5,IF($F170*IF($C170="売",1+$AG$2,1-$AG$2)&lt;=30000,10,IF($F170*IF($C170="売",1+$AG$2,1-$AG$2)&lt;=50000,50,IF($F170*IF($C170="売",1+$AG$2,1-$AG$2)&lt;=300000,100,500)))))),FLOOR($F170*IF($C170="売",1+$AG$2,1-$AG$2),IF($F170*IF($C170="売",1+$AG$2,1-$AG$2)&lt;=3000,1,IF($F170*IF($C170="売",1+$AG$2,1-$AG$2)&lt;=5000,5,IF($F170*IF($C170="売",1+$AG$2,1-$AG$2)&lt;=30000,10,IF($F170*IF($C170="売",1+$AG$2,1-$AG$2)&lt;=50000,50,IF($F170*IF($C170="売",1+$AG$2,1-$AG$2)&lt;=300000,100,500))))))))</f>
      </c>
      <c r="O170" s="492">
        <f>IF(OR($B170="",$F170="",$H170=""),"",IF($S170="✅売却済","―決済済―",IF($C170="売",  IF($H170&lt;=$M170,"🟢利確",  IF(AND($R170&lt;&gt;"",$H170&gt;=$R170),"🟠TRAIL決済",  IF($H170&gt;=$N170,"🔴損切",  IF($W170&gt;=$AG$5,"⏱時間決済",  IF($H170&gt;=$F170*(1+$AG$2*0.7),"⚠️損切接近","保持継続"))))),  IF($H170&gt;=$M170,"🟢利確",  IF(AND($R170&lt;&gt;"",$H170&lt;=$R170),"🟠TRAIL決済",  IF($H170&lt;=$N170,"🔴損切",  IF($W170&gt;=$AG$5,"⏱時間決済",  IF($H170&lt;=$F170*(1-$AG$2*0.7),"⚠️損切接近","保持継続")))))))</f>
      </c>
      <c r="P170" s="491"/>
      <c r="Q170" s="491"/>
      <c r="R170" s="491">
        <f>IF(OR($F170="",$H170="",$N170=""),"",IF($S170="✅売却済","",IF($C170="売",  IF($H170&gt;$F170*(1-$AG$2),$N170,CEILING(MIN($N170,IF($Q170="",$N170,$Q170*1.03)),IF($N170&lt;=3000,1,IF($N170&lt;=5000,5,IF($N170&lt;=30000,10,IF($N170&lt;=50000,50,IF($N170&lt;=300000,100,500))))))),  IF($H170&lt;$F170*(1+$AG$2),$N170,FLOOR(MAX($N170,IF($P170="",$N170,$P170*0.97)),IF($N170&lt;=3000,1,IF($N170&lt;=5000,5,IF($N170&lt;=30000,10,IF($N170&lt;=50000,50,IF($N170&lt;=300000,100,500))))))))))</f>
      </c>
      <c r="S170" s="586" t="str">
        <f t="shared" si="72"/>
        <v/>
      </c>
      <c r="T170" s="594" t="str">
        <f t="shared" ca="1" si="61"/>
        <v/>
      </c>
      <c r="U170" s="491" t="str">
        <f t="shared" ca="1" si="62"/>
        <v/>
      </c>
      <c r="V170" s="701" t="str">
        <f t="shared" ca="1" si="73"/>
        <v/>
      </c>
      <c r="W170" s="493" t="str">
        <f t="shared" ca="1" si="63"/>
        <v/>
      </c>
      <c r="X170" s="489" t="str">
        <f t="shared" ca="1" si="64"/>
        <v/>
      </c>
      <c r="Y170" s="488">
        <f>IF($B170="","",IF(COUNTIFS($B$4:$B170,$B170,$C$4:$C170,$C170)&gt;1,"⛔重複"&amp;COUNTIFS($B$4:$B170,$B170,$C$4:$C170,$C170)&amp;"回目",""))</f>
      </c>
      <c r="Z170" s="710"/>
      <c r="AB170">
        <f>IF($F170="","",MAX(100,ROUNDDOWN($AG$4/($F170*$AG$2)/100,0)*100))</f>
      </c>
      <c r="AC170">
        <f>IF(OR($F170="",$G170="",$U170=""),"",ROUND($V170-($F170+$U170)*$G170*$AG$6-IF($C170="売",$F170*$G170*$AG$7*$W170/365,0),0))</f>
      </c>
      <c r="AD170" s="608"/>
      <c r="AE170" s="600" t="str">
        <f t="shared" si="65"/>
        <v/>
      </c>
      <c r="AF170" s="600"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00"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00" t="str">
        <f t="shared" ca="1" si="66"/>
        <v/>
      </c>
      <c r="AI170" s="600" t="str" cm="1">
        <f t="array" ref="AI170">IFERROR(INDEX(始値!$E$6:$BT$305,MATCH(TEXT($B170,"0"),TEXT(銘柄管理!$B$6:$B$305,"0"),0),MATCH($AE170,始値!$E$3:$BT$3,0)),"")</f>
        <v/>
      </c>
      <c r="AJ170" s="608" t="str">
        <f t="shared" ca="1" si="67"/>
        <v/>
      </c>
      <c r="AK170" s="600" t="str">
        <f t="shared" ca="1" si="68"/>
        <v/>
      </c>
    </row>
    <row r="171" spans="1:37" ht="35.4" customHeight="1">
      <c r="A171" s="619" t="str">
        <f t="shared" si="57"/>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BT$3,0)=1,1,MATCH($E171,始値!$E$3:$BT$3,0)+1)),_xlpm.v,INDEX(始値!$C$6:$B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 t="shared" ca="1" si="69"/>
        <v/>
      </c>
      <c r="L171" s="706" t="str">
        <f t="shared" ca="1" si="70"/>
        <v/>
      </c>
      <c r="M171" s="491">
        <f>IF($F171="","",IF($C171="売",CEILING($F171*IF($C171="売",1-$AG$3,1+$AG$3),IF($F171*IF($C171="売",1-$AG$3,1+$AG$3)&lt;=3000,1,IF($F171*IF($C171="売",1-$AG$3,1+$AG$3)&lt;=5000,5,IF($F171*IF($C171="売",1-$AG$3,1+$AG$3)&lt;=30000,10,IF($F171*IF($C171="売",1-$AG$3,1+$AG$3)&lt;=50000,50,IF($F171*IF($C171="売",1-$AG$3,1+$AG$3)&lt;=300000,100,500)))))),FLOOR($F171*IF($C171="売",1-$AG$3,1+$AG$3),IF($F171*IF($C171="売",1-$AG$3,1+$AG$3)&lt;=3000,1,IF($F171*IF($C171="売",1-$AG$3,1+$AG$3)&lt;=5000,5,IF($F171*IF($C171="売",1-$AG$3,1+$AG$3)&lt;=30000,10,IF($F171*IF($C171="売",1-$AG$3,1+$AG$3)&lt;=50000,50,IF($F171*IF($C171="売",1-$AG$3,1+$AG$3)&lt;=300000,100,500))))))))</f>
      </c>
      <c r="N171" s="491">
        <f>IF($F171="","",IF($C171="売",CEILING($F171*IF($C171="売",1+$AG$2,1-$AG$2),IF($F171*IF($C171="売",1+$AG$2,1-$AG$2)&lt;=3000,1,IF($F171*IF($C171="売",1+$AG$2,1-$AG$2)&lt;=5000,5,IF($F171*IF($C171="売",1+$AG$2,1-$AG$2)&lt;=30000,10,IF($F171*IF($C171="売",1+$AG$2,1-$AG$2)&lt;=50000,50,IF($F171*IF($C171="売",1+$AG$2,1-$AG$2)&lt;=300000,100,500)))))),FLOOR($F171*IF($C171="売",1+$AG$2,1-$AG$2),IF($F171*IF($C171="売",1+$AG$2,1-$AG$2)&lt;=3000,1,IF($F171*IF($C171="売",1+$AG$2,1-$AG$2)&lt;=5000,5,IF($F171*IF($C171="売",1+$AG$2,1-$AG$2)&lt;=30000,10,IF($F171*IF($C171="売",1+$AG$2,1-$AG$2)&lt;=50000,50,IF($F171*IF($C171="売",1+$AG$2,1-$AG$2)&lt;=300000,100,500))))))))</f>
      </c>
      <c r="O171" s="492">
        <f>IF(OR($B171="",$F171="",$H171=""),"",IF($S171="✅売却済","―決済済―",IF($C171="売",  IF($H171&lt;=$M171,"🟢利確",  IF(AND($R171&lt;&gt;"",$H171&gt;=$R171),"🟠TRAIL決済",  IF($H171&gt;=$N171,"🔴損切",  IF($W171&gt;=$AG$5,"⏱時間決済",  IF($H171&gt;=$F171*(1+$AG$2*0.7),"⚠️損切接近","保持継続"))))),  IF($H171&gt;=$M171,"🟢利確",  IF(AND($R171&lt;&gt;"",$H171&lt;=$R171),"🟠TRAIL決済",  IF($H171&lt;=$N171,"🔴損切",  IF($W171&gt;=$AG$5,"⏱時間決済",  IF($H171&lt;=$F171*(1-$AG$2*0.7),"⚠️損切接近","保持継続")))))))</f>
      </c>
      <c r="P171" s="491"/>
      <c r="Q171" s="491"/>
      <c r="R171" s="491">
        <f>IF(OR($F171="",$H171="",$N171=""),"",IF($S171="✅売却済","",IF($C171="売",  IF($H171&gt;$F171*(1-$AG$2),$N171,CEILING(MIN($N171,IF($Q171="",$N171,$Q171*1.03)),IF($N171&lt;=3000,1,IF($N171&lt;=5000,5,IF($N171&lt;=30000,10,IF($N171&lt;=50000,50,IF($N171&lt;=300000,100,500))))))),  IF($H171&lt;$F171*(1+$AG$2),$N171,FLOOR(MAX($N171,IF($P171="",$N171,$P171*0.97)),IF($N171&lt;=3000,1,IF($N171&lt;=5000,5,IF($N171&lt;=30000,10,IF($N171&lt;=50000,50,IF($N171&lt;=300000,100,500))))))))))</f>
      </c>
      <c r="S171" s="586" t="str">
        <f t="shared" si="72"/>
        <v/>
      </c>
      <c r="T171" s="594" t="str">
        <f t="shared" ca="1" si="61"/>
        <v/>
      </c>
      <c r="U171" s="491" t="str">
        <f t="shared" ca="1" si="62"/>
        <v/>
      </c>
      <c r="V171" s="701" t="str">
        <f t="shared" ca="1" si="73"/>
        <v/>
      </c>
      <c r="W171" s="493" t="str">
        <f t="shared" ca="1" si="63"/>
        <v/>
      </c>
      <c r="X171" s="489" t="str">
        <f t="shared" ca="1" si="64"/>
        <v/>
      </c>
      <c r="Y171" s="488">
        <f>IF($B171="","",IF(COUNTIFS($B$4:$B171,$B171,$C$4:$C171,$C171)&gt;1,"⛔重複"&amp;COUNTIFS($B$4:$B171,$B171,$C$4:$C171,$C171)&amp;"回目",""))</f>
      </c>
      <c r="Z171" s="710"/>
      <c r="AB171">
        <f>IF($F171="","",MAX(100,ROUNDDOWN($AG$4/($F171*$AG$2)/100,0)*100))</f>
      </c>
      <c r="AC171">
        <f>IF(OR($F171="",$G171="",$U171=""),"",ROUND($V171-($F171+$U171)*$G171*$AG$6-IF($C171="売",$F171*$G171*$AG$7*$W171/365,0),0))</f>
      </c>
      <c r="AD171" s="608"/>
      <c r="AE171" s="600" t="str">
        <f t="shared" si="65"/>
        <v/>
      </c>
      <c r="AF171" s="600"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00"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00" t="str">
        <f t="shared" ca="1" si="66"/>
        <v/>
      </c>
      <c r="AI171" s="600" t="str" cm="1">
        <f t="array" ref="AI171">IFERROR(INDEX(始値!$E$6:$BT$305,MATCH(TEXT($B171,"0"),TEXT(銘柄管理!$B$6:$B$305,"0"),0),MATCH($AE171,始値!$E$3:$BT$3,0)),"")</f>
        <v/>
      </c>
      <c r="AJ171" s="608" t="str">
        <f t="shared" ca="1" si="67"/>
        <v/>
      </c>
      <c r="AK171" s="600" t="str">
        <f t="shared" ca="1" si="68"/>
        <v/>
      </c>
    </row>
    <row r="172" spans="1:37" ht="35.4" customHeight="1">
      <c r="A172" s="619" t="str">
        <f t="shared" si="57"/>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BT$3,0)=1,1,MATCH($E172,始値!$E$3:$BT$3,0)+1)),_xlpm.v,INDEX(始値!$C$6:$B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 t="shared" ca="1" si="69"/>
        <v/>
      </c>
      <c r="L172" s="706" t="str">
        <f t="shared" ca="1" si="70"/>
        <v/>
      </c>
      <c r="M172" s="491">
        <f>IF($F172="","",IF($C172="売",CEILING($F172*IF($C172="売",1-$AG$3,1+$AG$3),IF($F172*IF($C172="売",1-$AG$3,1+$AG$3)&lt;=3000,1,IF($F172*IF($C172="売",1-$AG$3,1+$AG$3)&lt;=5000,5,IF($F172*IF($C172="売",1-$AG$3,1+$AG$3)&lt;=30000,10,IF($F172*IF($C172="売",1-$AG$3,1+$AG$3)&lt;=50000,50,IF($F172*IF($C172="売",1-$AG$3,1+$AG$3)&lt;=300000,100,500)))))),FLOOR($F172*IF($C172="売",1-$AG$3,1+$AG$3),IF($F172*IF($C172="売",1-$AG$3,1+$AG$3)&lt;=3000,1,IF($F172*IF($C172="売",1-$AG$3,1+$AG$3)&lt;=5000,5,IF($F172*IF($C172="売",1-$AG$3,1+$AG$3)&lt;=30000,10,IF($F172*IF($C172="売",1-$AG$3,1+$AG$3)&lt;=50000,50,IF($F172*IF($C172="売",1-$AG$3,1+$AG$3)&lt;=300000,100,500))))))))</f>
      </c>
      <c r="N172" s="491">
        <f>IF($F172="","",IF($C172="売",CEILING($F172*IF($C172="売",1+$AG$2,1-$AG$2),IF($F172*IF($C172="売",1+$AG$2,1-$AG$2)&lt;=3000,1,IF($F172*IF($C172="売",1+$AG$2,1-$AG$2)&lt;=5000,5,IF($F172*IF($C172="売",1+$AG$2,1-$AG$2)&lt;=30000,10,IF($F172*IF($C172="売",1+$AG$2,1-$AG$2)&lt;=50000,50,IF($F172*IF($C172="売",1+$AG$2,1-$AG$2)&lt;=300000,100,500)))))),FLOOR($F172*IF($C172="売",1+$AG$2,1-$AG$2),IF($F172*IF($C172="売",1+$AG$2,1-$AG$2)&lt;=3000,1,IF($F172*IF($C172="売",1+$AG$2,1-$AG$2)&lt;=5000,5,IF($F172*IF($C172="売",1+$AG$2,1-$AG$2)&lt;=30000,10,IF($F172*IF($C172="売",1+$AG$2,1-$AG$2)&lt;=50000,50,IF($F172*IF($C172="売",1+$AG$2,1-$AG$2)&lt;=300000,100,500))))))))</f>
      </c>
      <c r="O172" s="492">
        <f>IF(OR($B172="",$F172="",$H172=""),"",IF($S172="✅売却済","―決済済―",IF($C172="売",  IF($H172&lt;=$M172,"🟢利確",  IF(AND($R172&lt;&gt;"",$H172&gt;=$R172),"🟠TRAIL決済",  IF($H172&gt;=$N172,"🔴損切",  IF($W172&gt;=$AG$5,"⏱時間決済",  IF($H172&gt;=$F172*(1+$AG$2*0.7),"⚠️損切接近","保持継続"))))),  IF($H172&gt;=$M172,"🟢利確",  IF(AND($R172&lt;&gt;"",$H172&lt;=$R172),"🟠TRAIL決済",  IF($H172&lt;=$N172,"🔴損切",  IF($W172&gt;=$AG$5,"⏱時間決済",  IF($H172&lt;=$F172*(1-$AG$2*0.7),"⚠️損切接近","保持継続")))))))</f>
      </c>
      <c r="P172" s="491"/>
      <c r="Q172" s="491"/>
      <c r="R172" s="491">
        <f>IF(OR($F172="",$H172="",$N172=""),"",IF($S172="✅売却済","",IF($C172="売",  IF($H172&gt;$F172*(1-$AG$2),$N172,CEILING(MIN($N172,IF($Q172="",$N172,$Q172*1.03)),IF($N172&lt;=3000,1,IF($N172&lt;=5000,5,IF($N172&lt;=30000,10,IF($N172&lt;=50000,50,IF($N172&lt;=300000,100,500))))))),  IF($H172&lt;$F172*(1+$AG$2),$N172,FLOOR(MAX($N172,IF($P172="",$N172,$P172*0.97)),IF($N172&lt;=3000,1,IF($N172&lt;=5000,5,IF($N172&lt;=30000,10,IF($N172&lt;=50000,50,IF($N172&lt;=300000,100,500))))))))))</f>
      </c>
      <c r="S172" s="586" t="str">
        <f t="shared" si="72"/>
        <v/>
      </c>
      <c r="T172" s="594" t="str">
        <f t="shared" ca="1" si="61"/>
        <v/>
      </c>
      <c r="U172" s="491" t="str">
        <f t="shared" ca="1" si="62"/>
        <v/>
      </c>
      <c r="V172" s="701" t="str">
        <f t="shared" ca="1" si="73"/>
        <v/>
      </c>
      <c r="W172" s="493" t="str">
        <f t="shared" ca="1" si="63"/>
        <v/>
      </c>
      <c r="X172" s="489" t="str">
        <f t="shared" ca="1" si="64"/>
        <v/>
      </c>
      <c r="Y172" s="488">
        <f>IF($B172="","",IF(COUNTIFS($B$4:$B172,$B172,$C$4:$C172,$C172)&gt;1,"⛔重複"&amp;COUNTIFS($B$4:$B172,$B172,$C$4:$C172,$C172)&amp;"回目",""))</f>
      </c>
      <c r="Z172" s="710"/>
      <c r="AB172">
        <f>IF($F172="","",MAX(100,ROUNDDOWN($AG$4/($F172*$AG$2)/100,0)*100))</f>
      </c>
      <c r="AC172">
        <f>IF(OR($F172="",$G172="",$U172=""),"",ROUND($V172-($F172+$U172)*$G172*$AG$6-IF($C172="売",$F172*$G172*$AG$7*$W172/365,0),0))</f>
      </c>
      <c r="AD172" s="608"/>
      <c r="AE172" s="600" t="str">
        <f t="shared" si="65"/>
        <v/>
      </c>
      <c r="AF172" s="600"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00"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00" t="str">
        <f t="shared" ca="1" si="66"/>
        <v/>
      </c>
      <c r="AI172" s="600" t="str" cm="1">
        <f t="array" ref="AI172">IFERROR(INDEX(始値!$E$6:$BT$305,MATCH(TEXT($B172,"0"),TEXT(銘柄管理!$B$6:$B$305,"0"),0),MATCH($AE172,始値!$E$3:$BT$3,0)),"")</f>
        <v/>
      </c>
      <c r="AJ172" s="608" t="str">
        <f t="shared" ca="1" si="67"/>
        <v/>
      </c>
      <c r="AK172" s="600" t="str">
        <f t="shared" ca="1" si="68"/>
        <v/>
      </c>
    </row>
    <row r="173" spans="1:37" ht="35.4" customHeight="1">
      <c r="A173" s="620" t="str">
        <f t="shared" si="57"/>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 t="shared" ca="1" si="69"/>
        <v/>
      </c>
      <c r="L173" s="707" t="str">
        <f t="shared" ca="1" si="70"/>
        <v/>
      </c>
      <c r="M173" s="445">
        <f>IF($F173="","",IF($C173="売",CEILING($F173*IF($C173="売",1-$AG$3,1+$AG$3),IF($F173*IF($C173="売",1-$AG$3,1+$AG$3)&lt;=3000,1,IF($F173*IF($C173="売",1-$AG$3,1+$AG$3)&lt;=5000,5,IF($F173*IF($C173="売",1-$AG$3,1+$AG$3)&lt;=30000,10,IF($F173*IF($C173="売",1-$AG$3,1+$AG$3)&lt;=50000,50,IF($F173*IF($C173="売",1-$AG$3,1+$AG$3)&lt;=300000,100,500)))))),FLOOR($F173*IF($C173="売",1-$AG$3,1+$AG$3),IF($F173*IF($C173="売",1-$AG$3,1+$AG$3)&lt;=3000,1,IF($F173*IF($C173="売",1-$AG$3,1+$AG$3)&lt;=5000,5,IF($F173*IF($C173="売",1-$AG$3,1+$AG$3)&lt;=30000,10,IF($F173*IF($C173="売",1-$AG$3,1+$AG$3)&lt;=50000,50,IF($F173*IF($C173="売",1-$AG$3,1+$AG$3)&lt;=300000,100,500))))))))</f>
      </c>
      <c r="N173" s="445">
        <f>IF($F173="","",IF($C173="売",CEILING($F173*IF($C173="売",1+$AG$2,1-$AG$2),IF($F173*IF($C173="売",1+$AG$2,1-$AG$2)&lt;=3000,1,IF($F173*IF($C173="売",1+$AG$2,1-$AG$2)&lt;=5000,5,IF($F173*IF($C173="売",1+$AG$2,1-$AG$2)&lt;=30000,10,IF($F173*IF($C173="売",1+$AG$2,1-$AG$2)&lt;=50000,50,IF($F173*IF($C173="売",1+$AG$2,1-$AG$2)&lt;=300000,100,500)))))),FLOOR($F173*IF($C173="売",1+$AG$2,1-$AG$2),IF($F173*IF($C173="売",1+$AG$2,1-$AG$2)&lt;=3000,1,IF($F173*IF($C173="売",1+$AG$2,1-$AG$2)&lt;=5000,5,IF($F173*IF($C173="売",1+$AG$2,1-$AG$2)&lt;=30000,10,IF($F173*IF($C173="売",1+$AG$2,1-$AG$2)&lt;=50000,50,IF($F173*IF($C173="売",1+$AG$2,1-$AG$2)&lt;=300000,100,500))))))))</f>
      </c>
      <c r="O173" s="477">
        <f>IF(OR($B173="",$F173="",$H173=""),"",IF($S173="✅売却済","―決済済―",IF($C173="売",  IF($H173&lt;=$M173,"🟢利確",  IF(AND($R173&lt;&gt;"",$H173&gt;=$R173),"🟠TRAIL決済",  IF($H173&gt;=$N173,"🔴損切",  IF($W173&gt;=$AG$5,"⏱時間決済",  IF($H173&gt;=$F173*(1+$AG$2*0.7),"⚠️損切接近","保持継続"))))),  IF($H173&gt;=$M173,"🟢利確",  IF(AND($R173&lt;&gt;"",$H173&lt;=$R173),"🟠TRAIL決済",  IF($H173&lt;=$N173,"🔴損切",  IF($W173&gt;=$AG$5,"⏱時間決済",  IF($H173&lt;=$F173*(1-$AG$2*0.7),"⚠️損切接近","保持継続")))))))</f>
      </c>
      <c r="P173" s="445"/>
      <c r="Q173" s="445"/>
      <c r="R173" s="445">
        <f>IF(OR($F173="",$H173="",$N173=""),"",IF($S173="✅売却済","",IF($C173="売",  IF($H173&gt;$F173*(1-$AG$2),$N173,CEILING(MIN($N173,IF($Q173="",$N173,$Q173*1.03)),IF($N173&lt;=3000,1,IF($N173&lt;=5000,5,IF($N173&lt;=30000,10,IF($N173&lt;=50000,50,IF($N173&lt;=300000,100,500))))))),  IF($H173&lt;$F173*(1+$AG$2),$N173,FLOOR(MAX($N173,IF($P173="",$N173,$P173*0.97)),IF($N173&lt;=3000,1,IF($N173&lt;=5000,5,IF($N173&lt;=30000,10,IF($N173&lt;=50000,50,IF($N173&lt;=300000,100,500))))))))))</f>
      </c>
      <c r="S173" s="587" t="str">
        <f t="shared" si="72"/>
        <v/>
      </c>
      <c r="T173" s="595" t="str">
        <f t="shared" ca="1" si="61"/>
        <v/>
      </c>
      <c r="U173" s="445" t="str">
        <f t="shared" ca="1" si="62"/>
        <v/>
      </c>
      <c r="V173" s="702" t="str">
        <f t="shared" ca="1" si="73"/>
        <v/>
      </c>
      <c r="W173" s="446" t="str">
        <f t="shared" ca="1" si="63"/>
        <v/>
      </c>
      <c r="X173" s="444" t="str">
        <f t="shared" ca="1" si="64"/>
        <v/>
      </c>
      <c r="Y173" s="488">
        <f>IF($B173="","",IF(COUNTIFS($B$4:$B173,$B173,$C$4:$C173,$C173)&gt;1,"⛔重複"&amp;COUNTIFS($B$4:$B173,$B173,$C$4:$C173,$C173)&amp;"回目",""))</f>
      </c>
      <c r="Z173" s="710"/>
      <c r="AB173">
        <f>IF($F173="","",MAX(100,ROUNDDOWN($AG$4/($F173*$AG$2)/100,0)*100))</f>
      </c>
      <c r="AC173">
        <f>IF(OR($F173="",$G173="",$U173=""),"",ROUND($V173-($F173+$U173)*$G173*$AG$6-IF($C173="売",$F173*$G173*$AG$7*$W173/365,0),0))</f>
      </c>
      <c r="AD173" s="608"/>
      <c r="AE173" s="600" t="str">
        <f t="shared" si="65"/>
        <v/>
      </c>
      <c r="AF173" s="600"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00"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00" t="str">
        <f t="shared" ca="1" si="66"/>
        <v/>
      </c>
      <c r="AI173" s="600" t="str" cm="1">
        <f t="array" ref="AI173">IFERROR(INDEX(始値!$E$6:$BT$305,MATCH(TEXT($B173,"0"),TEXT(銘柄管理!$B$6:$B$305,"0"),0),MATCH($AE173,始値!$E$3:$BT$3,0)),"")</f>
        <v/>
      </c>
      <c r="AJ173" s="608" t="str">
        <f t="shared" ca="1" si="67"/>
        <v/>
      </c>
      <c r="AK173" s="600" t="str">
        <f t="shared" ca="1" si="68"/>
        <v/>
      </c>
    </row>
    <row r="174" spans="1:37" ht="35.4" customHeight="1">
      <c r="A174" s="620" t="str">
        <f t="shared" si="57"/>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 t="shared" ca="1" si="69"/>
        <v/>
      </c>
      <c r="L174" s="707" t="str">
        <f t="shared" ca="1" si="70"/>
        <v/>
      </c>
      <c r="M174" s="445">
        <f>IF($F174="","",IF($C174="売",CEILING($F174*IF($C174="売",1-$AG$3,1+$AG$3),IF($F174*IF($C174="売",1-$AG$3,1+$AG$3)&lt;=3000,1,IF($F174*IF($C174="売",1-$AG$3,1+$AG$3)&lt;=5000,5,IF($F174*IF($C174="売",1-$AG$3,1+$AG$3)&lt;=30000,10,IF($F174*IF($C174="売",1-$AG$3,1+$AG$3)&lt;=50000,50,IF($F174*IF($C174="売",1-$AG$3,1+$AG$3)&lt;=300000,100,500)))))),FLOOR($F174*IF($C174="売",1-$AG$3,1+$AG$3),IF($F174*IF($C174="売",1-$AG$3,1+$AG$3)&lt;=3000,1,IF($F174*IF($C174="売",1-$AG$3,1+$AG$3)&lt;=5000,5,IF($F174*IF($C174="売",1-$AG$3,1+$AG$3)&lt;=30000,10,IF($F174*IF($C174="売",1-$AG$3,1+$AG$3)&lt;=50000,50,IF($F174*IF($C174="売",1-$AG$3,1+$AG$3)&lt;=300000,100,500))))))))</f>
      </c>
      <c r="N174" s="445">
        <f>IF($F174="","",IF($C174="売",CEILING($F174*IF($C174="売",1+$AG$2,1-$AG$2),IF($F174*IF($C174="売",1+$AG$2,1-$AG$2)&lt;=3000,1,IF($F174*IF($C174="売",1+$AG$2,1-$AG$2)&lt;=5000,5,IF($F174*IF($C174="売",1+$AG$2,1-$AG$2)&lt;=30000,10,IF($F174*IF($C174="売",1+$AG$2,1-$AG$2)&lt;=50000,50,IF($F174*IF($C174="売",1+$AG$2,1-$AG$2)&lt;=300000,100,500)))))),FLOOR($F174*IF($C174="売",1+$AG$2,1-$AG$2),IF($F174*IF($C174="売",1+$AG$2,1-$AG$2)&lt;=3000,1,IF($F174*IF($C174="売",1+$AG$2,1-$AG$2)&lt;=5000,5,IF($F174*IF($C174="売",1+$AG$2,1-$AG$2)&lt;=30000,10,IF($F174*IF($C174="売",1+$AG$2,1-$AG$2)&lt;=50000,50,IF($F174*IF($C174="売",1+$AG$2,1-$AG$2)&lt;=300000,100,500))))))))</f>
      </c>
      <c r="O174" s="477">
        <f>IF(OR($B174="",$F174="",$H174=""),"",IF($S174="✅売却済","―決済済―",IF($C174="売",  IF($H174&lt;=$M174,"🟢利確",  IF(AND($R174&lt;&gt;"",$H174&gt;=$R174),"🟠TRAIL決済",  IF($H174&gt;=$N174,"🔴損切",  IF($W174&gt;=$AG$5,"⏱時間決済",  IF($H174&gt;=$F174*(1+$AG$2*0.7),"⚠️損切接近","保持継続"))))),  IF($H174&gt;=$M174,"🟢利確",  IF(AND($R174&lt;&gt;"",$H174&lt;=$R174),"🟠TRAIL決済",  IF($H174&lt;=$N174,"🔴損切",  IF($W174&gt;=$AG$5,"⏱時間決済",  IF($H174&lt;=$F174*(1-$AG$2*0.7),"⚠️損切接近","保持継続")))))))</f>
      </c>
      <c r="P174" s="445"/>
      <c r="Q174" s="445"/>
      <c r="R174" s="445">
        <f>IF(OR($F174="",$H174="",$N174=""),"",IF($S174="✅売却済","",IF($C174="売",  IF($H174&gt;$F174*(1-$AG$2),$N174,CEILING(MIN($N174,IF($Q174="",$N174,$Q174*1.03)),IF($N174&lt;=3000,1,IF($N174&lt;=5000,5,IF($N174&lt;=30000,10,IF($N174&lt;=50000,50,IF($N174&lt;=300000,100,500))))))),  IF($H174&lt;$F174*(1+$AG$2),$N174,FLOOR(MAX($N174,IF($P174="",$N174,$P174*0.97)),IF($N174&lt;=3000,1,IF($N174&lt;=5000,5,IF($N174&lt;=30000,10,IF($N174&lt;=50000,50,IF($N174&lt;=300000,100,500))))))))))</f>
      </c>
      <c r="S174" s="587" t="str">
        <f t="shared" si="72"/>
        <v/>
      </c>
      <c r="T174" s="595" t="str">
        <f t="shared" ca="1" si="61"/>
        <v/>
      </c>
      <c r="U174" s="445" t="str">
        <f t="shared" ca="1" si="62"/>
        <v/>
      </c>
      <c r="V174" s="702" t="str">
        <f t="shared" ca="1" si="73"/>
        <v/>
      </c>
      <c r="W174" s="446" t="str">
        <f t="shared" ca="1" si="63"/>
        <v/>
      </c>
      <c r="X174" s="444" t="str">
        <f t="shared" ca="1" si="64"/>
        <v/>
      </c>
      <c r="Y174" s="488">
        <f>IF($B174="","",IF(COUNTIFS($B$4:$B174,$B174,$C$4:$C174,$C174)&gt;1,"⛔重複"&amp;COUNTIFS($B$4:$B174,$B174,$C$4:$C174,$C174)&amp;"回目",""))</f>
      </c>
      <c r="Z174" s="710"/>
      <c r="AB174">
        <f>IF($F174="","",MAX(100,ROUNDDOWN($AG$4/($F174*$AG$2)/100,0)*100))</f>
      </c>
      <c r="AC174">
        <f>IF(OR($F174="",$G174="",$U174=""),"",ROUND($V174-($F174+$U174)*$G174*$AG$6-IF($C174="売",$F174*$G174*$AG$7*$W174/365,0),0))</f>
      </c>
      <c r="AD174" s="608"/>
      <c r="AE174" s="600" t="str">
        <f t="shared" si="65"/>
        <v/>
      </c>
      <c r="AF174" s="600"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00"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00" t="str">
        <f t="shared" ca="1" si="66"/>
        <v/>
      </c>
      <c r="AI174" s="600" t="str" cm="1">
        <f t="array" ref="AI174">IFERROR(INDEX(始値!$E$6:$BT$305,MATCH(TEXT($B174,"0"),TEXT(銘柄管理!$B$6:$B$305,"0"),0),MATCH($AE174,始値!$E$3:$BT$3,0)),"")</f>
        <v/>
      </c>
      <c r="AJ174" s="608" t="str">
        <f t="shared" ca="1" si="67"/>
        <v/>
      </c>
      <c r="AK174" s="600" t="str">
        <f t="shared" ca="1" si="68"/>
        <v/>
      </c>
    </row>
    <row r="175" spans="1:37" ht="35.4" customHeight="1">
      <c r="A175" s="620" t="str">
        <f t="shared" si="57"/>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 t="shared" ca="1" si="69"/>
        <v/>
      </c>
      <c r="L175" s="707" t="str">
        <f t="shared" ca="1" si="70"/>
        <v/>
      </c>
      <c r="M175" s="445">
        <f>IF($F175="","",IF($C175="売",CEILING($F175*IF($C175="売",1-$AG$3,1+$AG$3),IF($F175*IF($C175="売",1-$AG$3,1+$AG$3)&lt;=3000,1,IF($F175*IF($C175="売",1-$AG$3,1+$AG$3)&lt;=5000,5,IF($F175*IF($C175="売",1-$AG$3,1+$AG$3)&lt;=30000,10,IF($F175*IF($C175="売",1-$AG$3,1+$AG$3)&lt;=50000,50,IF($F175*IF($C175="売",1-$AG$3,1+$AG$3)&lt;=300000,100,500)))))),FLOOR($F175*IF($C175="売",1-$AG$3,1+$AG$3),IF($F175*IF($C175="売",1-$AG$3,1+$AG$3)&lt;=3000,1,IF($F175*IF($C175="売",1-$AG$3,1+$AG$3)&lt;=5000,5,IF($F175*IF($C175="売",1-$AG$3,1+$AG$3)&lt;=30000,10,IF($F175*IF($C175="売",1-$AG$3,1+$AG$3)&lt;=50000,50,IF($F175*IF($C175="売",1-$AG$3,1+$AG$3)&lt;=300000,100,500))))))))</f>
      </c>
      <c r="N175" s="445">
        <f>IF($F175="","",IF($C175="売",CEILING($F175*IF($C175="売",1+$AG$2,1-$AG$2),IF($F175*IF($C175="売",1+$AG$2,1-$AG$2)&lt;=3000,1,IF($F175*IF($C175="売",1+$AG$2,1-$AG$2)&lt;=5000,5,IF($F175*IF($C175="売",1+$AG$2,1-$AG$2)&lt;=30000,10,IF($F175*IF($C175="売",1+$AG$2,1-$AG$2)&lt;=50000,50,IF($F175*IF($C175="売",1+$AG$2,1-$AG$2)&lt;=300000,100,500)))))),FLOOR($F175*IF($C175="売",1+$AG$2,1-$AG$2),IF($F175*IF($C175="売",1+$AG$2,1-$AG$2)&lt;=3000,1,IF($F175*IF($C175="売",1+$AG$2,1-$AG$2)&lt;=5000,5,IF($F175*IF($C175="売",1+$AG$2,1-$AG$2)&lt;=30000,10,IF($F175*IF($C175="売",1+$AG$2,1-$AG$2)&lt;=50000,50,IF($F175*IF($C175="売",1+$AG$2,1-$AG$2)&lt;=300000,100,500))))))))</f>
      </c>
      <c r="O175" s="477">
        <f>IF(OR($B175="",$F175="",$H175=""),"",IF($S175="✅売却済","―決済済―",IF($C175="売",  IF($H175&lt;=$M175,"🟢利確",  IF(AND($R175&lt;&gt;"",$H175&gt;=$R175),"🟠TRAIL決済",  IF($H175&gt;=$N175,"🔴損切",  IF($W175&gt;=$AG$5,"⏱時間決済",  IF($H175&gt;=$F175*(1+$AG$2*0.7),"⚠️損切接近","保持継続"))))),  IF($H175&gt;=$M175,"🟢利確",  IF(AND($R175&lt;&gt;"",$H175&lt;=$R175),"🟠TRAIL決済",  IF($H175&lt;=$N175,"🔴損切",  IF($W175&gt;=$AG$5,"⏱時間決済",  IF($H175&lt;=$F175*(1-$AG$2*0.7),"⚠️損切接近","保持継続")))))))</f>
      </c>
      <c r="P175" s="445"/>
      <c r="Q175" s="445"/>
      <c r="R175" s="445">
        <f>IF(OR($F175="",$H175="",$N175=""),"",IF($S175="✅売却済","",IF($C175="売",  IF($H175&gt;$F175*(1-$AG$2),$N175,CEILING(MIN($N175,IF($Q175="",$N175,$Q175*1.03)),IF($N175&lt;=3000,1,IF($N175&lt;=5000,5,IF($N175&lt;=30000,10,IF($N175&lt;=50000,50,IF($N175&lt;=300000,100,500))))))),  IF($H175&lt;$F175*(1+$AG$2),$N175,FLOOR(MAX($N175,IF($P175="",$N175,$P175*0.97)),IF($N175&lt;=3000,1,IF($N175&lt;=5000,5,IF($N175&lt;=30000,10,IF($N175&lt;=50000,50,IF($N175&lt;=300000,100,500))))))))))</f>
      </c>
      <c r="S175" s="587" t="str">
        <f t="shared" si="72"/>
        <v/>
      </c>
      <c r="T175" s="595" t="str">
        <f t="shared" ca="1" si="61"/>
        <v/>
      </c>
      <c r="U175" s="445" t="str">
        <f t="shared" ca="1" si="62"/>
        <v/>
      </c>
      <c r="V175" s="702" t="str">
        <f t="shared" ca="1" si="73"/>
        <v/>
      </c>
      <c r="W175" s="446" t="str">
        <f t="shared" ca="1" si="63"/>
        <v/>
      </c>
      <c r="X175" s="444" t="str">
        <f t="shared" ca="1" si="64"/>
        <v/>
      </c>
      <c r="Y175" s="488">
        <f>IF($B175="","",IF(COUNTIFS($B$4:$B175,$B175,$C$4:$C175,$C175)&gt;1,"⛔重複"&amp;COUNTIFS($B$4:$B175,$B175,$C$4:$C175,$C175)&amp;"回目",""))</f>
      </c>
      <c r="Z175" s="710"/>
      <c r="AB175">
        <f>IF($F175="","",MAX(100,ROUNDDOWN($AG$4/($F175*$AG$2)/100,0)*100))</f>
      </c>
      <c r="AC175">
        <f>IF(OR($F175="",$G175="",$U175=""),"",ROUND($V175-($F175+$U175)*$G175*$AG$6-IF($C175="売",$F175*$G175*$AG$7*$W175/365,0),0))</f>
      </c>
      <c r="AD175" s="608"/>
      <c r="AE175" s="600" t="str">
        <f t="shared" si="65"/>
        <v/>
      </c>
      <c r="AF175" s="600"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00"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00" t="str">
        <f t="shared" ca="1" si="66"/>
        <v/>
      </c>
      <c r="AI175" s="600" t="str" cm="1">
        <f t="array" ref="AI175">IFERROR(INDEX(始値!$E$6:$BT$305,MATCH(TEXT($B175,"0"),TEXT(銘柄管理!$B$6:$B$305,"0"),0),MATCH($AE175,始値!$E$3:$BT$3,0)),"")</f>
        <v/>
      </c>
      <c r="AJ175" s="608" t="str">
        <f t="shared" ca="1" si="67"/>
        <v/>
      </c>
      <c r="AK175" s="600" t="str">
        <f t="shared" ca="1" si="68"/>
        <v/>
      </c>
    </row>
    <row r="176" spans="1:37" ht="35.4" customHeight="1">
      <c r="A176" s="621" t="str">
        <f t="shared" si="57"/>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BT$3,0)=1,1,MATCH($E176,始値!$E$3:$BT$3,0)+1)),_xlpm.v,INDEX(始値!$C$6:$B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 t="shared" ca="1" si="69"/>
        <v/>
      </c>
      <c r="L176" s="708" t="str">
        <f t="shared" ca="1" si="70"/>
        <v/>
      </c>
      <c r="M176" s="598">
        <f>IF($F176="","",IF($C176="売",CEILING($F176*IF($C176="売",1-$AG$3,1+$AG$3),IF($F176*IF($C176="売",1-$AG$3,1+$AG$3)&lt;=3000,1,IF($F176*IF($C176="売",1-$AG$3,1+$AG$3)&lt;=5000,5,IF($F176*IF($C176="売",1-$AG$3,1+$AG$3)&lt;=30000,10,IF($F176*IF($C176="売",1-$AG$3,1+$AG$3)&lt;=50000,50,IF($F176*IF($C176="売",1-$AG$3,1+$AG$3)&lt;=300000,100,500)))))),FLOOR($F176*IF($C176="売",1-$AG$3,1+$AG$3),IF($F176*IF($C176="売",1-$AG$3,1+$AG$3)&lt;=3000,1,IF($F176*IF($C176="売",1-$AG$3,1+$AG$3)&lt;=5000,5,IF($F176*IF($C176="売",1-$AG$3,1+$AG$3)&lt;=30000,10,IF($F176*IF($C176="売",1-$AG$3,1+$AG$3)&lt;=50000,50,IF($F176*IF($C176="売",1-$AG$3,1+$AG$3)&lt;=300000,100,500))))))))</f>
      </c>
      <c r="N176" s="598">
        <f>IF($F176="","",IF($C176="売",CEILING($F176*IF($C176="売",1+$AG$2,1-$AG$2),IF($F176*IF($C176="売",1+$AG$2,1-$AG$2)&lt;=3000,1,IF($F176*IF($C176="売",1+$AG$2,1-$AG$2)&lt;=5000,5,IF($F176*IF($C176="売",1+$AG$2,1-$AG$2)&lt;=30000,10,IF($F176*IF($C176="売",1+$AG$2,1-$AG$2)&lt;=50000,50,IF($F176*IF($C176="売",1+$AG$2,1-$AG$2)&lt;=300000,100,500)))))),FLOOR($F176*IF($C176="売",1+$AG$2,1-$AG$2),IF($F176*IF($C176="売",1+$AG$2,1-$AG$2)&lt;=3000,1,IF($F176*IF($C176="売",1+$AG$2,1-$AG$2)&lt;=5000,5,IF($F176*IF($C176="売",1+$AG$2,1-$AG$2)&lt;=30000,10,IF($F176*IF($C176="売",1+$AG$2,1-$AG$2)&lt;=50000,50,IF($F176*IF($C176="売",1+$AG$2,1-$AG$2)&lt;=300000,100,500))))))))</f>
      </c>
      <c r="O176" s="478">
        <f>IF(OR($B176="",$F176="",$H176=""),"",IF($S176="✅売却済","―決済済―",IF($C176="売",  IF($H176&lt;=$M176,"🟢利確",  IF(AND($R176&lt;&gt;"",$H176&gt;=$R176),"🟠TRAIL決済",  IF($H176&gt;=$N176,"🔴損切",  IF($W176&gt;=$AG$5,"⏱時間決済",  IF($H176&gt;=$F176*(1+$AG$2*0.7),"⚠️損切接近","保持継続"))))),  IF($H176&gt;=$M176,"🟢利確",  IF(AND($R176&lt;&gt;"",$H176&lt;=$R176),"🟠TRAIL決済",  IF($H176&lt;=$N176,"🔴損切",  IF($W176&gt;=$AG$5,"⏱時間決済",  IF($H176&lt;=$F176*(1-$AG$2*0.7),"⚠️損切接近","保持継続")))))))</f>
      </c>
      <c r="P176" s="445"/>
      <c r="Q176" s="445"/>
      <c r="R176" s="480">
        <f>IF(OR($F176="",$H176="",$N176=""),"",IF($S176="✅売却済","",IF($C176="売",  IF($H176&gt;$F176*(1-$AG$2),$N176,CEILING(MIN($N176,IF($Q176="",$N176,$Q176*1.03)),IF($N176&lt;=3000,1,IF($N176&lt;=5000,5,IF($N176&lt;=30000,10,IF($N176&lt;=50000,50,IF($N176&lt;=300000,100,500))))))),  IF($H176&lt;$F176*(1+$AG$2),$N176,FLOOR(MAX($N176,IF($P176="",$N176,$P176*0.97)),IF($N176&lt;=3000,1,IF($N176&lt;=5000,5,IF($N176&lt;=30000,10,IF($N176&lt;=50000,50,IF($N176&lt;=300000,100,500))))))))))</f>
      </c>
      <c r="S176" s="480" t="str">
        <f t="shared" si="72"/>
        <v/>
      </c>
      <c r="T176" s="596" t="str">
        <f t="shared" ca="1" si="61"/>
        <v/>
      </c>
      <c r="U176" s="598" t="str">
        <f t="shared" ca="1" si="62"/>
        <v/>
      </c>
      <c r="V176" s="703" t="str">
        <f t="shared" ca="1" si="73"/>
        <v/>
      </c>
      <c r="W176" s="480" t="str">
        <f t="shared" ca="1" si="63"/>
        <v/>
      </c>
      <c r="X176" s="480" t="str">
        <f t="shared" ca="1" si="64"/>
        <v/>
      </c>
      <c r="Y176" s="488">
        <f>IF($B176="","",IF(COUNTIFS($B$4:$B176,$B176,$C$4:$C176,$C176)&gt;1,"⛔重複"&amp;COUNTIFS($B$4:$B176,$B176,$C$4:$C176,$C176)&amp;"回目",""))</f>
      </c>
      <c r="Z176" s="710"/>
      <c r="AB176">
        <f>IF($F176="","",MAX(100,ROUNDDOWN($AG$4/($F176*$AG$2)/100,0)*100))</f>
      </c>
      <c r="AC176">
        <f>IF(OR($F176="",$G176="",$U176=""),"",ROUND($V176-($F176+$U176)*$G176*$AG$6-IF($C176="売",$F176*$G176*$AG$7*$W176/365,0),0))</f>
      </c>
      <c r="AD176" s="608"/>
      <c r="AE176" s="600" t="str">
        <f t="shared" si="65"/>
        <v/>
      </c>
      <c r="AF176" s="600"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00"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00" t="str">
        <f t="shared" ca="1" si="66"/>
        <v/>
      </c>
      <c r="AI176" s="600" t="str" cm="1">
        <f t="array" ref="AI176">IFERROR(INDEX(始値!$E$6:$BT$305,MATCH(TEXT($B176,"0"),TEXT(銘柄管理!$B$6:$B$305,"0"),0),MATCH($AE176,始値!$E$3:$BT$3,0)),"")</f>
        <v/>
      </c>
      <c r="AJ176" s="608" t="str">
        <f t="shared" ca="1" si="67"/>
        <v/>
      </c>
      <c r="AK176" s="600" t="str">
        <f t="shared" ca="1" si="68"/>
        <v/>
      </c>
    </row>
    <row r="177" spans="1:37" ht="35.4" customHeight="1">
      <c r="A177" s="621" t="str">
        <f t="shared" si="57"/>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BT$3,0)=1,1,MATCH($E177,始値!$E$3:$BT$3,0)+1)),_xlpm.v,INDEX(始値!$C$6:$B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 t="shared" ca="1" si="69"/>
        <v/>
      </c>
      <c r="L177" s="708" t="str">
        <f t="shared" ca="1" si="70"/>
        <v/>
      </c>
      <c r="M177" s="598">
        <f>IF($F177="","",IF($C177="売",CEILING($F177*IF($C177="売",1-$AG$3,1+$AG$3),IF($F177*IF($C177="売",1-$AG$3,1+$AG$3)&lt;=3000,1,IF($F177*IF($C177="売",1-$AG$3,1+$AG$3)&lt;=5000,5,IF($F177*IF($C177="売",1-$AG$3,1+$AG$3)&lt;=30000,10,IF($F177*IF($C177="売",1-$AG$3,1+$AG$3)&lt;=50000,50,IF($F177*IF($C177="売",1-$AG$3,1+$AG$3)&lt;=300000,100,500)))))),FLOOR($F177*IF($C177="売",1-$AG$3,1+$AG$3),IF($F177*IF($C177="売",1-$AG$3,1+$AG$3)&lt;=3000,1,IF($F177*IF($C177="売",1-$AG$3,1+$AG$3)&lt;=5000,5,IF($F177*IF($C177="売",1-$AG$3,1+$AG$3)&lt;=30000,10,IF($F177*IF($C177="売",1-$AG$3,1+$AG$3)&lt;=50000,50,IF($F177*IF($C177="売",1-$AG$3,1+$AG$3)&lt;=300000,100,500))))))))</f>
      </c>
      <c r="N177" s="598">
        <f>IF($F177="","",IF($C177="売",CEILING($F177*IF($C177="売",1+$AG$2,1-$AG$2),IF($F177*IF($C177="売",1+$AG$2,1-$AG$2)&lt;=3000,1,IF($F177*IF($C177="売",1+$AG$2,1-$AG$2)&lt;=5000,5,IF($F177*IF($C177="売",1+$AG$2,1-$AG$2)&lt;=30000,10,IF($F177*IF($C177="売",1+$AG$2,1-$AG$2)&lt;=50000,50,IF($F177*IF($C177="売",1+$AG$2,1-$AG$2)&lt;=300000,100,500)))))),FLOOR($F177*IF($C177="売",1+$AG$2,1-$AG$2),IF($F177*IF($C177="売",1+$AG$2,1-$AG$2)&lt;=3000,1,IF($F177*IF($C177="売",1+$AG$2,1-$AG$2)&lt;=5000,5,IF($F177*IF($C177="売",1+$AG$2,1-$AG$2)&lt;=30000,10,IF($F177*IF($C177="売",1+$AG$2,1-$AG$2)&lt;=50000,50,IF($F177*IF($C177="売",1+$AG$2,1-$AG$2)&lt;=300000,100,500))))))))</f>
      </c>
      <c r="O177" s="478">
        <f>IF(OR($B177="",$F177="",$H177=""),"",IF($S177="✅売却済","―決済済―",IF($C177="売",  IF($H177&lt;=$M177,"🟢利確",  IF(AND($R177&lt;&gt;"",$H177&gt;=$R177),"🟠TRAIL決済",  IF($H177&gt;=$N177,"🔴損切",  IF($W177&gt;=$AG$5,"⏱時間決済",  IF($H177&gt;=$F177*(1+$AG$2*0.7),"⚠️損切接近","保持継続"))))),  IF($H177&gt;=$M177,"🟢利確",  IF(AND($R177&lt;&gt;"",$H177&lt;=$R177),"🟠TRAIL決済",  IF($H177&lt;=$N177,"🔴損切",  IF($W177&gt;=$AG$5,"⏱時間決済",  IF($H177&lt;=$F177*(1-$AG$2*0.7),"⚠️損切接近","保持継続")))))))</f>
      </c>
      <c r="P177" s="445"/>
      <c r="Q177" s="445"/>
      <c r="R177" s="480">
        <f>IF(OR($F177="",$H177="",$N177=""),"",IF($S177="✅売却済","",IF($C177="売",  IF($H177&gt;$F177*(1-$AG$2),$N177,CEILING(MIN($N177,IF($Q177="",$N177,$Q177*1.03)),IF($N177&lt;=3000,1,IF($N177&lt;=5000,5,IF($N177&lt;=30000,10,IF($N177&lt;=50000,50,IF($N177&lt;=300000,100,500))))))),  IF($H177&lt;$F177*(1+$AG$2),$N177,FLOOR(MAX($N177,IF($P177="",$N177,$P177*0.97)),IF($N177&lt;=3000,1,IF($N177&lt;=5000,5,IF($N177&lt;=30000,10,IF($N177&lt;=50000,50,IF($N177&lt;=300000,100,500))))))))))</f>
      </c>
      <c r="S177" s="480" t="str">
        <f t="shared" si="72"/>
        <v/>
      </c>
      <c r="T177" s="596" t="str">
        <f t="shared" ca="1" si="61"/>
        <v/>
      </c>
      <c r="U177" s="598" t="str">
        <f t="shared" ca="1" si="62"/>
        <v/>
      </c>
      <c r="V177" s="703" t="str">
        <f t="shared" ca="1" si="73"/>
        <v/>
      </c>
      <c r="W177" s="480" t="str">
        <f t="shared" ca="1" si="63"/>
        <v/>
      </c>
      <c r="X177" s="480" t="str">
        <f t="shared" ca="1" si="64"/>
        <v/>
      </c>
      <c r="Y177" s="488">
        <f>IF($B177="","",IF(COUNTIFS($B$4:$B177,$B177,$C$4:$C177,$C177)&gt;1,"⛔重複"&amp;COUNTIFS($B$4:$B177,$B177,$C$4:$C177,$C177)&amp;"回目",""))</f>
      </c>
      <c r="Z177" s="710"/>
      <c r="AB177">
        <f>IF($F177="","",MAX(100,ROUNDDOWN($AG$4/($F177*$AG$2)/100,0)*100))</f>
      </c>
      <c r="AC177">
        <f>IF(OR($F177="",$G177="",$U177=""),"",ROUND($V177-($F177+$U177)*$G177*$AG$6-IF($C177="売",$F177*$G177*$AG$7*$W177/365,0),0))</f>
      </c>
      <c r="AD177" s="608"/>
      <c r="AE177" s="600" t="str">
        <f t="shared" si="65"/>
        <v/>
      </c>
      <c r="AF177" s="600"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00"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00" t="str">
        <f t="shared" ca="1" si="66"/>
        <v/>
      </c>
      <c r="AI177" s="600" t="str" cm="1">
        <f t="array" ref="AI177">IFERROR(INDEX(始値!$E$6:$BT$305,MATCH(TEXT($B177,"0"),TEXT(銘柄管理!$B$6:$B$305,"0"),0),MATCH($AE177,始値!$E$3:$BT$3,0)),"")</f>
        <v/>
      </c>
      <c r="AJ177" s="608" t="str">
        <f t="shared" ca="1" si="67"/>
        <v/>
      </c>
      <c r="AK177" s="600" t="str">
        <f t="shared" ca="1" si="68"/>
        <v/>
      </c>
    </row>
    <row r="178" spans="1:37" ht="35.4" customHeight="1">
      <c r="A178" s="621" t="str">
        <f t="shared" si="57"/>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BT$3,0)=1,1,MATCH($E178,始値!$E$3:$BT$3,0)+1)),_xlpm.v,INDEX(始値!$C$6:$B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 t="shared" ca="1" si="69"/>
        <v/>
      </c>
      <c r="L178" s="708" t="str">
        <f t="shared" ca="1" si="70"/>
        <v/>
      </c>
      <c r="M178" s="598">
        <f>IF($F178="","",IF($C178="売",CEILING($F178*IF($C178="売",1-$AG$3,1+$AG$3),IF($F178*IF($C178="売",1-$AG$3,1+$AG$3)&lt;=3000,1,IF($F178*IF($C178="売",1-$AG$3,1+$AG$3)&lt;=5000,5,IF($F178*IF($C178="売",1-$AG$3,1+$AG$3)&lt;=30000,10,IF($F178*IF($C178="売",1-$AG$3,1+$AG$3)&lt;=50000,50,IF($F178*IF($C178="売",1-$AG$3,1+$AG$3)&lt;=300000,100,500)))))),FLOOR($F178*IF($C178="売",1-$AG$3,1+$AG$3),IF($F178*IF($C178="売",1-$AG$3,1+$AG$3)&lt;=3000,1,IF($F178*IF($C178="売",1-$AG$3,1+$AG$3)&lt;=5000,5,IF($F178*IF($C178="売",1-$AG$3,1+$AG$3)&lt;=30000,10,IF($F178*IF($C178="売",1-$AG$3,1+$AG$3)&lt;=50000,50,IF($F178*IF($C178="売",1-$AG$3,1+$AG$3)&lt;=300000,100,500))))))))</f>
      </c>
      <c r="N178" s="598">
        <f>IF($F178="","",IF($C178="売",CEILING($F178*IF($C178="売",1+$AG$2,1-$AG$2),IF($F178*IF($C178="売",1+$AG$2,1-$AG$2)&lt;=3000,1,IF($F178*IF($C178="売",1+$AG$2,1-$AG$2)&lt;=5000,5,IF($F178*IF($C178="売",1+$AG$2,1-$AG$2)&lt;=30000,10,IF($F178*IF($C178="売",1+$AG$2,1-$AG$2)&lt;=50000,50,IF($F178*IF($C178="売",1+$AG$2,1-$AG$2)&lt;=300000,100,500)))))),FLOOR($F178*IF($C178="売",1+$AG$2,1-$AG$2),IF($F178*IF($C178="売",1+$AG$2,1-$AG$2)&lt;=3000,1,IF($F178*IF($C178="売",1+$AG$2,1-$AG$2)&lt;=5000,5,IF($F178*IF($C178="売",1+$AG$2,1-$AG$2)&lt;=30000,10,IF($F178*IF($C178="売",1+$AG$2,1-$AG$2)&lt;=50000,50,IF($F178*IF($C178="売",1+$AG$2,1-$AG$2)&lt;=300000,100,500))))))))</f>
      </c>
      <c r="O178" s="478">
        <f>IF(OR($B178="",$F178="",$H178=""),"",IF($S178="✅売却済","―決済済―",IF($C178="売",  IF($H178&lt;=$M178,"🟢利確",  IF(AND($R178&lt;&gt;"",$H178&gt;=$R178),"🟠TRAIL決済",  IF($H178&gt;=$N178,"🔴損切",  IF($W178&gt;=$AG$5,"⏱時間決済",  IF($H178&gt;=$F178*(1+$AG$2*0.7),"⚠️損切接近","保持継続"))))),  IF($H178&gt;=$M178,"🟢利確",  IF(AND($R178&lt;&gt;"",$H178&lt;=$R178),"🟠TRAIL決済",  IF($H178&lt;=$N178,"🔴損切",  IF($W178&gt;=$AG$5,"⏱時間決済",  IF($H178&lt;=$F178*(1-$AG$2*0.7),"⚠️損切接近","保持継続")))))))</f>
      </c>
      <c r="P178" s="445"/>
      <c r="Q178" s="445"/>
      <c r="R178" s="480">
        <f>IF(OR($F178="",$H178="",$N178=""),"",IF($S178="✅売却済","",IF($C178="売",  IF($H178&gt;$F178*(1-$AG$2),$N178,CEILING(MIN($N178,IF($Q178="",$N178,$Q178*1.03)),IF($N178&lt;=3000,1,IF($N178&lt;=5000,5,IF($N178&lt;=30000,10,IF($N178&lt;=50000,50,IF($N178&lt;=300000,100,500))))))),  IF($H178&lt;$F178*(1+$AG$2),$N178,FLOOR(MAX($N178,IF($P178="",$N178,$P178*0.97)),IF($N178&lt;=3000,1,IF($N178&lt;=5000,5,IF($N178&lt;=30000,10,IF($N178&lt;=50000,50,IF($N178&lt;=300000,100,500))))))))))</f>
      </c>
      <c r="S178" s="480" t="str">
        <f t="shared" si="72"/>
        <v/>
      </c>
      <c r="T178" s="596" t="str">
        <f t="shared" ca="1" si="61"/>
        <v/>
      </c>
      <c r="U178" s="598" t="str">
        <f t="shared" ca="1" si="62"/>
        <v/>
      </c>
      <c r="V178" s="703" t="str">
        <f t="shared" ca="1" si="73"/>
        <v/>
      </c>
      <c r="W178" s="480" t="str">
        <f t="shared" ca="1" si="63"/>
        <v/>
      </c>
      <c r="X178" s="480" t="str">
        <f t="shared" ca="1" si="64"/>
        <v/>
      </c>
      <c r="Y178" s="488">
        <f>IF($B178="","",IF(COUNTIFS($B$4:$B178,$B178,$C$4:$C178,$C178)&gt;1,"⛔重複"&amp;COUNTIFS($B$4:$B178,$B178,$C$4:$C178,$C178)&amp;"回目",""))</f>
      </c>
      <c r="Z178" s="710"/>
      <c r="AB178">
        <f>IF($F178="","",MAX(100,ROUNDDOWN($AG$4/($F178*$AG$2)/100,0)*100))</f>
      </c>
      <c r="AC178">
        <f>IF(OR($F178="",$G178="",$U178=""),"",ROUND($V178-($F178+$U178)*$G178*$AG$6-IF($C178="売",$F178*$G178*$AG$7*$W178/365,0),0))</f>
      </c>
      <c r="AD178" s="608"/>
      <c r="AE178" s="600" t="str">
        <f t="shared" si="65"/>
        <v/>
      </c>
      <c r="AF178" s="600"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00"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00" t="str">
        <f t="shared" ca="1" si="66"/>
        <v/>
      </c>
      <c r="AI178" s="600" t="str" cm="1">
        <f t="array" ref="AI178">IFERROR(INDEX(始値!$E$6:$BT$305,MATCH(TEXT($B178,"0"),TEXT(銘柄管理!$B$6:$B$305,"0"),0),MATCH($AE178,始値!$E$3:$BT$3,0)),"")</f>
        <v/>
      </c>
      <c r="AJ178" s="608" t="str">
        <f t="shared" ca="1" si="67"/>
        <v/>
      </c>
      <c r="AK178" s="600" t="str">
        <f t="shared" ca="1" si="68"/>
        <v/>
      </c>
    </row>
    <row r="179" spans="1:37" ht="17.25" customHeight="1">
      <c r="A179" s="621" t="str">
        <f t="shared" si="57"/>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BT$3,0)=1,1,MATCH($E179,始値!$E$3:$BT$3,0)+1)),_xlpm.v,INDEX(始値!$C$6:$B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 t="shared" ca="1" si="69"/>
        <v/>
      </c>
      <c r="L179" s="708" t="str">
        <f t="shared" ca="1" si="70"/>
        <v/>
      </c>
      <c r="M179" s="598">
        <f>IF($F179="","",IF($C179="売",CEILING($F179*IF($C179="売",1-$AG$3,1+$AG$3),IF($F179*IF($C179="売",1-$AG$3,1+$AG$3)&lt;=3000,1,IF($F179*IF($C179="売",1-$AG$3,1+$AG$3)&lt;=5000,5,IF($F179*IF($C179="売",1-$AG$3,1+$AG$3)&lt;=30000,10,IF($F179*IF($C179="売",1-$AG$3,1+$AG$3)&lt;=50000,50,IF($F179*IF($C179="売",1-$AG$3,1+$AG$3)&lt;=300000,100,500)))))),FLOOR($F179*IF($C179="売",1-$AG$3,1+$AG$3),IF($F179*IF($C179="売",1-$AG$3,1+$AG$3)&lt;=3000,1,IF($F179*IF($C179="売",1-$AG$3,1+$AG$3)&lt;=5000,5,IF($F179*IF($C179="売",1-$AG$3,1+$AG$3)&lt;=30000,10,IF($F179*IF($C179="売",1-$AG$3,1+$AG$3)&lt;=50000,50,IF($F179*IF($C179="売",1-$AG$3,1+$AG$3)&lt;=300000,100,500))))))))</f>
      </c>
      <c r="N179" s="598">
        <f>IF($F179="","",IF($C179="売",CEILING($F179*IF($C179="売",1+$AG$2,1-$AG$2),IF($F179*IF($C179="売",1+$AG$2,1-$AG$2)&lt;=3000,1,IF($F179*IF($C179="売",1+$AG$2,1-$AG$2)&lt;=5000,5,IF($F179*IF($C179="売",1+$AG$2,1-$AG$2)&lt;=30000,10,IF($F179*IF($C179="売",1+$AG$2,1-$AG$2)&lt;=50000,50,IF($F179*IF($C179="売",1+$AG$2,1-$AG$2)&lt;=300000,100,500)))))),FLOOR($F179*IF($C179="売",1+$AG$2,1-$AG$2),IF($F179*IF($C179="売",1+$AG$2,1-$AG$2)&lt;=3000,1,IF($F179*IF($C179="売",1+$AG$2,1-$AG$2)&lt;=5000,5,IF($F179*IF($C179="売",1+$AG$2,1-$AG$2)&lt;=30000,10,IF($F179*IF($C179="売",1+$AG$2,1-$AG$2)&lt;=50000,50,IF($F179*IF($C179="売",1+$AG$2,1-$AG$2)&lt;=300000,100,500))))))))</f>
      </c>
      <c r="O179" s="478">
        <f>IF(OR($B179="",$F179="",$H179=""),"",IF($S179="✅売却済","―決済済―",IF($C179="売",  IF($H179&lt;=$M179,"🟢利確",  IF(AND($R179&lt;&gt;"",$H179&gt;=$R179),"🟠TRAIL決済",  IF($H179&gt;=$N179,"🔴損切",  IF($W179&gt;=$AG$5,"⏱時間決済",  IF($H179&gt;=$F179*(1+$AG$2*0.7),"⚠️損切接近","保持継続"))))),  IF($H179&gt;=$M179,"🟢利確",  IF(AND($R179&lt;&gt;"",$H179&lt;=$R179),"🟠TRAIL決済",  IF($H179&lt;=$N179,"🔴損切",  IF($W179&gt;=$AG$5,"⏱時間決済",  IF($H179&lt;=$F179*(1-$AG$2*0.7),"⚠️損切接近","保持継続")))))))</f>
      </c>
      <c r="P179" s="445"/>
      <c r="Q179" s="445"/>
      <c r="R179" s="480">
        <f>IF(OR($F179="",$H179="",$N179=""),"",IF($S179="✅売却済","",IF($C179="売",  IF($H179&gt;$F179*(1-$AG$2),$N179,CEILING(MIN($N179,IF($Q179="",$N179,$Q179*1.03)),IF($N179&lt;=3000,1,IF($N179&lt;=5000,5,IF($N179&lt;=30000,10,IF($N179&lt;=50000,50,IF($N179&lt;=300000,100,500))))))),  IF($H179&lt;$F179*(1+$AG$2),$N179,FLOOR(MAX($N179,IF($P179="",$N179,$P179*0.97)),IF($N179&lt;=3000,1,IF($N179&lt;=5000,5,IF($N179&lt;=30000,10,IF($N179&lt;=50000,50,IF($N179&lt;=300000,100,500))))))))))</f>
      </c>
      <c r="S179" s="480" t="str">
        <f t="shared" si="72"/>
        <v/>
      </c>
      <c r="T179" s="596" t="str">
        <f t="shared" ca="1" si="61"/>
        <v/>
      </c>
      <c r="U179" s="598" t="str">
        <f t="shared" ca="1" si="62"/>
        <v/>
      </c>
      <c r="V179" s="703" t="str">
        <f t="shared" ca="1" si="73"/>
        <v/>
      </c>
      <c r="W179" s="480" t="str">
        <f t="shared" ca="1" si="63"/>
        <v/>
      </c>
      <c r="X179" s="480" t="str">
        <f t="shared" ca="1" si="64"/>
        <v/>
      </c>
      <c r="Y179" s="488">
        <f>IF($B179="","",IF(COUNTIFS($B$4:$B179,$B179,$C$4:$C179,$C179)&gt;1,"⛔重複"&amp;COUNTIFS($B$4:$B179,$B179,$C$4:$C179,$C179)&amp;"回目",""))</f>
      </c>
      <c r="Z179" s="710"/>
      <c r="AB179">
        <f>IF($F179="","",MAX(100,ROUNDDOWN($AG$4/($F179*$AG$2)/100,0)*100))</f>
      </c>
      <c r="AC179">
        <f>IF(OR($F179="",$G179="",$U179=""),"",ROUND($V179-($F179+$U179)*$G179*$AG$6-IF($C179="売",$F179*$G179*$AG$7*$W179/365,0),0))</f>
      </c>
      <c r="AD179" s="608"/>
      <c r="AE179" s="600" t="str">
        <f t="shared" si="65"/>
        <v/>
      </c>
      <c r="AF179" s="600"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00"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00" t="str">
        <f t="shared" ca="1" si="66"/>
        <v/>
      </c>
      <c r="AI179" s="600" t="str" cm="1">
        <f t="array" ref="AI179">IFERROR(INDEX(始値!$E$6:$BT$305,MATCH(TEXT($B179,"0"),TEXT(銘柄管理!$B$6:$B$305,"0"),0),MATCH($AE179,始値!$E$3:$BT$3,0)),"")</f>
        <v/>
      </c>
      <c r="AJ179" s="608" t="str">
        <f t="shared" ca="1" si="67"/>
        <v/>
      </c>
      <c r="AK179" s="600" t="str">
        <f t="shared" ca="1" si="68"/>
        <v/>
      </c>
    </row>
    <row r="180" spans="1:37" ht="17.25" customHeight="1">
      <c r="A180" s="621" t="str">
        <f t="shared" si="57"/>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BT$3,0)=1,1,MATCH($E180,始値!$E$3:$BT$3,0)+1)),_xlpm.v,INDEX(始値!$C$6:$B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 t="shared" ca="1" si="69"/>
        <v/>
      </c>
      <c r="L180" s="708" t="str">
        <f t="shared" ca="1" si="70"/>
        <v/>
      </c>
      <c r="M180" s="598">
        <f>IF($F180="","",IF($C180="売",CEILING($F180*IF($C180="売",1-$AG$3,1+$AG$3),IF($F180*IF($C180="売",1-$AG$3,1+$AG$3)&lt;=3000,1,IF($F180*IF($C180="売",1-$AG$3,1+$AG$3)&lt;=5000,5,IF($F180*IF($C180="売",1-$AG$3,1+$AG$3)&lt;=30000,10,IF($F180*IF($C180="売",1-$AG$3,1+$AG$3)&lt;=50000,50,IF($F180*IF($C180="売",1-$AG$3,1+$AG$3)&lt;=300000,100,500)))))),FLOOR($F180*IF($C180="売",1-$AG$3,1+$AG$3),IF($F180*IF($C180="売",1-$AG$3,1+$AG$3)&lt;=3000,1,IF($F180*IF($C180="売",1-$AG$3,1+$AG$3)&lt;=5000,5,IF($F180*IF($C180="売",1-$AG$3,1+$AG$3)&lt;=30000,10,IF($F180*IF($C180="売",1-$AG$3,1+$AG$3)&lt;=50000,50,IF($F180*IF($C180="売",1-$AG$3,1+$AG$3)&lt;=300000,100,500))))))))</f>
      </c>
      <c r="N180" s="598">
        <f>IF($F180="","",IF($C180="売",CEILING($F180*IF($C180="売",1+$AG$2,1-$AG$2),IF($F180*IF($C180="売",1+$AG$2,1-$AG$2)&lt;=3000,1,IF($F180*IF($C180="売",1+$AG$2,1-$AG$2)&lt;=5000,5,IF($F180*IF($C180="売",1+$AG$2,1-$AG$2)&lt;=30000,10,IF($F180*IF($C180="売",1+$AG$2,1-$AG$2)&lt;=50000,50,IF($F180*IF($C180="売",1+$AG$2,1-$AG$2)&lt;=300000,100,500)))))),FLOOR($F180*IF($C180="売",1+$AG$2,1-$AG$2),IF($F180*IF($C180="売",1+$AG$2,1-$AG$2)&lt;=3000,1,IF($F180*IF($C180="売",1+$AG$2,1-$AG$2)&lt;=5000,5,IF($F180*IF($C180="売",1+$AG$2,1-$AG$2)&lt;=30000,10,IF($F180*IF($C180="売",1+$AG$2,1-$AG$2)&lt;=50000,50,IF($F180*IF($C180="売",1+$AG$2,1-$AG$2)&lt;=300000,100,500))))))))</f>
      </c>
      <c r="O180" s="478">
        <f>IF(OR($B180="",$F180="",$H180=""),"",IF($S180="✅売却済","―決済済―",IF($C180="売",  IF($H180&lt;=$M180,"🟢利確",  IF(AND($R180&lt;&gt;"",$H180&gt;=$R180),"🟠TRAIL決済",  IF($H180&gt;=$N180,"🔴損切",  IF($W180&gt;=$AG$5,"⏱時間決済",  IF($H180&gt;=$F180*(1+$AG$2*0.7),"⚠️損切接近","保持継続"))))),  IF($H180&gt;=$M180,"🟢利確",  IF(AND($R180&lt;&gt;"",$H180&lt;=$R180),"🟠TRAIL決済",  IF($H180&lt;=$N180,"🔴損切",  IF($W180&gt;=$AG$5,"⏱時間決済",  IF($H180&lt;=$F180*(1-$AG$2*0.7),"⚠️損切接近","保持継続")))))))</f>
      </c>
      <c r="P180" s="445"/>
      <c r="Q180" s="445"/>
      <c r="R180" s="480">
        <f>IF(OR($F180="",$H180="",$N180=""),"",IF($S180="✅売却済","",IF($C180="売",  IF($H180&gt;$F180*(1-$AG$2),$N180,CEILING(MIN($N180,IF($Q180="",$N180,$Q180*1.03)),IF($N180&lt;=3000,1,IF($N180&lt;=5000,5,IF($N180&lt;=30000,10,IF($N180&lt;=50000,50,IF($N180&lt;=300000,100,500))))))),  IF($H180&lt;$F180*(1+$AG$2),$N180,FLOOR(MAX($N180,IF($P180="",$N180,$P180*0.97)),IF($N180&lt;=3000,1,IF($N180&lt;=5000,5,IF($N180&lt;=30000,10,IF($N180&lt;=50000,50,IF($N180&lt;=300000,100,500))))))))))</f>
      </c>
      <c r="S180" s="480" t="str">
        <f t="shared" si="72"/>
        <v/>
      </c>
      <c r="T180" s="596" t="str">
        <f t="shared" ca="1" si="61"/>
        <v/>
      </c>
      <c r="U180" s="598" t="str">
        <f t="shared" ca="1" si="62"/>
        <v/>
      </c>
      <c r="V180" s="703" t="str">
        <f t="shared" ca="1" si="73"/>
        <v/>
      </c>
      <c r="W180" s="480" t="str">
        <f t="shared" ca="1" si="63"/>
        <v/>
      </c>
      <c r="X180" s="480" t="str">
        <f t="shared" ca="1" si="64"/>
        <v/>
      </c>
      <c r="Y180" s="488">
        <f>IF($B180="","",IF(COUNTIFS($B$4:$B180,$B180,$C$4:$C180,$C180)&gt;1,"⛔重複"&amp;COUNTIFS($B$4:$B180,$B180,$C$4:$C180,$C180)&amp;"回目",""))</f>
      </c>
      <c r="Z180" s="710"/>
      <c r="AB180">
        <f>IF($F180="","",MAX(100,ROUNDDOWN($AG$4/($F180*$AG$2)/100,0)*100))</f>
      </c>
      <c r="AC180">
        <f>IF(OR($F180="",$G180="",$U180=""),"",ROUND($V180-($F180+$U180)*$G180*$AG$6-IF($C180="売",$F180*$G180*$AG$7*$W180/365,0),0))</f>
      </c>
      <c r="AD180" s="608"/>
      <c r="AE180" s="600" t="str">
        <f t="shared" si="65"/>
        <v/>
      </c>
      <c r="AF180" s="600"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00"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00" t="str">
        <f t="shared" ca="1" si="66"/>
        <v/>
      </c>
      <c r="AI180" s="600" t="str" cm="1">
        <f t="array" ref="AI180">IFERROR(INDEX(始値!$E$6:$BT$305,MATCH(TEXT($B180,"0"),TEXT(銘柄管理!$B$6:$B$305,"0"),0),MATCH($AE180,始値!$E$3:$BT$3,0)),"")</f>
        <v/>
      </c>
      <c r="AJ180" s="608" t="str">
        <f t="shared" ca="1" si="67"/>
        <v/>
      </c>
      <c r="AK180" s="600" t="str">
        <f t="shared" ca="1" si="68"/>
        <v/>
      </c>
    </row>
    <row r="181" spans="1:37" ht="17.25" customHeight="1">
      <c r="A181" s="621" t="str">
        <f t="shared" si="57"/>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BT$3,0)=1,1,MATCH($E181,始値!$E$3:$BT$3,0)+1)),_xlpm.v,INDEX(始値!$C$6:$B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 t="shared" ca="1" si="69"/>
        <v/>
      </c>
      <c r="L181" s="708" t="str">
        <f t="shared" ca="1" si="70"/>
        <v/>
      </c>
      <c r="M181" s="598">
        <f>IF($F181="","",IF($C181="売",CEILING($F181*IF($C181="売",1-$AG$3,1+$AG$3),IF($F181*IF($C181="売",1-$AG$3,1+$AG$3)&lt;=3000,1,IF($F181*IF($C181="売",1-$AG$3,1+$AG$3)&lt;=5000,5,IF($F181*IF($C181="売",1-$AG$3,1+$AG$3)&lt;=30000,10,IF($F181*IF($C181="売",1-$AG$3,1+$AG$3)&lt;=50000,50,IF($F181*IF($C181="売",1-$AG$3,1+$AG$3)&lt;=300000,100,500)))))),FLOOR($F181*IF($C181="売",1-$AG$3,1+$AG$3),IF($F181*IF($C181="売",1-$AG$3,1+$AG$3)&lt;=3000,1,IF($F181*IF($C181="売",1-$AG$3,1+$AG$3)&lt;=5000,5,IF($F181*IF($C181="売",1-$AG$3,1+$AG$3)&lt;=30000,10,IF($F181*IF($C181="売",1-$AG$3,1+$AG$3)&lt;=50000,50,IF($F181*IF($C181="売",1-$AG$3,1+$AG$3)&lt;=300000,100,500))))))))</f>
      </c>
      <c r="N181" s="598">
        <f>IF($F181="","",IF($C181="売",CEILING($F181*IF($C181="売",1+$AG$2,1-$AG$2),IF($F181*IF($C181="売",1+$AG$2,1-$AG$2)&lt;=3000,1,IF($F181*IF($C181="売",1+$AG$2,1-$AG$2)&lt;=5000,5,IF($F181*IF($C181="売",1+$AG$2,1-$AG$2)&lt;=30000,10,IF($F181*IF($C181="売",1+$AG$2,1-$AG$2)&lt;=50000,50,IF($F181*IF($C181="売",1+$AG$2,1-$AG$2)&lt;=300000,100,500)))))),FLOOR($F181*IF($C181="売",1+$AG$2,1-$AG$2),IF($F181*IF($C181="売",1+$AG$2,1-$AG$2)&lt;=3000,1,IF($F181*IF($C181="売",1+$AG$2,1-$AG$2)&lt;=5000,5,IF($F181*IF($C181="売",1+$AG$2,1-$AG$2)&lt;=30000,10,IF($F181*IF($C181="売",1+$AG$2,1-$AG$2)&lt;=50000,50,IF($F181*IF($C181="売",1+$AG$2,1-$AG$2)&lt;=300000,100,500))))))))</f>
      </c>
      <c r="O181" s="478">
        <f>IF(OR($B181="",$F181="",$H181=""),"",IF($S181="✅売却済","―決済済―",IF($C181="売",  IF($H181&lt;=$M181,"🟢利確",  IF(AND($R181&lt;&gt;"",$H181&gt;=$R181),"🟠TRAIL決済",  IF($H181&gt;=$N181,"🔴損切",  IF($W181&gt;=$AG$5,"⏱時間決済",  IF($H181&gt;=$F181*(1+$AG$2*0.7),"⚠️損切接近","保持継続"))))),  IF($H181&gt;=$M181,"🟢利確",  IF(AND($R181&lt;&gt;"",$H181&lt;=$R181),"🟠TRAIL決済",  IF($H181&lt;=$N181,"🔴損切",  IF($W181&gt;=$AG$5,"⏱時間決済",  IF($H181&lt;=$F181*(1-$AG$2*0.7),"⚠️損切接近","保持継続")))))))</f>
      </c>
      <c r="P181" s="445"/>
      <c r="Q181" s="445"/>
      <c r="R181" s="480">
        <f>IF(OR($F181="",$H181="",$N181=""),"",IF($S181="✅売却済","",IF($C181="売",  IF($H181&gt;$F181*(1-$AG$2),$N181,CEILING(MIN($N181,IF($Q181="",$N181,$Q181*1.03)),IF($N181&lt;=3000,1,IF($N181&lt;=5000,5,IF($N181&lt;=30000,10,IF($N181&lt;=50000,50,IF($N181&lt;=300000,100,500))))))),  IF($H181&lt;$F181*(1+$AG$2),$N181,FLOOR(MAX($N181,IF($P181="",$N181,$P181*0.97)),IF($N181&lt;=3000,1,IF($N181&lt;=5000,5,IF($N181&lt;=30000,10,IF($N181&lt;=50000,50,IF($N181&lt;=300000,100,500))))))))))</f>
      </c>
      <c r="S181" s="480" t="str">
        <f t="shared" si="72"/>
        <v/>
      </c>
      <c r="T181" s="596" t="str">
        <f t="shared" ca="1" si="61"/>
        <v/>
      </c>
      <c r="U181" s="598" t="str">
        <f t="shared" ca="1" si="62"/>
        <v/>
      </c>
      <c r="V181" s="703" t="str">
        <f t="shared" ca="1" si="73"/>
        <v/>
      </c>
      <c r="W181" s="480" t="str">
        <f t="shared" ca="1" si="63"/>
        <v/>
      </c>
      <c r="X181" s="480" t="str">
        <f t="shared" ca="1" si="64"/>
        <v/>
      </c>
      <c r="Y181" s="488">
        <f>IF($B181="","",IF(COUNTIFS($B$4:$B181,$B181,$C$4:$C181,$C181)&gt;1,"⛔重複"&amp;COUNTIFS($B$4:$B181,$B181,$C$4:$C181,$C181)&amp;"回目",""))</f>
      </c>
      <c r="Z181" s="710"/>
      <c r="AB181">
        <f>IF($F181="","",MAX(100,ROUNDDOWN($AG$4/($F181*$AG$2)/100,0)*100))</f>
      </c>
      <c r="AC181">
        <f>IF(OR($F181="",$G181="",$U181=""),"",ROUND($V181-($F181+$U181)*$G181*$AG$6-IF($C181="売",$F181*$G181*$AG$7*$W181/365,0),0))</f>
      </c>
      <c r="AD181" s="608"/>
      <c r="AE181" s="600" t="str">
        <f t="shared" si="65"/>
        <v/>
      </c>
      <c r="AF181" s="600"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00"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00" t="str">
        <f t="shared" ca="1" si="66"/>
        <v/>
      </c>
      <c r="AI181" s="600" t="str" cm="1">
        <f t="array" ref="AI181">IFERROR(INDEX(始値!$E$6:$BT$305,MATCH(TEXT($B181,"0"),TEXT(銘柄管理!$B$6:$B$305,"0"),0),MATCH($AE181,始値!$E$3:$BT$3,0)),"")</f>
        <v/>
      </c>
      <c r="AJ181" s="608" t="str">
        <f t="shared" ca="1" si="67"/>
        <v/>
      </c>
      <c r="AK181" s="600" t="str">
        <f t="shared" ca="1" si="68"/>
        <v/>
      </c>
    </row>
    <row r="182" spans="1:37" ht="17.25" customHeight="1">
      <c r="A182" s="621" t="str">
        <f t="shared" si="57"/>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BT$3,0)=1,1,MATCH($E182,始値!$E$3:$BT$3,0)+1)),_xlpm.v,INDEX(始値!$C$6:$B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 t="shared" ca="1" si="69"/>
        <v/>
      </c>
      <c r="L182" s="708" t="str">
        <f t="shared" ca="1" si="70"/>
        <v/>
      </c>
      <c r="M182" s="598">
        <f>IF($F182="","",IF($C182="売",CEILING($F182*IF($C182="売",1-$AG$3,1+$AG$3),IF($F182*IF($C182="売",1-$AG$3,1+$AG$3)&lt;=3000,1,IF($F182*IF($C182="売",1-$AG$3,1+$AG$3)&lt;=5000,5,IF($F182*IF($C182="売",1-$AG$3,1+$AG$3)&lt;=30000,10,IF($F182*IF($C182="売",1-$AG$3,1+$AG$3)&lt;=50000,50,IF($F182*IF($C182="売",1-$AG$3,1+$AG$3)&lt;=300000,100,500)))))),FLOOR($F182*IF($C182="売",1-$AG$3,1+$AG$3),IF($F182*IF($C182="売",1-$AG$3,1+$AG$3)&lt;=3000,1,IF($F182*IF($C182="売",1-$AG$3,1+$AG$3)&lt;=5000,5,IF($F182*IF($C182="売",1-$AG$3,1+$AG$3)&lt;=30000,10,IF($F182*IF($C182="売",1-$AG$3,1+$AG$3)&lt;=50000,50,IF($F182*IF($C182="売",1-$AG$3,1+$AG$3)&lt;=300000,100,500))))))))</f>
      </c>
      <c r="N182" s="598">
        <f>IF($F182="","",IF($C182="売",CEILING($F182*IF($C182="売",1+$AG$2,1-$AG$2),IF($F182*IF($C182="売",1+$AG$2,1-$AG$2)&lt;=3000,1,IF($F182*IF($C182="売",1+$AG$2,1-$AG$2)&lt;=5000,5,IF($F182*IF($C182="売",1+$AG$2,1-$AG$2)&lt;=30000,10,IF($F182*IF($C182="売",1+$AG$2,1-$AG$2)&lt;=50000,50,IF($F182*IF($C182="売",1+$AG$2,1-$AG$2)&lt;=300000,100,500)))))),FLOOR($F182*IF($C182="売",1+$AG$2,1-$AG$2),IF($F182*IF($C182="売",1+$AG$2,1-$AG$2)&lt;=3000,1,IF($F182*IF($C182="売",1+$AG$2,1-$AG$2)&lt;=5000,5,IF($F182*IF($C182="売",1+$AG$2,1-$AG$2)&lt;=30000,10,IF($F182*IF($C182="売",1+$AG$2,1-$AG$2)&lt;=50000,50,IF($F182*IF($C182="売",1+$AG$2,1-$AG$2)&lt;=300000,100,500))))))))</f>
      </c>
      <c r="O182" s="478">
        <f>IF(OR($B182="",$F182="",$H182=""),"",IF($S182="✅売却済","―決済済―",IF($C182="売",  IF($H182&lt;=$M182,"🟢利確",  IF(AND($R182&lt;&gt;"",$H182&gt;=$R182),"🟠TRAIL決済",  IF($H182&gt;=$N182,"🔴損切",  IF($W182&gt;=$AG$5,"⏱時間決済",  IF($H182&gt;=$F182*(1+$AG$2*0.7),"⚠️損切接近","保持継続"))))),  IF($H182&gt;=$M182,"🟢利確",  IF(AND($R182&lt;&gt;"",$H182&lt;=$R182),"🟠TRAIL決済",  IF($H182&lt;=$N182,"🔴損切",  IF($W182&gt;=$AG$5,"⏱時間決済",  IF($H182&lt;=$F182*(1-$AG$2*0.7),"⚠️損切接近","保持継続")))))))</f>
      </c>
      <c r="P182" s="445"/>
      <c r="Q182" s="445"/>
      <c r="R182" s="480">
        <f>IF(OR($F182="",$H182="",$N182=""),"",IF($S182="✅売却済","",IF($C182="売",  IF($H182&gt;$F182*(1-$AG$2),$N182,CEILING(MIN($N182,IF($Q182="",$N182,$Q182*1.03)),IF($N182&lt;=3000,1,IF($N182&lt;=5000,5,IF($N182&lt;=30000,10,IF($N182&lt;=50000,50,IF($N182&lt;=300000,100,500))))))),  IF($H182&lt;$F182*(1+$AG$2),$N182,FLOOR(MAX($N182,IF($P182="",$N182,$P182*0.97)),IF($N182&lt;=3000,1,IF($N182&lt;=5000,5,IF($N182&lt;=30000,10,IF($N182&lt;=50000,50,IF($N182&lt;=300000,100,500))))))))))</f>
      </c>
      <c r="S182" s="480" t="str">
        <f t="shared" si="72"/>
        <v/>
      </c>
      <c r="T182" s="596" t="str">
        <f t="shared" ca="1" si="61"/>
        <v/>
      </c>
      <c r="U182" s="598" t="str">
        <f t="shared" ca="1" si="62"/>
        <v/>
      </c>
      <c r="V182" s="703" t="str">
        <f t="shared" ca="1" si="73"/>
        <v/>
      </c>
      <c r="W182" s="480" t="str">
        <f t="shared" ca="1" si="63"/>
        <v/>
      </c>
      <c r="X182" s="480" t="str">
        <f t="shared" ca="1" si="64"/>
        <v/>
      </c>
      <c r="Y182" s="488">
        <f>IF($B182="","",IF(COUNTIFS($B$4:$B182,$B182,$C$4:$C182,$C182)&gt;1,"⛔重複"&amp;COUNTIFS($B$4:$B182,$B182,$C$4:$C182,$C182)&amp;"回目",""))</f>
      </c>
      <c r="Z182" s="710"/>
      <c r="AB182">
        <f>IF($F182="","",MAX(100,ROUNDDOWN($AG$4/($F182*$AG$2)/100,0)*100))</f>
      </c>
      <c r="AC182">
        <f>IF(OR($F182="",$G182="",$U182=""),"",ROUND($V182-($F182+$U182)*$G182*$AG$6-IF($C182="売",$F182*$G182*$AG$7*$W182/365,0),0))</f>
      </c>
      <c r="AD182" s="608"/>
      <c r="AE182" s="600" t="str">
        <f t="shared" si="65"/>
        <v/>
      </c>
      <c r="AF182" s="600"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00"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00" t="str">
        <f t="shared" ca="1" si="66"/>
        <v/>
      </c>
      <c r="AI182" s="600" t="str" cm="1">
        <f t="array" ref="AI182">IFERROR(INDEX(始値!$E$6:$BT$305,MATCH(TEXT($B182,"0"),TEXT(銘柄管理!$B$6:$B$305,"0"),0),MATCH($AE182,始値!$E$3:$BT$3,0)),"")</f>
        <v/>
      </c>
      <c r="AJ182" s="608" t="str">
        <f t="shared" ca="1" si="67"/>
        <v/>
      </c>
      <c r="AK182" s="600" t="str">
        <f t="shared" ca="1" si="68"/>
        <v/>
      </c>
    </row>
    <row r="183" spans="1:37" ht="17.25" customHeight="1">
      <c r="A183" s="621" t="str">
        <f t="shared" si="57"/>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BT$3,0)=1,1,MATCH($E183,始値!$E$3:$BT$3,0)+1)),_xlpm.v,INDEX(始値!$C$6:$B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 t="shared" ca="1" si="69"/>
        <v/>
      </c>
      <c r="L183" s="708" t="str">
        <f t="shared" ca="1" si="70"/>
        <v/>
      </c>
      <c r="M183" s="598">
        <f>IF($F183="","",IF($C183="売",CEILING($F183*IF($C183="売",1-$AG$3,1+$AG$3),IF($F183*IF($C183="売",1-$AG$3,1+$AG$3)&lt;=3000,1,IF($F183*IF($C183="売",1-$AG$3,1+$AG$3)&lt;=5000,5,IF($F183*IF($C183="売",1-$AG$3,1+$AG$3)&lt;=30000,10,IF($F183*IF($C183="売",1-$AG$3,1+$AG$3)&lt;=50000,50,IF($F183*IF($C183="売",1-$AG$3,1+$AG$3)&lt;=300000,100,500)))))),FLOOR($F183*IF($C183="売",1-$AG$3,1+$AG$3),IF($F183*IF($C183="売",1-$AG$3,1+$AG$3)&lt;=3000,1,IF($F183*IF($C183="売",1-$AG$3,1+$AG$3)&lt;=5000,5,IF($F183*IF($C183="売",1-$AG$3,1+$AG$3)&lt;=30000,10,IF($F183*IF($C183="売",1-$AG$3,1+$AG$3)&lt;=50000,50,IF($F183*IF($C183="売",1-$AG$3,1+$AG$3)&lt;=300000,100,500))))))))</f>
      </c>
      <c r="N183" s="598">
        <f>IF($F183="","",IF($C183="売",CEILING($F183*IF($C183="売",1+$AG$2,1-$AG$2),IF($F183*IF($C183="売",1+$AG$2,1-$AG$2)&lt;=3000,1,IF($F183*IF($C183="売",1+$AG$2,1-$AG$2)&lt;=5000,5,IF($F183*IF($C183="売",1+$AG$2,1-$AG$2)&lt;=30000,10,IF($F183*IF($C183="売",1+$AG$2,1-$AG$2)&lt;=50000,50,IF($F183*IF($C183="売",1+$AG$2,1-$AG$2)&lt;=300000,100,500)))))),FLOOR($F183*IF($C183="売",1+$AG$2,1-$AG$2),IF($F183*IF($C183="売",1+$AG$2,1-$AG$2)&lt;=3000,1,IF($F183*IF($C183="売",1+$AG$2,1-$AG$2)&lt;=5000,5,IF($F183*IF($C183="売",1+$AG$2,1-$AG$2)&lt;=30000,10,IF($F183*IF($C183="売",1+$AG$2,1-$AG$2)&lt;=50000,50,IF($F183*IF($C183="売",1+$AG$2,1-$AG$2)&lt;=300000,100,500))))))))</f>
      </c>
      <c r="O183" s="478">
        <f>IF(OR($B183="",$F183="",$H183=""),"",IF($S183="✅売却済","―決済済―",IF($C183="売",  IF($H183&lt;=$M183,"🟢利確",  IF(AND($R183&lt;&gt;"",$H183&gt;=$R183),"🟠TRAIL決済",  IF($H183&gt;=$N183,"🔴損切",  IF($W183&gt;=$AG$5,"⏱時間決済",  IF($H183&gt;=$F183*(1+$AG$2*0.7),"⚠️損切接近","保持継続"))))),  IF($H183&gt;=$M183,"🟢利確",  IF(AND($R183&lt;&gt;"",$H183&lt;=$R183),"🟠TRAIL決済",  IF($H183&lt;=$N183,"🔴損切",  IF($W183&gt;=$AG$5,"⏱時間決済",  IF($H183&lt;=$F183*(1-$AG$2*0.7),"⚠️損切接近","保持継続")))))))</f>
      </c>
      <c r="P183" s="445"/>
      <c r="Q183" s="445"/>
      <c r="R183" s="480">
        <f>IF(OR($F183="",$H183="",$N183=""),"",IF($S183="✅売却済","",IF($C183="売",  IF($H183&gt;$F183*(1-$AG$2),$N183,CEILING(MIN($N183,IF($Q183="",$N183,$Q183*1.03)),IF($N183&lt;=3000,1,IF($N183&lt;=5000,5,IF($N183&lt;=30000,10,IF($N183&lt;=50000,50,IF($N183&lt;=300000,100,500))))))),  IF($H183&lt;$F183*(1+$AG$2),$N183,FLOOR(MAX($N183,IF($P183="",$N183,$P183*0.97)),IF($N183&lt;=3000,1,IF($N183&lt;=5000,5,IF($N183&lt;=30000,10,IF($N183&lt;=50000,50,IF($N183&lt;=300000,100,500))))))))))</f>
      </c>
      <c r="S183" s="480" t="str">
        <f t="shared" si="72"/>
        <v/>
      </c>
      <c r="T183" s="596" t="str">
        <f t="shared" ca="1" si="61"/>
        <v/>
      </c>
      <c r="U183" s="598" t="str">
        <f t="shared" ca="1" si="62"/>
        <v/>
      </c>
      <c r="V183" s="703" t="str">
        <f t="shared" ca="1" si="73"/>
        <v/>
      </c>
      <c r="W183" s="480" t="str">
        <f t="shared" ca="1" si="63"/>
        <v/>
      </c>
      <c r="X183" s="480" t="str">
        <f t="shared" ca="1" si="64"/>
        <v/>
      </c>
      <c r="Y183" s="488">
        <f>IF($B183="","",IF(COUNTIFS($B$4:$B183,$B183,$C$4:$C183,$C183)&gt;1,"⛔重複"&amp;COUNTIFS($B$4:$B183,$B183,$C$4:$C183,$C183)&amp;"回目",""))</f>
      </c>
      <c r="Z183" s="710"/>
      <c r="AB183">
        <f>IF($F183="","",MAX(100,ROUNDDOWN($AG$4/($F183*$AG$2)/100,0)*100))</f>
      </c>
      <c r="AC183">
        <f>IF(OR($F183="",$G183="",$U183=""),"",ROUND($V183-($F183+$U183)*$G183*$AG$6-IF($C183="売",$F183*$G183*$AG$7*$W183/365,0),0))</f>
      </c>
      <c r="AD183" s="608"/>
      <c r="AE183" s="600" t="str">
        <f t="shared" si="65"/>
        <v/>
      </c>
      <c r="AF183" s="600"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00"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00" t="str">
        <f t="shared" ca="1" si="66"/>
        <v/>
      </c>
      <c r="AI183" s="600" t="str" cm="1">
        <f t="array" ref="AI183">IFERROR(INDEX(始値!$E$6:$BT$305,MATCH(TEXT($B183,"0"),TEXT(銘柄管理!$B$6:$B$305,"0"),0),MATCH($AE183,始値!$E$3:$BT$3,0)),"")</f>
        <v/>
      </c>
      <c r="AJ183" s="608" t="str">
        <f t="shared" ca="1" si="67"/>
        <v/>
      </c>
      <c r="AK183" s="600" t="str">
        <f t="shared" ca="1" si="68"/>
        <v/>
      </c>
    </row>
    <row r="184" spans="1:37" ht="17.25" customHeight="1">
      <c r="A184" s="621" t="str">
        <f t="shared" si="57"/>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BT$3,0)=1,1,MATCH($E184,始値!$E$3:$BT$3,0)+1)),_xlpm.v,INDEX(始値!$C$6:$B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 t="shared" ca="1" si="69"/>
        <v/>
      </c>
      <c r="L184" s="708" t="str">
        <f t="shared" ca="1" si="70"/>
        <v/>
      </c>
      <c r="M184" s="598">
        <f>IF($F184="","",IF($C184="売",CEILING($F184*IF($C184="売",1-$AG$3,1+$AG$3),IF($F184*IF($C184="売",1-$AG$3,1+$AG$3)&lt;=3000,1,IF($F184*IF($C184="売",1-$AG$3,1+$AG$3)&lt;=5000,5,IF($F184*IF($C184="売",1-$AG$3,1+$AG$3)&lt;=30000,10,IF($F184*IF($C184="売",1-$AG$3,1+$AG$3)&lt;=50000,50,IF($F184*IF($C184="売",1-$AG$3,1+$AG$3)&lt;=300000,100,500)))))),FLOOR($F184*IF($C184="売",1-$AG$3,1+$AG$3),IF($F184*IF($C184="売",1-$AG$3,1+$AG$3)&lt;=3000,1,IF($F184*IF($C184="売",1-$AG$3,1+$AG$3)&lt;=5000,5,IF($F184*IF($C184="売",1-$AG$3,1+$AG$3)&lt;=30000,10,IF($F184*IF($C184="売",1-$AG$3,1+$AG$3)&lt;=50000,50,IF($F184*IF($C184="売",1-$AG$3,1+$AG$3)&lt;=300000,100,500))))))))</f>
      </c>
      <c r="N184" s="598">
        <f>IF($F184="","",IF($C184="売",CEILING($F184*IF($C184="売",1+$AG$2,1-$AG$2),IF($F184*IF($C184="売",1+$AG$2,1-$AG$2)&lt;=3000,1,IF($F184*IF($C184="売",1+$AG$2,1-$AG$2)&lt;=5000,5,IF($F184*IF($C184="売",1+$AG$2,1-$AG$2)&lt;=30000,10,IF($F184*IF($C184="売",1+$AG$2,1-$AG$2)&lt;=50000,50,IF($F184*IF($C184="売",1+$AG$2,1-$AG$2)&lt;=300000,100,500)))))),FLOOR($F184*IF($C184="売",1+$AG$2,1-$AG$2),IF($F184*IF($C184="売",1+$AG$2,1-$AG$2)&lt;=3000,1,IF($F184*IF($C184="売",1+$AG$2,1-$AG$2)&lt;=5000,5,IF($F184*IF($C184="売",1+$AG$2,1-$AG$2)&lt;=30000,10,IF($F184*IF($C184="売",1+$AG$2,1-$AG$2)&lt;=50000,50,IF($F184*IF($C184="売",1+$AG$2,1-$AG$2)&lt;=300000,100,500))))))))</f>
      </c>
      <c r="O184" s="478">
        <f>IF(OR($B184="",$F184="",$H184=""),"",IF($S184="✅売却済","―決済済―",IF($C184="売",  IF($H184&lt;=$M184,"🟢利確",  IF(AND($R184&lt;&gt;"",$H184&gt;=$R184),"🟠TRAIL決済",  IF($H184&gt;=$N184,"🔴損切",  IF($W184&gt;=$AG$5,"⏱時間決済",  IF($H184&gt;=$F184*(1+$AG$2*0.7),"⚠️損切接近","保持継続"))))),  IF($H184&gt;=$M184,"🟢利確",  IF(AND($R184&lt;&gt;"",$H184&lt;=$R184),"🟠TRAIL決済",  IF($H184&lt;=$N184,"🔴損切",  IF($W184&gt;=$AG$5,"⏱時間決済",  IF($H184&lt;=$F184*(1-$AG$2*0.7),"⚠️損切接近","保持継続")))))))</f>
      </c>
      <c r="P184" s="445"/>
      <c r="Q184" s="445"/>
      <c r="R184" s="480">
        <f>IF(OR($F184="",$H184="",$N184=""),"",IF($S184="✅売却済","",IF($C184="売",  IF($H184&gt;$F184*(1-$AG$2),$N184,CEILING(MIN($N184,IF($Q184="",$N184,$Q184*1.03)),IF($N184&lt;=3000,1,IF($N184&lt;=5000,5,IF($N184&lt;=30000,10,IF($N184&lt;=50000,50,IF($N184&lt;=300000,100,500))))))),  IF($H184&lt;$F184*(1+$AG$2),$N184,FLOOR(MAX($N184,IF($P184="",$N184,$P184*0.97)),IF($N184&lt;=3000,1,IF($N184&lt;=5000,5,IF($N184&lt;=30000,10,IF($N184&lt;=50000,50,IF($N184&lt;=300000,100,500))))))))))</f>
      </c>
      <c r="S184" s="480" t="str">
        <f t="shared" si="72"/>
        <v/>
      </c>
      <c r="T184" s="596" t="str">
        <f t="shared" ca="1" si="61"/>
        <v/>
      </c>
      <c r="U184" s="598" t="str">
        <f t="shared" ca="1" si="62"/>
        <v/>
      </c>
      <c r="V184" s="703" t="str">
        <f t="shared" ca="1" si="73"/>
        <v/>
      </c>
      <c r="W184" s="480" t="str">
        <f t="shared" ca="1" si="63"/>
        <v/>
      </c>
      <c r="X184" s="480" t="str">
        <f t="shared" ca="1" si="64"/>
        <v/>
      </c>
      <c r="Y184" s="488">
        <f>IF($B184="","",IF(COUNTIFS($B$4:$B184,$B184,$C$4:$C184,$C184)&gt;1,"⛔重複"&amp;COUNTIFS($B$4:$B184,$B184,$C$4:$C184,$C184)&amp;"回目",""))</f>
      </c>
      <c r="Z184" s="710"/>
      <c r="AB184">
        <f>IF($F184="","",MAX(100,ROUNDDOWN($AG$4/($F184*$AG$2)/100,0)*100))</f>
      </c>
      <c r="AC184">
        <f>IF(OR($F184="",$G184="",$U184=""),"",ROUND($V184-($F184+$U184)*$G184*$AG$6-IF($C184="売",$F184*$G184*$AG$7*$W184/365,0),0))</f>
      </c>
      <c r="AD184" s="608"/>
      <c r="AE184" s="600" t="str">
        <f t="shared" si="65"/>
        <v/>
      </c>
      <c r="AF184" s="600"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00"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00" t="str">
        <f t="shared" ca="1" si="66"/>
        <v/>
      </c>
      <c r="AI184" s="600" t="str" cm="1">
        <f t="array" ref="AI184">IFERROR(INDEX(始値!$E$6:$BT$305,MATCH(TEXT($B184,"0"),TEXT(銘柄管理!$B$6:$B$305,"0"),0),MATCH($AE184,始値!$E$3:$BT$3,0)),"")</f>
        <v/>
      </c>
      <c r="AJ184" s="608" t="str">
        <f t="shared" ca="1" si="67"/>
        <v/>
      </c>
      <c r="AK184" s="600" t="str">
        <f t="shared" ca="1" si="68"/>
        <v/>
      </c>
    </row>
    <row r="185" spans="1:37" ht="17.25" customHeight="1">
      <c r="A185" s="621" t="str">
        <f t="shared" si="57"/>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BT$3,0)=1,1,MATCH($E185,始値!$E$3:$BT$3,0)+1)),_xlpm.v,INDEX(始値!$C$6:$B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 t="shared" ca="1" si="69"/>
        <v/>
      </c>
      <c r="L185" s="708" t="str">
        <f t="shared" ca="1" si="70"/>
        <v/>
      </c>
      <c r="M185" s="598">
        <f>IF($F185="","",IF($C185="売",CEILING($F185*IF($C185="売",1-$AG$3,1+$AG$3),IF($F185*IF($C185="売",1-$AG$3,1+$AG$3)&lt;=3000,1,IF($F185*IF($C185="売",1-$AG$3,1+$AG$3)&lt;=5000,5,IF($F185*IF($C185="売",1-$AG$3,1+$AG$3)&lt;=30000,10,IF($F185*IF($C185="売",1-$AG$3,1+$AG$3)&lt;=50000,50,IF($F185*IF($C185="売",1-$AG$3,1+$AG$3)&lt;=300000,100,500)))))),FLOOR($F185*IF($C185="売",1-$AG$3,1+$AG$3),IF($F185*IF($C185="売",1-$AG$3,1+$AG$3)&lt;=3000,1,IF($F185*IF($C185="売",1-$AG$3,1+$AG$3)&lt;=5000,5,IF($F185*IF($C185="売",1-$AG$3,1+$AG$3)&lt;=30000,10,IF($F185*IF($C185="売",1-$AG$3,1+$AG$3)&lt;=50000,50,IF($F185*IF($C185="売",1-$AG$3,1+$AG$3)&lt;=300000,100,500))))))))</f>
      </c>
      <c r="N185" s="598">
        <f>IF($F185="","",IF($C185="売",CEILING($F185*IF($C185="売",1+$AG$2,1-$AG$2),IF($F185*IF($C185="売",1+$AG$2,1-$AG$2)&lt;=3000,1,IF($F185*IF($C185="売",1+$AG$2,1-$AG$2)&lt;=5000,5,IF($F185*IF($C185="売",1+$AG$2,1-$AG$2)&lt;=30000,10,IF($F185*IF($C185="売",1+$AG$2,1-$AG$2)&lt;=50000,50,IF($F185*IF($C185="売",1+$AG$2,1-$AG$2)&lt;=300000,100,500)))))),FLOOR($F185*IF($C185="売",1+$AG$2,1-$AG$2),IF($F185*IF($C185="売",1+$AG$2,1-$AG$2)&lt;=3000,1,IF($F185*IF($C185="売",1+$AG$2,1-$AG$2)&lt;=5000,5,IF($F185*IF($C185="売",1+$AG$2,1-$AG$2)&lt;=30000,10,IF($F185*IF($C185="売",1+$AG$2,1-$AG$2)&lt;=50000,50,IF($F185*IF($C185="売",1+$AG$2,1-$AG$2)&lt;=300000,100,500))))))))</f>
      </c>
      <c r="O185" s="478">
        <f>IF(OR($B185="",$F185="",$H185=""),"",IF($S185="✅売却済","―決済済―",IF($C185="売",  IF($H185&lt;=$M185,"🟢利確",  IF(AND($R185&lt;&gt;"",$H185&gt;=$R185),"🟠TRAIL決済",  IF($H185&gt;=$N185,"🔴損切",  IF($W185&gt;=$AG$5,"⏱時間決済",  IF($H185&gt;=$F185*(1+$AG$2*0.7),"⚠️損切接近","保持継続"))))),  IF($H185&gt;=$M185,"🟢利確",  IF(AND($R185&lt;&gt;"",$H185&lt;=$R185),"🟠TRAIL決済",  IF($H185&lt;=$N185,"🔴損切",  IF($W185&gt;=$AG$5,"⏱時間決済",  IF($H185&lt;=$F185*(1-$AG$2*0.7),"⚠️損切接近","保持継続")))))))</f>
      </c>
      <c r="P185" s="445"/>
      <c r="Q185" s="445"/>
      <c r="R185" s="480">
        <f>IF(OR($F185="",$H185="",$N185=""),"",IF($S185="✅売却済","",IF($C185="売",  IF($H185&gt;$F185*(1-$AG$2),$N185,CEILING(MIN($N185,IF($Q185="",$N185,$Q185*1.03)),IF($N185&lt;=3000,1,IF($N185&lt;=5000,5,IF($N185&lt;=30000,10,IF($N185&lt;=50000,50,IF($N185&lt;=300000,100,500))))))),  IF($H185&lt;$F185*(1+$AG$2),$N185,FLOOR(MAX($N185,IF($P185="",$N185,$P185*0.97)),IF($N185&lt;=3000,1,IF($N185&lt;=5000,5,IF($N185&lt;=30000,10,IF($N185&lt;=50000,50,IF($N185&lt;=300000,100,500))))))))))</f>
      </c>
      <c r="S185" s="480" t="str">
        <f t="shared" si="72"/>
        <v/>
      </c>
      <c r="T185" s="596" t="str">
        <f t="shared" ca="1" si="61"/>
        <v/>
      </c>
      <c r="U185" s="598" t="str">
        <f t="shared" ca="1" si="62"/>
        <v/>
      </c>
      <c r="V185" s="703" t="str">
        <f t="shared" ca="1" si="73"/>
        <v/>
      </c>
      <c r="W185" s="480" t="str">
        <f t="shared" ca="1" si="63"/>
        <v/>
      </c>
      <c r="X185" s="480" t="str">
        <f t="shared" ca="1" si="64"/>
        <v/>
      </c>
      <c r="Y185" s="488">
        <f>IF($B185="","",IF(COUNTIFS($B$4:$B185,$B185,$C$4:$C185,$C185)&gt;1,"⛔重複"&amp;COUNTIFS($B$4:$B185,$B185,$C$4:$C185,$C185)&amp;"回目",""))</f>
      </c>
      <c r="Z185" s="710"/>
      <c r="AB185">
        <f>IF($F185="","",MAX(100,ROUNDDOWN($AG$4/($F185*$AG$2)/100,0)*100))</f>
      </c>
      <c r="AC185">
        <f>IF(OR($F185="",$G185="",$U185=""),"",ROUND($V185-($F185+$U185)*$G185*$AG$6-IF($C185="売",$F185*$G185*$AG$7*$W185/365,0),0))</f>
      </c>
      <c r="AD185" s="608"/>
      <c r="AE185" s="600" t="str">
        <f t="shared" si="65"/>
        <v/>
      </c>
      <c r="AF185" s="600"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00"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00" t="str">
        <f t="shared" ca="1" si="66"/>
        <v/>
      </c>
      <c r="AI185" s="600" t="str" cm="1">
        <f t="array" ref="AI185">IFERROR(INDEX(始値!$E$6:$BT$305,MATCH(TEXT($B185,"0"),TEXT(銘柄管理!$B$6:$B$305,"0"),0),MATCH($AE185,始値!$E$3:$BT$3,0)),"")</f>
        <v/>
      </c>
      <c r="AJ185" s="608" t="str">
        <f t="shared" ca="1" si="67"/>
        <v/>
      </c>
      <c r="AK185" s="600" t="str">
        <f t="shared" ca="1" si="68"/>
        <v/>
      </c>
    </row>
    <row r="186" spans="1:37" ht="17.25" customHeight="1">
      <c r="A186" s="621" t="str">
        <f t="shared" si="57"/>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BT$3,0)=1,1,MATCH($E186,始値!$E$3:$BT$3,0)+1)),_xlpm.v,INDEX(始値!$C$6:$B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 t="shared" ca="1" si="69"/>
        <v/>
      </c>
      <c r="L186" s="708" t="str">
        <f t="shared" ca="1" si="70"/>
        <v/>
      </c>
      <c r="M186" s="598">
        <f>IF($F186="","",IF($C186="売",CEILING($F186*IF($C186="売",1-$AG$3,1+$AG$3),IF($F186*IF($C186="売",1-$AG$3,1+$AG$3)&lt;=3000,1,IF($F186*IF($C186="売",1-$AG$3,1+$AG$3)&lt;=5000,5,IF($F186*IF($C186="売",1-$AG$3,1+$AG$3)&lt;=30000,10,IF($F186*IF($C186="売",1-$AG$3,1+$AG$3)&lt;=50000,50,IF($F186*IF($C186="売",1-$AG$3,1+$AG$3)&lt;=300000,100,500)))))),FLOOR($F186*IF($C186="売",1-$AG$3,1+$AG$3),IF($F186*IF($C186="売",1-$AG$3,1+$AG$3)&lt;=3000,1,IF($F186*IF($C186="売",1-$AG$3,1+$AG$3)&lt;=5000,5,IF($F186*IF($C186="売",1-$AG$3,1+$AG$3)&lt;=30000,10,IF($F186*IF($C186="売",1-$AG$3,1+$AG$3)&lt;=50000,50,IF($F186*IF($C186="売",1-$AG$3,1+$AG$3)&lt;=300000,100,500))))))))</f>
      </c>
      <c r="N186" s="598">
        <f>IF($F186="","",IF($C186="売",CEILING($F186*IF($C186="売",1+$AG$2,1-$AG$2),IF($F186*IF($C186="売",1+$AG$2,1-$AG$2)&lt;=3000,1,IF($F186*IF($C186="売",1+$AG$2,1-$AG$2)&lt;=5000,5,IF($F186*IF($C186="売",1+$AG$2,1-$AG$2)&lt;=30000,10,IF($F186*IF($C186="売",1+$AG$2,1-$AG$2)&lt;=50000,50,IF($F186*IF($C186="売",1+$AG$2,1-$AG$2)&lt;=300000,100,500)))))),FLOOR($F186*IF($C186="売",1+$AG$2,1-$AG$2),IF($F186*IF($C186="売",1+$AG$2,1-$AG$2)&lt;=3000,1,IF($F186*IF($C186="売",1+$AG$2,1-$AG$2)&lt;=5000,5,IF($F186*IF($C186="売",1+$AG$2,1-$AG$2)&lt;=30000,10,IF($F186*IF($C186="売",1+$AG$2,1-$AG$2)&lt;=50000,50,IF($F186*IF($C186="売",1+$AG$2,1-$AG$2)&lt;=300000,100,500))))))))</f>
      </c>
      <c r="O186" s="478">
        <f>IF(OR($B186="",$F186="",$H186=""),"",IF($S186="✅売却済","―決済済―",IF($C186="売",  IF($H186&lt;=$M186,"🟢利確",  IF(AND($R186&lt;&gt;"",$H186&gt;=$R186),"🟠TRAIL決済",  IF($H186&gt;=$N186,"🔴損切",  IF($W186&gt;=$AG$5,"⏱時間決済",  IF($H186&gt;=$F186*(1+$AG$2*0.7),"⚠️損切接近","保持継続"))))),  IF($H186&gt;=$M186,"🟢利確",  IF(AND($R186&lt;&gt;"",$H186&lt;=$R186),"🟠TRAIL決済",  IF($H186&lt;=$N186,"🔴損切",  IF($W186&gt;=$AG$5,"⏱時間決済",  IF($H186&lt;=$F186*(1-$AG$2*0.7),"⚠️損切接近","保持継続")))))))</f>
      </c>
      <c r="P186" s="445"/>
      <c r="Q186" s="445"/>
      <c r="R186" s="480">
        <f>IF(OR($F186="",$H186="",$N186=""),"",IF($S186="✅売却済","",IF($C186="売",  IF($H186&gt;$F186*(1-$AG$2),$N186,CEILING(MIN($N186,IF($Q186="",$N186,$Q186*1.03)),IF($N186&lt;=3000,1,IF($N186&lt;=5000,5,IF($N186&lt;=30000,10,IF($N186&lt;=50000,50,IF($N186&lt;=300000,100,500))))))),  IF($H186&lt;$F186*(1+$AG$2),$N186,FLOOR(MAX($N186,IF($P186="",$N186,$P186*0.97)),IF($N186&lt;=3000,1,IF($N186&lt;=5000,5,IF($N186&lt;=30000,10,IF($N186&lt;=50000,50,IF($N186&lt;=300000,100,500))))))))))</f>
      </c>
      <c r="S186" s="480" t="str">
        <f t="shared" si="72"/>
        <v/>
      </c>
      <c r="T186" s="596" t="str">
        <f t="shared" ca="1" si="61"/>
        <v/>
      </c>
      <c r="U186" s="598" t="str">
        <f t="shared" ca="1" si="62"/>
        <v/>
      </c>
      <c r="V186" s="703" t="str">
        <f t="shared" ca="1" si="73"/>
        <v/>
      </c>
      <c r="W186" s="480" t="str">
        <f t="shared" ca="1" si="63"/>
        <v/>
      </c>
      <c r="X186" s="480" t="str">
        <f t="shared" ca="1" si="64"/>
        <v/>
      </c>
      <c r="Y186" s="488">
        <f>IF($B186="","",IF(COUNTIFS($B$4:$B186,$B186,$C$4:$C186,$C186)&gt;1,"⛔重複"&amp;COUNTIFS($B$4:$B186,$B186,$C$4:$C186,$C186)&amp;"回目",""))</f>
      </c>
      <c r="Z186" s="710"/>
      <c r="AB186">
        <f>IF($F186="","",MAX(100,ROUNDDOWN($AG$4/($F186*$AG$2)/100,0)*100))</f>
      </c>
      <c r="AC186">
        <f>IF(OR($F186="",$G186="",$U186=""),"",ROUND($V186-($F186+$U186)*$G186*$AG$6-IF($C186="売",$F186*$G186*$AG$7*$W186/365,0),0))</f>
      </c>
      <c r="AD186" s="608"/>
      <c r="AE186" s="600" t="str">
        <f t="shared" si="65"/>
        <v/>
      </c>
      <c r="AF186" s="600"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00"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00" t="str">
        <f t="shared" ca="1" si="66"/>
        <v/>
      </c>
      <c r="AI186" s="600" t="str" cm="1">
        <f t="array" ref="AI186">IFERROR(INDEX(始値!$E$6:$BT$305,MATCH(TEXT($B186,"0"),TEXT(銘柄管理!$B$6:$B$305,"0"),0),MATCH($AE186,始値!$E$3:$BT$3,0)),"")</f>
        <v/>
      </c>
      <c r="AJ186" s="608" t="str">
        <f t="shared" ca="1" si="67"/>
        <v/>
      </c>
      <c r="AK186" s="600" t="str">
        <f t="shared" ca="1" si="68"/>
        <v/>
      </c>
    </row>
    <row r="187" spans="1:37" ht="17.25" customHeight="1">
      <c r="A187" s="621" t="str">
        <f t="shared" si="57"/>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BT$3,0)=1,1,MATCH($E187,始値!$E$3:$BT$3,0)+1)),_xlpm.v,INDEX(始値!$C$6:$B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 t="shared" ca="1" si="69"/>
        <v/>
      </c>
      <c r="L187" s="708" t="str">
        <f t="shared" ca="1" si="70"/>
        <v/>
      </c>
      <c r="M187" s="598">
        <f>IF($F187="","",IF($C187="売",CEILING($F187*IF($C187="売",1-$AG$3,1+$AG$3),IF($F187*IF($C187="売",1-$AG$3,1+$AG$3)&lt;=3000,1,IF($F187*IF($C187="売",1-$AG$3,1+$AG$3)&lt;=5000,5,IF($F187*IF($C187="売",1-$AG$3,1+$AG$3)&lt;=30000,10,IF($F187*IF($C187="売",1-$AG$3,1+$AG$3)&lt;=50000,50,IF($F187*IF($C187="売",1-$AG$3,1+$AG$3)&lt;=300000,100,500)))))),FLOOR($F187*IF($C187="売",1-$AG$3,1+$AG$3),IF($F187*IF($C187="売",1-$AG$3,1+$AG$3)&lt;=3000,1,IF($F187*IF($C187="売",1-$AG$3,1+$AG$3)&lt;=5000,5,IF($F187*IF($C187="売",1-$AG$3,1+$AG$3)&lt;=30000,10,IF($F187*IF($C187="売",1-$AG$3,1+$AG$3)&lt;=50000,50,IF($F187*IF($C187="売",1-$AG$3,1+$AG$3)&lt;=300000,100,500))))))))</f>
      </c>
      <c r="N187" s="598">
        <f>IF($F187="","",IF($C187="売",CEILING($F187*IF($C187="売",1+$AG$2,1-$AG$2),IF($F187*IF($C187="売",1+$AG$2,1-$AG$2)&lt;=3000,1,IF($F187*IF($C187="売",1+$AG$2,1-$AG$2)&lt;=5000,5,IF($F187*IF($C187="売",1+$AG$2,1-$AG$2)&lt;=30000,10,IF($F187*IF($C187="売",1+$AG$2,1-$AG$2)&lt;=50000,50,IF($F187*IF($C187="売",1+$AG$2,1-$AG$2)&lt;=300000,100,500)))))),FLOOR($F187*IF($C187="売",1+$AG$2,1-$AG$2),IF($F187*IF($C187="売",1+$AG$2,1-$AG$2)&lt;=3000,1,IF($F187*IF($C187="売",1+$AG$2,1-$AG$2)&lt;=5000,5,IF($F187*IF($C187="売",1+$AG$2,1-$AG$2)&lt;=30000,10,IF($F187*IF($C187="売",1+$AG$2,1-$AG$2)&lt;=50000,50,IF($F187*IF($C187="売",1+$AG$2,1-$AG$2)&lt;=300000,100,500))))))))</f>
      </c>
      <c r="O187" s="478">
        <f>IF(OR($B187="",$F187="",$H187=""),"",IF($S187="✅売却済","―決済済―",IF($C187="売",  IF($H187&lt;=$M187,"🟢利確",  IF(AND($R187&lt;&gt;"",$H187&gt;=$R187),"🟠TRAIL決済",  IF($H187&gt;=$N187,"🔴損切",  IF($W187&gt;=$AG$5,"⏱時間決済",  IF($H187&gt;=$F187*(1+$AG$2*0.7),"⚠️損切接近","保持継続"))))),  IF($H187&gt;=$M187,"🟢利確",  IF(AND($R187&lt;&gt;"",$H187&lt;=$R187),"🟠TRAIL決済",  IF($H187&lt;=$N187,"🔴損切",  IF($W187&gt;=$AG$5,"⏱時間決済",  IF($H187&lt;=$F187*(1-$AG$2*0.7),"⚠️損切接近","保持継続")))))))</f>
      </c>
      <c r="P187" s="445"/>
      <c r="Q187" s="445"/>
      <c r="R187" s="480">
        <f>IF(OR($F187="",$H187="",$N187=""),"",IF($S187="✅売却済","",IF($C187="売",  IF($H187&gt;$F187*(1-$AG$2),$N187,CEILING(MIN($N187,IF($Q187="",$N187,$Q187*1.03)),IF($N187&lt;=3000,1,IF($N187&lt;=5000,5,IF($N187&lt;=30000,10,IF($N187&lt;=50000,50,IF($N187&lt;=300000,100,500))))))),  IF($H187&lt;$F187*(1+$AG$2),$N187,FLOOR(MAX($N187,IF($P187="",$N187,$P187*0.97)),IF($N187&lt;=3000,1,IF($N187&lt;=5000,5,IF($N187&lt;=30000,10,IF($N187&lt;=50000,50,IF($N187&lt;=300000,100,500))))))))))</f>
      </c>
      <c r="S187" s="480" t="str">
        <f t="shared" si="72"/>
        <v/>
      </c>
      <c r="T187" s="596" t="str">
        <f t="shared" ca="1" si="61"/>
        <v/>
      </c>
      <c r="U187" s="598" t="str">
        <f t="shared" ca="1" si="62"/>
        <v/>
      </c>
      <c r="V187" s="703" t="str">
        <f t="shared" ca="1" si="73"/>
        <v/>
      </c>
      <c r="W187" s="480" t="str">
        <f t="shared" ca="1" si="63"/>
        <v/>
      </c>
      <c r="X187" s="480" t="str">
        <f t="shared" ca="1" si="64"/>
        <v/>
      </c>
      <c r="Y187" s="488">
        <f>IF($B187="","",IF(COUNTIFS($B$4:$B187,$B187,$C$4:$C187,$C187)&gt;1,"⛔重複"&amp;COUNTIFS($B$4:$B187,$B187,$C$4:$C187,$C187)&amp;"回目",""))</f>
      </c>
      <c r="Z187" s="710"/>
      <c r="AB187">
        <f>IF($F187="","",MAX(100,ROUNDDOWN($AG$4/($F187*$AG$2)/100,0)*100))</f>
      </c>
      <c r="AC187">
        <f>IF(OR($F187="",$G187="",$U187=""),"",ROUND($V187-($F187+$U187)*$G187*$AG$6-IF($C187="売",$F187*$G187*$AG$7*$W187/365,0),0))</f>
      </c>
      <c r="AD187" s="608"/>
      <c r="AE187" s="600" t="str">
        <f t="shared" si="65"/>
        <v/>
      </c>
      <c r="AF187" s="600"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00"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00" t="str">
        <f t="shared" ca="1" si="66"/>
        <v/>
      </c>
      <c r="AI187" s="600" t="str" cm="1">
        <f t="array" ref="AI187">IFERROR(INDEX(始値!$E$6:$BT$305,MATCH(TEXT($B187,"0"),TEXT(銘柄管理!$B$6:$B$305,"0"),0),MATCH($AE187,始値!$E$3:$BT$3,0)),"")</f>
        <v/>
      </c>
      <c r="AJ187" s="608" t="str">
        <f t="shared" ca="1" si="67"/>
        <v/>
      </c>
      <c r="AK187" s="600" t="str">
        <f t="shared" ca="1" si="68"/>
        <v/>
      </c>
    </row>
    <row r="188" spans="1:37" ht="17.25" customHeight="1">
      <c r="A188" s="621" t="str">
        <f t="shared" si="57"/>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BT$3,0)=1,1,MATCH($E188,始値!$E$3:$BT$3,0)+1)),_xlpm.v,INDEX(始値!$C$6:$B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 t="shared" ca="1" si="69"/>
        <v/>
      </c>
      <c r="L188" s="708" t="str">
        <f t="shared" ca="1" si="70"/>
        <v/>
      </c>
      <c r="M188" s="598">
        <f>IF($F188="","",IF($C188="売",CEILING($F188*IF($C188="売",1-$AG$3,1+$AG$3),IF($F188*IF($C188="売",1-$AG$3,1+$AG$3)&lt;=3000,1,IF($F188*IF($C188="売",1-$AG$3,1+$AG$3)&lt;=5000,5,IF($F188*IF($C188="売",1-$AG$3,1+$AG$3)&lt;=30000,10,IF($F188*IF($C188="売",1-$AG$3,1+$AG$3)&lt;=50000,50,IF($F188*IF($C188="売",1-$AG$3,1+$AG$3)&lt;=300000,100,500)))))),FLOOR($F188*IF($C188="売",1-$AG$3,1+$AG$3),IF($F188*IF($C188="売",1-$AG$3,1+$AG$3)&lt;=3000,1,IF($F188*IF($C188="売",1-$AG$3,1+$AG$3)&lt;=5000,5,IF($F188*IF($C188="売",1-$AG$3,1+$AG$3)&lt;=30000,10,IF($F188*IF($C188="売",1-$AG$3,1+$AG$3)&lt;=50000,50,IF($F188*IF($C188="売",1-$AG$3,1+$AG$3)&lt;=300000,100,500))))))))</f>
      </c>
      <c r="N188" s="598">
        <f>IF($F188="","",IF($C188="売",CEILING($F188*IF($C188="売",1+$AG$2,1-$AG$2),IF($F188*IF($C188="売",1+$AG$2,1-$AG$2)&lt;=3000,1,IF($F188*IF($C188="売",1+$AG$2,1-$AG$2)&lt;=5000,5,IF($F188*IF($C188="売",1+$AG$2,1-$AG$2)&lt;=30000,10,IF($F188*IF($C188="売",1+$AG$2,1-$AG$2)&lt;=50000,50,IF($F188*IF($C188="売",1+$AG$2,1-$AG$2)&lt;=300000,100,500)))))),FLOOR($F188*IF($C188="売",1+$AG$2,1-$AG$2),IF($F188*IF($C188="売",1+$AG$2,1-$AG$2)&lt;=3000,1,IF($F188*IF($C188="売",1+$AG$2,1-$AG$2)&lt;=5000,5,IF($F188*IF($C188="売",1+$AG$2,1-$AG$2)&lt;=30000,10,IF($F188*IF($C188="売",1+$AG$2,1-$AG$2)&lt;=50000,50,IF($F188*IF($C188="売",1+$AG$2,1-$AG$2)&lt;=300000,100,500))))))))</f>
      </c>
      <c r="O188" s="478">
        <f>IF(OR($B188="",$F188="",$H188=""),"",IF($S188="✅売却済","―決済済―",IF($C188="売",  IF($H188&lt;=$M188,"🟢利確",  IF(AND($R188&lt;&gt;"",$H188&gt;=$R188),"🟠TRAIL決済",  IF($H188&gt;=$N188,"🔴損切",  IF($W188&gt;=$AG$5,"⏱時間決済",  IF($H188&gt;=$F188*(1+$AG$2*0.7),"⚠️損切接近","保持継続"))))),  IF($H188&gt;=$M188,"🟢利確",  IF(AND($R188&lt;&gt;"",$H188&lt;=$R188),"🟠TRAIL決済",  IF($H188&lt;=$N188,"🔴損切",  IF($W188&gt;=$AG$5,"⏱時間決済",  IF($H188&lt;=$F188*(1-$AG$2*0.7),"⚠️損切接近","保持継続")))))))</f>
      </c>
      <c r="P188" s="445"/>
      <c r="Q188" s="445"/>
      <c r="R188" s="480">
        <f>IF(OR($F188="",$H188="",$N188=""),"",IF($S188="✅売却済","",IF($C188="売",  IF($H188&gt;$F188*(1-$AG$2),$N188,CEILING(MIN($N188,IF($Q188="",$N188,$Q188*1.03)),IF($N188&lt;=3000,1,IF($N188&lt;=5000,5,IF($N188&lt;=30000,10,IF($N188&lt;=50000,50,IF($N188&lt;=300000,100,500))))))),  IF($H188&lt;$F188*(1+$AG$2),$N188,FLOOR(MAX($N188,IF($P188="",$N188,$P188*0.97)),IF($N188&lt;=3000,1,IF($N188&lt;=5000,5,IF($N188&lt;=30000,10,IF($N188&lt;=50000,50,IF($N188&lt;=300000,100,500))))))))))</f>
      </c>
      <c r="S188" s="480" t="str">
        <f t="shared" si="72"/>
        <v/>
      </c>
      <c r="T188" s="596" t="str">
        <f t="shared" ca="1" si="61"/>
        <v/>
      </c>
      <c r="U188" s="598" t="str">
        <f t="shared" ca="1" si="62"/>
        <v/>
      </c>
      <c r="V188" s="703" t="str">
        <f t="shared" ca="1" si="73"/>
        <v/>
      </c>
      <c r="W188" s="480" t="str">
        <f t="shared" ca="1" si="63"/>
        <v/>
      </c>
      <c r="X188" s="480" t="str">
        <f t="shared" ca="1" si="64"/>
        <v/>
      </c>
      <c r="Y188" s="488">
        <f>IF($B188="","",IF(COUNTIFS($B$4:$B188,$B188,$C$4:$C188,$C188)&gt;1,"⛔重複"&amp;COUNTIFS($B$4:$B188,$B188,$C$4:$C188,$C188)&amp;"回目",""))</f>
      </c>
      <c r="Z188" s="710"/>
      <c r="AB188">
        <f>IF($F188="","",MAX(100,ROUNDDOWN($AG$4/($F188*$AG$2)/100,0)*100))</f>
      </c>
      <c r="AC188">
        <f>IF(OR($F188="",$G188="",$U188=""),"",ROUND($V188-($F188+$U188)*$G188*$AG$6-IF($C188="売",$F188*$G188*$AG$7*$W188/365,0),0))</f>
      </c>
      <c r="AD188" s="608"/>
      <c r="AE188" s="600" t="str">
        <f t="shared" si="65"/>
        <v/>
      </c>
      <c r="AF188" s="600"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00"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00" t="str">
        <f t="shared" ca="1" si="66"/>
        <v/>
      </c>
      <c r="AI188" s="600" t="str" cm="1">
        <f t="array" ref="AI188">IFERROR(INDEX(始値!$E$6:$BT$305,MATCH(TEXT($B188,"0"),TEXT(銘柄管理!$B$6:$B$305,"0"),0),MATCH($AE188,始値!$E$3:$BT$3,0)),"")</f>
        <v/>
      </c>
      <c r="AJ188" s="608" t="str">
        <f t="shared" ca="1" si="67"/>
        <v/>
      </c>
      <c r="AK188" s="600" t="str">
        <f t="shared" ca="1" si="68"/>
        <v/>
      </c>
    </row>
    <row r="189" spans="1:37" ht="17.25" customHeight="1">
      <c r="A189" s="621" t="str">
        <f t="shared" si="57"/>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BT$3,0)=1,1,MATCH($E189,始値!$E$3:$BT$3,0)+1)),_xlpm.v,INDEX(始値!$C$6:$B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 t="shared" ca="1" si="69"/>
        <v/>
      </c>
      <c r="L189" s="708" t="str">
        <f t="shared" ca="1" si="70"/>
        <v/>
      </c>
      <c r="M189" s="598">
        <f>IF($F189="","",IF($C189="売",CEILING($F189*IF($C189="売",1-$AG$3,1+$AG$3),IF($F189*IF($C189="売",1-$AG$3,1+$AG$3)&lt;=3000,1,IF($F189*IF($C189="売",1-$AG$3,1+$AG$3)&lt;=5000,5,IF($F189*IF($C189="売",1-$AG$3,1+$AG$3)&lt;=30000,10,IF($F189*IF($C189="売",1-$AG$3,1+$AG$3)&lt;=50000,50,IF($F189*IF($C189="売",1-$AG$3,1+$AG$3)&lt;=300000,100,500)))))),FLOOR($F189*IF($C189="売",1-$AG$3,1+$AG$3),IF($F189*IF($C189="売",1-$AG$3,1+$AG$3)&lt;=3000,1,IF($F189*IF($C189="売",1-$AG$3,1+$AG$3)&lt;=5000,5,IF($F189*IF($C189="売",1-$AG$3,1+$AG$3)&lt;=30000,10,IF($F189*IF($C189="売",1-$AG$3,1+$AG$3)&lt;=50000,50,IF($F189*IF($C189="売",1-$AG$3,1+$AG$3)&lt;=300000,100,500))))))))</f>
      </c>
      <c r="N189" s="598">
        <f>IF($F189="","",IF($C189="売",CEILING($F189*IF($C189="売",1+$AG$2,1-$AG$2),IF($F189*IF($C189="売",1+$AG$2,1-$AG$2)&lt;=3000,1,IF($F189*IF($C189="売",1+$AG$2,1-$AG$2)&lt;=5000,5,IF($F189*IF($C189="売",1+$AG$2,1-$AG$2)&lt;=30000,10,IF($F189*IF($C189="売",1+$AG$2,1-$AG$2)&lt;=50000,50,IF($F189*IF($C189="売",1+$AG$2,1-$AG$2)&lt;=300000,100,500)))))),FLOOR($F189*IF($C189="売",1+$AG$2,1-$AG$2),IF($F189*IF($C189="売",1+$AG$2,1-$AG$2)&lt;=3000,1,IF($F189*IF($C189="売",1+$AG$2,1-$AG$2)&lt;=5000,5,IF($F189*IF($C189="売",1+$AG$2,1-$AG$2)&lt;=30000,10,IF($F189*IF($C189="売",1+$AG$2,1-$AG$2)&lt;=50000,50,IF($F189*IF($C189="売",1+$AG$2,1-$AG$2)&lt;=300000,100,500))))))))</f>
      </c>
      <c r="O189" s="478">
        <f>IF(OR($B189="",$F189="",$H189=""),"",IF($S189="✅売却済","―決済済―",IF($C189="売",  IF($H189&lt;=$M189,"🟢利確",  IF(AND($R189&lt;&gt;"",$H189&gt;=$R189),"🟠TRAIL決済",  IF($H189&gt;=$N189,"🔴損切",  IF($W189&gt;=$AG$5,"⏱時間決済",  IF($H189&gt;=$F189*(1+$AG$2*0.7),"⚠️損切接近","保持継続"))))),  IF($H189&gt;=$M189,"🟢利確",  IF(AND($R189&lt;&gt;"",$H189&lt;=$R189),"🟠TRAIL決済",  IF($H189&lt;=$N189,"🔴損切",  IF($W189&gt;=$AG$5,"⏱時間決済",  IF($H189&lt;=$F189*(1-$AG$2*0.7),"⚠️損切接近","保持継続")))))))</f>
      </c>
      <c r="P189" s="445"/>
      <c r="Q189" s="445"/>
      <c r="R189" s="480">
        <f>IF(OR($F189="",$H189="",$N189=""),"",IF($S189="✅売却済","",IF($C189="売",  IF($H189&gt;$F189*(1-$AG$2),$N189,CEILING(MIN($N189,IF($Q189="",$N189,$Q189*1.03)),IF($N189&lt;=3000,1,IF($N189&lt;=5000,5,IF($N189&lt;=30000,10,IF($N189&lt;=50000,50,IF($N189&lt;=300000,100,500))))))),  IF($H189&lt;$F189*(1+$AG$2),$N189,FLOOR(MAX($N189,IF($P189="",$N189,$P189*0.97)),IF($N189&lt;=3000,1,IF($N189&lt;=5000,5,IF($N189&lt;=30000,10,IF($N189&lt;=50000,50,IF($N189&lt;=300000,100,500))))))))))</f>
      </c>
      <c r="S189" s="480" t="str">
        <f t="shared" si="72"/>
        <v/>
      </c>
      <c r="T189" s="596" t="str">
        <f t="shared" ca="1" si="61"/>
        <v/>
      </c>
      <c r="U189" s="598" t="str">
        <f t="shared" ca="1" si="62"/>
        <v/>
      </c>
      <c r="V189" s="703" t="str">
        <f t="shared" ca="1" si="73"/>
        <v/>
      </c>
      <c r="W189" s="480" t="str">
        <f t="shared" ca="1" si="63"/>
        <v/>
      </c>
      <c r="X189" s="480" t="str">
        <f t="shared" ca="1" si="64"/>
        <v/>
      </c>
      <c r="Y189" s="488">
        <f>IF($B189="","",IF(COUNTIFS($B$4:$B189,$B189,$C$4:$C189,$C189)&gt;1,"⛔重複"&amp;COUNTIFS($B$4:$B189,$B189,$C$4:$C189,$C189)&amp;"回目",""))</f>
      </c>
      <c r="Z189" s="710"/>
      <c r="AB189">
        <f>IF($F189="","",MAX(100,ROUNDDOWN($AG$4/($F189*$AG$2)/100,0)*100))</f>
      </c>
      <c r="AC189">
        <f>IF(OR($F189="",$G189="",$U189=""),"",ROUND($V189-($F189+$U189)*$G189*$AG$6-IF($C189="売",$F189*$G189*$AG$7*$W189/365,0),0))</f>
      </c>
      <c r="AD189" s="608"/>
      <c r="AE189" s="600" t="str">
        <f t="shared" si="65"/>
        <v/>
      </c>
      <c r="AF189" s="600"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00"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00" t="str">
        <f t="shared" ca="1" si="66"/>
        <v/>
      </c>
      <c r="AI189" s="600" t="str" cm="1">
        <f t="array" ref="AI189">IFERROR(INDEX(始値!$E$6:$BT$305,MATCH(TEXT($B189,"0"),TEXT(銘柄管理!$B$6:$B$305,"0"),0),MATCH($AE189,始値!$E$3:$BT$3,0)),"")</f>
        <v/>
      </c>
      <c r="AJ189" s="608" t="str">
        <f t="shared" ca="1" si="67"/>
        <v/>
      </c>
      <c r="AK189" s="600" t="str">
        <f t="shared" ca="1" si="68"/>
        <v/>
      </c>
    </row>
    <row r="190" spans="1:37" ht="17.25" customHeight="1">
      <c r="A190" s="621" t="str">
        <f t="shared" si="57"/>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BT$3,0)=1,1,MATCH($E190,始値!$E$3:$BT$3,0)+1)),_xlpm.v,INDEX(始値!$C$6:$B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 t="shared" ca="1" si="69"/>
        <v/>
      </c>
      <c r="L190" s="708" t="str">
        <f t="shared" ca="1" si="70"/>
        <v/>
      </c>
      <c r="M190" s="598">
        <f>IF($F190="","",IF($C190="売",CEILING($F190*IF($C190="売",1-$AG$3,1+$AG$3),IF($F190*IF($C190="売",1-$AG$3,1+$AG$3)&lt;=3000,1,IF($F190*IF($C190="売",1-$AG$3,1+$AG$3)&lt;=5000,5,IF($F190*IF($C190="売",1-$AG$3,1+$AG$3)&lt;=30000,10,IF($F190*IF($C190="売",1-$AG$3,1+$AG$3)&lt;=50000,50,IF($F190*IF($C190="売",1-$AG$3,1+$AG$3)&lt;=300000,100,500)))))),FLOOR($F190*IF($C190="売",1-$AG$3,1+$AG$3),IF($F190*IF($C190="売",1-$AG$3,1+$AG$3)&lt;=3000,1,IF($F190*IF($C190="売",1-$AG$3,1+$AG$3)&lt;=5000,5,IF($F190*IF($C190="売",1-$AG$3,1+$AG$3)&lt;=30000,10,IF($F190*IF($C190="売",1-$AG$3,1+$AG$3)&lt;=50000,50,IF($F190*IF($C190="売",1-$AG$3,1+$AG$3)&lt;=300000,100,500))))))))</f>
      </c>
      <c r="N190" s="598">
        <f>IF($F190="","",IF($C190="売",CEILING($F190*IF($C190="売",1+$AG$2,1-$AG$2),IF($F190*IF($C190="売",1+$AG$2,1-$AG$2)&lt;=3000,1,IF($F190*IF($C190="売",1+$AG$2,1-$AG$2)&lt;=5000,5,IF($F190*IF($C190="売",1+$AG$2,1-$AG$2)&lt;=30000,10,IF($F190*IF($C190="売",1+$AG$2,1-$AG$2)&lt;=50000,50,IF($F190*IF($C190="売",1+$AG$2,1-$AG$2)&lt;=300000,100,500)))))),FLOOR($F190*IF($C190="売",1+$AG$2,1-$AG$2),IF($F190*IF($C190="売",1+$AG$2,1-$AG$2)&lt;=3000,1,IF($F190*IF($C190="売",1+$AG$2,1-$AG$2)&lt;=5000,5,IF($F190*IF($C190="売",1+$AG$2,1-$AG$2)&lt;=30000,10,IF($F190*IF($C190="売",1+$AG$2,1-$AG$2)&lt;=50000,50,IF($F190*IF($C190="売",1+$AG$2,1-$AG$2)&lt;=300000,100,500))))))))</f>
      </c>
      <c r="O190" s="478">
        <f>IF(OR($B190="",$F190="",$H190=""),"",IF($S190="✅売却済","―決済済―",IF($C190="売",  IF($H190&lt;=$M190,"🟢利確",  IF(AND($R190&lt;&gt;"",$H190&gt;=$R190),"🟠TRAIL決済",  IF($H190&gt;=$N190,"🔴損切",  IF($W190&gt;=$AG$5,"⏱時間決済",  IF($H190&gt;=$F190*(1+$AG$2*0.7),"⚠️損切接近","保持継続"))))),  IF($H190&gt;=$M190,"🟢利確",  IF(AND($R190&lt;&gt;"",$H190&lt;=$R190),"🟠TRAIL決済",  IF($H190&lt;=$N190,"🔴損切",  IF($W190&gt;=$AG$5,"⏱時間決済",  IF($H190&lt;=$F190*(1-$AG$2*0.7),"⚠️損切接近","保持継続")))))))</f>
      </c>
      <c r="P190" s="445"/>
      <c r="Q190" s="445"/>
      <c r="R190" s="480">
        <f>IF(OR($F190="",$H190="",$N190=""),"",IF($S190="✅売却済","",IF($C190="売",  IF($H190&gt;$F190*(1-$AG$2),$N190,CEILING(MIN($N190,IF($Q190="",$N190,$Q190*1.03)),IF($N190&lt;=3000,1,IF($N190&lt;=5000,5,IF($N190&lt;=30000,10,IF($N190&lt;=50000,50,IF($N190&lt;=300000,100,500))))))),  IF($H190&lt;$F190*(1+$AG$2),$N190,FLOOR(MAX($N190,IF($P190="",$N190,$P190*0.97)),IF($N190&lt;=3000,1,IF($N190&lt;=5000,5,IF($N190&lt;=30000,10,IF($N190&lt;=50000,50,IF($N190&lt;=300000,100,500))))))))))</f>
      </c>
      <c r="S190" s="480" t="str">
        <f t="shared" si="72"/>
        <v/>
      </c>
      <c r="T190" s="596" t="str">
        <f t="shared" ca="1" si="61"/>
        <v/>
      </c>
      <c r="U190" s="598" t="str">
        <f t="shared" ca="1" si="62"/>
        <v/>
      </c>
      <c r="V190" s="703" t="str">
        <f t="shared" ca="1" si="73"/>
        <v/>
      </c>
      <c r="W190" s="480" t="str">
        <f t="shared" ca="1" si="63"/>
        <v/>
      </c>
      <c r="X190" s="480" t="str">
        <f t="shared" ca="1" si="64"/>
        <v/>
      </c>
      <c r="Y190" s="488">
        <f>IF($B190="","",IF(COUNTIFS($B$4:$B190,$B190,$C$4:$C190,$C190)&gt;1,"⛔重複"&amp;COUNTIFS($B$4:$B190,$B190,$C$4:$C190,$C190)&amp;"回目",""))</f>
      </c>
      <c r="Z190" s="710"/>
      <c r="AB190">
        <f>IF($F190="","",MAX(100,ROUNDDOWN($AG$4/($F190*$AG$2)/100,0)*100))</f>
      </c>
      <c r="AC190">
        <f>IF(OR($F190="",$G190="",$U190=""),"",ROUND($V190-($F190+$U190)*$G190*$AG$6-IF($C190="売",$F190*$G190*$AG$7*$W190/365,0),0))</f>
      </c>
      <c r="AD190" s="608"/>
      <c r="AE190" s="600" t="str">
        <f t="shared" si="65"/>
        <v/>
      </c>
      <c r="AF190" s="600"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00"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00" t="str">
        <f t="shared" ca="1" si="66"/>
        <v/>
      </c>
      <c r="AI190" s="600" t="str" cm="1">
        <f t="array" ref="AI190">IFERROR(INDEX(始値!$E$6:$BT$305,MATCH(TEXT($B190,"0"),TEXT(銘柄管理!$B$6:$B$305,"0"),0),MATCH($AE190,始値!$E$3:$BT$3,0)),"")</f>
        <v/>
      </c>
      <c r="AJ190" s="608" t="str">
        <f t="shared" ca="1" si="67"/>
        <v/>
      </c>
      <c r="AK190" s="600" t="str">
        <f t="shared" ca="1" si="68"/>
        <v/>
      </c>
    </row>
    <row r="191" spans="1:37" ht="17.25" customHeight="1">
      <c r="A191" s="621" t="str">
        <f t="shared" si="57"/>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BT$3,0)=1,1,MATCH($E191,始値!$E$3:$BT$3,0)+1)),_xlpm.v,INDEX(始値!$C$6:$B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 t="shared" ca="1" si="69"/>
        <v/>
      </c>
      <c r="L191" s="708" t="str">
        <f t="shared" ca="1" si="70"/>
        <v/>
      </c>
      <c r="M191" s="598">
        <f>IF($F191="","",IF($C191="売",CEILING($F191*IF($C191="売",1-$AG$3,1+$AG$3),IF($F191*IF($C191="売",1-$AG$3,1+$AG$3)&lt;=3000,1,IF($F191*IF($C191="売",1-$AG$3,1+$AG$3)&lt;=5000,5,IF($F191*IF($C191="売",1-$AG$3,1+$AG$3)&lt;=30000,10,IF($F191*IF($C191="売",1-$AG$3,1+$AG$3)&lt;=50000,50,IF($F191*IF($C191="売",1-$AG$3,1+$AG$3)&lt;=300000,100,500)))))),FLOOR($F191*IF($C191="売",1-$AG$3,1+$AG$3),IF($F191*IF($C191="売",1-$AG$3,1+$AG$3)&lt;=3000,1,IF($F191*IF($C191="売",1-$AG$3,1+$AG$3)&lt;=5000,5,IF($F191*IF($C191="売",1-$AG$3,1+$AG$3)&lt;=30000,10,IF($F191*IF($C191="売",1-$AG$3,1+$AG$3)&lt;=50000,50,IF($F191*IF($C191="売",1-$AG$3,1+$AG$3)&lt;=300000,100,500))))))))</f>
      </c>
      <c r="N191" s="598">
        <f>IF($F191="","",IF($C191="売",CEILING($F191*IF($C191="売",1+$AG$2,1-$AG$2),IF($F191*IF($C191="売",1+$AG$2,1-$AG$2)&lt;=3000,1,IF($F191*IF($C191="売",1+$AG$2,1-$AG$2)&lt;=5000,5,IF($F191*IF($C191="売",1+$AG$2,1-$AG$2)&lt;=30000,10,IF($F191*IF($C191="売",1+$AG$2,1-$AG$2)&lt;=50000,50,IF($F191*IF($C191="売",1+$AG$2,1-$AG$2)&lt;=300000,100,500)))))),FLOOR($F191*IF($C191="売",1+$AG$2,1-$AG$2),IF($F191*IF($C191="売",1+$AG$2,1-$AG$2)&lt;=3000,1,IF($F191*IF($C191="売",1+$AG$2,1-$AG$2)&lt;=5000,5,IF($F191*IF($C191="売",1+$AG$2,1-$AG$2)&lt;=30000,10,IF($F191*IF($C191="売",1+$AG$2,1-$AG$2)&lt;=50000,50,IF($F191*IF($C191="売",1+$AG$2,1-$AG$2)&lt;=300000,100,500))))))))</f>
      </c>
      <c r="O191" s="478">
        <f>IF(OR($B191="",$F191="",$H191=""),"",IF($S191="✅売却済","―決済済―",IF($C191="売",  IF($H191&lt;=$M191,"🟢利確",  IF(AND($R191&lt;&gt;"",$H191&gt;=$R191),"🟠TRAIL決済",  IF($H191&gt;=$N191,"🔴損切",  IF($W191&gt;=$AG$5,"⏱時間決済",  IF($H191&gt;=$F191*(1+$AG$2*0.7),"⚠️損切接近","保持継続"))))),  IF($H191&gt;=$M191,"🟢利確",  IF(AND($R191&lt;&gt;"",$H191&lt;=$R191),"🟠TRAIL決済",  IF($H191&lt;=$N191,"🔴損切",  IF($W191&gt;=$AG$5,"⏱時間決済",  IF($H191&lt;=$F191*(1-$AG$2*0.7),"⚠️損切接近","保持継続")))))))</f>
      </c>
      <c r="P191" s="445"/>
      <c r="Q191" s="445"/>
      <c r="R191" s="480">
        <f>IF(OR($F191="",$H191="",$N191=""),"",IF($S191="✅売却済","",IF($C191="売",  IF($H191&gt;$F191*(1-$AG$2),$N191,CEILING(MIN($N191,IF($Q191="",$N191,$Q191*1.03)),IF($N191&lt;=3000,1,IF($N191&lt;=5000,5,IF($N191&lt;=30000,10,IF($N191&lt;=50000,50,IF($N191&lt;=300000,100,500))))))),  IF($H191&lt;$F191*(1+$AG$2),$N191,FLOOR(MAX($N191,IF($P191="",$N191,$P191*0.97)),IF($N191&lt;=3000,1,IF($N191&lt;=5000,5,IF($N191&lt;=30000,10,IF($N191&lt;=50000,50,IF($N191&lt;=300000,100,500))))))))))</f>
      </c>
      <c r="S191" s="480" t="str">
        <f t="shared" si="72"/>
        <v/>
      </c>
      <c r="T191" s="596" t="str">
        <f t="shared" ca="1" si="61"/>
        <v/>
      </c>
      <c r="U191" s="598" t="str">
        <f t="shared" ca="1" si="62"/>
        <v/>
      </c>
      <c r="V191" s="703" t="str">
        <f t="shared" ca="1" si="73"/>
        <v/>
      </c>
      <c r="W191" s="480" t="str">
        <f t="shared" ca="1" si="63"/>
        <v/>
      </c>
      <c r="X191" s="480" t="str">
        <f t="shared" ca="1" si="64"/>
        <v/>
      </c>
      <c r="Y191" s="488">
        <f>IF($B191="","",IF(COUNTIFS($B$4:$B191,$B191,$C$4:$C191,$C191)&gt;1,"⛔重複"&amp;COUNTIFS($B$4:$B191,$B191,$C$4:$C191,$C191)&amp;"回目",""))</f>
      </c>
      <c r="Z191" s="710"/>
      <c r="AB191">
        <f>IF($F191="","",MAX(100,ROUNDDOWN($AG$4/($F191*$AG$2)/100,0)*100))</f>
      </c>
      <c r="AC191">
        <f>IF(OR($F191="",$G191="",$U191=""),"",ROUND($V191-($F191+$U191)*$G191*$AG$6-IF($C191="売",$F191*$G191*$AG$7*$W191/365,0),0))</f>
      </c>
      <c r="AD191" s="608"/>
      <c r="AE191" s="600" t="str">
        <f t="shared" si="65"/>
        <v/>
      </c>
      <c r="AF191" s="600"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00"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00" t="str">
        <f t="shared" ca="1" si="66"/>
        <v/>
      </c>
      <c r="AI191" s="600" t="str" cm="1">
        <f t="array" ref="AI191">IFERROR(INDEX(始値!$E$6:$BT$305,MATCH(TEXT($B191,"0"),TEXT(銘柄管理!$B$6:$B$305,"0"),0),MATCH($AE191,始値!$E$3:$BT$3,0)),"")</f>
        <v/>
      </c>
      <c r="AJ191" s="608" t="str">
        <f t="shared" ca="1" si="67"/>
        <v/>
      </c>
      <c r="AK191" s="600" t="str">
        <f t="shared" ca="1" si="68"/>
        <v/>
      </c>
    </row>
    <row r="192" spans="1:37" ht="17.25" customHeight="1">
      <c r="A192" s="621" t="str">
        <f t="shared" si="57"/>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BT$3,0)=1,1,MATCH($E192,始値!$E$3:$BT$3,0)+1)),_xlpm.v,INDEX(始値!$C$6:$B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 t="shared" ca="1" si="69"/>
        <v/>
      </c>
      <c r="L192" s="708" t="str">
        <f t="shared" ca="1" si="70"/>
        <v/>
      </c>
      <c r="M192" s="598">
        <f>IF($F192="","",IF($C192="売",CEILING($F192*IF($C192="売",1-$AG$3,1+$AG$3),IF($F192*IF($C192="売",1-$AG$3,1+$AG$3)&lt;=3000,1,IF($F192*IF($C192="売",1-$AG$3,1+$AG$3)&lt;=5000,5,IF($F192*IF($C192="売",1-$AG$3,1+$AG$3)&lt;=30000,10,IF($F192*IF($C192="売",1-$AG$3,1+$AG$3)&lt;=50000,50,IF($F192*IF($C192="売",1-$AG$3,1+$AG$3)&lt;=300000,100,500)))))),FLOOR($F192*IF($C192="売",1-$AG$3,1+$AG$3),IF($F192*IF($C192="売",1-$AG$3,1+$AG$3)&lt;=3000,1,IF($F192*IF($C192="売",1-$AG$3,1+$AG$3)&lt;=5000,5,IF($F192*IF($C192="売",1-$AG$3,1+$AG$3)&lt;=30000,10,IF($F192*IF($C192="売",1-$AG$3,1+$AG$3)&lt;=50000,50,IF($F192*IF($C192="売",1-$AG$3,1+$AG$3)&lt;=300000,100,500))))))))</f>
      </c>
      <c r="N192" s="598">
        <f>IF($F192="","",IF($C192="売",CEILING($F192*IF($C192="売",1+$AG$2,1-$AG$2),IF($F192*IF($C192="売",1+$AG$2,1-$AG$2)&lt;=3000,1,IF($F192*IF($C192="売",1+$AG$2,1-$AG$2)&lt;=5000,5,IF($F192*IF($C192="売",1+$AG$2,1-$AG$2)&lt;=30000,10,IF($F192*IF($C192="売",1+$AG$2,1-$AG$2)&lt;=50000,50,IF($F192*IF($C192="売",1+$AG$2,1-$AG$2)&lt;=300000,100,500)))))),FLOOR($F192*IF($C192="売",1+$AG$2,1-$AG$2),IF($F192*IF($C192="売",1+$AG$2,1-$AG$2)&lt;=3000,1,IF($F192*IF($C192="売",1+$AG$2,1-$AG$2)&lt;=5000,5,IF($F192*IF($C192="売",1+$AG$2,1-$AG$2)&lt;=30000,10,IF($F192*IF($C192="売",1+$AG$2,1-$AG$2)&lt;=50000,50,IF($F192*IF($C192="売",1+$AG$2,1-$AG$2)&lt;=300000,100,500))))))))</f>
      </c>
      <c r="O192" s="478">
        <f>IF(OR($B192="",$F192="",$H192=""),"",IF($S192="✅売却済","―決済済―",IF($C192="売",  IF($H192&lt;=$M192,"🟢利確",  IF(AND($R192&lt;&gt;"",$H192&gt;=$R192),"🟠TRAIL決済",  IF($H192&gt;=$N192,"🔴損切",  IF($W192&gt;=$AG$5,"⏱時間決済",  IF($H192&gt;=$F192*(1+$AG$2*0.7),"⚠️損切接近","保持継続"))))),  IF($H192&gt;=$M192,"🟢利確",  IF(AND($R192&lt;&gt;"",$H192&lt;=$R192),"🟠TRAIL決済",  IF($H192&lt;=$N192,"🔴損切",  IF($W192&gt;=$AG$5,"⏱時間決済",  IF($H192&lt;=$F192*(1-$AG$2*0.7),"⚠️損切接近","保持継続")))))))</f>
      </c>
      <c r="P192" s="445"/>
      <c r="Q192" s="445"/>
      <c r="R192" s="480">
        <f>IF(OR($F192="",$H192="",$N192=""),"",IF($S192="✅売却済","",IF($C192="売",  IF($H192&gt;$F192*(1-$AG$2),$N192,CEILING(MIN($N192,IF($Q192="",$N192,$Q192*1.03)),IF($N192&lt;=3000,1,IF($N192&lt;=5000,5,IF($N192&lt;=30000,10,IF($N192&lt;=50000,50,IF($N192&lt;=300000,100,500))))))),  IF($H192&lt;$F192*(1+$AG$2),$N192,FLOOR(MAX($N192,IF($P192="",$N192,$P192*0.97)),IF($N192&lt;=3000,1,IF($N192&lt;=5000,5,IF($N192&lt;=30000,10,IF($N192&lt;=50000,50,IF($N192&lt;=300000,100,500))))))))))</f>
      </c>
      <c r="S192" s="480" t="str">
        <f t="shared" si="72"/>
        <v/>
      </c>
      <c r="T192" s="596" t="str">
        <f t="shared" ca="1" si="61"/>
        <v/>
      </c>
      <c r="U192" s="598" t="str">
        <f t="shared" ca="1" si="62"/>
        <v/>
      </c>
      <c r="V192" s="703" t="str">
        <f t="shared" ca="1" si="73"/>
        <v/>
      </c>
      <c r="W192" s="480" t="str">
        <f t="shared" ca="1" si="63"/>
        <v/>
      </c>
      <c r="X192" s="480" t="str">
        <f t="shared" ca="1" si="64"/>
        <v/>
      </c>
      <c r="Y192" s="488">
        <f>IF($B192="","",IF(COUNTIFS($B$4:$B192,$B192,$C$4:$C192,$C192)&gt;1,"⛔重複"&amp;COUNTIFS($B$4:$B192,$B192,$C$4:$C192,$C192)&amp;"回目",""))</f>
      </c>
      <c r="Z192" s="710"/>
      <c r="AB192">
        <f>IF($F192="","",MAX(100,ROUNDDOWN($AG$4/($F192*$AG$2)/100,0)*100))</f>
      </c>
      <c r="AC192">
        <f>IF(OR($F192="",$G192="",$U192=""),"",ROUND($V192-($F192+$U192)*$G192*$AG$6-IF($C192="売",$F192*$G192*$AG$7*$W192/365,0),0))</f>
      </c>
      <c r="AD192" s="608"/>
      <c r="AE192" s="600" t="str">
        <f t="shared" si="65"/>
        <v/>
      </c>
      <c r="AF192" s="600"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00"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00" t="str">
        <f t="shared" ca="1" si="66"/>
        <v/>
      </c>
      <c r="AI192" s="600" t="str" cm="1">
        <f t="array" ref="AI192">IFERROR(INDEX(始値!$E$6:$BT$305,MATCH(TEXT($B192,"0"),TEXT(銘柄管理!$B$6:$B$305,"0"),0),MATCH($AE192,始値!$E$3:$BT$3,0)),"")</f>
        <v/>
      </c>
      <c r="AJ192" s="608" t="str">
        <f t="shared" ca="1" si="67"/>
        <v/>
      </c>
      <c r="AK192" s="600" t="str">
        <f t="shared" ca="1" si="68"/>
        <v/>
      </c>
    </row>
    <row r="193" spans="1:37" ht="17.25" customHeight="1">
      <c r="A193" s="621" t="str">
        <f t="shared" si="57"/>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BT$3,0)=1,1,MATCH($E193,始値!$E$3:$BT$3,0)+1)),_xlpm.v,INDEX(始値!$C$6:$B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 t="shared" ca="1" si="69"/>
        <v/>
      </c>
      <c r="L193" s="708" t="str">
        <f t="shared" ca="1" si="70"/>
        <v/>
      </c>
      <c r="M193" s="598">
        <f>IF($F193="","",IF($C193="売",CEILING($F193*IF($C193="売",1-$AG$3,1+$AG$3),IF($F193*IF($C193="売",1-$AG$3,1+$AG$3)&lt;=3000,1,IF($F193*IF($C193="売",1-$AG$3,1+$AG$3)&lt;=5000,5,IF($F193*IF($C193="売",1-$AG$3,1+$AG$3)&lt;=30000,10,IF($F193*IF($C193="売",1-$AG$3,1+$AG$3)&lt;=50000,50,IF($F193*IF($C193="売",1-$AG$3,1+$AG$3)&lt;=300000,100,500)))))),FLOOR($F193*IF($C193="売",1-$AG$3,1+$AG$3),IF($F193*IF($C193="売",1-$AG$3,1+$AG$3)&lt;=3000,1,IF($F193*IF($C193="売",1-$AG$3,1+$AG$3)&lt;=5000,5,IF($F193*IF($C193="売",1-$AG$3,1+$AG$3)&lt;=30000,10,IF($F193*IF($C193="売",1-$AG$3,1+$AG$3)&lt;=50000,50,IF($F193*IF($C193="売",1-$AG$3,1+$AG$3)&lt;=300000,100,500))))))))</f>
      </c>
      <c r="N193" s="598">
        <f>IF($F193="","",IF($C193="売",CEILING($F193*IF($C193="売",1+$AG$2,1-$AG$2),IF($F193*IF($C193="売",1+$AG$2,1-$AG$2)&lt;=3000,1,IF($F193*IF($C193="売",1+$AG$2,1-$AG$2)&lt;=5000,5,IF($F193*IF($C193="売",1+$AG$2,1-$AG$2)&lt;=30000,10,IF($F193*IF($C193="売",1+$AG$2,1-$AG$2)&lt;=50000,50,IF($F193*IF($C193="売",1+$AG$2,1-$AG$2)&lt;=300000,100,500)))))),FLOOR($F193*IF($C193="売",1+$AG$2,1-$AG$2),IF($F193*IF($C193="売",1+$AG$2,1-$AG$2)&lt;=3000,1,IF($F193*IF($C193="売",1+$AG$2,1-$AG$2)&lt;=5000,5,IF($F193*IF($C193="売",1+$AG$2,1-$AG$2)&lt;=30000,10,IF($F193*IF($C193="売",1+$AG$2,1-$AG$2)&lt;=50000,50,IF($F193*IF($C193="売",1+$AG$2,1-$AG$2)&lt;=300000,100,500))))))))</f>
      </c>
      <c r="O193" s="478">
        <f>IF(OR($B193="",$F193="",$H193=""),"",IF($S193="✅売却済","―決済済―",IF($C193="売",  IF($H193&lt;=$M193,"🟢利確",  IF(AND($R193&lt;&gt;"",$H193&gt;=$R193),"🟠TRAIL決済",  IF($H193&gt;=$N193,"🔴損切",  IF($W193&gt;=$AG$5,"⏱時間決済",  IF($H193&gt;=$F193*(1+$AG$2*0.7),"⚠️損切接近","保持継続"))))),  IF($H193&gt;=$M193,"🟢利確",  IF(AND($R193&lt;&gt;"",$H193&lt;=$R193),"🟠TRAIL決済",  IF($H193&lt;=$N193,"🔴損切",  IF($W193&gt;=$AG$5,"⏱時間決済",  IF($H193&lt;=$F193*(1-$AG$2*0.7),"⚠️損切接近","保持継続")))))))</f>
      </c>
      <c r="P193" s="445"/>
      <c r="Q193" s="445"/>
      <c r="R193" s="480">
        <f>IF(OR($F193="",$H193="",$N193=""),"",IF($S193="✅売却済","",IF($C193="売",  IF($H193&gt;$F193*(1-$AG$2),$N193,CEILING(MIN($N193,IF($Q193="",$N193,$Q193*1.03)),IF($N193&lt;=3000,1,IF($N193&lt;=5000,5,IF($N193&lt;=30000,10,IF($N193&lt;=50000,50,IF($N193&lt;=300000,100,500))))))),  IF($H193&lt;$F193*(1+$AG$2),$N193,FLOOR(MAX($N193,IF($P193="",$N193,$P193*0.97)),IF($N193&lt;=3000,1,IF($N193&lt;=5000,5,IF($N193&lt;=30000,10,IF($N193&lt;=50000,50,IF($N193&lt;=300000,100,500))))))))))</f>
      </c>
      <c r="S193" s="480" t="str">
        <f t="shared" si="72"/>
        <v/>
      </c>
      <c r="T193" s="596" t="str">
        <f t="shared" ca="1" si="61"/>
        <v/>
      </c>
      <c r="U193" s="598" t="str">
        <f t="shared" ca="1" si="62"/>
        <v/>
      </c>
      <c r="V193" s="703" t="str">
        <f t="shared" ca="1" si="73"/>
        <v/>
      </c>
      <c r="W193" s="480" t="str">
        <f t="shared" ca="1" si="63"/>
        <v/>
      </c>
      <c r="X193" s="480" t="str">
        <f t="shared" ca="1" si="64"/>
        <v/>
      </c>
      <c r="Y193" s="488">
        <f>IF($B193="","",IF(COUNTIFS($B$4:$B193,$B193,$C$4:$C193,$C193)&gt;1,"⛔重複"&amp;COUNTIFS($B$4:$B193,$B193,$C$4:$C193,$C193)&amp;"回目",""))</f>
      </c>
      <c r="Z193" s="710"/>
      <c r="AB193">
        <f>IF($F193="","",MAX(100,ROUNDDOWN($AG$4/($F193*$AG$2)/100,0)*100))</f>
      </c>
      <c r="AC193">
        <f>IF(OR($F193="",$G193="",$U193=""),"",ROUND($V193-($F193+$U193)*$G193*$AG$6-IF($C193="売",$F193*$G193*$AG$7*$W193/365,0),0))</f>
      </c>
      <c r="AD193" s="608"/>
      <c r="AE193" s="600" t="str">
        <f t="shared" si="65"/>
        <v/>
      </c>
      <c r="AF193" s="600"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00"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00" t="str">
        <f t="shared" ca="1" si="66"/>
        <v/>
      </c>
      <c r="AI193" s="600" t="str" cm="1">
        <f t="array" ref="AI193">IFERROR(INDEX(始値!$E$6:$BT$305,MATCH(TEXT($B193,"0"),TEXT(銘柄管理!$B$6:$B$305,"0"),0),MATCH($AE193,始値!$E$3:$BT$3,0)),"")</f>
        <v/>
      </c>
      <c r="AJ193" s="608" t="str">
        <f t="shared" ca="1" si="67"/>
        <v/>
      </c>
      <c r="AK193" s="600" t="str">
        <f t="shared" ca="1" si="68"/>
        <v/>
      </c>
    </row>
    <row r="194" spans="1:37" ht="17.25" customHeight="1">
      <c r="A194" s="621" t="str">
        <f t="shared" si="57"/>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BT$3,0)=1,1,MATCH($E194,始値!$E$3:$BT$3,0)+1)),_xlpm.v,INDEX(始値!$C$6:$B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 t="shared" ca="1" si="69"/>
        <v/>
      </c>
      <c r="L194" s="708" t="str">
        <f t="shared" ca="1" si="70"/>
        <v/>
      </c>
      <c r="M194" s="598">
        <f>IF($F194="","",IF($C194="売",CEILING($F194*IF($C194="売",1-$AG$3,1+$AG$3),IF($F194*IF($C194="売",1-$AG$3,1+$AG$3)&lt;=3000,1,IF($F194*IF($C194="売",1-$AG$3,1+$AG$3)&lt;=5000,5,IF($F194*IF($C194="売",1-$AG$3,1+$AG$3)&lt;=30000,10,IF($F194*IF($C194="売",1-$AG$3,1+$AG$3)&lt;=50000,50,IF($F194*IF($C194="売",1-$AG$3,1+$AG$3)&lt;=300000,100,500)))))),FLOOR($F194*IF($C194="売",1-$AG$3,1+$AG$3),IF($F194*IF($C194="売",1-$AG$3,1+$AG$3)&lt;=3000,1,IF($F194*IF($C194="売",1-$AG$3,1+$AG$3)&lt;=5000,5,IF($F194*IF($C194="売",1-$AG$3,1+$AG$3)&lt;=30000,10,IF($F194*IF($C194="売",1-$AG$3,1+$AG$3)&lt;=50000,50,IF($F194*IF($C194="売",1-$AG$3,1+$AG$3)&lt;=300000,100,500))))))))</f>
      </c>
      <c r="N194" s="598">
        <f>IF($F194="","",IF($C194="売",CEILING($F194*IF($C194="売",1+$AG$2,1-$AG$2),IF($F194*IF($C194="売",1+$AG$2,1-$AG$2)&lt;=3000,1,IF($F194*IF($C194="売",1+$AG$2,1-$AG$2)&lt;=5000,5,IF($F194*IF($C194="売",1+$AG$2,1-$AG$2)&lt;=30000,10,IF($F194*IF($C194="売",1+$AG$2,1-$AG$2)&lt;=50000,50,IF($F194*IF($C194="売",1+$AG$2,1-$AG$2)&lt;=300000,100,500)))))),FLOOR($F194*IF($C194="売",1+$AG$2,1-$AG$2),IF($F194*IF($C194="売",1+$AG$2,1-$AG$2)&lt;=3000,1,IF($F194*IF($C194="売",1+$AG$2,1-$AG$2)&lt;=5000,5,IF($F194*IF($C194="売",1+$AG$2,1-$AG$2)&lt;=30000,10,IF($F194*IF($C194="売",1+$AG$2,1-$AG$2)&lt;=50000,50,IF($F194*IF($C194="売",1+$AG$2,1-$AG$2)&lt;=300000,100,500))))))))</f>
      </c>
      <c r="O194" s="478">
        <f>IF(OR($B194="",$F194="",$H194=""),"",IF($S194="✅売却済","―決済済―",IF($C194="売",  IF($H194&lt;=$M194,"🟢利確",  IF(AND($R194&lt;&gt;"",$H194&gt;=$R194),"🟠TRAIL決済",  IF($H194&gt;=$N194,"🔴損切",  IF($W194&gt;=$AG$5,"⏱時間決済",  IF($H194&gt;=$F194*(1+$AG$2*0.7),"⚠️損切接近","保持継続"))))),  IF($H194&gt;=$M194,"🟢利確",  IF(AND($R194&lt;&gt;"",$H194&lt;=$R194),"🟠TRAIL決済",  IF($H194&lt;=$N194,"🔴損切",  IF($W194&gt;=$AG$5,"⏱時間決済",  IF($H194&lt;=$F194*(1-$AG$2*0.7),"⚠️損切接近","保持継続")))))))</f>
      </c>
      <c r="P194" s="445"/>
      <c r="Q194" s="445"/>
      <c r="R194" s="480">
        <f>IF(OR($F194="",$H194="",$N194=""),"",IF($S194="✅売却済","",IF($C194="売",  IF($H194&gt;$F194*(1-$AG$2),$N194,CEILING(MIN($N194,IF($Q194="",$N194,$Q194*1.03)),IF($N194&lt;=3000,1,IF($N194&lt;=5000,5,IF($N194&lt;=30000,10,IF($N194&lt;=50000,50,IF($N194&lt;=300000,100,500))))))),  IF($H194&lt;$F194*(1+$AG$2),$N194,FLOOR(MAX($N194,IF($P194="",$N194,$P194*0.97)),IF($N194&lt;=3000,1,IF($N194&lt;=5000,5,IF($N194&lt;=30000,10,IF($N194&lt;=50000,50,IF($N194&lt;=300000,100,500))))))))))</f>
      </c>
      <c r="S194" s="480" t="str">
        <f t="shared" si="72"/>
        <v/>
      </c>
      <c r="T194" s="596" t="str">
        <f t="shared" ca="1" si="61"/>
        <v/>
      </c>
      <c r="U194" s="598" t="str">
        <f t="shared" ca="1" si="62"/>
        <v/>
      </c>
      <c r="V194" s="703" t="str">
        <f t="shared" ca="1" si="73"/>
        <v/>
      </c>
      <c r="W194" s="480" t="str">
        <f t="shared" ca="1" si="63"/>
        <v/>
      </c>
      <c r="X194" s="480" t="str">
        <f t="shared" ca="1" si="64"/>
        <v/>
      </c>
      <c r="Y194" s="488">
        <f>IF($B194="","",IF(COUNTIFS($B$4:$B194,$B194,$C$4:$C194,$C194)&gt;1,"⛔重複"&amp;COUNTIFS($B$4:$B194,$B194,$C$4:$C194,$C194)&amp;"回目",""))</f>
      </c>
      <c r="Z194" s="710"/>
      <c r="AB194">
        <f>IF($F194="","",MAX(100,ROUNDDOWN($AG$4/($F194*$AG$2)/100,0)*100))</f>
      </c>
      <c r="AC194">
        <f>IF(OR($F194="",$G194="",$U194=""),"",ROUND($V194-($F194+$U194)*$G194*$AG$6-IF($C194="売",$F194*$G194*$AG$7*$W194/365,0),0))</f>
      </c>
      <c r="AD194" s="608"/>
      <c r="AE194" s="600" t="str">
        <f t="shared" si="65"/>
        <v/>
      </c>
      <c r="AF194" s="600"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00"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00" t="str">
        <f t="shared" ca="1" si="66"/>
        <v/>
      </c>
      <c r="AI194" s="600" t="str" cm="1">
        <f t="array" ref="AI194">IFERROR(INDEX(始値!$E$6:$BT$305,MATCH(TEXT($B194,"0"),TEXT(銘柄管理!$B$6:$B$305,"0"),0),MATCH($AE194,始値!$E$3:$BT$3,0)),"")</f>
        <v/>
      </c>
      <c r="AJ194" s="608" t="str">
        <f t="shared" ca="1" si="67"/>
        <v/>
      </c>
      <c r="AK194" s="600" t="str">
        <f t="shared" ca="1" si="68"/>
        <v/>
      </c>
    </row>
    <row r="195" spans="1:37" ht="17.25" customHeight="1">
      <c r="A195" s="621" t="str">
        <f t="shared" si="57"/>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BT$3,0)=1,1,MATCH($E195,始値!$E$3:$BT$3,0)+1)),_xlpm.v,INDEX(始値!$C$6:$B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 t="shared" ca="1" si="69"/>
        <v/>
      </c>
      <c r="L195" s="708" t="str">
        <f t="shared" ca="1" si="70"/>
        <v/>
      </c>
      <c r="M195" s="598">
        <f>IF($F195="","",IF($C195="売",CEILING($F195*IF($C195="売",1-$AG$3,1+$AG$3),IF($F195*IF($C195="売",1-$AG$3,1+$AG$3)&lt;=3000,1,IF($F195*IF($C195="売",1-$AG$3,1+$AG$3)&lt;=5000,5,IF($F195*IF($C195="売",1-$AG$3,1+$AG$3)&lt;=30000,10,IF($F195*IF($C195="売",1-$AG$3,1+$AG$3)&lt;=50000,50,IF($F195*IF($C195="売",1-$AG$3,1+$AG$3)&lt;=300000,100,500)))))),FLOOR($F195*IF($C195="売",1-$AG$3,1+$AG$3),IF($F195*IF($C195="売",1-$AG$3,1+$AG$3)&lt;=3000,1,IF($F195*IF($C195="売",1-$AG$3,1+$AG$3)&lt;=5000,5,IF($F195*IF($C195="売",1-$AG$3,1+$AG$3)&lt;=30000,10,IF($F195*IF($C195="売",1-$AG$3,1+$AG$3)&lt;=50000,50,IF($F195*IF($C195="売",1-$AG$3,1+$AG$3)&lt;=300000,100,500))))))))</f>
      </c>
      <c r="N195" s="598">
        <f>IF($F195="","",IF($C195="売",CEILING($F195*IF($C195="売",1+$AG$2,1-$AG$2),IF($F195*IF($C195="売",1+$AG$2,1-$AG$2)&lt;=3000,1,IF($F195*IF($C195="売",1+$AG$2,1-$AG$2)&lt;=5000,5,IF($F195*IF($C195="売",1+$AG$2,1-$AG$2)&lt;=30000,10,IF($F195*IF($C195="売",1+$AG$2,1-$AG$2)&lt;=50000,50,IF($F195*IF($C195="売",1+$AG$2,1-$AG$2)&lt;=300000,100,500)))))),FLOOR($F195*IF($C195="売",1+$AG$2,1-$AG$2),IF($F195*IF($C195="売",1+$AG$2,1-$AG$2)&lt;=3000,1,IF($F195*IF($C195="売",1+$AG$2,1-$AG$2)&lt;=5000,5,IF($F195*IF($C195="売",1+$AG$2,1-$AG$2)&lt;=30000,10,IF($F195*IF($C195="売",1+$AG$2,1-$AG$2)&lt;=50000,50,IF($F195*IF($C195="売",1+$AG$2,1-$AG$2)&lt;=300000,100,500))))))))</f>
      </c>
      <c r="O195" s="478">
        <f>IF(OR($B195="",$F195="",$H195=""),"",IF($S195="✅売却済","―決済済―",IF($C195="売",  IF($H195&lt;=$M195,"🟢利確",  IF(AND($R195&lt;&gt;"",$H195&gt;=$R195),"🟠TRAIL決済",  IF($H195&gt;=$N195,"🔴損切",  IF($W195&gt;=$AG$5,"⏱時間決済",  IF($H195&gt;=$F195*(1+$AG$2*0.7),"⚠️損切接近","保持継続"))))),  IF($H195&gt;=$M195,"🟢利確",  IF(AND($R195&lt;&gt;"",$H195&lt;=$R195),"🟠TRAIL決済",  IF($H195&lt;=$N195,"🔴損切",  IF($W195&gt;=$AG$5,"⏱時間決済",  IF($H195&lt;=$F195*(1-$AG$2*0.7),"⚠️損切接近","保持継続")))))))</f>
      </c>
      <c r="P195" s="445"/>
      <c r="Q195" s="445"/>
      <c r="R195" s="480">
        <f>IF(OR($F195="",$H195="",$N195=""),"",IF($S195="✅売却済","",IF($C195="売",  IF($H195&gt;$F195*(1-$AG$2),$N195,CEILING(MIN($N195,IF($Q195="",$N195,$Q195*1.03)),IF($N195&lt;=3000,1,IF($N195&lt;=5000,5,IF($N195&lt;=30000,10,IF($N195&lt;=50000,50,IF($N195&lt;=300000,100,500))))))),  IF($H195&lt;$F195*(1+$AG$2),$N195,FLOOR(MAX($N195,IF($P195="",$N195,$P195*0.97)),IF($N195&lt;=3000,1,IF($N195&lt;=5000,5,IF($N195&lt;=30000,10,IF($N195&lt;=50000,50,IF($N195&lt;=300000,100,500))))))))))</f>
      </c>
      <c r="S195" s="480" t="str">
        <f t="shared" si="72"/>
        <v/>
      </c>
      <c r="T195" s="596" t="str">
        <f t="shared" ca="1" si="61"/>
        <v/>
      </c>
      <c r="U195" s="598" t="str">
        <f t="shared" ca="1" si="62"/>
        <v/>
      </c>
      <c r="V195" s="703" t="str">
        <f t="shared" ca="1" si="73"/>
        <v/>
      </c>
      <c r="W195" s="480" t="str">
        <f t="shared" ca="1" si="63"/>
        <v/>
      </c>
      <c r="X195" s="480" t="str">
        <f t="shared" ca="1" si="64"/>
        <v/>
      </c>
      <c r="Y195" s="488">
        <f>IF($B195="","",IF(COUNTIFS($B$4:$B195,$B195,$C$4:$C195,$C195)&gt;1,"⛔重複"&amp;COUNTIFS($B$4:$B195,$B195,$C$4:$C195,$C195)&amp;"回目",""))</f>
      </c>
      <c r="Z195" s="710"/>
      <c r="AB195">
        <f>IF($F195="","",MAX(100,ROUNDDOWN($AG$4/($F195*$AG$2)/100,0)*100))</f>
      </c>
      <c r="AC195">
        <f>IF(OR($F195="",$G195="",$U195=""),"",ROUND($V195-($F195+$U195)*$G195*$AG$6-IF($C195="売",$F195*$G195*$AG$7*$W195/365,0),0))</f>
      </c>
      <c r="AD195" s="608"/>
      <c r="AE195" s="600" t="str">
        <f t="shared" si="65"/>
        <v/>
      </c>
      <c r="AF195" s="600"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00"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00" t="str">
        <f t="shared" ca="1" si="66"/>
        <v/>
      </c>
      <c r="AI195" s="600" t="str" cm="1">
        <f t="array" ref="AI195">IFERROR(INDEX(始値!$E$6:$BT$305,MATCH(TEXT($B195,"0"),TEXT(銘柄管理!$B$6:$B$305,"0"),0),MATCH($AE195,始値!$E$3:$BT$3,0)),"")</f>
        <v/>
      </c>
      <c r="AJ195" s="608" t="str">
        <f t="shared" ca="1" si="67"/>
        <v/>
      </c>
      <c r="AK195" s="600" t="str">
        <f t="shared" ca="1" si="68"/>
        <v/>
      </c>
    </row>
    <row r="196" spans="1:37" ht="17.25" customHeight="1">
      <c r="A196" s="621" t="str">
        <f t="shared" ref="A196:A259" si="74">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BT$3,0)=1,1,MATCH($E196,始値!$E$3:$BT$3,0)+1)),_xlpm.v,INDEX(始値!$C$6:$B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 t="shared" ca="1" si="69"/>
        <v/>
      </c>
      <c r="L196" s="708" t="str">
        <f t="shared" ca="1" si="70"/>
        <v/>
      </c>
      <c r="M196" s="598">
        <f>IF($F196="","",IF($C196="売",CEILING($F196*IF($C196="売",1-$AG$3,1+$AG$3),IF($F196*IF($C196="売",1-$AG$3,1+$AG$3)&lt;=3000,1,IF($F196*IF($C196="売",1-$AG$3,1+$AG$3)&lt;=5000,5,IF($F196*IF($C196="売",1-$AG$3,1+$AG$3)&lt;=30000,10,IF($F196*IF($C196="売",1-$AG$3,1+$AG$3)&lt;=50000,50,IF($F196*IF($C196="売",1-$AG$3,1+$AG$3)&lt;=300000,100,500)))))),FLOOR($F196*IF($C196="売",1-$AG$3,1+$AG$3),IF($F196*IF($C196="売",1-$AG$3,1+$AG$3)&lt;=3000,1,IF($F196*IF($C196="売",1-$AG$3,1+$AG$3)&lt;=5000,5,IF($F196*IF($C196="売",1-$AG$3,1+$AG$3)&lt;=30000,10,IF($F196*IF($C196="売",1-$AG$3,1+$AG$3)&lt;=50000,50,IF($F196*IF($C196="売",1-$AG$3,1+$AG$3)&lt;=300000,100,500))))))))</f>
      </c>
      <c r="N196" s="598">
        <f>IF($F196="","",IF($C196="売",CEILING($F196*IF($C196="売",1+$AG$2,1-$AG$2),IF($F196*IF($C196="売",1+$AG$2,1-$AG$2)&lt;=3000,1,IF($F196*IF($C196="売",1+$AG$2,1-$AG$2)&lt;=5000,5,IF($F196*IF($C196="売",1+$AG$2,1-$AG$2)&lt;=30000,10,IF($F196*IF($C196="売",1+$AG$2,1-$AG$2)&lt;=50000,50,IF($F196*IF($C196="売",1+$AG$2,1-$AG$2)&lt;=300000,100,500)))))),FLOOR($F196*IF($C196="売",1+$AG$2,1-$AG$2),IF($F196*IF($C196="売",1+$AG$2,1-$AG$2)&lt;=3000,1,IF($F196*IF($C196="売",1+$AG$2,1-$AG$2)&lt;=5000,5,IF($F196*IF($C196="売",1+$AG$2,1-$AG$2)&lt;=30000,10,IF($F196*IF($C196="売",1+$AG$2,1-$AG$2)&lt;=50000,50,IF($F196*IF($C196="売",1+$AG$2,1-$AG$2)&lt;=300000,100,500))))))))</f>
      </c>
      <c r="O196" s="478">
        <f>IF(OR($B196="",$F196="",$H196=""),"",IF($S196="✅売却済","―決済済―",IF($C196="売",  IF($H196&lt;=$M196,"🟢利確",  IF(AND($R196&lt;&gt;"",$H196&gt;=$R196),"🟠TRAIL決済",  IF($H196&gt;=$N196,"🔴損切",  IF($W196&gt;=$AG$5,"⏱時間決済",  IF($H196&gt;=$F196*(1+$AG$2*0.7),"⚠️損切接近","保持継続"))))),  IF($H196&gt;=$M196,"🟢利確",  IF(AND($R196&lt;&gt;"",$H196&lt;=$R196),"🟠TRAIL決済",  IF($H196&lt;=$N196,"🔴損切",  IF($W196&gt;=$AG$5,"⏱時間決済",  IF($H196&lt;=$F196*(1-$AG$2*0.7),"⚠️損切接近","保持継続")))))))</f>
      </c>
      <c r="P196" s="445"/>
      <c r="Q196" s="445"/>
      <c r="R196" s="480">
        <f>IF(OR($F196="",$H196="",$N196=""),"",IF($S196="✅売却済","",IF($C196="売",  IF($H196&gt;$F196*(1-$AG$2),$N196,CEILING(MIN($N196,IF($Q196="",$N196,$Q196*1.03)),IF($N196&lt;=3000,1,IF($N196&lt;=5000,5,IF($N196&lt;=30000,10,IF($N196&lt;=50000,50,IF($N196&lt;=300000,100,500))))))),  IF($H196&lt;$F196*(1+$AG$2),$N196,FLOOR(MAX($N196,IF($P196="",$N196,$P196*0.97)),IF($N196&lt;=3000,1,IF($N196&lt;=5000,5,IF($N196&lt;=30000,10,IF($N196&lt;=50000,50,IF($N196&lt;=300000,100,500))))))))))</f>
      </c>
      <c r="S196" s="480" t="str">
        <f t="shared" si="72"/>
        <v/>
      </c>
      <c r="T196" s="596" t="str">
        <f t="shared" ca="1" si="61"/>
        <v/>
      </c>
      <c r="U196" s="598" t="str">
        <f t="shared" ca="1" si="62"/>
        <v/>
      </c>
      <c r="V196" s="703" t="str">
        <f t="shared" ca="1" si="73"/>
        <v/>
      </c>
      <c r="W196" s="480" t="str">
        <f t="shared" ca="1" si="63"/>
        <v/>
      </c>
      <c r="X196" s="480" t="str">
        <f t="shared" ca="1" si="64"/>
        <v/>
      </c>
      <c r="Y196" s="488">
        <f>IF($B196="","",IF(COUNTIFS($B$4:$B196,$B196,$C$4:$C196,$C196)&gt;1,"⛔重複"&amp;COUNTIFS($B$4:$B196,$B196,$C$4:$C196,$C196)&amp;"回目",""))</f>
      </c>
      <c r="Z196" s="710"/>
      <c r="AB196">
        <f>IF($F196="","",MAX(100,ROUNDDOWN($AG$4/($F196*$AG$2)/100,0)*100))</f>
      </c>
      <c r="AC196">
        <f>IF(OR($F196="",$G196="",$U196=""),"",ROUND($V196-($F196+$U196)*$G196*$AG$6-IF($C196="売",$F196*$G196*$AG$7*$W196/365,0),0))</f>
      </c>
      <c r="AD196" s="608"/>
      <c r="AE196" s="600" t="str">
        <f t="shared" si="65"/>
        <v/>
      </c>
      <c r="AF196" s="600"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00"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00" t="str">
        <f t="shared" ca="1" si="66"/>
        <v/>
      </c>
      <c r="AI196" s="600" t="str" cm="1">
        <f t="array" ref="AI196">IFERROR(INDEX(始値!$E$6:$BT$305,MATCH(TEXT($B196,"0"),TEXT(銘柄管理!$B$6:$B$305,"0"),0),MATCH($AE196,始値!$E$3:$BT$3,0)),"")</f>
        <v/>
      </c>
      <c r="AJ196" s="608" t="str">
        <f t="shared" ca="1" si="67"/>
        <v/>
      </c>
      <c r="AK196" s="600" t="str">
        <f t="shared" ca="1" si="68"/>
        <v/>
      </c>
    </row>
    <row r="197" spans="1:37" ht="17.25" customHeight="1">
      <c r="A197" s="621" t="str">
        <f t="shared" si="74"/>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BT$3,0)=1,1,MATCH($E197,始値!$E$3:$BT$3,0)+1)),_xlpm.v,INDEX(始値!$C$6:$B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 t="shared" ca="1" si="69"/>
        <v/>
      </c>
      <c r="L197" s="708" t="str">
        <f t="shared" ca="1" si="70"/>
        <v/>
      </c>
      <c r="M197" s="598">
        <f>IF($F197="","",IF($C197="売",CEILING($F197*IF($C197="売",1-$AG$3,1+$AG$3),IF($F197*IF($C197="売",1-$AG$3,1+$AG$3)&lt;=3000,1,IF($F197*IF($C197="売",1-$AG$3,1+$AG$3)&lt;=5000,5,IF($F197*IF($C197="売",1-$AG$3,1+$AG$3)&lt;=30000,10,IF($F197*IF($C197="売",1-$AG$3,1+$AG$3)&lt;=50000,50,IF($F197*IF($C197="売",1-$AG$3,1+$AG$3)&lt;=300000,100,500)))))),FLOOR($F197*IF($C197="売",1-$AG$3,1+$AG$3),IF($F197*IF($C197="売",1-$AG$3,1+$AG$3)&lt;=3000,1,IF($F197*IF($C197="売",1-$AG$3,1+$AG$3)&lt;=5000,5,IF($F197*IF($C197="売",1-$AG$3,1+$AG$3)&lt;=30000,10,IF($F197*IF($C197="売",1-$AG$3,1+$AG$3)&lt;=50000,50,IF($F197*IF($C197="売",1-$AG$3,1+$AG$3)&lt;=300000,100,500))))))))</f>
      </c>
      <c r="N197" s="598">
        <f>IF($F197="","",IF($C197="売",CEILING($F197*IF($C197="売",1+$AG$2,1-$AG$2),IF($F197*IF($C197="売",1+$AG$2,1-$AG$2)&lt;=3000,1,IF($F197*IF($C197="売",1+$AG$2,1-$AG$2)&lt;=5000,5,IF($F197*IF($C197="売",1+$AG$2,1-$AG$2)&lt;=30000,10,IF($F197*IF($C197="売",1+$AG$2,1-$AG$2)&lt;=50000,50,IF($F197*IF($C197="売",1+$AG$2,1-$AG$2)&lt;=300000,100,500)))))),FLOOR($F197*IF($C197="売",1+$AG$2,1-$AG$2),IF($F197*IF($C197="売",1+$AG$2,1-$AG$2)&lt;=3000,1,IF($F197*IF($C197="売",1+$AG$2,1-$AG$2)&lt;=5000,5,IF($F197*IF($C197="売",1+$AG$2,1-$AG$2)&lt;=30000,10,IF($F197*IF($C197="売",1+$AG$2,1-$AG$2)&lt;=50000,50,IF($F197*IF($C197="売",1+$AG$2,1-$AG$2)&lt;=300000,100,500))))))))</f>
      </c>
      <c r="O197" s="478">
        <f>IF(OR($B197="",$F197="",$H197=""),"",IF($S197="✅売却済","―決済済―",IF($C197="売",  IF($H197&lt;=$M197,"🟢利確",  IF(AND($R197&lt;&gt;"",$H197&gt;=$R197),"🟠TRAIL決済",  IF($H197&gt;=$N197,"🔴損切",  IF($W197&gt;=$AG$5,"⏱時間決済",  IF($H197&gt;=$F197*(1+$AG$2*0.7),"⚠️損切接近","保持継続"))))),  IF($H197&gt;=$M197,"🟢利確",  IF(AND($R197&lt;&gt;"",$H197&lt;=$R197),"🟠TRAIL決済",  IF($H197&lt;=$N197,"🔴損切",  IF($W197&gt;=$AG$5,"⏱時間決済",  IF($H197&lt;=$F197*(1-$AG$2*0.7),"⚠️損切接近","保持継続")))))))</f>
      </c>
      <c r="P197" s="445"/>
      <c r="Q197" s="445"/>
      <c r="R197" s="480">
        <f>IF(OR($F197="",$H197="",$N197=""),"",IF($S197="✅売却済","",IF($C197="売",  IF($H197&gt;$F197*(1-$AG$2),$N197,CEILING(MIN($N197,IF($Q197="",$N197,$Q197*1.03)),IF($N197&lt;=3000,1,IF($N197&lt;=5000,5,IF($N197&lt;=30000,10,IF($N197&lt;=50000,50,IF($N197&lt;=300000,100,500))))))),  IF($H197&lt;$F197*(1+$AG$2),$N197,FLOOR(MAX($N197,IF($P197="",$N197,$P197*0.97)),IF($N197&lt;=3000,1,IF($N197&lt;=5000,5,IF($N197&lt;=30000,10,IF($N197&lt;=50000,50,IF($N197&lt;=300000,100,500))))))))))</f>
      </c>
      <c r="S197" s="480" t="str">
        <f t="shared" si="72"/>
        <v/>
      </c>
      <c r="T197" s="596" t="str">
        <f t="shared" ref="T197:T260" ca="1" si="78">IF(OR($AH197="",$AH197="保有中"),"",IF($AH197="日数制限",$AE197,IF($AH197="損切確定",IF(N($AG197)=0,TODAY(),$AG197),IF(N($AF197)=0,TODAY(),$AF197))))</f>
        <v/>
      </c>
      <c r="U197" s="598" t="str">
        <f t="shared" ref="U197:U260" ca="1" si="79">IF(OR($AH197="",$AH197="保有中"),"",ROUND(IF($AH197="日数制限",$AI197,IF($AH197="利益確定",$M197,$N197)),0))</f>
        <v/>
      </c>
      <c r="V197" s="703" t="str">
        <f t="shared" ca="1" si="73"/>
        <v/>
      </c>
      <c r="W197" s="480" t="str">
        <f t="shared" ref="W197:W260" ca="1" si="80">IF(OR($E197="",$B197=""),"",IF($T197&lt;&gt;"",$T197-$E197,TODAY()-$E197)+1)</f>
        <v/>
      </c>
      <c r="X197" s="480" t="str">
        <f t="shared" ref="X197:X260" ca="1" si="81">IF(OR($AH197="",$AH197="保有中"),"",$AH197)</f>
        <v/>
      </c>
      <c r="Y197" s="488">
        <f>IF($B197="","",IF(COUNTIFS($B$4:$B197,$B197,$C$4:$C197,$C197)&gt;1,"⛔重複"&amp;COUNTIFS($B$4:$B197,$B197,$C$4:$C197,$C197)&amp;"回目",""))</f>
      </c>
      <c r="Z197" s="710"/>
      <c r="AB197">
        <f>IF($F197="","",MAX(100,ROUNDDOWN($AG$4/($F197*$AG$2)/100,0)*100))</f>
      </c>
      <c r="AC197">
        <f>IF(OR($F197="",$G197="",$U197=""),"",ROUND($V197-($F197+$U197)*$G197*$AG$6-IF($C197="売",$F197*$G197*$AG$7*$W197/365,0),0))</f>
      </c>
      <c r="AD197" s="608"/>
      <c r="AE197" s="600" t="str">
        <f t="shared" ref="AE197:AE260" si="82">IF($E197="","",WORKDAY($E197,12))</f>
        <v/>
      </c>
      <c r="AF197" s="600"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00"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00" t="str">
        <f t="shared" ref="AH197:AH260" ca="1" si="83">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IFERROR(INDEX(始値!$E$6:$BT$305,MATCH(TEXT($B197,"0"),TEXT(銘柄管理!$B$6:$B$305,"0"),0),MATCH($AE197,始値!$E$3:$BT$3,0)),"")</f>
        <v/>
      </c>
      <c r="AJ197" s="608" t="str">
        <f t="shared" ref="AJ197:AJ260" ca="1" si="84">IF(OR($V197="",$F197="",$G197=""),"",$V197/($F197*$G197))</f>
        <v/>
      </c>
      <c r="AK197" s="600" t="str">
        <f t="shared" ref="AK197:AK260" ca="1" si="85">IF($V197="","",IF($V197&gt;0,"○勝",IF($V197&lt;0,"●負","△引分")))</f>
        <v/>
      </c>
    </row>
    <row r="198" spans="1:37" ht="17.25" customHeight="1">
      <c r="A198" s="621" t="str">
        <f t="shared" si="74"/>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BT$3,0)=1,1,MATCH($E198,始値!$E$3:$BT$3,0)+1)),_xlpm.v,INDEX(始値!$C$6:$B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 t="shared" ca="1" si="69"/>
        <v/>
      </c>
      <c r="L198" s="708" t="str">
        <f t="shared" ca="1" si="70"/>
        <v/>
      </c>
      <c r="M198" s="598">
        <f>IF($F198="","",IF($C198="売",CEILING($F198*IF($C198="売",1-$AG$3,1+$AG$3),IF($F198*IF($C198="売",1-$AG$3,1+$AG$3)&lt;=3000,1,IF($F198*IF($C198="売",1-$AG$3,1+$AG$3)&lt;=5000,5,IF($F198*IF($C198="売",1-$AG$3,1+$AG$3)&lt;=30000,10,IF($F198*IF($C198="売",1-$AG$3,1+$AG$3)&lt;=50000,50,IF($F198*IF($C198="売",1-$AG$3,1+$AG$3)&lt;=300000,100,500)))))),FLOOR($F198*IF($C198="売",1-$AG$3,1+$AG$3),IF($F198*IF($C198="売",1-$AG$3,1+$AG$3)&lt;=3000,1,IF($F198*IF($C198="売",1-$AG$3,1+$AG$3)&lt;=5000,5,IF($F198*IF($C198="売",1-$AG$3,1+$AG$3)&lt;=30000,10,IF($F198*IF($C198="売",1-$AG$3,1+$AG$3)&lt;=50000,50,IF($F198*IF($C198="売",1-$AG$3,1+$AG$3)&lt;=300000,100,500))))))))</f>
      </c>
      <c r="N198" s="598">
        <f>IF($F198="","",IF($C198="売",CEILING($F198*IF($C198="売",1+$AG$2,1-$AG$2),IF($F198*IF($C198="売",1+$AG$2,1-$AG$2)&lt;=3000,1,IF($F198*IF($C198="売",1+$AG$2,1-$AG$2)&lt;=5000,5,IF($F198*IF($C198="売",1+$AG$2,1-$AG$2)&lt;=30000,10,IF($F198*IF($C198="売",1+$AG$2,1-$AG$2)&lt;=50000,50,IF($F198*IF($C198="売",1+$AG$2,1-$AG$2)&lt;=300000,100,500)))))),FLOOR($F198*IF($C198="売",1+$AG$2,1-$AG$2),IF($F198*IF($C198="売",1+$AG$2,1-$AG$2)&lt;=3000,1,IF($F198*IF($C198="売",1+$AG$2,1-$AG$2)&lt;=5000,5,IF($F198*IF($C198="売",1+$AG$2,1-$AG$2)&lt;=30000,10,IF($F198*IF($C198="売",1+$AG$2,1-$AG$2)&lt;=50000,50,IF($F198*IF($C198="売",1+$AG$2,1-$AG$2)&lt;=300000,100,500))))))))</f>
      </c>
      <c r="O198" s="478">
        <f>IF(OR($B198="",$F198="",$H198=""),"",IF($S198="✅売却済","―決済済―",IF($C198="売",  IF($H198&lt;=$M198,"🟢利確",  IF(AND($R198&lt;&gt;"",$H198&gt;=$R198),"🟠TRAIL決済",  IF($H198&gt;=$N198,"🔴損切",  IF($W198&gt;=$AG$5,"⏱時間決済",  IF($H198&gt;=$F198*(1+$AG$2*0.7),"⚠️損切接近","保持継続"))))),  IF($H198&gt;=$M198,"🟢利確",  IF(AND($R198&lt;&gt;"",$H198&lt;=$R198),"🟠TRAIL決済",  IF($H198&lt;=$N198,"🔴損切",  IF($W198&gt;=$AG$5,"⏱時間決済",  IF($H198&lt;=$F198*(1-$AG$2*0.7),"⚠️損切接近","保持継続")))))))</f>
      </c>
      <c r="P198" s="445"/>
      <c r="Q198" s="445"/>
      <c r="R198" s="480">
        <f>IF(OR($F198="",$H198="",$N198=""),"",IF($S198="✅売却済","",IF($C198="売",  IF($H198&gt;$F198*(1-$AG$2),$N198,CEILING(MIN($N198,IF($Q198="",$N198,$Q198*1.03)),IF($N198&lt;=3000,1,IF($N198&lt;=5000,5,IF($N198&lt;=30000,10,IF($N198&lt;=50000,50,IF($N198&lt;=300000,100,500))))))),  IF($H198&lt;$F198*(1+$AG$2),$N198,FLOOR(MAX($N198,IF($P198="",$N198,$P198*0.97)),IF($N198&lt;=3000,1,IF($N198&lt;=5000,5,IF($N198&lt;=30000,10,IF($N198&lt;=50000,50,IF($N198&lt;=300000,100,500))))))))))</f>
      </c>
      <c r="S198" s="480" t="str">
        <f t="shared" si="72"/>
        <v/>
      </c>
      <c r="T198" s="596" t="str">
        <f t="shared" ca="1" si="78"/>
        <v/>
      </c>
      <c r="U198" s="598" t="str">
        <f t="shared" ca="1" si="79"/>
        <v/>
      </c>
      <c r="V198" s="703" t="str">
        <f t="shared" ca="1" si="73"/>
        <v/>
      </c>
      <c r="W198" s="480" t="str">
        <f t="shared" ca="1" si="80"/>
        <v/>
      </c>
      <c r="X198" s="480" t="str">
        <f t="shared" ca="1" si="81"/>
        <v/>
      </c>
      <c r="Y198" s="488">
        <f>IF($B198="","",IF(COUNTIFS($B$4:$B198,$B198,$C$4:$C198,$C198)&gt;1,"⛔重複"&amp;COUNTIFS($B$4:$B198,$B198,$C$4:$C198,$C198)&amp;"回目",""))</f>
      </c>
      <c r="Z198" s="710"/>
      <c r="AB198">
        <f>IF($F198="","",MAX(100,ROUNDDOWN($AG$4/($F198*$AG$2)/100,0)*100))</f>
      </c>
      <c r="AC198">
        <f>IF(OR($F198="",$G198="",$U198=""),"",ROUND($V198-($F198+$U198)*$G198*$AG$6-IF($C198="売",$F198*$G198*$AG$7*$W198/365,0),0))</f>
      </c>
      <c r="AD198" s="608"/>
      <c r="AE198" s="600" t="str">
        <f t="shared" si="82"/>
        <v/>
      </c>
      <c r="AF198" s="600"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00"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00" t="str">
        <f t="shared" ca="1" si="83"/>
        <v/>
      </c>
      <c r="AI198" s="600" t="str" cm="1">
        <f t="array" ref="AI198">IFERROR(INDEX(始値!$E$6:$BT$305,MATCH(TEXT($B198,"0"),TEXT(銘柄管理!$B$6:$B$305,"0"),0),MATCH($AE198,始値!$E$3:$BT$3,0)),"")</f>
        <v/>
      </c>
      <c r="AJ198" s="608" t="str">
        <f t="shared" ca="1" si="84"/>
        <v/>
      </c>
      <c r="AK198" s="600" t="str">
        <f t="shared" ca="1" si="85"/>
        <v/>
      </c>
    </row>
    <row r="199" spans="1:37" ht="17.25" customHeight="1">
      <c r="A199" s="621" t="str">
        <f t="shared" si="74"/>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BT$3,0)=1,1,MATCH($E199,始値!$E$3:$BT$3,0)+1)),_xlpm.v,INDEX(始値!$C$6:$B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 t="shared" ca="1" si="69"/>
        <v/>
      </c>
      <c r="L199" s="708" t="str">
        <f t="shared" ca="1" si="70"/>
        <v/>
      </c>
      <c r="M199" s="598">
        <f>IF($F199="","",IF($C199="売",CEILING($F199*IF($C199="売",1-$AG$3,1+$AG$3),IF($F199*IF($C199="売",1-$AG$3,1+$AG$3)&lt;=3000,1,IF($F199*IF($C199="売",1-$AG$3,1+$AG$3)&lt;=5000,5,IF($F199*IF($C199="売",1-$AG$3,1+$AG$3)&lt;=30000,10,IF($F199*IF($C199="売",1-$AG$3,1+$AG$3)&lt;=50000,50,IF($F199*IF($C199="売",1-$AG$3,1+$AG$3)&lt;=300000,100,500)))))),FLOOR($F199*IF($C199="売",1-$AG$3,1+$AG$3),IF($F199*IF($C199="売",1-$AG$3,1+$AG$3)&lt;=3000,1,IF($F199*IF($C199="売",1-$AG$3,1+$AG$3)&lt;=5000,5,IF($F199*IF($C199="売",1-$AG$3,1+$AG$3)&lt;=30000,10,IF($F199*IF($C199="売",1-$AG$3,1+$AG$3)&lt;=50000,50,IF($F199*IF($C199="売",1-$AG$3,1+$AG$3)&lt;=300000,100,500))))))))</f>
      </c>
      <c r="N199" s="598">
        <f>IF($F199="","",IF($C199="売",CEILING($F199*IF($C199="売",1+$AG$2,1-$AG$2),IF($F199*IF($C199="売",1+$AG$2,1-$AG$2)&lt;=3000,1,IF($F199*IF($C199="売",1+$AG$2,1-$AG$2)&lt;=5000,5,IF($F199*IF($C199="売",1+$AG$2,1-$AG$2)&lt;=30000,10,IF($F199*IF($C199="売",1+$AG$2,1-$AG$2)&lt;=50000,50,IF($F199*IF($C199="売",1+$AG$2,1-$AG$2)&lt;=300000,100,500)))))),FLOOR($F199*IF($C199="売",1+$AG$2,1-$AG$2),IF($F199*IF($C199="売",1+$AG$2,1-$AG$2)&lt;=3000,1,IF($F199*IF($C199="売",1+$AG$2,1-$AG$2)&lt;=5000,5,IF($F199*IF($C199="売",1+$AG$2,1-$AG$2)&lt;=30000,10,IF($F199*IF($C199="売",1+$AG$2,1-$AG$2)&lt;=50000,50,IF($F199*IF($C199="売",1+$AG$2,1-$AG$2)&lt;=300000,100,500))))))))</f>
      </c>
      <c r="O199" s="478">
        <f>IF(OR($B199="",$F199="",$H199=""),"",IF($S199="✅売却済","―決済済―",IF($C199="売",  IF($H199&lt;=$M199,"🟢利確",  IF(AND($R199&lt;&gt;"",$H199&gt;=$R199),"🟠TRAIL決済",  IF($H199&gt;=$N199,"🔴損切",  IF($W199&gt;=$AG$5,"⏱時間決済",  IF($H199&gt;=$F199*(1+$AG$2*0.7),"⚠️損切接近","保持継続"))))),  IF($H199&gt;=$M199,"🟢利確",  IF(AND($R199&lt;&gt;"",$H199&lt;=$R199),"🟠TRAIL決済",  IF($H199&lt;=$N199,"🔴損切",  IF($W199&gt;=$AG$5,"⏱時間決済",  IF($H199&lt;=$F199*(1-$AG$2*0.7),"⚠️損切接近","保持継続")))))))</f>
      </c>
      <c r="P199" s="445"/>
      <c r="Q199" s="445"/>
      <c r="R199" s="480">
        <f>IF(OR($F199="",$H199="",$N199=""),"",IF($S199="✅売却済","",IF($C199="売",  IF($H199&gt;$F199*(1-$AG$2),$N199,CEILING(MIN($N199,IF($Q199="",$N199,$Q199*1.03)),IF($N199&lt;=3000,1,IF($N199&lt;=5000,5,IF($N199&lt;=30000,10,IF($N199&lt;=50000,50,IF($N199&lt;=300000,100,500))))))),  IF($H199&lt;$F199*(1+$AG$2),$N199,FLOOR(MAX($N199,IF($P199="",$N199,$P199*0.97)),IF($N199&lt;=3000,1,IF($N199&lt;=5000,5,IF($N199&lt;=30000,10,IF($N199&lt;=50000,50,IF($N199&lt;=300000,100,500))))))))))</f>
      </c>
      <c r="S199" s="480" t="str">
        <f t="shared" si="72"/>
        <v/>
      </c>
      <c r="T199" s="596" t="str">
        <f t="shared" ca="1" si="78"/>
        <v/>
      </c>
      <c r="U199" s="598" t="str">
        <f t="shared" ca="1" si="79"/>
        <v/>
      </c>
      <c r="V199" s="703" t="str">
        <f t="shared" ca="1" si="73"/>
        <v/>
      </c>
      <c r="W199" s="480" t="str">
        <f t="shared" ca="1" si="80"/>
        <v/>
      </c>
      <c r="X199" s="480" t="str">
        <f t="shared" ca="1" si="81"/>
        <v/>
      </c>
      <c r="Y199" s="488">
        <f>IF($B199="","",IF(COUNTIFS($B$4:$B199,$B199,$C$4:$C199,$C199)&gt;1,"⛔重複"&amp;COUNTIFS($B$4:$B199,$B199,$C$4:$C199,$C199)&amp;"回目",""))</f>
      </c>
      <c r="Z199" s="710"/>
      <c r="AB199">
        <f>IF($F199="","",MAX(100,ROUNDDOWN($AG$4/($F199*$AG$2)/100,0)*100))</f>
      </c>
      <c r="AC199">
        <f>IF(OR($F199="",$G199="",$U199=""),"",ROUND($V199-($F199+$U199)*$G199*$AG$6-IF($C199="売",$F199*$G199*$AG$7*$W199/365,0),0))</f>
      </c>
      <c r="AD199" s="608"/>
      <c r="AE199" s="600" t="str">
        <f t="shared" si="82"/>
        <v/>
      </c>
      <c r="AF199" s="600"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00"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00" t="str">
        <f t="shared" ca="1" si="83"/>
        <v/>
      </c>
      <c r="AI199" s="600" t="str" cm="1">
        <f t="array" ref="AI199">IFERROR(INDEX(始値!$E$6:$BT$305,MATCH(TEXT($B199,"0"),TEXT(銘柄管理!$B$6:$B$305,"0"),0),MATCH($AE199,始値!$E$3:$BT$3,0)),"")</f>
        <v/>
      </c>
      <c r="AJ199" s="608" t="str">
        <f t="shared" ca="1" si="84"/>
        <v/>
      </c>
      <c r="AK199" s="600" t="str">
        <f t="shared" ca="1" si="85"/>
        <v/>
      </c>
    </row>
    <row r="200" spans="1:37" ht="17.25" customHeight="1">
      <c r="A200" s="621" t="str">
        <f t="shared" si="74"/>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BT$3,0)=1,1,MATCH($E200,始値!$E$3:$BT$3,0)+1)),_xlpm.v,INDEX(始値!$C$6:$B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 t="shared" ca="1" si="69"/>
        <v/>
      </c>
      <c r="L200" s="708" t="str">
        <f t="shared" ca="1" si="70"/>
        <v/>
      </c>
      <c r="M200" s="598">
        <f>IF($F200="","",IF($C200="売",CEILING($F200*IF($C200="売",1-$AG$3,1+$AG$3),IF($F200*IF($C200="売",1-$AG$3,1+$AG$3)&lt;=3000,1,IF($F200*IF($C200="売",1-$AG$3,1+$AG$3)&lt;=5000,5,IF($F200*IF($C200="売",1-$AG$3,1+$AG$3)&lt;=30000,10,IF($F200*IF($C200="売",1-$AG$3,1+$AG$3)&lt;=50000,50,IF($F200*IF($C200="売",1-$AG$3,1+$AG$3)&lt;=300000,100,500)))))),FLOOR($F200*IF($C200="売",1-$AG$3,1+$AG$3),IF($F200*IF($C200="売",1-$AG$3,1+$AG$3)&lt;=3000,1,IF($F200*IF($C200="売",1-$AG$3,1+$AG$3)&lt;=5000,5,IF($F200*IF($C200="売",1-$AG$3,1+$AG$3)&lt;=30000,10,IF($F200*IF($C200="売",1-$AG$3,1+$AG$3)&lt;=50000,50,IF($F200*IF($C200="売",1-$AG$3,1+$AG$3)&lt;=300000,100,500))))))))</f>
      </c>
      <c r="N200" s="598">
        <f>IF($F200="","",IF($C200="売",CEILING($F200*IF($C200="売",1+$AG$2,1-$AG$2),IF($F200*IF($C200="売",1+$AG$2,1-$AG$2)&lt;=3000,1,IF($F200*IF($C200="売",1+$AG$2,1-$AG$2)&lt;=5000,5,IF($F200*IF($C200="売",1+$AG$2,1-$AG$2)&lt;=30000,10,IF($F200*IF($C200="売",1+$AG$2,1-$AG$2)&lt;=50000,50,IF($F200*IF($C200="売",1+$AG$2,1-$AG$2)&lt;=300000,100,500)))))),FLOOR($F200*IF($C200="売",1+$AG$2,1-$AG$2),IF($F200*IF($C200="売",1+$AG$2,1-$AG$2)&lt;=3000,1,IF($F200*IF($C200="売",1+$AG$2,1-$AG$2)&lt;=5000,5,IF($F200*IF($C200="売",1+$AG$2,1-$AG$2)&lt;=30000,10,IF($F200*IF($C200="売",1+$AG$2,1-$AG$2)&lt;=50000,50,IF($F200*IF($C200="売",1+$AG$2,1-$AG$2)&lt;=300000,100,500))))))))</f>
      </c>
      <c r="O200" s="478">
        <f>IF(OR($B200="",$F200="",$H200=""),"",IF($S200="✅売却済","―決済済―",IF($C200="売",  IF($H200&lt;=$M200,"🟢利確",  IF(AND($R200&lt;&gt;"",$H200&gt;=$R200),"🟠TRAIL決済",  IF($H200&gt;=$N200,"🔴損切",  IF($W200&gt;=$AG$5,"⏱時間決済",  IF($H200&gt;=$F200*(1+$AG$2*0.7),"⚠️損切接近","保持継続"))))),  IF($H200&gt;=$M200,"🟢利確",  IF(AND($R200&lt;&gt;"",$H200&lt;=$R200),"🟠TRAIL決済",  IF($H200&lt;=$N200,"🔴損切",  IF($W200&gt;=$AG$5,"⏱時間決済",  IF($H200&lt;=$F200*(1-$AG$2*0.7),"⚠️損切接近","保持継続")))))))</f>
      </c>
      <c r="P200" s="445"/>
      <c r="Q200" s="445"/>
      <c r="R200" s="480">
        <f>IF(OR($F200="",$H200="",$N200=""),"",IF($S200="✅売却済","",IF($C200="売",  IF($H200&gt;$F200*(1-$AG$2),$N200,CEILING(MIN($N200,IF($Q200="",$N200,$Q200*1.03)),IF($N200&lt;=3000,1,IF($N200&lt;=5000,5,IF($N200&lt;=30000,10,IF($N200&lt;=50000,50,IF($N200&lt;=300000,100,500))))))),  IF($H200&lt;$F200*(1+$AG$2),$N200,FLOOR(MAX($N200,IF($P200="",$N200,$P200*0.97)),IF($N200&lt;=3000,1,IF($N200&lt;=5000,5,IF($N200&lt;=30000,10,IF($N200&lt;=50000,50,IF($N200&lt;=300000,100,500))))))))))</f>
      </c>
      <c r="S200" s="480" t="str">
        <f t="shared" si="72"/>
        <v/>
      </c>
      <c r="T200" s="596" t="str">
        <f t="shared" ca="1" si="78"/>
        <v/>
      </c>
      <c r="U200" s="598" t="str">
        <f t="shared" ca="1" si="79"/>
        <v/>
      </c>
      <c r="V200" s="703" t="str">
        <f t="shared" ca="1" si="73"/>
        <v/>
      </c>
      <c r="W200" s="480" t="str">
        <f t="shared" ca="1" si="80"/>
        <v/>
      </c>
      <c r="X200" s="480" t="str">
        <f t="shared" ca="1" si="81"/>
        <v/>
      </c>
      <c r="Y200" s="488">
        <f>IF($B200="","",IF(COUNTIFS($B$4:$B200,$B200,$C$4:$C200,$C200)&gt;1,"⛔重複"&amp;COUNTIFS($B$4:$B200,$B200,$C$4:$C200,$C200)&amp;"回目",""))</f>
      </c>
      <c r="Z200" s="710"/>
      <c r="AB200">
        <f>IF($F200="","",MAX(100,ROUNDDOWN($AG$4/($F200*$AG$2)/100,0)*100))</f>
      </c>
      <c r="AC200">
        <f>IF(OR($F200="",$G200="",$U200=""),"",ROUND($V200-($F200+$U200)*$G200*$AG$6-IF($C200="売",$F200*$G200*$AG$7*$W200/365,0),0))</f>
      </c>
      <c r="AD200" s="608"/>
      <c r="AE200" s="600" t="str">
        <f t="shared" si="82"/>
        <v/>
      </c>
      <c r="AF200" s="600"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00"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00" t="str">
        <f t="shared" ca="1" si="83"/>
        <v/>
      </c>
      <c r="AI200" s="600" t="str" cm="1">
        <f t="array" ref="AI200">IFERROR(INDEX(始値!$E$6:$BT$305,MATCH(TEXT($B200,"0"),TEXT(銘柄管理!$B$6:$B$305,"0"),0),MATCH($AE200,始値!$E$3:$BT$3,0)),"")</f>
        <v/>
      </c>
      <c r="AJ200" s="608" t="str">
        <f t="shared" ca="1" si="84"/>
        <v/>
      </c>
      <c r="AK200" s="600" t="str">
        <f t="shared" ca="1" si="85"/>
        <v/>
      </c>
    </row>
    <row r="201" spans="1:37" ht="17.25" customHeight="1">
      <c r="A201" s="621" t="str">
        <f t="shared" si="74"/>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BT$3,0)=1,1,MATCH($E201,始値!$E$3:$BT$3,0)+1)),_xlpm.v,INDEX(始値!$C$6:$B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 t="shared" ca="1" si="69"/>
        <v/>
      </c>
      <c r="L201" s="708" t="str">
        <f t="shared" ca="1" si="70"/>
        <v/>
      </c>
      <c r="M201" s="598">
        <f>IF($F201="","",IF($C201="売",CEILING($F201*IF($C201="売",1-$AG$3,1+$AG$3),IF($F201*IF($C201="売",1-$AG$3,1+$AG$3)&lt;=3000,1,IF($F201*IF($C201="売",1-$AG$3,1+$AG$3)&lt;=5000,5,IF($F201*IF($C201="売",1-$AG$3,1+$AG$3)&lt;=30000,10,IF($F201*IF($C201="売",1-$AG$3,1+$AG$3)&lt;=50000,50,IF($F201*IF($C201="売",1-$AG$3,1+$AG$3)&lt;=300000,100,500)))))),FLOOR($F201*IF($C201="売",1-$AG$3,1+$AG$3),IF($F201*IF($C201="売",1-$AG$3,1+$AG$3)&lt;=3000,1,IF($F201*IF($C201="売",1-$AG$3,1+$AG$3)&lt;=5000,5,IF($F201*IF($C201="売",1-$AG$3,1+$AG$3)&lt;=30000,10,IF($F201*IF($C201="売",1-$AG$3,1+$AG$3)&lt;=50000,50,IF($F201*IF($C201="売",1-$AG$3,1+$AG$3)&lt;=300000,100,500))))))))</f>
      </c>
      <c r="N201" s="598">
        <f>IF($F201="","",IF($C201="売",CEILING($F201*IF($C201="売",1+$AG$2,1-$AG$2),IF($F201*IF($C201="売",1+$AG$2,1-$AG$2)&lt;=3000,1,IF($F201*IF($C201="売",1+$AG$2,1-$AG$2)&lt;=5000,5,IF($F201*IF($C201="売",1+$AG$2,1-$AG$2)&lt;=30000,10,IF($F201*IF($C201="売",1+$AG$2,1-$AG$2)&lt;=50000,50,IF($F201*IF($C201="売",1+$AG$2,1-$AG$2)&lt;=300000,100,500)))))),FLOOR($F201*IF($C201="売",1+$AG$2,1-$AG$2),IF($F201*IF($C201="売",1+$AG$2,1-$AG$2)&lt;=3000,1,IF($F201*IF($C201="売",1+$AG$2,1-$AG$2)&lt;=5000,5,IF($F201*IF($C201="売",1+$AG$2,1-$AG$2)&lt;=30000,10,IF($F201*IF($C201="売",1+$AG$2,1-$AG$2)&lt;=50000,50,IF($F201*IF($C201="売",1+$AG$2,1-$AG$2)&lt;=300000,100,500))))))))</f>
      </c>
      <c r="O201" s="478">
        <f>IF(OR($B201="",$F201="",$H201=""),"",IF($S201="✅売却済","―決済済―",IF($C201="売",  IF($H201&lt;=$M201,"🟢利確",  IF(AND($R201&lt;&gt;"",$H201&gt;=$R201),"🟠TRAIL決済",  IF($H201&gt;=$N201,"🔴損切",  IF($W201&gt;=$AG$5,"⏱時間決済",  IF($H201&gt;=$F201*(1+$AG$2*0.7),"⚠️損切接近","保持継続"))))),  IF($H201&gt;=$M201,"🟢利確",  IF(AND($R201&lt;&gt;"",$H201&lt;=$R201),"🟠TRAIL決済",  IF($H201&lt;=$N201,"🔴損切",  IF($W201&gt;=$AG$5,"⏱時間決済",  IF($H201&lt;=$F201*(1-$AG$2*0.7),"⚠️損切接近","保持継続")))))))</f>
      </c>
      <c r="P201" s="445"/>
      <c r="Q201" s="445"/>
      <c r="R201" s="480">
        <f>IF(OR($F201="",$H201="",$N201=""),"",IF($S201="✅売却済","",IF($C201="売",  IF($H201&gt;$F201*(1-$AG$2),$N201,CEILING(MIN($N201,IF($Q201="",$N201,$Q201*1.03)),IF($N201&lt;=3000,1,IF($N201&lt;=5000,5,IF($N201&lt;=30000,10,IF($N201&lt;=50000,50,IF($N201&lt;=300000,100,500))))))),  IF($H201&lt;$F201*(1+$AG$2),$N201,FLOOR(MAX($N201,IF($P201="",$N201,$P201*0.97)),IF($N201&lt;=3000,1,IF($N201&lt;=5000,5,IF($N201&lt;=30000,10,IF($N201&lt;=50000,50,IF($N201&lt;=300000,100,500))))))))))</f>
      </c>
      <c r="S201" s="480" t="str">
        <f t="shared" si="72"/>
        <v/>
      </c>
      <c r="T201" s="596" t="str">
        <f t="shared" ca="1" si="78"/>
        <v/>
      </c>
      <c r="U201" s="598" t="str">
        <f t="shared" ca="1" si="79"/>
        <v/>
      </c>
      <c r="V201" s="703" t="str">
        <f t="shared" ca="1" si="73"/>
        <v/>
      </c>
      <c r="W201" s="480" t="str">
        <f t="shared" ca="1" si="80"/>
        <v/>
      </c>
      <c r="X201" s="480" t="str">
        <f t="shared" ca="1" si="81"/>
        <v/>
      </c>
      <c r="Y201" s="488">
        <f>IF($B201="","",IF(COUNTIFS($B$4:$B201,$B201,$C$4:$C201,$C201)&gt;1,"⛔重複"&amp;COUNTIFS($B$4:$B201,$B201,$C$4:$C201,$C201)&amp;"回目",""))</f>
      </c>
      <c r="Z201" s="710"/>
      <c r="AB201">
        <f>IF($F201="","",MAX(100,ROUNDDOWN($AG$4/($F201*$AG$2)/100,0)*100))</f>
      </c>
      <c r="AC201">
        <f>IF(OR($F201="",$G201="",$U201=""),"",ROUND($V201-($F201+$U201)*$G201*$AG$6-IF($C201="売",$F201*$G201*$AG$7*$W201/365,0),0))</f>
      </c>
      <c r="AD201" s="608"/>
      <c r="AE201" s="600" t="str">
        <f t="shared" si="82"/>
        <v/>
      </c>
      <c r="AF201" s="600"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00"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00" t="str">
        <f t="shared" ca="1" si="83"/>
        <v/>
      </c>
      <c r="AI201" s="600" t="str" cm="1">
        <f t="array" ref="AI201">IFERROR(INDEX(始値!$E$6:$BT$305,MATCH(TEXT($B201,"0"),TEXT(銘柄管理!$B$6:$B$305,"0"),0),MATCH($AE201,始値!$E$3:$BT$3,0)),"")</f>
        <v/>
      </c>
      <c r="AJ201" s="608" t="str">
        <f t="shared" ca="1" si="84"/>
        <v/>
      </c>
      <c r="AK201" s="600" t="str">
        <f t="shared" ca="1" si="85"/>
        <v/>
      </c>
    </row>
    <row r="202" spans="1:37" ht="17.25" customHeight="1">
      <c r="A202" s="621" t="str">
        <f t="shared" si="74"/>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BT$3,0)=1,1,MATCH($E202,始値!$E$3:$BT$3,0)+1)),_xlpm.v,INDEX(始値!$C$6:$B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 t="shared" ref="K202:K265" ca="1" si="86">IF(OR(F202="",G202="",H202=""),"",IF(C202="売",(F202-H202)*G202,(H202-F202)*G202))</f>
        <v/>
      </c>
      <c r="L202" s="708" t="str">
        <f t="shared" ref="L202:L265" ca="1" si="87">IF(OR(F202="",H202=""),"",IF(C202="売",(F202-H202)/F202,(H202-F202)/F202))</f>
        <v/>
      </c>
      <c r="M202" s="598">
        <f>IF($F202="","",IF($C202="売",CEILING($F202*IF($C202="売",1-$AG$3,1+$AG$3),IF($F202*IF($C202="売",1-$AG$3,1+$AG$3)&lt;=3000,1,IF($F202*IF($C202="売",1-$AG$3,1+$AG$3)&lt;=5000,5,IF($F202*IF($C202="売",1-$AG$3,1+$AG$3)&lt;=30000,10,IF($F202*IF($C202="売",1-$AG$3,1+$AG$3)&lt;=50000,50,IF($F202*IF($C202="売",1-$AG$3,1+$AG$3)&lt;=300000,100,500)))))),FLOOR($F202*IF($C202="売",1-$AG$3,1+$AG$3),IF($F202*IF($C202="売",1-$AG$3,1+$AG$3)&lt;=3000,1,IF($F202*IF($C202="売",1-$AG$3,1+$AG$3)&lt;=5000,5,IF($F202*IF($C202="売",1-$AG$3,1+$AG$3)&lt;=30000,10,IF($F202*IF($C202="売",1-$AG$3,1+$AG$3)&lt;=50000,50,IF($F202*IF($C202="売",1-$AG$3,1+$AG$3)&lt;=300000,100,500))))))))</f>
      </c>
      <c r="N202" s="598">
        <f>IF($F202="","",IF($C202="売",CEILING($F202*IF($C202="売",1+$AG$2,1-$AG$2),IF($F202*IF($C202="売",1+$AG$2,1-$AG$2)&lt;=3000,1,IF($F202*IF($C202="売",1+$AG$2,1-$AG$2)&lt;=5000,5,IF($F202*IF($C202="売",1+$AG$2,1-$AG$2)&lt;=30000,10,IF($F202*IF($C202="売",1+$AG$2,1-$AG$2)&lt;=50000,50,IF($F202*IF($C202="売",1+$AG$2,1-$AG$2)&lt;=300000,100,500)))))),FLOOR($F202*IF($C202="売",1+$AG$2,1-$AG$2),IF($F202*IF($C202="売",1+$AG$2,1-$AG$2)&lt;=3000,1,IF($F202*IF($C202="売",1+$AG$2,1-$AG$2)&lt;=5000,5,IF($F202*IF($C202="売",1+$AG$2,1-$AG$2)&lt;=30000,10,IF($F202*IF($C202="売",1+$AG$2,1-$AG$2)&lt;=50000,50,IF($F202*IF($C202="売",1+$AG$2,1-$AG$2)&lt;=300000,100,500))))))))</f>
      </c>
      <c r="O202" s="478">
        <f>IF(OR($B202="",$F202="",$H202=""),"",IF($S202="✅売却済","―決済済―",IF($C202="売",  IF($H202&lt;=$M202,"🟢利確",  IF(AND($R202&lt;&gt;"",$H202&gt;=$R202),"🟠TRAIL決済",  IF($H202&gt;=$N202,"🔴損切",  IF($W202&gt;=$AG$5,"⏱時間決済",  IF($H202&gt;=$F202*(1+$AG$2*0.7),"⚠️損切接近","保持継続"))))),  IF($H202&gt;=$M202,"🟢利確",  IF(AND($R202&lt;&gt;"",$H202&lt;=$R202),"🟠TRAIL決済",  IF($H202&lt;=$N202,"🔴損切",  IF($W202&gt;=$AG$5,"⏱時間決済",  IF($H202&lt;=$F202*(1-$AG$2*0.7),"⚠️損切接近","保持継続")))))))</f>
      </c>
      <c r="P202" s="445"/>
      <c r="Q202" s="445"/>
      <c r="R202" s="480">
        <f>IF(OR($F202="",$H202="",$N202=""),"",IF($S202="✅売却済","",IF($C202="売",  IF($H202&gt;$F202*(1-$AG$2),$N202,CEILING(MIN($N202,IF($Q202="",$N202,$Q202*1.03)),IF($N202&lt;=3000,1,IF($N202&lt;=5000,5,IF($N202&lt;=30000,10,IF($N202&lt;=50000,50,IF($N202&lt;=300000,100,500))))))),  IF($H202&lt;$F202*(1+$AG$2),$N202,FLOOR(MAX($N202,IF($P202="",$N202,$P202*0.97)),IF($N202&lt;=3000,1,IF($N202&lt;=5000,5,IF($N202&lt;=30000,10,IF($N202&lt;=50000,50,IF($N202&lt;=300000,100,500))))))))))</f>
      </c>
      <c r="S202" s="480" t="str">
        <f t="shared" ref="S202:S265" si="89">IF(B202="","",IF(T202&lt;&gt;"","✅売却済",IF(OR(H202="",L202=""),"📌保有中",IF(L202&gt;=0.06,"🟢利確推奨",IF(L202&gt;=0.05,"🟡利確直近",IF(L202&gt;=0.045,"🔵トレーリング検討",IF(L202&gt;-0.03,"📌保有中",IF(L202&gt;-0.04,"⚠️損切注意","🔴損切り"))))))))</f>
        <v/>
      </c>
      <c r="T202" s="596" t="str">
        <f t="shared" ca="1" si="78"/>
        <v/>
      </c>
      <c r="U202" s="598" t="str">
        <f t="shared" ca="1" si="79"/>
        <v/>
      </c>
      <c r="V202" s="703" t="str">
        <f t="shared" ref="V202:V265" ca="1" si="90">IF(OR(F202="",G202="",U202=""),"",IF(C202="売",(F202-U202)*G202,(U202-F202)*G202))</f>
        <v/>
      </c>
      <c r="W202" s="480" t="str">
        <f t="shared" ca="1" si="80"/>
        <v/>
      </c>
      <c r="X202" s="480" t="str">
        <f t="shared" ca="1" si="81"/>
        <v/>
      </c>
      <c r="Y202" s="488">
        <f>IF($B202="","",IF(COUNTIFS($B$4:$B202,$B202,$C$4:$C202,$C202)&gt;1,"⛔重複"&amp;COUNTIFS($B$4:$B202,$B202,$C$4:$C202,$C202)&amp;"回目",""))</f>
      </c>
      <c r="Z202" s="710"/>
      <c r="AB202">
        <f>IF($F202="","",MAX(100,ROUNDDOWN($AG$4/($F202*$AG$2)/100,0)*100))</f>
      </c>
      <c r="AC202">
        <f>IF(OR($F202="",$G202="",$U202=""),"",ROUND($V202-($F202+$U202)*$G202*$AG$6-IF($C202="売",$F202*$G202*$AG$7*$W202/365,0),0))</f>
      </c>
      <c r="AD202" s="608"/>
      <c r="AE202" s="600" t="str">
        <f t="shared" si="82"/>
        <v/>
      </c>
      <c r="AF202" s="600"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00"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00" t="str">
        <f t="shared" ca="1" si="83"/>
        <v/>
      </c>
      <c r="AI202" s="600" t="str" cm="1">
        <f t="array" ref="AI202">IFERROR(INDEX(始値!$E$6:$BT$305,MATCH(TEXT($B202,"0"),TEXT(銘柄管理!$B$6:$B$305,"0"),0),MATCH($AE202,始値!$E$3:$BT$3,0)),"")</f>
        <v/>
      </c>
      <c r="AJ202" s="608" t="str">
        <f t="shared" ca="1" si="84"/>
        <v/>
      </c>
      <c r="AK202" s="600" t="str">
        <f t="shared" ca="1" si="85"/>
        <v/>
      </c>
    </row>
    <row r="203" spans="1:37" ht="17.25" customHeight="1">
      <c r="A203" s="621" t="str">
        <f t="shared" si="74"/>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BT$3,0)=1,1,MATCH($E203,始値!$E$3:$BT$3,0)+1)),_xlpm.v,INDEX(始値!$C$6:$B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 t="shared" ca="1" si="86"/>
        <v/>
      </c>
      <c r="L203" s="708" t="str">
        <f t="shared" ca="1" si="87"/>
        <v/>
      </c>
      <c r="M203" s="598">
        <f>IF($F203="","",IF($C203="売",CEILING($F203*IF($C203="売",1-$AG$3,1+$AG$3),IF($F203*IF($C203="売",1-$AG$3,1+$AG$3)&lt;=3000,1,IF($F203*IF($C203="売",1-$AG$3,1+$AG$3)&lt;=5000,5,IF($F203*IF($C203="売",1-$AG$3,1+$AG$3)&lt;=30000,10,IF($F203*IF($C203="売",1-$AG$3,1+$AG$3)&lt;=50000,50,IF($F203*IF($C203="売",1-$AG$3,1+$AG$3)&lt;=300000,100,500)))))),FLOOR($F203*IF($C203="売",1-$AG$3,1+$AG$3),IF($F203*IF($C203="売",1-$AG$3,1+$AG$3)&lt;=3000,1,IF($F203*IF($C203="売",1-$AG$3,1+$AG$3)&lt;=5000,5,IF($F203*IF($C203="売",1-$AG$3,1+$AG$3)&lt;=30000,10,IF($F203*IF($C203="売",1-$AG$3,1+$AG$3)&lt;=50000,50,IF($F203*IF($C203="売",1-$AG$3,1+$AG$3)&lt;=300000,100,500))))))))</f>
      </c>
      <c r="N203" s="598">
        <f>IF($F203="","",IF($C203="売",CEILING($F203*IF($C203="売",1+$AG$2,1-$AG$2),IF($F203*IF($C203="売",1+$AG$2,1-$AG$2)&lt;=3000,1,IF($F203*IF($C203="売",1+$AG$2,1-$AG$2)&lt;=5000,5,IF($F203*IF($C203="売",1+$AG$2,1-$AG$2)&lt;=30000,10,IF($F203*IF($C203="売",1+$AG$2,1-$AG$2)&lt;=50000,50,IF($F203*IF($C203="売",1+$AG$2,1-$AG$2)&lt;=300000,100,500)))))),FLOOR($F203*IF($C203="売",1+$AG$2,1-$AG$2),IF($F203*IF($C203="売",1+$AG$2,1-$AG$2)&lt;=3000,1,IF($F203*IF($C203="売",1+$AG$2,1-$AG$2)&lt;=5000,5,IF($F203*IF($C203="売",1+$AG$2,1-$AG$2)&lt;=30000,10,IF($F203*IF($C203="売",1+$AG$2,1-$AG$2)&lt;=50000,50,IF($F203*IF($C203="売",1+$AG$2,1-$AG$2)&lt;=300000,100,500))))))))</f>
      </c>
      <c r="O203" s="478">
        <f>IF(OR($B203="",$F203="",$H203=""),"",IF($S203="✅売却済","―決済済―",IF($C203="売",  IF($H203&lt;=$M203,"🟢利確",  IF(AND($R203&lt;&gt;"",$H203&gt;=$R203),"🟠TRAIL決済",  IF($H203&gt;=$N203,"🔴損切",  IF($W203&gt;=$AG$5,"⏱時間決済",  IF($H203&gt;=$F203*(1+$AG$2*0.7),"⚠️損切接近","保持継続"))))),  IF($H203&gt;=$M203,"🟢利確",  IF(AND($R203&lt;&gt;"",$H203&lt;=$R203),"🟠TRAIL決済",  IF($H203&lt;=$N203,"🔴損切",  IF($W203&gt;=$AG$5,"⏱時間決済",  IF($H203&lt;=$F203*(1-$AG$2*0.7),"⚠️損切接近","保持継続")))))))</f>
      </c>
      <c r="P203" s="445"/>
      <c r="Q203" s="445"/>
      <c r="R203" s="480">
        <f>IF(OR($F203="",$H203="",$N203=""),"",IF($S203="✅売却済","",IF($C203="売",  IF($H203&gt;$F203*(1-$AG$2),$N203,CEILING(MIN($N203,IF($Q203="",$N203,$Q203*1.03)),IF($N203&lt;=3000,1,IF($N203&lt;=5000,5,IF($N203&lt;=30000,10,IF($N203&lt;=50000,50,IF($N203&lt;=300000,100,500))))))),  IF($H203&lt;$F203*(1+$AG$2),$N203,FLOOR(MAX($N203,IF($P203="",$N203,$P203*0.97)),IF($N203&lt;=3000,1,IF($N203&lt;=5000,5,IF($N203&lt;=30000,10,IF($N203&lt;=50000,50,IF($N203&lt;=300000,100,500))))))))))</f>
      </c>
      <c r="S203" s="480" t="str">
        <f t="shared" si="89"/>
        <v/>
      </c>
      <c r="T203" s="596" t="str">
        <f t="shared" ca="1" si="78"/>
        <v/>
      </c>
      <c r="U203" s="598" t="str">
        <f t="shared" ca="1" si="79"/>
        <v/>
      </c>
      <c r="V203" s="703" t="str">
        <f t="shared" ca="1" si="90"/>
        <v/>
      </c>
      <c r="W203" s="480" t="str">
        <f t="shared" ca="1" si="80"/>
        <v/>
      </c>
      <c r="X203" s="480" t="str">
        <f t="shared" ca="1" si="81"/>
        <v/>
      </c>
      <c r="Y203" s="488">
        <f>IF($B203="","",IF(COUNTIFS($B$4:$B203,$B203,$C$4:$C203,$C203)&gt;1,"⛔重複"&amp;COUNTIFS($B$4:$B203,$B203,$C$4:$C203,$C203)&amp;"回目",""))</f>
      </c>
      <c r="Z203" s="710"/>
      <c r="AB203">
        <f>IF($F203="","",MAX(100,ROUNDDOWN($AG$4/($F203*$AG$2)/100,0)*100))</f>
      </c>
      <c r="AC203">
        <f>IF(OR($F203="",$G203="",$U203=""),"",ROUND($V203-($F203+$U203)*$G203*$AG$6-IF($C203="売",$F203*$G203*$AG$7*$W203/365,0),0))</f>
      </c>
      <c r="AD203" s="608"/>
      <c r="AE203" s="600" t="str">
        <f t="shared" si="82"/>
        <v/>
      </c>
      <c r="AF203" s="600"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00"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00" t="str">
        <f t="shared" ca="1" si="83"/>
        <v/>
      </c>
      <c r="AI203" s="600" t="str" cm="1">
        <f t="array" ref="AI203">IFERROR(INDEX(始値!$E$6:$BT$305,MATCH(TEXT($B203,"0"),TEXT(銘柄管理!$B$6:$B$305,"0"),0),MATCH($AE203,始値!$E$3:$BT$3,0)),"")</f>
        <v/>
      </c>
      <c r="AJ203" s="608" t="str">
        <f t="shared" ca="1" si="84"/>
        <v/>
      </c>
      <c r="AK203" s="600" t="str">
        <f t="shared" ca="1" si="85"/>
        <v/>
      </c>
    </row>
    <row r="204" spans="1:37" ht="17.25" customHeight="1">
      <c r="A204" s="621" t="str">
        <f t="shared" si="74"/>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BT$3,0)=1,1,MATCH($E204,始値!$E$3:$BT$3,0)+1)),_xlpm.v,INDEX(始値!$C$6:$B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 t="shared" ca="1" si="86"/>
        <v/>
      </c>
      <c r="L204" s="708" t="str">
        <f t="shared" ca="1" si="87"/>
        <v/>
      </c>
      <c r="M204" s="598">
        <f>IF($F204="","",IF($C204="売",CEILING($F204*IF($C204="売",1-$AG$3,1+$AG$3),IF($F204*IF($C204="売",1-$AG$3,1+$AG$3)&lt;=3000,1,IF($F204*IF($C204="売",1-$AG$3,1+$AG$3)&lt;=5000,5,IF($F204*IF($C204="売",1-$AG$3,1+$AG$3)&lt;=30000,10,IF($F204*IF($C204="売",1-$AG$3,1+$AG$3)&lt;=50000,50,IF($F204*IF($C204="売",1-$AG$3,1+$AG$3)&lt;=300000,100,500)))))),FLOOR($F204*IF($C204="売",1-$AG$3,1+$AG$3),IF($F204*IF($C204="売",1-$AG$3,1+$AG$3)&lt;=3000,1,IF($F204*IF($C204="売",1-$AG$3,1+$AG$3)&lt;=5000,5,IF($F204*IF($C204="売",1-$AG$3,1+$AG$3)&lt;=30000,10,IF($F204*IF($C204="売",1-$AG$3,1+$AG$3)&lt;=50000,50,IF($F204*IF($C204="売",1-$AG$3,1+$AG$3)&lt;=300000,100,500))))))))</f>
      </c>
      <c r="N204" s="598">
        <f>IF($F204="","",IF($C204="売",CEILING($F204*IF($C204="売",1+$AG$2,1-$AG$2),IF($F204*IF($C204="売",1+$AG$2,1-$AG$2)&lt;=3000,1,IF($F204*IF($C204="売",1+$AG$2,1-$AG$2)&lt;=5000,5,IF($F204*IF($C204="売",1+$AG$2,1-$AG$2)&lt;=30000,10,IF($F204*IF($C204="売",1+$AG$2,1-$AG$2)&lt;=50000,50,IF($F204*IF($C204="売",1+$AG$2,1-$AG$2)&lt;=300000,100,500)))))),FLOOR($F204*IF($C204="売",1+$AG$2,1-$AG$2),IF($F204*IF($C204="売",1+$AG$2,1-$AG$2)&lt;=3000,1,IF($F204*IF($C204="売",1+$AG$2,1-$AG$2)&lt;=5000,5,IF($F204*IF($C204="売",1+$AG$2,1-$AG$2)&lt;=30000,10,IF($F204*IF($C204="売",1+$AG$2,1-$AG$2)&lt;=50000,50,IF($F204*IF($C204="売",1+$AG$2,1-$AG$2)&lt;=300000,100,500))))))))</f>
      </c>
      <c r="O204" s="478">
        <f>IF(OR($B204="",$F204="",$H204=""),"",IF($S204="✅売却済","―決済済―",IF($C204="売",  IF($H204&lt;=$M204,"🟢利確",  IF(AND($R204&lt;&gt;"",$H204&gt;=$R204),"🟠TRAIL決済",  IF($H204&gt;=$N204,"🔴損切",  IF($W204&gt;=$AG$5,"⏱時間決済",  IF($H204&gt;=$F204*(1+$AG$2*0.7),"⚠️損切接近","保持継続"))))),  IF($H204&gt;=$M204,"🟢利確",  IF(AND($R204&lt;&gt;"",$H204&lt;=$R204),"🟠TRAIL決済",  IF($H204&lt;=$N204,"🔴損切",  IF($W204&gt;=$AG$5,"⏱時間決済",  IF($H204&lt;=$F204*(1-$AG$2*0.7),"⚠️損切接近","保持継続")))))))</f>
      </c>
      <c r="P204" s="445"/>
      <c r="Q204" s="445"/>
      <c r="R204" s="480">
        <f>IF(OR($F204="",$H204="",$N204=""),"",IF($S204="✅売却済","",IF($C204="売",  IF($H204&gt;$F204*(1-$AG$2),$N204,CEILING(MIN($N204,IF($Q204="",$N204,$Q204*1.03)),IF($N204&lt;=3000,1,IF($N204&lt;=5000,5,IF($N204&lt;=30000,10,IF($N204&lt;=50000,50,IF($N204&lt;=300000,100,500))))))),  IF($H204&lt;$F204*(1+$AG$2),$N204,FLOOR(MAX($N204,IF($P204="",$N204,$P204*0.97)),IF($N204&lt;=3000,1,IF($N204&lt;=5000,5,IF($N204&lt;=30000,10,IF($N204&lt;=50000,50,IF($N204&lt;=300000,100,500))))))))))</f>
      </c>
      <c r="S204" s="480" t="str">
        <f t="shared" si="89"/>
        <v/>
      </c>
      <c r="T204" s="596" t="str">
        <f t="shared" ca="1" si="78"/>
        <v/>
      </c>
      <c r="U204" s="598" t="str">
        <f t="shared" ca="1" si="79"/>
        <v/>
      </c>
      <c r="V204" s="703" t="str">
        <f t="shared" ca="1" si="90"/>
        <v/>
      </c>
      <c r="W204" s="480" t="str">
        <f t="shared" ca="1" si="80"/>
        <v/>
      </c>
      <c r="X204" s="480" t="str">
        <f t="shared" ca="1" si="81"/>
        <v/>
      </c>
      <c r="Y204" s="488">
        <f>IF($B204="","",IF(COUNTIFS($B$4:$B204,$B204,$C$4:$C204,$C204)&gt;1,"⛔重複"&amp;COUNTIFS($B$4:$B204,$B204,$C$4:$C204,$C204)&amp;"回目",""))</f>
      </c>
      <c r="Z204" s="710"/>
      <c r="AB204">
        <f>IF($F204="","",MAX(100,ROUNDDOWN($AG$4/($F204*$AG$2)/100,0)*100))</f>
      </c>
      <c r="AC204">
        <f>IF(OR($F204="",$G204="",$U204=""),"",ROUND($V204-($F204+$U204)*$G204*$AG$6-IF($C204="売",$F204*$G204*$AG$7*$W204/365,0),0))</f>
      </c>
      <c r="AD204" s="608"/>
      <c r="AE204" s="600" t="str">
        <f t="shared" si="82"/>
        <v/>
      </c>
      <c r="AF204" s="600"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00"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00" t="str">
        <f t="shared" ca="1" si="83"/>
        <v/>
      </c>
      <c r="AI204" s="600" t="str" cm="1">
        <f t="array" ref="AI204">IFERROR(INDEX(始値!$E$6:$BT$305,MATCH(TEXT($B204,"0"),TEXT(銘柄管理!$B$6:$B$305,"0"),0),MATCH($AE204,始値!$E$3:$BT$3,0)),"")</f>
        <v/>
      </c>
      <c r="AJ204" s="608" t="str">
        <f t="shared" ca="1" si="84"/>
        <v/>
      </c>
      <c r="AK204" s="600" t="str">
        <f t="shared" ca="1" si="85"/>
        <v/>
      </c>
    </row>
    <row r="205" spans="1:37" ht="17.25" customHeight="1">
      <c r="A205" s="621" t="str">
        <f t="shared" si="74"/>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BT$3,0)=1,1,MATCH($E205,始値!$E$3:$BT$3,0)+1)),_xlpm.v,INDEX(始値!$C$6:$B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 t="shared" ca="1" si="86"/>
        <v/>
      </c>
      <c r="L205" s="708" t="str">
        <f t="shared" ca="1" si="87"/>
        <v/>
      </c>
      <c r="M205" s="598">
        <f>IF($F205="","",IF($C205="売",CEILING($F205*IF($C205="売",1-$AG$3,1+$AG$3),IF($F205*IF($C205="売",1-$AG$3,1+$AG$3)&lt;=3000,1,IF($F205*IF($C205="売",1-$AG$3,1+$AG$3)&lt;=5000,5,IF($F205*IF($C205="売",1-$AG$3,1+$AG$3)&lt;=30000,10,IF($F205*IF($C205="売",1-$AG$3,1+$AG$3)&lt;=50000,50,IF($F205*IF($C205="売",1-$AG$3,1+$AG$3)&lt;=300000,100,500)))))),FLOOR($F205*IF($C205="売",1-$AG$3,1+$AG$3),IF($F205*IF($C205="売",1-$AG$3,1+$AG$3)&lt;=3000,1,IF($F205*IF($C205="売",1-$AG$3,1+$AG$3)&lt;=5000,5,IF($F205*IF($C205="売",1-$AG$3,1+$AG$3)&lt;=30000,10,IF($F205*IF($C205="売",1-$AG$3,1+$AG$3)&lt;=50000,50,IF($F205*IF($C205="売",1-$AG$3,1+$AG$3)&lt;=300000,100,500))))))))</f>
      </c>
      <c r="N205" s="598">
        <f>IF($F205="","",IF($C205="売",CEILING($F205*IF($C205="売",1+$AG$2,1-$AG$2),IF($F205*IF($C205="売",1+$AG$2,1-$AG$2)&lt;=3000,1,IF($F205*IF($C205="売",1+$AG$2,1-$AG$2)&lt;=5000,5,IF($F205*IF($C205="売",1+$AG$2,1-$AG$2)&lt;=30000,10,IF($F205*IF($C205="売",1+$AG$2,1-$AG$2)&lt;=50000,50,IF($F205*IF($C205="売",1+$AG$2,1-$AG$2)&lt;=300000,100,500)))))),FLOOR($F205*IF($C205="売",1+$AG$2,1-$AG$2),IF($F205*IF($C205="売",1+$AG$2,1-$AG$2)&lt;=3000,1,IF($F205*IF($C205="売",1+$AG$2,1-$AG$2)&lt;=5000,5,IF($F205*IF($C205="売",1+$AG$2,1-$AG$2)&lt;=30000,10,IF($F205*IF($C205="売",1+$AG$2,1-$AG$2)&lt;=50000,50,IF($F205*IF($C205="売",1+$AG$2,1-$AG$2)&lt;=300000,100,500))))))))</f>
      </c>
      <c r="O205" s="478">
        <f>IF(OR($B205="",$F205="",$H205=""),"",IF($S205="✅売却済","―決済済―",IF($C205="売",  IF($H205&lt;=$M205,"🟢利確",  IF(AND($R205&lt;&gt;"",$H205&gt;=$R205),"🟠TRAIL決済",  IF($H205&gt;=$N205,"🔴損切",  IF($W205&gt;=$AG$5,"⏱時間決済",  IF($H205&gt;=$F205*(1+$AG$2*0.7),"⚠️損切接近","保持継続"))))),  IF($H205&gt;=$M205,"🟢利確",  IF(AND($R205&lt;&gt;"",$H205&lt;=$R205),"🟠TRAIL決済",  IF($H205&lt;=$N205,"🔴損切",  IF($W205&gt;=$AG$5,"⏱時間決済",  IF($H205&lt;=$F205*(1-$AG$2*0.7),"⚠️損切接近","保持継続")))))))</f>
      </c>
      <c r="P205" s="445"/>
      <c r="Q205" s="445"/>
      <c r="R205" s="480">
        <f>IF(OR($F205="",$H205="",$N205=""),"",IF($S205="✅売却済","",IF($C205="売",  IF($H205&gt;$F205*(1-$AG$2),$N205,CEILING(MIN($N205,IF($Q205="",$N205,$Q205*1.03)),IF($N205&lt;=3000,1,IF($N205&lt;=5000,5,IF($N205&lt;=30000,10,IF($N205&lt;=50000,50,IF($N205&lt;=300000,100,500))))))),  IF($H205&lt;$F205*(1+$AG$2),$N205,FLOOR(MAX($N205,IF($P205="",$N205,$P205*0.97)),IF($N205&lt;=3000,1,IF($N205&lt;=5000,5,IF($N205&lt;=30000,10,IF($N205&lt;=50000,50,IF($N205&lt;=300000,100,500))))))))))</f>
      </c>
      <c r="S205" s="480" t="str">
        <f t="shared" si="89"/>
        <v/>
      </c>
      <c r="T205" s="596" t="str">
        <f t="shared" ca="1" si="78"/>
        <v/>
      </c>
      <c r="U205" s="598" t="str">
        <f t="shared" ca="1" si="79"/>
        <v/>
      </c>
      <c r="V205" s="703" t="str">
        <f t="shared" ca="1" si="90"/>
        <v/>
      </c>
      <c r="W205" s="480" t="str">
        <f t="shared" ca="1" si="80"/>
        <v/>
      </c>
      <c r="X205" s="480" t="str">
        <f t="shared" ca="1" si="81"/>
        <v/>
      </c>
      <c r="Y205" s="488">
        <f>IF($B205="","",IF(COUNTIFS($B$4:$B205,$B205,$C$4:$C205,$C205)&gt;1,"⛔重複"&amp;COUNTIFS($B$4:$B205,$B205,$C$4:$C205,$C205)&amp;"回目",""))</f>
      </c>
      <c r="Z205" s="710"/>
      <c r="AB205">
        <f>IF($F205="","",MAX(100,ROUNDDOWN($AG$4/($F205*$AG$2)/100,0)*100))</f>
      </c>
      <c r="AC205">
        <f>IF(OR($F205="",$G205="",$U205=""),"",ROUND($V205-($F205+$U205)*$G205*$AG$6-IF($C205="売",$F205*$G205*$AG$7*$W205/365,0),0))</f>
      </c>
      <c r="AD205" s="608"/>
      <c r="AE205" s="600" t="str">
        <f t="shared" si="82"/>
        <v/>
      </c>
      <c r="AF205" s="600"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00"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00" t="str">
        <f t="shared" ca="1" si="83"/>
        <v/>
      </c>
      <c r="AI205" s="600" t="str" cm="1">
        <f t="array" ref="AI205">IFERROR(INDEX(始値!$E$6:$BT$305,MATCH(TEXT($B205,"0"),TEXT(銘柄管理!$B$6:$B$305,"0"),0),MATCH($AE205,始値!$E$3:$BT$3,0)),"")</f>
        <v/>
      </c>
      <c r="AJ205" s="608" t="str">
        <f t="shared" ca="1" si="84"/>
        <v/>
      </c>
      <c r="AK205" s="600" t="str">
        <f t="shared" ca="1" si="85"/>
        <v/>
      </c>
    </row>
    <row r="206" spans="1:37" ht="17.25" customHeight="1">
      <c r="A206" s="621" t="str">
        <f t="shared" si="74"/>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BT$3,0)=1,1,MATCH($E206,始値!$E$3:$BT$3,0)+1)),_xlpm.v,INDEX(始値!$C$6:$B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 t="shared" ca="1" si="86"/>
        <v/>
      </c>
      <c r="L206" s="708" t="str">
        <f t="shared" ca="1" si="87"/>
        <v/>
      </c>
      <c r="M206" s="598">
        <f>IF($F206="","",IF($C206="売",CEILING($F206*IF($C206="売",1-$AG$3,1+$AG$3),IF($F206*IF($C206="売",1-$AG$3,1+$AG$3)&lt;=3000,1,IF($F206*IF($C206="売",1-$AG$3,1+$AG$3)&lt;=5000,5,IF($F206*IF($C206="売",1-$AG$3,1+$AG$3)&lt;=30000,10,IF($F206*IF($C206="売",1-$AG$3,1+$AG$3)&lt;=50000,50,IF($F206*IF($C206="売",1-$AG$3,1+$AG$3)&lt;=300000,100,500)))))),FLOOR($F206*IF($C206="売",1-$AG$3,1+$AG$3),IF($F206*IF($C206="売",1-$AG$3,1+$AG$3)&lt;=3000,1,IF($F206*IF($C206="売",1-$AG$3,1+$AG$3)&lt;=5000,5,IF($F206*IF($C206="売",1-$AG$3,1+$AG$3)&lt;=30000,10,IF($F206*IF($C206="売",1-$AG$3,1+$AG$3)&lt;=50000,50,IF($F206*IF($C206="売",1-$AG$3,1+$AG$3)&lt;=300000,100,500))))))))</f>
      </c>
      <c r="N206" s="598">
        <f>IF($F206="","",IF($C206="売",CEILING($F206*IF($C206="売",1+$AG$2,1-$AG$2),IF($F206*IF($C206="売",1+$AG$2,1-$AG$2)&lt;=3000,1,IF($F206*IF($C206="売",1+$AG$2,1-$AG$2)&lt;=5000,5,IF($F206*IF($C206="売",1+$AG$2,1-$AG$2)&lt;=30000,10,IF($F206*IF($C206="売",1+$AG$2,1-$AG$2)&lt;=50000,50,IF($F206*IF($C206="売",1+$AG$2,1-$AG$2)&lt;=300000,100,500)))))),FLOOR($F206*IF($C206="売",1+$AG$2,1-$AG$2),IF($F206*IF($C206="売",1+$AG$2,1-$AG$2)&lt;=3000,1,IF($F206*IF($C206="売",1+$AG$2,1-$AG$2)&lt;=5000,5,IF($F206*IF($C206="売",1+$AG$2,1-$AG$2)&lt;=30000,10,IF($F206*IF($C206="売",1+$AG$2,1-$AG$2)&lt;=50000,50,IF($F206*IF($C206="売",1+$AG$2,1-$AG$2)&lt;=300000,100,500))))))))</f>
      </c>
      <c r="O206" s="478">
        <f>IF(OR($B206="",$F206="",$H206=""),"",IF($S206="✅売却済","―決済済―",IF($C206="売",  IF($H206&lt;=$M206,"🟢利確",  IF(AND($R206&lt;&gt;"",$H206&gt;=$R206),"🟠TRAIL決済",  IF($H206&gt;=$N206,"🔴損切",  IF($W206&gt;=$AG$5,"⏱時間決済",  IF($H206&gt;=$F206*(1+$AG$2*0.7),"⚠️損切接近","保持継続"))))),  IF($H206&gt;=$M206,"🟢利確",  IF(AND($R206&lt;&gt;"",$H206&lt;=$R206),"🟠TRAIL決済",  IF($H206&lt;=$N206,"🔴損切",  IF($W206&gt;=$AG$5,"⏱時間決済",  IF($H206&lt;=$F206*(1-$AG$2*0.7),"⚠️損切接近","保持継続")))))))</f>
      </c>
      <c r="P206" s="445"/>
      <c r="Q206" s="445"/>
      <c r="R206" s="480">
        <f>IF(OR($F206="",$H206="",$N206=""),"",IF($S206="✅売却済","",IF($C206="売",  IF($H206&gt;$F206*(1-$AG$2),$N206,CEILING(MIN($N206,IF($Q206="",$N206,$Q206*1.03)),IF($N206&lt;=3000,1,IF($N206&lt;=5000,5,IF($N206&lt;=30000,10,IF($N206&lt;=50000,50,IF($N206&lt;=300000,100,500))))))),  IF($H206&lt;$F206*(1+$AG$2),$N206,FLOOR(MAX($N206,IF($P206="",$N206,$P206*0.97)),IF($N206&lt;=3000,1,IF($N206&lt;=5000,5,IF($N206&lt;=30000,10,IF($N206&lt;=50000,50,IF($N206&lt;=300000,100,500))))))))))</f>
      </c>
      <c r="S206" s="480" t="str">
        <f t="shared" si="89"/>
        <v/>
      </c>
      <c r="T206" s="596" t="str">
        <f t="shared" ca="1" si="78"/>
        <v/>
      </c>
      <c r="U206" s="598" t="str">
        <f t="shared" ca="1" si="79"/>
        <v/>
      </c>
      <c r="V206" s="703" t="str">
        <f t="shared" ca="1" si="90"/>
        <v/>
      </c>
      <c r="W206" s="480" t="str">
        <f t="shared" ca="1" si="80"/>
        <v/>
      </c>
      <c r="X206" s="480" t="str">
        <f t="shared" ca="1" si="81"/>
        <v/>
      </c>
      <c r="Y206" s="488">
        <f>IF($B206="","",IF(COUNTIFS($B$4:$B206,$B206,$C$4:$C206,$C206)&gt;1,"⛔重複"&amp;COUNTIFS($B$4:$B206,$B206,$C$4:$C206,$C206)&amp;"回目",""))</f>
      </c>
      <c r="Z206" s="710"/>
      <c r="AB206">
        <f>IF($F206="","",MAX(100,ROUNDDOWN($AG$4/($F206*$AG$2)/100,0)*100))</f>
      </c>
      <c r="AC206">
        <f>IF(OR($F206="",$G206="",$U206=""),"",ROUND($V206-($F206+$U206)*$G206*$AG$6-IF($C206="売",$F206*$G206*$AG$7*$W206/365,0),0))</f>
      </c>
      <c r="AD206" s="608"/>
      <c r="AE206" s="600" t="str">
        <f t="shared" si="82"/>
        <v/>
      </c>
      <c r="AF206" s="600"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00"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00" t="str">
        <f t="shared" ca="1" si="83"/>
        <v/>
      </c>
      <c r="AI206" s="600" t="str" cm="1">
        <f t="array" ref="AI206">IFERROR(INDEX(始値!$E$6:$BT$305,MATCH(TEXT($B206,"0"),TEXT(銘柄管理!$B$6:$B$305,"0"),0),MATCH($AE206,始値!$E$3:$BT$3,0)),"")</f>
        <v/>
      </c>
      <c r="AJ206" s="608" t="str">
        <f t="shared" ca="1" si="84"/>
        <v/>
      </c>
      <c r="AK206" s="600" t="str">
        <f t="shared" ca="1" si="85"/>
        <v/>
      </c>
    </row>
    <row r="207" spans="1:37" ht="17.25" customHeight="1">
      <c r="A207" s="621" t="str">
        <f t="shared" si="74"/>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BT$3,0)=1,1,MATCH($E207,始値!$E$3:$BT$3,0)+1)),_xlpm.v,INDEX(始値!$C$6:$B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 t="shared" ca="1" si="86"/>
        <v/>
      </c>
      <c r="L207" s="708" t="str">
        <f t="shared" ca="1" si="87"/>
        <v/>
      </c>
      <c r="M207" s="598">
        <f>IF($F207="","",IF($C207="売",CEILING($F207*IF($C207="売",1-$AG$3,1+$AG$3),IF($F207*IF($C207="売",1-$AG$3,1+$AG$3)&lt;=3000,1,IF($F207*IF($C207="売",1-$AG$3,1+$AG$3)&lt;=5000,5,IF($F207*IF($C207="売",1-$AG$3,1+$AG$3)&lt;=30000,10,IF($F207*IF($C207="売",1-$AG$3,1+$AG$3)&lt;=50000,50,IF($F207*IF($C207="売",1-$AG$3,1+$AG$3)&lt;=300000,100,500)))))),FLOOR($F207*IF($C207="売",1-$AG$3,1+$AG$3),IF($F207*IF($C207="売",1-$AG$3,1+$AG$3)&lt;=3000,1,IF($F207*IF($C207="売",1-$AG$3,1+$AG$3)&lt;=5000,5,IF($F207*IF($C207="売",1-$AG$3,1+$AG$3)&lt;=30000,10,IF($F207*IF($C207="売",1-$AG$3,1+$AG$3)&lt;=50000,50,IF($F207*IF($C207="売",1-$AG$3,1+$AG$3)&lt;=300000,100,500))))))))</f>
      </c>
      <c r="N207" s="598">
        <f>IF($F207="","",IF($C207="売",CEILING($F207*IF($C207="売",1+$AG$2,1-$AG$2),IF($F207*IF($C207="売",1+$AG$2,1-$AG$2)&lt;=3000,1,IF($F207*IF($C207="売",1+$AG$2,1-$AG$2)&lt;=5000,5,IF($F207*IF($C207="売",1+$AG$2,1-$AG$2)&lt;=30000,10,IF($F207*IF($C207="売",1+$AG$2,1-$AG$2)&lt;=50000,50,IF($F207*IF($C207="売",1+$AG$2,1-$AG$2)&lt;=300000,100,500)))))),FLOOR($F207*IF($C207="売",1+$AG$2,1-$AG$2),IF($F207*IF($C207="売",1+$AG$2,1-$AG$2)&lt;=3000,1,IF($F207*IF($C207="売",1+$AG$2,1-$AG$2)&lt;=5000,5,IF($F207*IF($C207="売",1+$AG$2,1-$AG$2)&lt;=30000,10,IF($F207*IF($C207="売",1+$AG$2,1-$AG$2)&lt;=50000,50,IF($F207*IF($C207="売",1+$AG$2,1-$AG$2)&lt;=300000,100,500))))))))</f>
      </c>
      <c r="O207" s="478">
        <f>IF(OR($B207="",$F207="",$H207=""),"",IF($S207="✅売却済","―決済済―",IF($C207="売",  IF($H207&lt;=$M207,"🟢利確",  IF(AND($R207&lt;&gt;"",$H207&gt;=$R207),"🟠TRAIL決済",  IF($H207&gt;=$N207,"🔴損切",  IF($W207&gt;=$AG$5,"⏱時間決済",  IF($H207&gt;=$F207*(1+$AG$2*0.7),"⚠️損切接近","保持継続"))))),  IF($H207&gt;=$M207,"🟢利確",  IF(AND($R207&lt;&gt;"",$H207&lt;=$R207),"🟠TRAIL決済",  IF($H207&lt;=$N207,"🔴損切",  IF($W207&gt;=$AG$5,"⏱時間決済",  IF($H207&lt;=$F207*(1-$AG$2*0.7),"⚠️損切接近","保持継続")))))))</f>
      </c>
      <c r="P207" s="445"/>
      <c r="Q207" s="445"/>
      <c r="R207" s="480">
        <f>IF(OR($F207="",$H207="",$N207=""),"",IF($S207="✅売却済","",IF($C207="売",  IF($H207&gt;$F207*(1-$AG$2),$N207,CEILING(MIN($N207,IF($Q207="",$N207,$Q207*1.03)),IF($N207&lt;=3000,1,IF($N207&lt;=5000,5,IF($N207&lt;=30000,10,IF($N207&lt;=50000,50,IF($N207&lt;=300000,100,500))))))),  IF($H207&lt;$F207*(1+$AG$2),$N207,FLOOR(MAX($N207,IF($P207="",$N207,$P207*0.97)),IF($N207&lt;=3000,1,IF($N207&lt;=5000,5,IF($N207&lt;=30000,10,IF($N207&lt;=50000,50,IF($N207&lt;=300000,100,500))))))))))</f>
      </c>
      <c r="S207" s="480" t="str">
        <f t="shared" si="89"/>
        <v/>
      </c>
      <c r="T207" s="596" t="str">
        <f t="shared" ca="1" si="78"/>
        <v/>
      </c>
      <c r="U207" s="598" t="str">
        <f t="shared" ca="1" si="79"/>
        <v/>
      </c>
      <c r="V207" s="703" t="str">
        <f t="shared" ca="1" si="90"/>
        <v/>
      </c>
      <c r="W207" s="480" t="str">
        <f t="shared" ca="1" si="80"/>
        <v/>
      </c>
      <c r="X207" s="480" t="str">
        <f t="shared" ca="1" si="81"/>
        <v/>
      </c>
      <c r="Y207" s="488">
        <f>IF($B207="","",IF(COUNTIFS($B$4:$B207,$B207,$C$4:$C207,$C207)&gt;1,"⛔重複"&amp;COUNTIFS($B$4:$B207,$B207,$C$4:$C207,$C207)&amp;"回目",""))</f>
      </c>
      <c r="Z207" s="710"/>
      <c r="AB207">
        <f>IF($F207="","",MAX(100,ROUNDDOWN($AG$4/($F207*$AG$2)/100,0)*100))</f>
      </c>
      <c r="AC207">
        <f>IF(OR($F207="",$G207="",$U207=""),"",ROUND($V207-($F207+$U207)*$G207*$AG$6-IF($C207="売",$F207*$G207*$AG$7*$W207/365,0),0))</f>
      </c>
      <c r="AD207" s="608"/>
      <c r="AE207" s="600" t="str">
        <f t="shared" si="82"/>
        <v/>
      </c>
      <c r="AF207" s="600"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00"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00" t="str">
        <f t="shared" ca="1" si="83"/>
        <v/>
      </c>
      <c r="AI207" s="600" t="str" cm="1">
        <f t="array" ref="AI207">IFERROR(INDEX(始値!$E$6:$BT$305,MATCH(TEXT($B207,"0"),TEXT(銘柄管理!$B$6:$B$305,"0"),0),MATCH($AE207,始値!$E$3:$BT$3,0)),"")</f>
        <v/>
      </c>
      <c r="AJ207" s="608" t="str">
        <f t="shared" ca="1" si="84"/>
        <v/>
      </c>
      <c r="AK207" s="600" t="str">
        <f t="shared" ca="1" si="85"/>
        <v/>
      </c>
    </row>
    <row r="208" spans="1:37" ht="17.25" customHeight="1">
      <c r="A208" s="621" t="str">
        <f t="shared" si="74"/>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BT$3,0)=1,1,MATCH($E208,始値!$E$3:$BT$3,0)+1)),_xlpm.v,INDEX(始値!$C$6:$B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 t="shared" ca="1" si="86"/>
        <v/>
      </c>
      <c r="L208" s="708" t="str">
        <f t="shared" ca="1" si="87"/>
        <v/>
      </c>
      <c r="M208" s="598">
        <f>IF($F208="","",IF($C208="売",CEILING($F208*IF($C208="売",1-$AG$3,1+$AG$3),IF($F208*IF($C208="売",1-$AG$3,1+$AG$3)&lt;=3000,1,IF($F208*IF($C208="売",1-$AG$3,1+$AG$3)&lt;=5000,5,IF($F208*IF($C208="売",1-$AG$3,1+$AG$3)&lt;=30000,10,IF($F208*IF($C208="売",1-$AG$3,1+$AG$3)&lt;=50000,50,IF($F208*IF($C208="売",1-$AG$3,1+$AG$3)&lt;=300000,100,500)))))),FLOOR($F208*IF($C208="売",1-$AG$3,1+$AG$3),IF($F208*IF($C208="売",1-$AG$3,1+$AG$3)&lt;=3000,1,IF($F208*IF($C208="売",1-$AG$3,1+$AG$3)&lt;=5000,5,IF($F208*IF($C208="売",1-$AG$3,1+$AG$3)&lt;=30000,10,IF($F208*IF($C208="売",1-$AG$3,1+$AG$3)&lt;=50000,50,IF($F208*IF($C208="売",1-$AG$3,1+$AG$3)&lt;=300000,100,500))))))))</f>
      </c>
      <c r="N208" s="598">
        <f>IF($F208="","",IF($C208="売",CEILING($F208*IF($C208="売",1+$AG$2,1-$AG$2),IF($F208*IF($C208="売",1+$AG$2,1-$AG$2)&lt;=3000,1,IF($F208*IF($C208="売",1+$AG$2,1-$AG$2)&lt;=5000,5,IF($F208*IF($C208="売",1+$AG$2,1-$AG$2)&lt;=30000,10,IF($F208*IF($C208="売",1+$AG$2,1-$AG$2)&lt;=50000,50,IF($F208*IF($C208="売",1+$AG$2,1-$AG$2)&lt;=300000,100,500)))))),FLOOR($F208*IF($C208="売",1+$AG$2,1-$AG$2),IF($F208*IF($C208="売",1+$AG$2,1-$AG$2)&lt;=3000,1,IF($F208*IF($C208="売",1+$AG$2,1-$AG$2)&lt;=5000,5,IF($F208*IF($C208="売",1+$AG$2,1-$AG$2)&lt;=30000,10,IF($F208*IF($C208="売",1+$AG$2,1-$AG$2)&lt;=50000,50,IF($F208*IF($C208="売",1+$AG$2,1-$AG$2)&lt;=300000,100,500))))))))</f>
      </c>
      <c r="O208" s="478">
        <f>IF(OR($B208="",$F208="",$H208=""),"",IF($S208="✅売却済","―決済済―",IF($C208="売",  IF($H208&lt;=$M208,"🟢利確",  IF(AND($R208&lt;&gt;"",$H208&gt;=$R208),"🟠TRAIL決済",  IF($H208&gt;=$N208,"🔴損切",  IF($W208&gt;=$AG$5,"⏱時間決済",  IF($H208&gt;=$F208*(1+$AG$2*0.7),"⚠️損切接近","保持継続"))))),  IF($H208&gt;=$M208,"🟢利確",  IF(AND($R208&lt;&gt;"",$H208&lt;=$R208),"🟠TRAIL決済",  IF($H208&lt;=$N208,"🔴損切",  IF($W208&gt;=$AG$5,"⏱時間決済",  IF($H208&lt;=$F208*(1-$AG$2*0.7),"⚠️損切接近","保持継続")))))))</f>
      </c>
      <c r="P208" s="445"/>
      <c r="Q208" s="445"/>
      <c r="R208" s="480">
        <f>IF(OR($F208="",$H208="",$N208=""),"",IF($S208="✅売却済","",IF($C208="売",  IF($H208&gt;$F208*(1-$AG$2),$N208,CEILING(MIN($N208,IF($Q208="",$N208,$Q208*1.03)),IF($N208&lt;=3000,1,IF($N208&lt;=5000,5,IF($N208&lt;=30000,10,IF($N208&lt;=50000,50,IF($N208&lt;=300000,100,500))))))),  IF($H208&lt;$F208*(1+$AG$2),$N208,FLOOR(MAX($N208,IF($P208="",$N208,$P208*0.97)),IF($N208&lt;=3000,1,IF($N208&lt;=5000,5,IF($N208&lt;=30000,10,IF($N208&lt;=50000,50,IF($N208&lt;=300000,100,500))))))))))</f>
      </c>
      <c r="S208" s="480" t="str">
        <f t="shared" si="89"/>
        <v/>
      </c>
      <c r="T208" s="596" t="str">
        <f t="shared" ca="1" si="78"/>
        <v/>
      </c>
      <c r="U208" s="598" t="str">
        <f t="shared" ca="1" si="79"/>
        <v/>
      </c>
      <c r="V208" s="703" t="str">
        <f t="shared" ca="1" si="90"/>
        <v/>
      </c>
      <c r="W208" s="480" t="str">
        <f t="shared" ca="1" si="80"/>
        <v/>
      </c>
      <c r="X208" s="480" t="str">
        <f t="shared" ca="1" si="81"/>
        <v/>
      </c>
      <c r="Y208" s="488">
        <f>IF($B208="","",IF(COUNTIFS($B$4:$B208,$B208,$C$4:$C208,$C208)&gt;1,"⛔重複"&amp;COUNTIFS($B$4:$B208,$B208,$C$4:$C208,$C208)&amp;"回目",""))</f>
      </c>
      <c r="Z208" s="710"/>
      <c r="AB208">
        <f>IF($F208="","",MAX(100,ROUNDDOWN($AG$4/($F208*$AG$2)/100,0)*100))</f>
      </c>
      <c r="AC208">
        <f>IF(OR($F208="",$G208="",$U208=""),"",ROUND($V208-($F208+$U208)*$G208*$AG$6-IF($C208="売",$F208*$G208*$AG$7*$W208/365,0),0))</f>
      </c>
      <c r="AD208" s="608"/>
      <c r="AE208" s="600" t="str">
        <f t="shared" si="82"/>
        <v/>
      </c>
      <c r="AF208" s="600"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00"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00" t="str">
        <f t="shared" ca="1" si="83"/>
        <v/>
      </c>
      <c r="AI208" s="600" t="str" cm="1">
        <f t="array" ref="AI208">IFERROR(INDEX(始値!$E$6:$BT$305,MATCH(TEXT($B208,"0"),TEXT(銘柄管理!$B$6:$B$305,"0"),0),MATCH($AE208,始値!$E$3:$BT$3,0)),"")</f>
        <v/>
      </c>
      <c r="AJ208" s="608" t="str">
        <f t="shared" ca="1" si="84"/>
        <v/>
      </c>
      <c r="AK208" s="600" t="str">
        <f t="shared" ca="1" si="85"/>
        <v/>
      </c>
    </row>
    <row r="209" spans="1:37" ht="17.25" customHeight="1">
      <c r="A209" s="621" t="str">
        <f t="shared" si="74"/>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BT$3,0)=1,1,MATCH($E209,始値!$E$3:$BT$3,0)+1)),_xlpm.v,INDEX(始値!$C$6:$B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 t="shared" ca="1" si="86"/>
        <v/>
      </c>
      <c r="L209" s="708" t="str">
        <f t="shared" ca="1" si="87"/>
        <v/>
      </c>
      <c r="M209" s="598">
        <f>IF($F209="","",IF($C209="売",CEILING($F209*IF($C209="売",1-$AG$3,1+$AG$3),IF($F209*IF($C209="売",1-$AG$3,1+$AG$3)&lt;=3000,1,IF($F209*IF($C209="売",1-$AG$3,1+$AG$3)&lt;=5000,5,IF($F209*IF($C209="売",1-$AG$3,1+$AG$3)&lt;=30000,10,IF($F209*IF($C209="売",1-$AG$3,1+$AG$3)&lt;=50000,50,IF($F209*IF($C209="売",1-$AG$3,1+$AG$3)&lt;=300000,100,500)))))),FLOOR($F209*IF($C209="売",1-$AG$3,1+$AG$3),IF($F209*IF($C209="売",1-$AG$3,1+$AG$3)&lt;=3000,1,IF($F209*IF($C209="売",1-$AG$3,1+$AG$3)&lt;=5000,5,IF($F209*IF($C209="売",1-$AG$3,1+$AG$3)&lt;=30000,10,IF($F209*IF($C209="売",1-$AG$3,1+$AG$3)&lt;=50000,50,IF($F209*IF($C209="売",1-$AG$3,1+$AG$3)&lt;=300000,100,500))))))))</f>
      </c>
      <c r="N209" s="598">
        <f>IF($F209="","",IF($C209="売",CEILING($F209*IF($C209="売",1+$AG$2,1-$AG$2),IF($F209*IF($C209="売",1+$AG$2,1-$AG$2)&lt;=3000,1,IF($F209*IF($C209="売",1+$AG$2,1-$AG$2)&lt;=5000,5,IF($F209*IF($C209="売",1+$AG$2,1-$AG$2)&lt;=30000,10,IF($F209*IF($C209="売",1+$AG$2,1-$AG$2)&lt;=50000,50,IF($F209*IF($C209="売",1+$AG$2,1-$AG$2)&lt;=300000,100,500)))))),FLOOR($F209*IF($C209="売",1+$AG$2,1-$AG$2),IF($F209*IF($C209="売",1+$AG$2,1-$AG$2)&lt;=3000,1,IF($F209*IF($C209="売",1+$AG$2,1-$AG$2)&lt;=5000,5,IF($F209*IF($C209="売",1+$AG$2,1-$AG$2)&lt;=30000,10,IF($F209*IF($C209="売",1+$AG$2,1-$AG$2)&lt;=50000,50,IF($F209*IF($C209="売",1+$AG$2,1-$AG$2)&lt;=300000,100,500))))))))</f>
      </c>
      <c r="O209" s="478">
        <f>IF(OR($B209="",$F209="",$H209=""),"",IF($S209="✅売却済","―決済済―",IF($C209="売",  IF($H209&lt;=$M209,"🟢利確",  IF(AND($R209&lt;&gt;"",$H209&gt;=$R209),"🟠TRAIL決済",  IF($H209&gt;=$N209,"🔴損切",  IF($W209&gt;=$AG$5,"⏱時間決済",  IF($H209&gt;=$F209*(1+$AG$2*0.7),"⚠️損切接近","保持継続"))))),  IF($H209&gt;=$M209,"🟢利確",  IF(AND($R209&lt;&gt;"",$H209&lt;=$R209),"🟠TRAIL決済",  IF($H209&lt;=$N209,"🔴損切",  IF($W209&gt;=$AG$5,"⏱時間決済",  IF($H209&lt;=$F209*(1-$AG$2*0.7),"⚠️損切接近","保持継続")))))))</f>
      </c>
      <c r="P209" s="445"/>
      <c r="Q209" s="445"/>
      <c r="R209" s="480">
        <f>IF(OR($F209="",$H209="",$N209=""),"",IF($S209="✅売却済","",IF($C209="売",  IF($H209&gt;$F209*(1-$AG$2),$N209,CEILING(MIN($N209,IF($Q209="",$N209,$Q209*1.03)),IF($N209&lt;=3000,1,IF($N209&lt;=5000,5,IF($N209&lt;=30000,10,IF($N209&lt;=50000,50,IF($N209&lt;=300000,100,500))))))),  IF($H209&lt;$F209*(1+$AG$2),$N209,FLOOR(MAX($N209,IF($P209="",$N209,$P209*0.97)),IF($N209&lt;=3000,1,IF($N209&lt;=5000,5,IF($N209&lt;=30000,10,IF($N209&lt;=50000,50,IF($N209&lt;=300000,100,500))))))))))</f>
      </c>
      <c r="S209" s="480" t="str">
        <f t="shared" si="89"/>
        <v/>
      </c>
      <c r="T209" s="596" t="str">
        <f t="shared" ca="1" si="78"/>
        <v/>
      </c>
      <c r="U209" s="598" t="str">
        <f t="shared" ca="1" si="79"/>
        <v/>
      </c>
      <c r="V209" s="703" t="str">
        <f t="shared" ca="1" si="90"/>
        <v/>
      </c>
      <c r="W209" s="480" t="str">
        <f t="shared" ca="1" si="80"/>
        <v/>
      </c>
      <c r="X209" s="480" t="str">
        <f t="shared" ca="1" si="81"/>
        <v/>
      </c>
      <c r="Y209" s="488">
        <f>IF($B209="","",IF(COUNTIFS($B$4:$B209,$B209,$C$4:$C209,$C209)&gt;1,"⛔重複"&amp;COUNTIFS($B$4:$B209,$B209,$C$4:$C209,$C209)&amp;"回目",""))</f>
      </c>
      <c r="Z209" s="710"/>
      <c r="AB209">
        <f>IF($F209="","",MAX(100,ROUNDDOWN($AG$4/($F209*$AG$2)/100,0)*100))</f>
      </c>
      <c r="AC209">
        <f>IF(OR($F209="",$G209="",$U209=""),"",ROUND($V209-($F209+$U209)*$G209*$AG$6-IF($C209="売",$F209*$G209*$AG$7*$W209/365,0),0))</f>
      </c>
      <c r="AD209" s="608"/>
      <c r="AE209" s="600" t="str">
        <f t="shared" si="82"/>
        <v/>
      </c>
      <c r="AF209" s="600"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00"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00" t="str">
        <f t="shared" ca="1" si="83"/>
        <v/>
      </c>
      <c r="AI209" s="600" t="str" cm="1">
        <f t="array" ref="AI209">IFERROR(INDEX(始値!$E$6:$BT$305,MATCH(TEXT($B209,"0"),TEXT(銘柄管理!$B$6:$B$305,"0"),0),MATCH($AE209,始値!$E$3:$BT$3,0)),"")</f>
        <v/>
      </c>
      <c r="AJ209" s="608" t="str">
        <f t="shared" ca="1" si="84"/>
        <v/>
      </c>
      <c r="AK209" s="600" t="str">
        <f t="shared" ca="1" si="85"/>
        <v/>
      </c>
    </row>
    <row r="210" spans="1:37" ht="17.25" customHeight="1">
      <c r="A210" s="621" t="str">
        <f t="shared" si="74"/>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BT$3,0)=1,1,MATCH($E210,始値!$E$3:$BT$3,0)+1)),_xlpm.v,INDEX(始値!$C$6:$B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 t="shared" ca="1" si="86"/>
        <v/>
      </c>
      <c r="L210" s="708" t="str">
        <f t="shared" ca="1" si="87"/>
        <v/>
      </c>
      <c r="M210" s="598">
        <f>IF($F210="","",IF($C210="売",CEILING($F210*IF($C210="売",1-$AG$3,1+$AG$3),IF($F210*IF($C210="売",1-$AG$3,1+$AG$3)&lt;=3000,1,IF($F210*IF($C210="売",1-$AG$3,1+$AG$3)&lt;=5000,5,IF($F210*IF($C210="売",1-$AG$3,1+$AG$3)&lt;=30000,10,IF($F210*IF($C210="売",1-$AG$3,1+$AG$3)&lt;=50000,50,IF($F210*IF($C210="売",1-$AG$3,1+$AG$3)&lt;=300000,100,500)))))),FLOOR($F210*IF($C210="売",1-$AG$3,1+$AG$3),IF($F210*IF($C210="売",1-$AG$3,1+$AG$3)&lt;=3000,1,IF($F210*IF($C210="売",1-$AG$3,1+$AG$3)&lt;=5000,5,IF($F210*IF($C210="売",1-$AG$3,1+$AG$3)&lt;=30000,10,IF($F210*IF($C210="売",1-$AG$3,1+$AG$3)&lt;=50000,50,IF($F210*IF($C210="売",1-$AG$3,1+$AG$3)&lt;=300000,100,500))))))))</f>
      </c>
      <c r="N210" s="598">
        <f>IF($F210="","",IF($C210="売",CEILING($F210*IF($C210="売",1+$AG$2,1-$AG$2),IF($F210*IF($C210="売",1+$AG$2,1-$AG$2)&lt;=3000,1,IF($F210*IF($C210="売",1+$AG$2,1-$AG$2)&lt;=5000,5,IF($F210*IF($C210="売",1+$AG$2,1-$AG$2)&lt;=30000,10,IF($F210*IF($C210="売",1+$AG$2,1-$AG$2)&lt;=50000,50,IF($F210*IF($C210="売",1+$AG$2,1-$AG$2)&lt;=300000,100,500)))))),FLOOR($F210*IF($C210="売",1+$AG$2,1-$AG$2),IF($F210*IF($C210="売",1+$AG$2,1-$AG$2)&lt;=3000,1,IF($F210*IF($C210="売",1+$AG$2,1-$AG$2)&lt;=5000,5,IF($F210*IF($C210="売",1+$AG$2,1-$AG$2)&lt;=30000,10,IF($F210*IF($C210="売",1+$AG$2,1-$AG$2)&lt;=50000,50,IF($F210*IF($C210="売",1+$AG$2,1-$AG$2)&lt;=300000,100,500))))))))</f>
      </c>
      <c r="O210" s="478">
        <f>IF(OR($B210="",$F210="",$H210=""),"",IF($S210="✅売却済","―決済済―",IF($C210="売",  IF($H210&lt;=$M210,"🟢利確",  IF(AND($R210&lt;&gt;"",$H210&gt;=$R210),"🟠TRAIL決済",  IF($H210&gt;=$N210,"🔴損切",  IF($W210&gt;=$AG$5,"⏱時間決済",  IF($H210&gt;=$F210*(1+$AG$2*0.7),"⚠️損切接近","保持継続"))))),  IF($H210&gt;=$M210,"🟢利確",  IF(AND($R210&lt;&gt;"",$H210&lt;=$R210),"🟠TRAIL決済",  IF($H210&lt;=$N210,"🔴損切",  IF($W210&gt;=$AG$5,"⏱時間決済",  IF($H210&lt;=$F210*(1-$AG$2*0.7),"⚠️損切接近","保持継続")))))))</f>
      </c>
      <c r="P210" s="445"/>
      <c r="Q210" s="445"/>
      <c r="R210" s="480">
        <f>IF(OR($F210="",$H210="",$N210=""),"",IF($S210="✅売却済","",IF($C210="売",  IF($H210&gt;$F210*(1-$AG$2),$N210,CEILING(MIN($N210,IF($Q210="",$N210,$Q210*1.03)),IF($N210&lt;=3000,1,IF($N210&lt;=5000,5,IF($N210&lt;=30000,10,IF($N210&lt;=50000,50,IF($N210&lt;=300000,100,500))))))),  IF($H210&lt;$F210*(1+$AG$2),$N210,FLOOR(MAX($N210,IF($P210="",$N210,$P210*0.97)),IF($N210&lt;=3000,1,IF($N210&lt;=5000,5,IF($N210&lt;=30000,10,IF($N210&lt;=50000,50,IF($N210&lt;=300000,100,500))))))))))</f>
      </c>
      <c r="S210" s="480" t="str">
        <f t="shared" si="89"/>
        <v/>
      </c>
      <c r="T210" s="596" t="str">
        <f t="shared" ca="1" si="78"/>
        <v/>
      </c>
      <c r="U210" s="598" t="str">
        <f t="shared" ca="1" si="79"/>
        <v/>
      </c>
      <c r="V210" s="703" t="str">
        <f t="shared" ca="1" si="90"/>
        <v/>
      </c>
      <c r="W210" s="480" t="str">
        <f t="shared" ca="1" si="80"/>
        <v/>
      </c>
      <c r="X210" s="480" t="str">
        <f t="shared" ca="1" si="81"/>
        <v/>
      </c>
      <c r="Y210" s="488">
        <f>IF($B210="","",IF(COUNTIFS($B$4:$B210,$B210,$C$4:$C210,$C210)&gt;1,"⛔重複"&amp;COUNTIFS($B$4:$B210,$B210,$C$4:$C210,$C210)&amp;"回目",""))</f>
      </c>
      <c r="Z210" s="710"/>
      <c r="AB210">
        <f>IF($F210="","",MAX(100,ROUNDDOWN($AG$4/($F210*$AG$2)/100,0)*100))</f>
      </c>
      <c r="AC210">
        <f>IF(OR($F210="",$G210="",$U210=""),"",ROUND($V210-($F210+$U210)*$G210*$AG$6-IF($C210="売",$F210*$G210*$AG$7*$W210/365,0),0))</f>
      </c>
      <c r="AD210" s="608"/>
      <c r="AE210" s="600" t="str">
        <f t="shared" si="82"/>
        <v/>
      </c>
      <c r="AF210" s="600"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00"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00" t="str">
        <f t="shared" ca="1" si="83"/>
        <v/>
      </c>
      <c r="AI210" s="600" t="str" cm="1">
        <f t="array" ref="AI210">IFERROR(INDEX(始値!$E$6:$BT$305,MATCH(TEXT($B210,"0"),TEXT(銘柄管理!$B$6:$B$305,"0"),0),MATCH($AE210,始値!$E$3:$BT$3,0)),"")</f>
        <v/>
      </c>
      <c r="AJ210" s="608" t="str">
        <f t="shared" ca="1" si="84"/>
        <v/>
      </c>
      <c r="AK210" s="600" t="str">
        <f t="shared" ca="1" si="85"/>
        <v/>
      </c>
    </row>
    <row r="211" spans="1:37" ht="17.25" customHeight="1">
      <c r="A211" s="621" t="str">
        <f t="shared" si="74"/>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BT$3,0)=1,1,MATCH($E211,始値!$E$3:$BT$3,0)+1)),_xlpm.v,INDEX(始値!$C$6:$B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 t="shared" ca="1" si="86"/>
        <v/>
      </c>
      <c r="L211" s="708" t="str">
        <f t="shared" ca="1" si="87"/>
        <v/>
      </c>
      <c r="M211" s="598">
        <f>IF($F211="","",IF($C211="売",CEILING($F211*IF($C211="売",1-$AG$3,1+$AG$3),IF($F211*IF($C211="売",1-$AG$3,1+$AG$3)&lt;=3000,1,IF($F211*IF($C211="売",1-$AG$3,1+$AG$3)&lt;=5000,5,IF($F211*IF($C211="売",1-$AG$3,1+$AG$3)&lt;=30000,10,IF($F211*IF($C211="売",1-$AG$3,1+$AG$3)&lt;=50000,50,IF($F211*IF($C211="売",1-$AG$3,1+$AG$3)&lt;=300000,100,500)))))),FLOOR($F211*IF($C211="売",1-$AG$3,1+$AG$3),IF($F211*IF($C211="売",1-$AG$3,1+$AG$3)&lt;=3000,1,IF($F211*IF($C211="売",1-$AG$3,1+$AG$3)&lt;=5000,5,IF($F211*IF($C211="売",1-$AG$3,1+$AG$3)&lt;=30000,10,IF($F211*IF($C211="売",1-$AG$3,1+$AG$3)&lt;=50000,50,IF($F211*IF($C211="売",1-$AG$3,1+$AG$3)&lt;=300000,100,500))))))))</f>
      </c>
      <c r="N211" s="598">
        <f>IF($F211="","",IF($C211="売",CEILING($F211*IF($C211="売",1+$AG$2,1-$AG$2),IF($F211*IF($C211="売",1+$AG$2,1-$AG$2)&lt;=3000,1,IF($F211*IF($C211="売",1+$AG$2,1-$AG$2)&lt;=5000,5,IF($F211*IF($C211="売",1+$AG$2,1-$AG$2)&lt;=30000,10,IF($F211*IF($C211="売",1+$AG$2,1-$AG$2)&lt;=50000,50,IF($F211*IF($C211="売",1+$AG$2,1-$AG$2)&lt;=300000,100,500)))))),FLOOR($F211*IF($C211="売",1+$AG$2,1-$AG$2),IF($F211*IF($C211="売",1+$AG$2,1-$AG$2)&lt;=3000,1,IF($F211*IF($C211="売",1+$AG$2,1-$AG$2)&lt;=5000,5,IF($F211*IF($C211="売",1+$AG$2,1-$AG$2)&lt;=30000,10,IF($F211*IF($C211="売",1+$AG$2,1-$AG$2)&lt;=50000,50,IF($F211*IF($C211="売",1+$AG$2,1-$AG$2)&lt;=300000,100,500))))))))</f>
      </c>
      <c r="O211" s="478">
        <f>IF(OR($B211="",$F211="",$H211=""),"",IF($S211="✅売却済","―決済済―",IF($C211="売",  IF($H211&lt;=$M211,"🟢利確",  IF(AND($R211&lt;&gt;"",$H211&gt;=$R211),"🟠TRAIL決済",  IF($H211&gt;=$N211,"🔴損切",  IF($W211&gt;=$AG$5,"⏱時間決済",  IF($H211&gt;=$F211*(1+$AG$2*0.7),"⚠️損切接近","保持継続"))))),  IF($H211&gt;=$M211,"🟢利確",  IF(AND($R211&lt;&gt;"",$H211&lt;=$R211),"🟠TRAIL決済",  IF($H211&lt;=$N211,"🔴損切",  IF($W211&gt;=$AG$5,"⏱時間決済",  IF($H211&lt;=$F211*(1-$AG$2*0.7),"⚠️損切接近","保持継続")))))))</f>
      </c>
      <c r="P211" s="445"/>
      <c r="Q211" s="445"/>
      <c r="R211" s="480">
        <f>IF(OR($F211="",$H211="",$N211=""),"",IF($S211="✅売却済","",IF($C211="売",  IF($H211&gt;$F211*(1-$AG$2),$N211,CEILING(MIN($N211,IF($Q211="",$N211,$Q211*1.03)),IF($N211&lt;=3000,1,IF($N211&lt;=5000,5,IF($N211&lt;=30000,10,IF($N211&lt;=50000,50,IF($N211&lt;=300000,100,500))))))),  IF($H211&lt;$F211*(1+$AG$2),$N211,FLOOR(MAX($N211,IF($P211="",$N211,$P211*0.97)),IF($N211&lt;=3000,1,IF($N211&lt;=5000,5,IF($N211&lt;=30000,10,IF($N211&lt;=50000,50,IF($N211&lt;=300000,100,500))))))))))</f>
      </c>
      <c r="S211" s="480" t="str">
        <f t="shared" si="89"/>
        <v/>
      </c>
      <c r="T211" s="596" t="str">
        <f t="shared" ca="1" si="78"/>
        <v/>
      </c>
      <c r="U211" s="598" t="str">
        <f t="shared" ca="1" si="79"/>
        <v/>
      </c>
      <c r="V211" s="703" t="str">
        <f t="shared" ca="1" si="90"/>
        <v/>
      </c>
      <c r="W211" s="480" t="str">
        <f t="shared" ca="1" si="80"/>
        <v/>
      </c>
      <c r="X211" s="480" t="str">
        <f t="shared" ca="1" si="81"/>
        <v/>
      </c>
      <c r="Y211" s="488">
        <f>IF($B211="","",IF(COUNTIFS($B$4:$B211,$B211,$C$4:$C211,$C211)&gt;1,"⛔重複"&amp;COUNTIFS($B$4:$B211,$B211,$C$4:$C211,$C211)&amp;"回目",""))</f>
      </c>
      <c r="Z211" s="710"/>
      <c r="AB211">
        <f>IF($F211="","",MAX(100,ROUNDDOWN($AG$4/($F211*$AG$2)/100,0)*100))</f>
      </c>
      <c r="AC211">
        <f>IF(OR($F211="",$G211="",$U211=""),"",ROUND($V211-($F211+$U211)*$G211*$AG$6-IF($C211="売",$F211*$G211*$AG$7*$W211/365,0),0))</f>
      </c>
      <c r="AD211" s="608"/>
      <c r="AE211" s="600" t="str">
        <f t="shared" si="82"/>
        <v/>
      </c>
      <c r="AF211" s="600"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00"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00" t="str">
        <f t="shared" ca="1" si="83"/>
        <v/>
      </c>
      <c r="AI211" s="600" t="str" cm="1">
        <f t="array" ref="AI211">IFERROR(INDEX(始値!$E$6:$BT$305,MATCH(TEXT($B211,"0"),TEXT(銘柄管理!$B$6:$B$305,"0"),0),MATCH($AE211,始値!$E$3:$BT$3,0)),"")</f>
        <v/>
      </c>
      <c r="AJ211" s="608" t="str">
        <f t="shared" ca="1" si="84"/>
        <v/>
      </c>
      <c r="AK211" s="600" t="str">
        <f t="shared" ca="1" si="85"/>
        <v/>
      </c>
    </row>
    <row r="212" spans="1:37" ht="17.25" customHeight="1">
      <c r="A212" s="621" t="str">
        <f t="shared" si="74"/>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BT$3,0)=1,1,MATCH($E212,始値!$E$3:$BT$3,0)+1)),_xlpm.v,INDEX(始値!$C$6:$B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 t="shared" ca="1" si="86"/>
        <v/>
      </c>
      <c r="L212" s="708" t="str">
        <f t="shared" ca="1" si="87"/>
        <v/>
      </c>
      <c r="M212" s="598">
        <f>IF($F212="","",IF($C212="売",CEILING($F212*IF($C212="売",1-$AG$3,1+$AG$3),IF($F212*IF($C212="売",1-$AG$3,1+$AG$3)&lt;=3000,1,IF($F212*IF($C212="売",1-$AG$3,1+$AG$3)&lt;=5000,5,IF($F212*IF($C212="売",1-$AG$3,1+$AG$3)&lt;=30000,10,IF($F212*IF($C212="売",1-$AG$3,1+$AG$3)&lt;=50000,50,IF($F212*IF($C212="売",1-$AG$3,1+$AG$3)&lt;=300000,100,500)))))),FLOOR($F212*IF($C212="売",1-$AG$3,1+$AG$3),IF($F212*IF($C212="売",1-$AG$3,1+$AG$3)&lt;=3000,1,IF($F212*IF($C212="売",1-$AG$3,1+$AG$3)&lt;=5000,5,IF($F212*IF($C212="売",1-$AG$3,1+$AG$3)&lt;=30000,10,IF($F212*IF($C212="売",1-$AG$3,1+$AG$3)&lt;=50000,50,IF($F212*IF($C212="売",1-$AG$3,1+$AG$3)&lt;=300000,100,500))))))))</f>
      </c>
      <c r="N212" s="598">
        <f>IF($F212="","",IF($C212="売",CEILING($F212*IF($C212="売",1+$AG$2,1-$AG$2),IF($F212*IF($C212="売",1+$AG$2,1-$AG$2)&lt;=3000,1,IF($F212*IF($C212="売",1+$AG$2,1-$AG$2)&lt;=5000,5,IF($F212*IF($C212="売",1+$AG$2,1-$AG$2)&lt;=30000,10,IF($F212*IF($C212="売",1+$AG$2,1-$AG$2)&lt;=50000,50,IF($F212*IF($C212="売",1+$AG$2,1-$AG$2)&lt;=300000,100,500)))))),FLOOR($F212*IF($C212="売",1+$AG$2,1-$AG$2),IF($F212*IF($C212="売",1+$AG$2,1-$AG$2)&lt;=3000,1,IF($F212*IF($C212="売",1+$AG$2,1-$AG$2)&lt;=5000,5,IF($F212*IF($C212="売",1+$AG$2,1-$AG$2)&lt;=30000,10,IF($F212*IF($C212="売",1+$AG$2,1-$AG$2)&lt;=50000,50,IF($F212*IF($C212="売",1+$AG$2,1-$AG$2)&lt;=300000,100,500))))))))</f>
      </c>
      <c r="O212" s="478">
        <f>IF(OR($B212="",$F212="",$H212=""),"",IF($S212="✅売却済","―決済済―",IF($C212="売",  IF($H212&lt;=$M212,"🟢利確",  IF(AND($R212&lt;&gt;"",$H212&gt;=$R212),"🟠TRAIL決済",  IF($H212&gt;=$N212,"🔴損切",  IF($W212&gt;=$AG$5,"⏱時間決済",  IF($H212&gt;=$F212*(1+$AG$2*0.7),"⚠️損切接近","保持継続"))))),  IF($H212&gt;=$M212,"🟢利確",  IF(AND($R212&lt;&gt;"",$H212&lt;=$R212),"🟠TRAIL決済",  IF($H212&lt;=$N212,"🔴損切",  IF($W212&gt;=$AG$5,"⏱時間決済",  IF($H212&lt;=$F212*(1-$AG$2*0.7),"⚠️損切接近","保持継続")))))))</f>
      </c>
      <c r="P212" s="445"/>
      <c r="Q212" s="445"/>
      <c r="R212" s="480">
        <f>IF(OR($F212="",$H212="",$N212=""),"",IF($S212="✅売却済","",IF($C212="売",  IF($H212&gt;$F212*(1-$AG$2),$N212,CEILING(MIN($N212,IF($Q212="",$N212,$Q212*1.03)),IF($N212&lt;=3000,1,IF($N212&lt;=5000,5,IF($N212&lt;=30000,10,IF($N212&lt;=50000,50,IF($N212&lt;=300000,100,500))))))),  IF($H212&lt;$F212*(1+$AG$2),$N212,FLOOR(MAX($N212,IF($P212="",$N212,$P212*0.97)),IF($N212&lt;=3000,1,IF($N212&lt;=5000,5,IF($N212&lt;=30000,10,IF($N212&lt;=50000,50,IF($N212&lt;=300000,100,500))))))))))</f>
      </c>
      <c r="S212" s="480" t="str">
        <f t="shared" si="89"/>
        <v/>
      </c>
      <c r="T212" s="596" t="str">
        <f t="shared" ca="1" si="78"/>
        <v/>
      </c>
      <c r="U212" s="598" t="str">
        <f t="shared" ca="1" si="79"/>
        <v/>
      </c>
      <c r="V212" s="703" t="str">
        <f t="shared" ca="1" si="90"/>
        <v/>
      </c>
      <c r="W212" s="480" t="str">
        <f t="shared" ca="1" si="80"/>
        <v/>
      </c>
      <c r="X212" s="480" t="str">
        <f t="shared" ca="1" si="81"/>
        <v/>
      </c>
      <c r="Y212" s="488">
        <f>IF($B212="","",IF(COUNTIFS($B$4:$B212,$B212,$C$4:$C212,$C212)&gt;1,"⛔重複"&amp;COUNTIFS($B$4:$B212,$B212,$C$4:$C212,$C212)&amp;"回目",""))</f>
      </c>
      <c r="Z212" s="710"/>
      <c r="AB212">
        <f>IF($F212="","",MAX(100,ROUNDDOWN($AG$4/($F212*$AG$2)/100,0)*100))</f>
      </c>
      <c r="AC212">
        <f>IF(OR($F212="",$G212="",$U212=""),"",ROUND($V212-($F212+$U212)*$G212*$AG$6-IF($C212="売",$F212*$G212*$AG$7*$W212/365,0),0))</f>
      </c>
      <c r="AD212" s="608"/>
      <c r="AE212" s="600" t="str">
        <f t="shared" si="82"/>
        <v/>
      </c>
      <c r="AF212" s="600"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00"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00" t="str">
        <f t="shared" ca="1" si="83"/>
        <v/>
      </c>
      <c r="AI212" s="600" t="str" cm="1">
        <f t="array" ref="AI212">IFERROR(INDEX(始値!$E$6:$BT$305,MATCH(TEXT($B212,"0"),TEXT(銘柄管理!$B$6:$B$305,"0"),0),MATCH($AE212,始値!$E$3:$BT$3,0)),"")</f>
        <v/>
      </c>
      <c r="AJ212" s="608" t="str">
        <f t="shared" ca="1" si="84"/>
        <v/>
      </c>
      <c r="AK212" s="600" t="str">
        <f t="shared" ca="1" si="85"/>
        <v/>
      </c>
    </row>
    <row r="213" spans="1:37" ht="17.25" customHeight="1">
      <c r="A213" s="621" t="str">
        <f t="shared" si="74"/>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BT$3,0)=1,1,MATCH($E213,始値!$E$3:$BT$3,0)+1)),_xlpm.v,INDEX(始値!$C$6:$B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 t="shared" ca="1" si="86"/>
        <v/>
      </c>
      <c r="L213" s="708" t="str">
        <f t="shared" ca="1" si="87"/>
        <v/>
      </c>
      <c r="M213" s="598">
        <f>IF($F213="","",IF($C213="売",CEILING($F213*IF($C213="売",1-$AG$3,1+$AG$3),IF($F213*IF($C213="売",1-$AG$3,1+$AG$3)&lt;=3000,1,IF($F213*IF($C213="売",1-$AG$3,1+$AG$3)&lt;=5000,5,IF($F213*IF($C213="売",1-$AG$3,1+$AG$3)&lt;=30000,10,IF($F213*IF($C213="売",1-$AG$3,1+$AG$3)&lt;=50000,50,IF($F213*IF($C213="売",1-$AG$3,1+$AG$3)&lt;=300000,100,500)))))),FLOOR($F213*IF($C213="売",1-$AG$3,1+$AG$3),IF($F213*IF($C213="売",1-$AG$3,1+$AG$3)&lt;=3000,1,IF($F213*IF($C213="売",1-$AG$3,1+$AG$3)&lt;=5000,5,IF($F213*IF($C213="売",1-$AG$3,1+$AG$3)&lt;=30000,10,IF($F213*IF($C213="売",1-$AG$3,1+$AG$3)&lt;=50000,50,IF($F213*IF($C213="売",1-$AG$3,1+$AG$3)&lt;=300000,100,500))))))))</f>
      </c>
      <c r="N213" s="598">
        <f>IF($F213="","",IF($C213="売",CEILING($F213*IF($C213="売",1+$AG$2,1-$AG$2),IF($F213*IF($C213="売",1+$AG$2,1-$AG$2)&lt;=3000,1,IF($F213*IF($C213="売",1+$AG$2,1-$AG$2)&lt;=5000,5,IF($F213*IF($C213="売",1+$AG$2,1-$AG$2)&lt;=30000,10,IF($F213*IF($C213="売",1+$AG$2,1-$AG$2)&lt;=50000,50,IF($F213*IF($C213="売",1+$AG$2,1-$AG$2)&lt;=300000,100,500)))))),FLOOR($F213*IF($C213="売",1+$AG$2,1-$AG$2),IF($F213*IF($C213="売",1+$AG$2,1-$AG$2)&lt;=3000,1,IF($F213*IF($C213="売",1+$AG$2,1-$AG$2)&lt;=5000,5,IF($F213*IF($C213="売",1+$AG$2,1-$AG$2)&lt;=30000,10,IF($F213*IF($C213="売",1+$AG$2,1-$AG$2)&lt;=50000,50,IF($F213*IF($C213="売",1+$AG$2,1-$AG$2)&lt;=300000,100,500))))))))</f>
      </c>
      <c r="O213" s="478">
        <f>IF(OR($B213="",$F213="",$H213=""),"",IF($S213="✅売却済","―決済済―",IF($C213="売",  IF($H213&lt;=$M213,"🟢利確",  IF(AND($R213&lt;&gt;"",$H213&gt;=$R213),"🟠TRAIL決済",  IF($H213&gt;=$N213,"🔴損切",  IF($W213&gt;=$AG$5,"⏱時間決済",  IF($H213&gt;=$F213*(1+$AG$2*0.7),"⚠️損切接近","保持継続"))))),  IF($H213&gt;=$M213,"🟢利確",  IF(AND($R213&lt;&gt;"",$H213&lt;=$R213),"🟠TRAIL決済",  IF($H213&lt;=$N213,"🔴損切",  IF($W213&gt;=$AG$5,"⏱時間決済",  IF($H213&lt;=$F213*(1-$AG$2*0.7),"⚠️損切接近","保持継続")))))))</f>
      </c>
      <c r="P213" s="445"/>
      <c r="Q213" s="445"/>
      <c r="R213" s="480">
        <f>IF(OR($F213="",$H213="",$N213=""),"",IF($S213="✅売却済","",IF($C213="売",  IF($H213&gt;$F213*(1-$AG$2),$N213,CEILING(MIN($N213,IF($Q213="",$N213,$Q213*1.03)),IF($N213&lt;=3000,1,IF($N213&lt;=5000,5,IF($N213&lt;=30000,10,IF($N213&lt;=50000,50,IF($N213&lt;=300000,100,500))))))),  IF($H213&lt;$F213*(1+$AG$2),$N213,FLOOR(MAX($N213,IF($P213="",$N213,$P213*0.97)),IF($N213&lt;=3000,1,IF($N213&lt;=5000,5,IF($N213&lt;=30000,10,IF($N213&lt;=50000,50,IF($N213&lt;=300000,100,500))))))))))</f>
      </c>
      <c r="S213" s="480" t="str">
        <f t="shared" si="89"/>
        <v/>
      </c>
      <c r="T213" s="596" t="str">
        <f t="shared" ca="1" si="78"/>
        <v/>
      </c>
      <c r="U213" s="598" t="str">
        <f t="shared" ca="1" si="79"/>
        <v/>
      </c>
      <c r="V213" s="703" t="str">
        <f t="shared" ca="1" si="90"/>
        <v/>
      </c>
      <c r="W213" s="480" t="str">
        <f t="shared" ca="1" si="80"/>
        <v/>
      </c>
      <c r="X213" s="480" t="str">
        <f t="shared" ca="1" si="81"/>
        <v/>
      </c>
      <c r="Y213" s="488">
        <f>IF($B213="","",IF(COUNTIFS($B$4:$B213,$B213,$C$4:$C213,$C213)&gt;1,"⛔重複"&amp;COUNTIFS($B$4:$B213,$B213,$C$4:$C213,$C213)&amp;"回目",""))</f>
      </c>
      <c r="Z213" s="710"/>
      <c r="AB213">
        <f>IF($F213="","",MAX(100,ROUNDDOWN($AG$4/($F213*$AG$2)/100,0)*100))</f>
      </c>
      <c r="AC213">
        <f>IF(OR($F213="",$G213="",$U213=""),"",ROUND($V213-($F213+$U213)*$G213*$AG$6-IF($C213="売",$F213*$G213*$AG$7*$W213/365,0),0))</f>
      </c>
      <c r="AD213" s="608"/>
      <c r="AE213" s="600" t="str">
        <f t="shared" si="82"/>
        <v/>
      </c>
      <c r="AF213" s="600"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00"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00" t="str">
        <f t="shared" ca="1" si="83"/>
        <v/>
      </c>
      <c r="AI213" s="600" t="str" cm="1">
        <f t="array" ref="AI213">IFERROR(INDEX(始値!$E$6:$BT$305,MATCH(TEXT($B213,"0"),TEXT(銘柄管理!$B$6:$B$305,"0"),0),MATCH($AE213,始値!$E$3:$BT$3,0)),"")</f>
        <v/>
      </c>
      <c r="AJ213" s="608" t="str">
        <f t="shared" ca="1" si="84"/>
        <v/>
      </c>
      <c r="AK213" s="600" t="str">
        <f t="shared" ca="1" si="85"/>
        <v/>
      </c>
    </row>
    <row r="214" spans="1:37" ht="17.25" customHeight="1">
      <c r="A214" s="621" t="str">
        <f t="shared" si="74"/>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BT$3,0)=1,1,MATCH($E214,始値!$E$3:$BT$3,0)+1)),_xlpm.v,INDEX(始値!$C$6:$B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 t="shared" ca="1" si="86"/>
        <v/>
      </c>
      <c r="L214" s="708" t="str">
        <f t="shared" ca="1" si="87"/>
        <v/>
      </c>
      <c r="M214" s="598">
        <f>IF($F214="","",IF($C214="売",CEILING($F214*IF($C214="売",1-$AG$3,1+$AG$3),IF($F214*IF($C214="売",1-$AG$3,1+$AG$3)&lt;=3000,1,IF($F214*IF($C214="売",1-$AG$3,1+$AG$3)&lt;=5000,5,IF($F214*IF($C214="売",1-$AG$3,1+$AG$3)&lt;=30000,10,IF($F214*IF($C214="売",1-$AG$3,1+$AG$3)&lt;=50000,50,IF($F214*IF($C214="売",1-$AG$3,1+$AG$3)&lt;=300000,100,500)))))),FLOOR($F214*IF($C214="売",1-$AG$3,1+$AG$3),IF($F214*IF($C214="売",1-$AG$3,1+$AG$3)&lt;=3000,1,IF($F214*IF($C214="売",1-$AG$3,1+$AG$3)&lt;=5000,5,IF($F214*IF($C214="売",1-$AG$3,1+$AG$3)&lt;=30000,10,IF($F214*IF($C214="売",1-$AG$3,1+$AG$3)&lt;=50000,50,IF($F214*IF($C214="売",1-$AG$3,1+$AG$3)&lt;=300000,100,500))))))))</f>
      </c>
      <c r="N214" s="598">
        <f>IF($F214="","",IF($C214="売",CEILING($F214*IF($C214="売",1+$AG$2,1-$AG$2),IF($F214*IF($C214="売",1+$AG$2,1-$AG$2)&lt;=3000,1,IF($F214*IF($C214="売",1+$AG$2,1-$AG$2)&lt;=5000,5,IF($F214*IF($C214="売",1+$AG$2,1-$AG$2)&lt;=30000,10,IF($F214*IF($C214="売",1+$AG$2,1-$AG$2)&lt;=50000,50,IF($F214*IF($C214="売",1+$AG$2,1-$AG$2)&lt;=300000,100,500)))))),FLOOR($F214*IF($C214="売",1+$AG$2,1-$AG$2),IF($F214*IF($C214="売",1+$AG$2,1-$AG$2)&lt;=3000,1,IF($F214*IF($C214="売",1+$AG$2,1-$AG$2)&lt;=5000,5,IF($F214*IF($C214="売",1+$AG$2,1-$AG$2)&lt;=30000,10,IF($F214*IF($C214="売",1+$AG$2,1-$AG$2)&lt;=50000,50,IF($F214*IF($C214="売",1+$AG$2,1-$AG$2)&lt;=300000,100,500))))))))</f>
      </c>
      <c r="O214" s="478">
        <f>IF(OR($B214="",$F214="",$H214=""),"",IF($S214="✅売却済","―決済済―",IF($C214="売",  IF($H214&lt;=$M214,"🟢利確",  IF(AND($R214&lt;&gt;"",$H214&gt;=$R214),"🟠TRAIL決済",  IF($H214&gt;=$N214,"🔴損切",  IF($W214&gt;=$AG$5,"⏱時間決済",  IF($H214&gt;=$F214*(1+$AG$2*0.7),"⚠️損切接近","保持継続"))))),  IF($H214&gt;=$M214,"🟢利確",  IF(AND($R214&lt;&gt;"",$H214&lt;=$R214),"🟠TRAIL決済",  IF($H214&lt;=$N214,"🔴損切",  IF($W214&gt;=$AG$5,"⏱時間決済",  IF($H214&lt;=$F214*(1-$AG$2*0.7),"⚠️損切接近","保持継続")))))))</f>
      </c>
      <c r="P214" s="445"/>
      <c r="Q214" s="445"/>
      <c r="R214" s="480">
        <f>IF(OR($F214="",$H214="",$N214=""),"",IF($S214="✅売却済","",IF($C214="売",  IF($H214&gt;$F214*(1-$AG$2),$N214,CEILING(MIN($N214,IF($Q214="",$N214,$Q214*1.03)),IF($N214&lt;=3000,1,IF($N214&lt;=5000,5,IF($N214&lt;=30000,10,IF($N214&lt;=50000,50,IF($N214&lt;=300000,100,500))))))),  IF($H214&lt;$F214*(1+$AG$2),$N214,FLOOR(MAX($N214,IF($P214="",$N214,$P214*0.97)),IF($N214&lt;=3000,1,IF($N214&lt;=5000,5,IF($N214&lt;=30000,10,IF($N214&lt;=50000,50,IF($N214&lt;=300000,100,500))))))))))</f>
      </c>
      <c r="S214" s="480" t="str">
        <f t="shared" si="89"/>
        <v/>
      </c>
      <c r="T214" s="596" t="str">
        <f t="shared" ca="1" si="78"/>
        <v/>
      </c>
      <c r="U214" s="598" t="str">
        <f t="shared" ca="1" si="79"/>
        <v/>
      </c>
      <c r="V214" s="703" t="str">
        <f t="shared" ca="1" si="90"/>
        <v/>
      </c>
      <c r="W214" s="480" t="str">
        <f t="shared" ca="1" si="80"/>
        <v/>
      </c>
      <c r="X214" s="480" t="str">
        <f t="shared" ca="1" si="81"/>
        <v/>
      </c>
      <c r="Y214" s="488">
        <f>IF($B214="","",IF(COUNTIFS($B$4:$B214,$B214,$C$4:$C214,$C214)&gt;1,"⛔重複"&amp;COUNTIFS($B$4:$B214,$B214,$C$4:$C214,$C214)&amp;"回目",""))</f>
      </c>
      <c r="Z214" s="710"/>
      <c r="AB214">
        <f>IF($F214="","",MAX(100,ROUNDDOWN($AG$4/($F214*$AG$2)/100,0)*100))</f>
      </c>
      <c r="AC214">
        <f>IF(OR($F214="",$G214="",$U214=""),"",ROUND($V214-($F214+$U214)*$G214*$AG$6-IF($C214="売",$F214*$G214*$AG$7*$W214/365,0),0))</f>
      </c>
      <c r="AD214" s="608"/>
      <c r="AE214" s="600" t="str">
        <f t="shared" si="82"/>
        <v/>
      </c>
      <c r="AF214" s="600"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00"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00" t="str">
        <f t="shared" ca="1" si="83"/>
        <v/>
      </c>
      <c r="AI214" s="600" t="str" cm="1">
        <f t="array" ref="AI214">IFERROR(INDEX(始値!$E$6:$BT$305,MATCH(TEXT($B214,"0"),TEXT(銘柄管理!$B$6:$B$305,"0"),0),MATCH($AE214,始値!$E$3:$BT$3,0)),"")</f>
        <v/>
      </c>
      <c r="AJ214" s="608" t="str">
        <f t="shared" ca="1" si="84"/>
        <v/>
      </c>
      <c r="AK214" s="600" t="str">
        <f t="shared" ca="1" si="85"/>
        <v/>
      </c>
    </row>
    <row r="215" spans="1:37" ht="17.25" customHeight="1">
      <c r="A215" s="621" t="str">
        <f t="shared" si="74"/>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BT$3,0)=1,1,MATCH($E215,始値!$E$3:$BT$3,0)+1)),_xlpm.v,INDEX(始値!$C$6:$B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 t="shared" ca="1" si="86"/>
        <v/>
      </c>
      <c r="L215" s="708" t="str">
        <f t="shared" ca="1" si="87"/>
        <v/>
      </c>
      <c r="M215" s="598">
        <f>IF($F215="","",IF($C215="売",CEILING($F215*IF($C215="売",1-$AG$3,1+$AG$3),IF($F215*IF($C215="売",1-$AG$3,1+$AG$3)&lt;=3000,1,IF($F215*IF($C215="売",1-$AG$3,1+$AG$3)&lt;=5000,5,IF($F215*IF($C215="売",1-$AG$3,1+$AG$3)&lt;=30000,10,IF($F215*IF($C215="売",1-$AG$3,1+$AG$3)&lt;=50000,50,IF($F215*IF($C215="売",1-$AG$3,1+$AG$3)&lt;=300000,100,500)))))),FLOOR($F215*IF($C215="売",1-$AG$3,1+$AG$3),IF($F215*IF($C215="売",1-$AG$3,1+$AG$3)&lt;=3000,1,IF($F215*IF($C215="売",1-$AG$3,1+$AG$3)&lt;=5000,5,IF($F215*IF($C215="売",1-$AG$3,1+$AG$3)&lt;=30000,10,IF($F215*IF($C215="売",1-$AG$3,1+$AG$3)&lt;=50000,50,IF($F215*IF($C215="売",1-$AG$3,1+$AG$3)&lt;=300000,100,500))))))))</f>
      </c>
      <c r="N215" s="598">
        <f>IF($F215="","",IF($C215="売",CEILING($F215*IF($C215="売",1+$AG$2,1-$AG$2),IF($F215*IF($C215="売",1+$AG$2,1-$AG$2)&lt;=3000,1,IF($F215*IF($C215="売",1+$AG$2,1-$AG$2)&lt;=5000,5,IF($F215*IF($C215="売",1+$AG$2,1-$AG$2)&lt;=30000,10,IF($F215*IF($C215="売",1+$AG$2,1-$AG$2)&lt;=50000,50,IF($F215*IF($C215="売",1+$AG$2,1-$AG$2)&lt;=300000,100,500)))))),FLOOR($F215*IF($C215="売",1+$AG$2,1-$AG$2),IF($F215*IF($C215="売",1+$AG$2,1-$AG$2)&lt;=3000,1,IF($F215*IF($C215="売",1+$AG$2,1-$AG$2)&lt;=5000,5,IF($F215*IF($C215="売",1+$AG$2,1-$AG$2)&lt;=30000,10,IF($F215*IF($C215="売",1+$AG$2,1-$AG$2)&lt;=50000,50,IF($F215*IF($C215="売",1+$AG$2,1-$AG$2)&lt;=300000,100,500))))))))</f>
      </c>
      <c r="O215" s="478">
        <f>IF(OR($B215="",$F215="",$H215=""),"",IF($S215="✅売却済","―決済済―",IF($C215="売",  IF($H215&lt;=$M215,"🟢利確",  IF(AND($R215&lt;&gt;"",$H215&gt;=$R215),"🟠TRAIL決済",  IF($H215&gt;=$N215,"🔴損切",  IF($W215&gt;=$AG$5,"⏱時間決済",  IF($H215&gt;=$F215*(1+$AG$2*0.7),"⚠️損切接近","保持継続"))))),  IF($H215&gt;=$M215,"🟢利確",  IF(AND($R215&lt;&gt;"",$H215&lt;=$R215),"🟠TRAIL決済",  IF($H215&lt;=$N215,"🔴損切",  IF($W215&gt;=$AG$5,"⏱時間決済",  IF($H215&lt;=$F215*(1-$AG$2*0.7),"⚠️損切接近","保持継続")))))))</f>
      </c>
      <c r="P215" s="445"/>
      <c r="Q215" s="445"/>
      <c r="R215" s="480">
        <f>IF(OR($F215="",$H215="",$N215=""),"",IF($S215="✅売却済","",IF($C215="売",  IF($H215&gt;$F215*(1-$AG$2),$N215,CEILING(MIN($N215,IF($Q215="",$N215,$Q215*1.03)),IF($N215&lt;=3000,1,IF($N215&lt;=5000,5,IF($N215&lt;=30000,10,IF($N215&lt;=50000,50,IF($N215&lt;=300000,100,500))))))),  IF($H215&lt;$F215*(1+$AG$2),$N215,FLOOR(MAX($N215,IF($P215="",$N215,$P215*0.97)),IF($N215&lt;=3000,1,IF($N215&lt;=5000,5,IF($N215&lt;=30000,10,IF($N215&lt;=50000,50,IF($N215&lt;=300000,100,500))))))))))</f>
      </c>
      <c r="S215" s="480" t="str">
        <f t="shared" si="89"/>
        <v/>
      </c>
      <c r="T215" s="596" t="str">
        <f t="shared" ca="1" si="78"/>
        <v/>
      </c>
      <c r="U215" s="598" t="str">
        <f t="shared" ca="1" si="79"/>
        <v/>
      </c>
      <c r="V215" s="703" t="str">
        <f t="shared" ca="1" si="90"/>
        <v/>
      </c>
      <c r="W215" s="480" t="str">
        <f t="shared" ca="1" si="80"/>
        <v/>
      </c>
      <c r="X215" s="480" t="str">
        <f t="shared" ca="1" si="81"/>
        <v/>
      </c>
      <c r="Y215" s="488">
        <f>IF($B215="","",IF(COUNTIFS($B$4:$B215,$B215,$C$4:$C215,$C215)&gt;1,"⛔重複"&amp;COUNTIFS($B$4:$B215,$B215,$C$4:$C215,$C215)&amp;"回目",""))</f>
      </c>
      <c r="Z215" s="710"/>
      <c r="AB215">
        <f>IF($F215="","",MAX(100,ROUNDDOWN($AG$4/($F215*$AG$2)/100,0)*100))</f>
      </c>
      <c r="AC215">
        <f>IF(OR($F215="",$G215="",$U215=""),"",ROUND($V215-($F215+$U215)*$G215*$AG$6-IF($C215="売",$F215*$G215*$AG$7*$W215/365,0),0))</f>
      </c>
      <c r="AD215" s="608"/>
      <c r="AE215" s="600" t="str">
        <f t="shared" si="82"/>
        <v/>
      </c>
      <c r="AF215" s="600"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00"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00" t="str">
        <f t="shared" ca="1" si="83"/>
        <v/>
      </c>
      <c r="AI215" s="600" t="str" cm="1">
        <f t="array" ref="AI215">IFERROR(INDEX(始値!$E$6:$BT$305,MATCH(TEXT($B215,"0"),TEXT(銘柄管理!$B$6:$B$305,"0"),0),MATCH($AE215,始値!$E$3:$BT$3,0)),"")</f>
        <v/>
      </c>
      <c r="AJ215" s="608" t="str">
        <f t="shared" ca="1" si="84"/>
        <v/>
      </c>
      <c r="AK215" s="600" t="str">
        <f t="shared" ca="1" si="85"/>
        <v/>
      </c>
    </row>
    <row r="216" spans="1:37" ht="17.25" customHeight="1">
      <c r="A216" s="621" t="str">
        <f t="shared" si="74"/>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BT$3,0)=1,1,MATCH($E216,始値!$E$3:$BT$3,0)+1)),_xlpm.v,INDEX(始値!$C$6:$B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 t="shared" ca="1" si="86"/>
        <v/>
      </c>
      <c r="L216" s="708" t="str">
        <f t="shared" ca="1" si="87"/>
        <v/>
      </c>
      <c r="M216" s="598">
        <f>IF($F216="","",IF($C216="売",CEILING($F216*IF($C216="売",1-$AG$3,1+$AG$3),IF($F216*IF($C216="売",1-$AG$3,1+$AG$3)&lt;=3000,1,IF($F216*IF($C216="売",1-$AG$3,1+$AG$3)&lt;=5000,5,IF($F216*IF($C216="売",1-$AG$3,1+$AG$3)&lt;=30000,10,IF($F216*IF($C216="売",1-$AG$3,1+$AG$3)&lt;=50000,50,IF($F216*IF($C216="売",1-$AG$3,1+$AG$3)&lt;=300000,100,500)))))),FLOOR($F216*IF($C216="売",1-$AG$3,1+$AG$3),IF($F216*IF($C216="売",1-$AG$3,1+$AG$3)&lt;=3000,1,IF($F216*IF($C216="売",1-$AG$3,1+$AG$3)&lt;=5000,5,IF($F216*IF($C216="売",1-$AG$3,1+$AG$3)&lt;=30000,10,IF($F216*IF($C216="売",1-$AG$3,1+$AG$3)&lt;=50000,50,IF($F216*IF($C216="売",1-$AG$3,1+$AG$3)&lt;=300000,100,500))))))))</f>
      </c>
      <c r="N216" s="598">
        <f>IF($F216="","",IF($C216="売",CEILING($F216*IF($C216="売",1+$AG$2,1-$AG$2),IF($F216*IF($C216="売",1+$AG$2,1-$AG$2)&lt;=3000,1,IF($F216*IF($C216="売",1+$AG$2,1-$AG$2)&lt;=5000,5,IF($F216*IF($C216="売",1+$AG$2,1-$AG$2)&lt;=30000,10,IF($F216*IF($C216="売",1+$AG$2,1-$AG$2)&lt;=50000,50,IF($F216*IF($C216="売",1+$AG$2,1-$AG$2)&lt;=300000,100,500)))))),FLOOR($F216*IF($C216="売",1+$AG$2,1-$AG$2),IF($F216*IF($C216="売",1+$AG$2,1-$AG$2)&lt;=3000,1,IF($F216*IF($C216="売",1+$AG$2,1-$AG$2)&lt;=5000,5,IF($F216*IF($C216="売",1+$AG$2,1-$AG$2)&lt;=30000,10,IF($F216*IF($C216="売",1+$AG$2,1-$AG$2)&lt;=50000,50,IF($F216*IF($C216="売",1+$AG$2,1-$AG$2)&lt;=300000,100,500))))))))</f>
      </c>
      <c r="O216" s="478">
        <f>IF(OR($B216="",$F216="",$H216=""),"",IF($S216="✅売却済","―決済済―",IF($C216="売",  IF($H216&lt;=$M216,"🟢利確",  IF(AND($R216&lt;&gt;"",$H216&gt;=$R216),"🟠TRAIL決済",  IF($H216&gt;=$N216,"🔴損切",  IF($W216&gt;=$AG$5,"⏱時間決済",  IF($H216&gt;=$F216*(1+$AG$2*0.7),"⚠️損切接近","保持継続"))))),  IF($H216&gt;=$M216,"🟢利確",  IF(AND($R216&lt;&gt;"",$H216&lt;=$R216),"🟠TRAIL決済",  IF($H216&lt;=$N216,"🔴損切",  IF($W216&gt;=$AG$5,"⏱時間決済",  IF($H216&lt;=$F216*(1-$AG$2*0.7),"⚠️損切接近","保持継続")))))))</f>
      </c>
      <c r="P216" s="445"/>
      <c r="Q216" s="445"/>
      <c r="R216" s="480">
        <f>IF(OR($F216="",$H216="",$N216=""),"",IF($S216="✅売却済","",IF($C216="売",  IF($H216&gt;$F216*(1-$AG$2),$N216,CEILING(MIN($N216,IF($Q216="",$N216,$Q216*1.03)),IF($N216&lt;=3000,1,IF($N216&lt;=5000,5,IF($N216&lt;=30000,10,IF($N216&lt;=50000,50,IF($N216&lt;=300000,100,500))))))),  IF($H216&lt;$F216*(1+$AG$2),$N216,FLOOR(MAX($N216,IF($P216="",$N216,$P216*0.97)),IF($N216&lt;=3000,1,IF($N216&lt;=5000,5,IF($N216&lt;=30000,10,IF($N216&lt;=50000,50,IF($N216&lt;=300000,100,500))))))))))</f>
      </c>
      <c r="S216" s="480" t="str">
        <f t="shared" si="89"/>
        <v/>
      </c>
      <c r="T216" s="596" t="str">
        <f t="shared" ca="1" si="78"/>
        <v/>
      </c>
      <c r="U216" s="598" t="str">
        <f t="shared" ca="1" si="79"/>
        <v/>
      </c>
      <c r="V216" s="703" t="str">
        <f t="shared" ca="1" si="90"/>
        <v/>
      </c>
      <c r="W216" s="480" t="str">
        <f t="shared" ca="1" si="80"/>
        <v/>
      </c>
      <c r="X216" s="480" t="str">
        <f t="shared" ca="1" si="81"/>
        <v/>
      </c>
      <c r="Y216" s="488">
        <f>IF($B216="","",IF(COUNTIFS($B$4:$B216,$B216,$C$4:$C216,$C216)&gt;1,"⛔重複"&amp;COUNTIFS($B$4:$B216,$B216,$C$4:$C216,$C216)&amp;"回目",""))</f>
      </c>
      <c r="Z216" s="710"/>
      <c r="AB216">
        <f>IF($F216="","",MAX(100,ROUNDDOWN($AG$4/($F216*$AG$2)/100,0)*100))</f>
      </c>
      <c r="AC216">
        <f>IF(OR($F216="",$G216="",$U216=""),"",ROUND($V216-($F216+$U216)*$G216*$AG$6-IF($C216="売",$F216*$G216*$AG$7*$W216/365,0),0))</f>
      </c>
      <c r="AD216" s="608"/>
      <c r="AE216" s="600" t="str">
        <f t="shared" si="82"/>
        <v/>
      </c>
      <c r="AF216" s="600"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00"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00" t="str">
        <f t="shared" ca="1" si="83"/>
        <v/>
      </c>
      <c r="AI216" s="600" t="str" cm="1">
        <f t="array" ref="AI216">IFERROR(INDEX(始値!$E$6:$BT$305,MATCH(TEXT($B216,"0"),TEXT(銘柄管理!$B$6:$B$305,"0"),0),MATCH($AE216,始値!$E$3:$BT$3,0)),"")</f>
        <v/>
      </c>
      <c r="AJ216" s="608" t="str">
        <f t="shared" ca="1" si="84"/>
        <v/>
      </c>
      <c r="AK216" s="600" t="str">
        <f t="shared" ca="1" si="85"/>
        <v/>
      </c>
    </row>
    <row r="217" spans="1:37" ht="17.25" customHeight="1">
      <c r="A217" s="621" t="str">
        <f t="shared" si="74"/>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BT$3,0)=1,1,MATCH($E217,始値!$E$3:$BT$3,0)+1)),_xlpm.v,INDEX(始値!$C$6:$B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 t="shared" ca="1" si="86"/>
        <v/>
      </c>
      <c r="L217" s="708" t="str">
        <f t="shared" ca="1" si="87"/>
        <v/>
      </c>
      <c r="M217" s="598">
        <f>IF($F217="","",IF($C217="売",CEILING($F217*IF($C217="売",1-$AG$3,1+$AG$3),IF($F217*IF($C217="売",1-$AG$3,1+$AG$3)&lt;=3000,1,IF($F217*IF($C217="売",1-$AG$3,1+$AG$3)&lt;=5000,5,IF($F217*IF($C217="売",1-$AG$3,1+$AG$3)&lt;=30000,10,IF($F217*IF($C217="売",1-$AG$3,1+$AG$3)&lt;=50000,50,IF($F217*IF($C217="売",1-$AG$3,1+$AG$3)&lt;=300000,100,500)))))),FLOOR($F217*IF($C217="売",1-$AG$3,1+$AG$3),IF($F217*IF($C217="売",1-$AG$3,1+$AG$3)&lt;=3000,1,IF($F217*IF($C217="売",1-$AG$3,1+$AG$3)&lt;=5000,5,IF($F217*IF($C217="売",1-$AG$3,1+$AG$3)&lt;=30000,10,IF($F217*IF($C217="売",1-$AG$3,1+$AG$3)&lt;=50000,50,IF($F217*IF($C217="売",1-$AG$3,1+$AG$3)&lt;=300000,100,500))))))))</f>
      </c>
      <c r="N217" s="598">
        <f>IF($F217="","",IF($C217="売",CEILING($F217*IF($C217="売",1+$AG$2,1-$AG$2),IF($F217*IF($C217="売",1+$AG$2,1-$AG$2)&lt;=3000,1,IF($F217*IF($C217="売",1+$AG$2,1-$AG$2)&lt;=5000,5,IF($F217*IF($C217="売",1+$AG$2,1-$AG$2)&lt;=30000,10,IF($F217*IF($C217="売",1+$AG$2,1-$AG$2)&lt;=50000,50,IF($F217*IF($C217="売",1+$AG$2,1-$AG$2)&lt;=300000,100,500)))))),FLOOR($F217*IF($C217="売",1+$AG$2,1-$AG$2),IF($F217*IF($C217="売",1+$AG$2,1-$AG$2)&lt;=3000,1,IF($F217*IF($C217="売",1+$AG$2,1-$AG$2)&lt;=5000,5,IF($F217*IF($C217="売",1+$AG$2,1-$AG$2)&lt;=30000,10,IF($F217*IF($C217="売",1+$AG$2,1-$AG$2)&lt;=50000,50,IF($F217*IF($C217="売",1+$AG$2,1-$AG$2)&lt;=300000,100,500))))))))</f>
      </c>
      <c r="O217" s="478">
        <f>IF(OR($B217="",$F217="",$H217=""),"",IF($S217="✅売却済","―決済済―",IF($C217="売",  IF($H217&lt;=$M217,"🟢利確",  IF(AND($R217&lt;&gt;"",$H217&gt;=$R217),"🟠TRAIL決済",  IF($H217&gt;=$N217,"🔴損切",  IF($W217&gt;=$AG$5,"⏱時間決済",  IF($H217&gt;=$F217*(1+$AG$2*0.7),"⚠️損切接近","保持継続"))))),  IF($H217&gt;=$M217,"🟢利確",  IF(AND($R217&lt;&gt;"",$H217&lt;=$R217),"🟠TRAIL決済",  IF($H217&lt;=$N217,"🔴損切",  IF($W217&gt;=$AG$5,"⏱時間決済",  IF($H217&lt;=$F217*(1-$AG$2*0.7),"⚠️損切接近","保持継続")))))))</f>
      </c>
      <c r="P217" s="445"/>
      <c r="Q217" s="445"/>
      <c r="R217" s="480">
        <f>IF(OR($F217="",$H217="",$N217=""),"",IF($S217="✅売却済","",IF($C217="売",  IF($H217&gt;$F217*(1-$AG$2),$N217,CEILING(MIN($N217,IF($Q217="",$N217,$Q217*1.03)),IF($N217&lt;=3000,1,IF($N217&lt;=5000,5,IF($N217&lt;=30000,10,IF($N217&lt;=50000,50,IF($N217&lt;=300000,100,500))))))),  IF($H217&lt;$F217*(1+$AG$2),$N217,FLOOR(MAX($N217,IF($P217="",$N217,$P217*0.97)),IF($N217&lt;=3000,1,IF($N217&lt;=5000,5,IF($N217&lt;=30000,10,IF($N217&lt;=50000,50,IF($N217&lt;=300000,100,500))))))))))</f>
      </c>
      <c r="S217" s="480" t="str">
        <f t="shared" si="89"/>
        <v/>
      </c>
      <c r="T217" s="596" t="str">
        <f t="shared" ca="1" si="78"/>
        <v/>
      </c>
      <c r="U217" s="598" t="str">
        <f t="shared" ca="1" si="79"/>
        <v/>
      </c>
      <c r="V217" s="703" t="str">
        <f t="shared" ca="1" si="90"/>
        <v/>
      </c>
      <c r="W217" s="480" t="str">
        <f t="shared" ca="1" si="80"/>
        <v/>
      </c>
      <c r="X217" s="480" t="str">
        <f t="shared" ca="1" si="81"/>
        <v/>
      </c>
      <c r="Y217" s="488">
        <f>IF($B217="","",IF(COUNTIFS($B$4:$B217,$B217,$C$4:$C217,$C217)&gt;1,"⛔重複"&amp;COUNTIFS($B$4:$B217,$B217,$C$4:$C217,$C217)&amp;"回目",""))</f>
      </c>
      <c r="Z217" s="710"/>
      <c r="AB217">
        <f>IF($F217="","",MAX(100,ROUNDDOWN($AG$4/($F217*$AG$2)/100,0)*100))</f>
      </c>
      <c r="AC217">
        <f>IF(OR($F217="",$G217="",$U217=""),"",ROUND($V217-($F217+$U217)*$G217*$AG$6-IF($C217="売",$F217*$G217*$AG$7*$W217/365,0),0))</f>
      </c>
      <c r="AD217" s="608"/>
      <c r="AE217" s="600" t="str">
        <f t="shared" si="82"/>
        <v/>
      </c>
      <c r="AF217" s="600"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00"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00" t="str">
        <f t="shared" ca="1" si="83"/>
        <v/>
      </c>
      <c r="AI217" s="600" t="str" cm="1">
        <f t="array" ref="AI217">IFERROR(INDEX(始値!$E$6:$BT$305,MATCH(TEXT($B217,"0"),TEXT(銘柄管理!$B$6:$B$305,"0"),0),MATCH($AE217,始値!$E$3:$BT$3,0)),"")</f>
        <v/>
      </c>
      <c r="AJ217" s="608" t="str">
        <f t="shared" ca="1" si="84"/>
        <v/>
      </c>
      <c r="AK217" s="600" t="str">
        <f t="shared" ca="1" si="85"/>
        <v/>
      </c>
    </row>
    <row r="218" spans="1:37" ht="17.25" customHeight="1">
      <c r="A218" s="621" t="str">
        <f t="shared" si="74"/>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BT$3,0)=1,1,MATCH($E218,始値!$E$3:$BT$3,0)+1)),_xlpm.v,INDEX(始値!$C$6:$B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 t="shared" ca="1" si="86"/>
        <v/>
      </c>
      <c r="L218" s="708" t="str">
        <f t="shared" ca="1" si="87"/>
        <v/>
      </c>
      <c r="M218" s="598">
        <f>IF($F218="","",IF($C218="売",CEILING($F218*IF($C218="売",1-$AG$3,1+$AG$3),IF($F218*IF($C218="売",1-$AG$3,1+$AG$3)&lt;=3000,1,IF($F218*IF($C218="売",1-$AG$3,1+$AG$3)&lt;=5000,5,IF($F218*IF($C218="売",1-$AG$3,1+$AG$3)&lt;=30000,10,IF($F218*IF($C218="売",1-$AG$3,1+$AG$3)&lt;=50000,50,IF($F218*IF($C218="売",1-$AG$3,1+$AG$3)&lt;=300000,100,500)))))),FLOOR($F218*IF($C218="売",1-$AG$3,1+$AG$3),IF($F218*IF($C218="売",1-$AG$3,1+$AG$3)&lt;=3000,1,IF($F218*IF($C218="売",1-$AG$3,1+$AG$3)&lt;=5000,5,IF($F218*IF($C218="売",1-$AG$3,1+$AG$3)&lt;=30000,10,IF($F218*IF($C218="売",1-$AG$3,1+$AG$3)&lt;=50000,50,IF($F218*IF($C218="売",1-$AG$3,1+$AG$3)&lt;=300000,100,500))))))))</f>
      </c>
      <c r="N218" s="598">
        <f>IF($F218="","",IF($C218="売",CEILING($F218*IF($C218="売",1+$AG$2,1-$AG$2),IF($F218*IF($C218="売",1+$AG$2,1-$AG$2)&lt;=3000,1,IF($F218*IF($C218="売",1+$AG$2,1-$AG$2)&lt;=5000,5,IF($F218*IF($C218="売",1+$AG$2,1-$AG$2)&lt;=30000,10,IF($F218*IF($C218="売",1+$AG$2,1-$AG$2)&lt;=50000,50,IF($F218*IF($C218="売",1+$AG$2,1-$AG$2)&lt;=300000,100,500)))))),FLOOR($F218*IF($C218="売",1+$AG$2,1-$AG$2),IF($F218*IF($C218="売",1+$AG$2,1-$AG$2)&lt;=3000,1,IF($F218*IF($C218="売",1+$AG$2,1-$AG$2)&lt;=5000,5,IF($F218*IF($C218="売",1+$AG$2,1-$AG$2)&lt;=30000,10,IF($F218*IF($C218="売",1+$AG$2,1-$AG$2)&lt;=50000,50,IF($F218*IF($C218="売",1+$AG$2,1-$AG$2)&lt;=300000,100,500))))))))</f>
      </c>
      <c r="O218" s="478">
        <f>IF(OR($B218="",$F218="",$H218=""),"",IF($S218="✅売却済","―決済済―",IF($C218="売",  IF($H218&lt;=$M218,"🟢利確",  IF(AND($R218&lt;&gt;"",$H218&gt;=$R218),"🟠TRAIL決済",  IF($H218&gt;=$N218,"🔴損切",  IF($W218&gt;=$AG$5,"⏱時間決済",  IF($H218&gt;=$F218*(1+$AG$2*0.7),"⚠️損切接近","保持継続"))))),  IF($H218&gt;=$M218,"🟢利確",  IF(AND($R218&lt;&gt;"",$H218&lt;=$R218),"🟠TRAIL決済",  IF($H218&lt;=$N218,"🔴損切",  IF($W218&gt;=$AG$5,"⏱時間決済",  IF($H218&lt;=$F218*(1-$AG$2*0.7),"⚠️損切接近","保持継続")))))))</f>
      </c>
      <c r="P218" s="445"/>
      <c r="Q218" s="445"/>
      <c r="R218" s="480">
        <f>IF(OR($F218="",$H218="",$N218=""),"",IF($S218="✅売却済","",IF($C218="売",  IF($H218&gt;$F218*(1-$AG$2),$N218,CEILING(MIN($N218,IF($Q218="",$N218,$Q218*1.03)),IF($N218&lt;=3000,1,IF($N218&lt;=5000,5,IF($N218&lt;=30000,10,IF($N218&lt;=50000,50,IF($N218&lt;=300000,100,500))))))),  IF($H218&lt;$F218*(1+$AG$2),$N218,FLOOR(MAX($N218,IF($P218="",$N218,$P218*0.97)),IF($N218&lt;=3000,1,IF($N218&lt;=5000,5,IF($N218&lt;=30000,10,IF($N218&lt;=50000,50,IF($N218&lt;=300000,100,500))))))))))</f>
      </c>
      <c r="S218" s="480" t="str">
        <f t="shared" si="89"/>
        <v/>
      </c>
      <c r="T218" s="596" t="str">
        <f t="shared" ca="1" si="78"/>
        <v/>
      </c>
      <c r="U218" s="598" t="str">
        <f t="shared" ca="1" si="79"/>
        <v/>
      </c>
      <c r="V218" s="703" t="str">
        <f t="shared" ca="1" si="90"/>
        <v/>
      </c>
      <c r="W218" s="480" t="str">
        <f t="shared" ca="1" si="80"/>
        <v/>
      </c>
      <c r="X218" s="480" t="str">
        <f t="shared" ca="1" si="81"/>
        <v/>
      </c>
      <c r="Y218" s="488">
        <f>IF($B218="","",IF(COUNTIFS($B$4:$B218,$B218,$C$4:$C218,$C218)&gt;1,"⛔重複"&amp;COUNTIFS($B$4:$B218,$B218,$C$4:$C218,$C218)&amp;"回目",""))</f>
      </c>
      <c r="Z218" s="710"/>
      <c r="AB218">
        <f>IF($F218="","",MAX(100,ROUNDDOWN($AG$4/($F218*$AG$2)/100,0)*100))</f>
      </c>
      <c r="AC218">
        <f>IF(OR($F218="",$G218="",$U218=""),"",ROUND($V218-($F218+$U218)*$G218*$AG$6-IF($C218="売",$F218*$G218*$AG$7*$W218/365,0),0))</f>
      </c>
      <c r="AD218" s="608"/>
      <c r="AE218" s="600" t="str">
        <f t="shared" si="82"/>
        <v/>
      </c>
      <c r="AF218" s="600"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00"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00" t="str">
        <f t="shared" ca="1" si="83"/>
        <v/>
      </c>
      <c r="AI218" s="600" t="str" cm="1">
        <f t="array" ref="AI218">IFERROR(INDEX(始値!$E$6:$BT$305,MATCH(TEXT($B218,"0"),TEXT(銘柄管理!$B$6:$B$305,"0"),0),MATCH($AE218,始値!$E$3:$BT$3,0)),"")</f>
        <v/>
      </c>
      <c r="AJ218" s="608" t="str">
        <f t="shared" ca="1" si="84"/>
        <v/>
      </c>
      <c r="AK218" s="600" t="str">
        <f t="shared" ca="1" si="85"/>
        <v/>
      </c>
    </row>
    <row r="219" spans="1:37" ht="17.25" customHeight="1">
      <c r="A219" s="621" t="str">
        <f t="shared" si="74"/>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BT$3,0)=1,1,MATCH($E219,始値!$E$3:$BT$3,0)+1)),_xlpm.v,INDEX(始値!$C$6:$B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 t="shared" ca="1" si="86"/>
        <v/>
      </c>
      <c r="L219" s="708" t="str">
        <f t="shared" ca="1" si="87"/>
        <v/>
      </c>
      <c r="M219" s="598">
        <f>IF($F219="","",IF($C219="売",CEILING($F219*IF($C219="売",1-$AG$3,1+$AG$3),IF($F219*IF($C219="売",1-$AG$3,1+$AG$3)&lt;=3000,1,IF($F219*IF($C219="売",1-$AG$3,1+$AG$3)&lt;=5000,5,IF($F219*IF($C219="売",1-$AG$3,1+$AG$3)&lt;=30000,10,IF($F219*IF($C219="売",1-$AG$3,1+$AG$3)&lt;=50000,50,IF($F219*IF($C219="売",1-$AG$3,1+$AG$3)&lt;=300000,100,500)))))),FLOOR($F219*IF($C219="売",1-$AG$3,1+$AG$3),IF($F219*IF($C219="売",1-$AG$3,1+$AG$3)&lt;=3000,1,IF($F219*IF($C219="売",1-$AG$3,1+$AG$3)&lt;=5000,5,IF($F219*IF($C219="売",1-$AG$3,1+$AG$3)&lt;=30000,10,IF($F219*IF($C219="売",1-$AG$3,1+$AG$3)&lt;=50000,50,IF($F219*IF($C219="売",1-$AG$3,1+$AG$3)&lt;=300000,100,500))))))))</f>
      </c>
      <c r="N219" s="598">
        <f>IF($F219="","",IF($C219="売",CEILING($F219*IF($C219="売",1+$AG$2,1-$AG$2),IF($F219*IF($C219="売",1+$AG$2,1-$AG$2)&lt;=3000,1,IF($F219*IF($C219="売",1+$AG$2,1-$AG$2)&lt;=5000,5,IF($F219*IF($C219="売",1+$AG$2,1-$AG$2)&lt;=30000,10,IF($F219*IF($C219="売",1+$AG$2,1-$AG$2)&lt;=50000,50,IF($F219*IF($C219="売",1+$AG$2,1-$AG$2)&lt;=300000,100,500)))))),FLOOR($F219*IF($C219="売",1+$AG$2,1-$AG$2),IF($F219*IF($C219="売",1+$AG$2,1-$AG$2)&lt;=3000,1,IF($F219*IF($C219="売",1+$AG$2,1-$AG$2)&lt;=5000,5,IF($F219*IF($C219="売",1+$AG$2,1-$AG$2)&lt;=30000,10,IF($F219*IF($C219="売",1+$AG$2,1-$AG$2)&lt;=50000,50,IF($F219*IF($C219="売",1+$AG$2,1-$AG$2)&lt;=300000,100,500))))))))</f>
      </c>
      <c r="O219" s="478">
        <f>IF(OR($B219="",$F219="",$H219=""),"",IF($S219="✅売却済","―決済済―",IF($C219="売",  IF($H219&lt;=$M219,"🟢利確",  IF(AND($R219&lt;&gt;"",$H219&gt;=$R219),"🟠TRAIL決済",  IF($H219&gt;=$N219,"🔴損切",  IF($W219&gt;=$AG$5,"⏱時間決済",  IF($H219&gt;=$F219*(1+$AG$2*0.7),"⚠️損切接近","保持継続"))))),  IF($H219&gt;=$M219,"🟢利確",  IF(AND($R219&lt;&gt;"",$H219&lt;=$R219),"🟠TRAIL決済",  IF($H219&lt;=$N219,"🔴損切",  IF($W219&gt;=$AG$5,"⏱時間決済",  IF($H219&lt;=$F219*(1-$AG$2*0.7),"⚠️損切接近","保持継続")))))))</f>
      </c>
      <c r="P219" s="445"/>
      <c r="Q219" s="445"/>
      <c r="R219" s="480">
        <f>IF(OR($F219="",$H219="",$N219=""),"",IF($S219="✅売却済","",IF($C219="売",  IF($H219&gt;$F219*(1-$AG$2),$N219,CEILING(MIN($N219,IF($Q219="",$N219,$Q219*1.03)),IF($N219&lt;=3000,1,IF($N219&lt;=5000,5,IF($N219&lt;=30000,10,IF($N219&lt;=50000,50,IF($N219&lt;=300000,100,500))))))),  IF($H219&lt;$F219*(1+$AG$2),$N219,FLOOR(MAX($N219,IF($P219="",$N219,$P219*0.97)),IF($N219&lt;=3000,1,IF($N219&lt;=5000,5,IF($N219&lt;=30000,10,IF($N219&lt;=50000,50,IF($N219&lt;=300000,100,500))))))))))</f>
      </c>
      <c r="S219" s="480" t="str">
        <f t="shared" si="89"/>
        <v/>
      </c>
      <c r="T219" s="596" t="str">
        <f t="shared" ca="1" si="78"/>
        <v/>
      </c>
      <c r="U219" s="598" t="str">
        <f t="shared" ca="1" si="79"/>
        <v/>
      </c>
      <c r="V219" s="703" t="str">
        <f t="shared" ca="1" si="90"/>
        <v/>
      </c>
      <c r="W219" s="480" t="str">
        <f t="shared" ca="1" si="80"/>
        <v/>
      </c>
      <c r="X219" s="480" t="str">
        <f t="shared" ca="1" si="81"/>
        <v/>
      </c>
      <c r="Y219" s="488">
        <f>IF($B219="","",IF(COUNTIFS($B$4:$B219,$B219,$C$4:$C219,$C219)&gt;1,"⛔重複"&amp;COUNTIFS($B$4:$B219,$B219,$C$4:$C219,$C219)&amp;"回目",""))</f>
      </c>
      <c r="Z219" s="710"/>
      <c r="AB219">
        <f>IF($F219="","",MAX(100,ROUNDDOWN($AG$4/($F219*$AG$2)/100,0)*100))</f>
      </c>
      <c r="AC219">
        <f>IF(OR($F219="",$G219="",$U219=""),"",ROUND($V219-($F219+$U219)*$G219*$AG$6-IF($C219="売",$F219*$G219*$AG$7*$W219/365,0),0))</f>
      </c>
      <c r="AD219" s="608"/>
      <c r="AE219" s="600" t="str">
        <f t="shared" si="82"/>
        <v/>
      </c>
      <c r="AF219" s="600"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00"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00" t="str">
        <f t="shared" ca="1" si="83"/>
        <v/>
      </c>
      <c r="AI219" s="600" t="str" cm="1">
        <f t="array" ref="AI219">IFERROR(INDEX(始値!$E$6:$BT$305,MATCH(TEXT($B219,"0"),TEXT(銘柄管理!$B$6:$B$305,"0"),0),MATCH($AE219,始値!$E$3:$BT$3,0)),"")</f>
        <v/>
      </c>
      <c r="AJ219" s="608" t="str">
        <f t="shared" ca="1" si="84"/>
        <v/>
      </c>
      <c r="AK219" s="600" t="str">
        <f t="shared" ca="1" si="85"/>
        <v/>
      </c>
    </row>
    <row r="220" spans="1:37" ht="17.25" customHeight="1">
      <c r="A220" s="621" t="str">
        <f t="shared" si="74"/>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BT$3,0)=1,1,MATCH($E220,始値!$E$3:$BT$3,0)+1)),_xlpm.v,INDEX(始値!$C$6:$B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 t="shared" ca="1" si="86"/>
        <v/>
      </c>
      <c r="L220" s="708" t="str">
        <f t="shared" ca="1" si="87"/>
        <v/>
      </c>
      <c r="M220" s="598">
        <f>IF($F220="","",IF($C220="売",CEILING($F220*IF($C220="売",1-$AG$3,1+$AG$3),IF($F220*IF($C220="売",1-$AG$3,1+$AG$3)&lt;=3000,1,IF($F220*IF($C220="売",1-$AG$3,1+$AG$3)&lt;=5000,5,IF($F220*IF($C220="売",1-$AG$3,1+$AG$3)&lt;=30000,10,IF($F220*IF($C220="売",1-$AG$3,1+$AG$3)&lt;=50000,50,IF($F220*IF($C220="売",1-$AG$3,1+$AG$3)&lt;=300000,100,500)))))),FLOOR($F220*IF($C220="売",1-$AG$3,1+$AG$3),IF($F220*IF($C220="売",1-$AG$3,1+$AG$3)&lt;=3000,1,IF($F220*IF($C220="売",1-$AG$3,1+$AG$3)&lt;=5000,5,IF($F220*IF($C220="売",1-$AG$3,1+$AG$3)&lt;=30000,10,IF($F220*IF($C220="売",1-$AG$3,1+$AG$3)&lt;=50000,50,IF($F220*IF($C220="売",1-$AG$3,1+$AG$3)&lt;=300000,100,500))))))))</f>
      </c>
      <c r="N220" s="598">
        <f>IF($F220="","",IF($C220="売",CEILING($F220*IF($C220="売",1+$AG$2,1-$AG$2),IF($F220*IF($C220="売",1+$AG$2,1-$AG$2)&lt;=3000,1,IF($F220*IF($C220="売",1+$AG$2,1-$AG$2)&lt;=5000,5,IF($F220*IF($C220="売",1+$AG$2,1-$AG$2)&lt;=30000,10,IF($F220*IF($C220="売",1+$AG$2,1-$AG$2)&lt;=50000,50,IF($F220*IF($C220="売",1+$AG$2,1-$AG$2)&lt;=300000,100,500)))))),FLOOR($F220*IF($C220="売",1+$AG$2,1-$AG$2),IF($F220*IF($C220="売",1+$AG$2,1-$AG$2)&lt;=3000,1,IF($F220*IF($C220="売",1+$AG$2,1-$AG$2)&lt;=5000,5,IF($F220*IF($C220="売",1+$AG$2,1-$AG$2)&lt;=30000,10,IF($F220*IF($C220="売",1+$AG$2,1-$AG$2)&lt;=50000,50,IF($F220*IF($C220="売",1+$AG$2,1-$AG$2)&lt;=300000,100,500))))))))</f>
      </c>
      <c r="O220" s="478">
        <f>IF(OR($B220="",$F220="",$H220=""),"",IF($S220="✅売却済","―決済済―",IF($C220="売",  IF($H220&lt;=$M220,"🟢利確",  IF(AND($R220&lt;&gt;"",$H220&gt;=$R220),"🟠TRAIL決済",  IF($H220&gt;=$N220,"🔴損切",  IF($W220&gt;=$AG$5,"⏱時間決済",  IF($H220&gt;=$F220*(1+$AG$2*0.7),"⚠️損切接近","保持継続"))))),  IF($H220&gt;=$M220,"🟢利確",  IF(AND($R220&lt;&gt;"",$H220&lt;=$R220),"🟠TRAIL決済",  IF($H220&lt;=$N220,"🔴損切",  IF($W220&gt;=$AG$5,"⏱時間決済",  IF($H220&lt;=$F220*(1-$AG$2*0.7),"⚠️損切接近","保持継続")))))))</f>
      </c>
      <c r="P220" s="445"/>
      <c r="Q220" s="445"/>
      <c r="R220" s="480">
        <f>IF(OR($F220="",$H220="",$N220=""),"",IF($S220="✅売却済","",IF($C220="売",  IF($H220&gt;$F220*(1-$AG$2),$N220,CEILING(MIN($N220,IF($Q220="",$N220,$Q220*1.03)),IF($N220&lt;=3000,1,IF($N220&lt;=5000,5,IF($N220&lt;=30000,10,IF($N220&lt;=50000,50,IF($N220&lt;=300000,100,500))))))),  IF($H220&lt;$F220*(1+$AG$2),$N220,FLOOR(MAX($N220,IF($P220="",$N220,$P220*0.97)),IF($N220&lt;=3000,1,IF($N220&lt;=5000,5,IF($N220&lt;=30000,10,IF($N220&lt;=50000,50,IF($N220&lt;=300000,100,500))))))))))</f>
      </c>
      <c r="S220" s="480" t="str">
        <f t="shared" si="89"/>
        <v/>
      </c>
      <c r="T220" s="596" t="str">
        <f t="shared" ca="1" si="78"/>
        <v/>
      </c>
      <c r="U220" s="598" t="str">
        <f t="shared" ca="1" si="79"/>
        <v/>
      </c>
      <c r="V220" s="703" t="str">
        <f t="shared" ca="1" si="90"/>
        <v/>
      </c>
      <c r="W220" s="480" t="str">
        <f t="shared" ca="1" si="80"/>
        <v/>
      </c>
      <c r="X220" s="480" t="str">
        <f t="shared" ca="1" si="81"/>
        <v/>
      </c>
      <c r="Y220" s="488">
        <f>IF($B220="","",IF(COUNTIFS($B$4:$B220,$B220,$C$4:$C220,$C220)&gt;1,"⛔重複"&amp;COUNTIFS($B$4:$B220,$B220,$C$4:$C220,$C220)&amp;"回目",""))</f>
      </c>
      <c r="Z220" s="710"/>
      <c r="AB220">
        <f>IF($F220="","",MAX(100,ROUNDDOWN($AG$4/($F220*$AG$2)/100,0)*100))</f>
      </c>
      <c r="AC220">
        <f>IF(OR($F220="",$G220="",$U220=""),"",ROUND($V220-($F220+$U220)*$G220*$AG$6-IF($C220="売",$F220*$G220*$AG$7*$W220/365,0),0))</f>
      </c>
      <c r="AD220" s="608"/>
      <c r="AE220" s="600" t="str">
        <f t="shared" si="82"/>
        <v/>
      </c>
      <c r="AF220" s="600"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00"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00" t="str">
        <f t="shared" ca="1" si="83"/>
        <v/>
      </c>
      <c r="AI220" s="600" t="str" cm="1">
        <f t="array" ref="AI220">IFERROR(INDEX(始値!$E$6:$BT$305,MATCH(TEXT($B220,"0"),TEXT(銘柄管理!$B$6:$B$305,"0"),0),MATCH($AE220,始値!$E$3:$BT$3,0)),"")</f>
        <v/>
      </c>
      <c r="AJ220" s="608" t="str">
        <f t="shared" ca="1" si="84"/>
        <v/>
      </c>
      <c r="AK220" s="600" t="str">
        <f t="shared" ca="1" si="85"/>
        <v/>
      </c>
    </row>
    <row r="221" spans="1:37" ht="17.25" customHeight="1">
      <c r="A221" s="621" t="str">
        <f t="shared" si="74"/>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BT$3,0)=1,1,MATCH($E221,始値!$E$3:$BT$3,0)+1)),_xlpm.v,INDEX(始値!$C$6:$B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 t="shared" ca="1" si="86"/>
        <v/>
      </c>
      <c r="L221" s="708" t="str">
        <f t="shared" ca="1" si="87"/>
        <v/>
      </c>
      <c r="M221" s="598">
        <f>IF($F221="","",IF($C221="売",CEILING($F221*IF($C221="売",1-$AG$3,1+$AG$3),IF($F221*IF($C221="売",1-$AG$3,1+$AG$3)&lt;=3000,1,IF($F221*IF($C221="売",1-$AG$3,1+$AG$3)&lt;=5000,5,IF($F221*IF($C221="売",1-$AG$3,1+$AG$3)&lt;=30000,10,IF($F221*IF($C221="売",1-$AG$3,1+$AG$3)&lt;=50000,50,IF($F221*IF($C221="売",1-$AG$3,1+$AG$3)&lt;=300000,100,500)))))),FLOOR($F221*IF($C221="売",1-$AG$3,1+$AG$3),IF($F221*IF($C221="売",1-$AG$3,1+$AG$3)&lt;=3000,1,IF($F221*IF($C221="売",1-$AG$3,1+$AG$3)&lt;=5000,5,IF($F221*IF($C221="売",1-$AG$3,1+$AG$3)&lt;=30000,10,IF($F221*IF($C221="売",1-$AG$3,1+$AG$3)&lt;=50000,50,IF($F221*IF($C221="売",1-$AG$3,1+$AG$3)&lt;=300000,100,500))))))))</f>
      </c>
      <c r="N221" s="598">
        <f>IF($F221="","",IF($C221="売",CEILING($F221*IF($C221="売",1+$AG$2,1-$AG$2),IF($F221*IF($C221="売",1+$AG$2,1-$AG$2)&lt;=3000,1,IF($F221*IF($C221="売",1+$AG$2,1-$AG$2)&lt;=5000,5,IF($F221*IF($C221="売",1+$AG$2,1-$AG$2)&lt;=30000,10,IF($F221*IF($C221="売",1+$AG$2,1-$AG$2)&lt;=50000,50,IF($F221*IF($C221="売",1+$AG$2,1-$AG$2)&lt;=300000,100,500)))))),FLOOR($F221*IF($C221="売",1+$AG$2,1-$AG$2),IF($F221*IF($C221="売",1+$AG$2,1-$AG$2)&lt;=3000,1,IF($F221*IF($C221="売",1+$AG$2,1-$AG$2)&lt;=5000,5,IF($F221*IF($C221="売",1+$AG$2,1-$AG$2)&lt;=30000,10,IF($F221*IF($C221="売",1+$AG$2,1-$AG$2)&lt;=50000,50,IF($F221*IF($C221="売",1+$AG$2,1-$AG$2)&lt;=300000,100,500))))))))</f>
      </c>
      <c r="O221" s="478">
        <f>IF(OR($B221="",$F221="",$H221=""),"",IF($S221="✅売却済","―決済済―",IF($C221="売",  IF($H221&lt;=$M221,"🟢利確",  IF(AND($R221&lt;&gt;"",$H221&gt;=$R221),"🟠TRAIL決済",  IF($H221&gt;=$N221,"🔴損切",  IF($W221&gt;=$AG$5,"⏱時間決済",  IF($H221&gt;=$F221*(1+$AG$2*0.7),"⚠️損切接近","保持継続"))))),  IF($H221&gt;=$M221,"🟢利確",  IF(AND($R221&lt;&gt;"",$H221&lt;=$R221),"🟠TRAIL決済",  IF($H221&lt;=$N221,"🔴損切",  IF($W221&gt;=$AG$5,"⏱時間決済",  IF($H221&lt;=$F221*(1-$AG$2*0.7),"⚠️損切接近","保持継続")))))))</f>
      </c>
      <c r="P221" s="445"/>
      <c r="Q221" s="445"/>
      <c r="R221" s="480">
        <f>IF(OR($F221="",$H221="",$N221=""),"",IF($S221="✅売却済","",IF($C221="売",  IF($H221&gt;$F221*(1-$AG$2),$N221,CEILING(MIN($N221,IF($Q221="",$N221,$Q221*1.03)),IF($N221&lt;=3000,1,IF($N221&lt;=5000,5,IF($N221&lt;=30000,10,IF($N221&lt;=50000,50,IF($N221&lt;=300000,100,500))))))),  IF($H221&lt;$F221*(1+$AG$2),$N221,FLOOR(MAX($N221,IF($P221="",$N221,$P221*0.97)),IF($N221&lt;=3000,1,IF($N221&lt;=5000,5,IF($N221&lt;=30000,10,IF($N221&lt;=50000,50,IF($N221&lt;=300000,100,500))))))))))</f>
      </c>
      <c r="S221" s="480" t="str">
        <f t="shared" si="89"/>
        <v/>
      </c>
      <c r="T221" s="596" t="str">
        <f t="shared" ca="1" si="78"/>
        <v/>
      </c>
      <c r="U221" s="598" t="str">
        <f t="shared" ca="1" si="79"/>
        <v/>
      </c>
      <c r="V221" s="703" t="str">
        <f t="shared" ca="1" si="90"/>
        <v/>
      </c>
      <c r="W221" s="480" t="str">
        <f t="shared" ca="1" si="80"/>
        <v/>
      </c>
      <c r="X221" s="480" t="str">
        <f t="shared" ca="1" si="81"/>
        <v/>
      </c>
      <c r="Y221" s="488">
        <f>IF($B221="","",IF(COUNTIFS($B$4:$B221,$B221,$C$4:$C221,$C221)&gt;1,"⛔重複"&amp;COUNTIFS($B$4:$B221,$B221,$C$4:$C221,$C221)&amp;"回目",""))</f>
      </c>
      <c r="Z221" s="710"/>
      <c r="AB221">
        <f>IF($F221="","",MAX(100,ROUNDDOWN($AG$4/($F221*$AG$2)/100,0)*100))</f>
      </c>
      <c r="AC221">
        <f>IF(OR($F221="",$G221="",$U221=""),"",ROUND($V221-($F221+$U221)*$G221*$AG$6-IF($C221="売",$F221*$G221*$AG$7*$W221/365,0),0))</f>
      </c>
      <c r="AD221" s="608"/>
      <c r="AE221" s="600" t="str">
        <f t="shared" si="82"/>
        <v/>
      </c>
      <c r="AF221" s="600"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00"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00" t="str">
        <f t="shared" ca="1" si="83"/>
        <v/>
      </c>
      <c r="AI221" s="600" t="str" cm="1">
        <f t="array" ref="AI221">IFERROR(INDEX(始値!$E$6:$BT$305,MATCH(TEXT($B221,"0"),TEXT(銘柄管理!$B$6:$B$305,"0"),0),MATCH($AE221,始値!$E$3:$BT$3,0)),"")</f>
        <v/>
      </c>
      <c r="AJ221" s="608" t="str">
        <f t="shared" ca="1" si="84"/>
        <v/>
      </c>
      <c r="AK221" s="600" t="str">
        <f t="shared" ca="1" si="85"/>
        <v/>
      </c>
    </row>
    <row r="222" spans="1:37" ht="17.25" customHeight="1">
      <c r="A222" s="621" t="str">
        <f t="shared" si="74"/>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BT$3,0)=1,1,MATCH($E222,始値!$E$3:$BT$3,0)+1)),_xlpm.v,INDEX(始値!$C$6:$B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 t="shared" ca="1" si="86"/>
        <v/>
      </c>
      <c r="L222" s="708" t="str">
        <f t="shared" ca="1" si="87"/>
        <v/>
      </c>
      <c r="M222" s="598">
        <f>IF($F222="","",IF($C222="売",CEILING($F222*IF($C222="売",1-$AG$3,1+$AG$3),IF($F222*IF($C222="売",1-$AG$3,1+$AG$3)&lt;=3000,1,IF($F222*IF($C222="売",1-$AG$3,1+$AG$3)&lt;=5000,5,IF($F222*IF($C222="売",1-$AG$3,1+$AG$3)&lt;=30000,10,IF($F222*IF($C222="売",1-$AG$3,1+$AG$3)&lt;=50000,50,IF($F222*IF($C222="売",1-$AG$3,1+$AG$3)&lt;=300000,100,500)))))),FLOOR($F222*IF($C222="売",1-$AG$3,1+$AG$3),IF($F222*IF($C222="売",1-$AG$3,1+$AG$3)&lt;=3000,1,IF($F222*IF($C222="売",1-$AG$3,1+$AG$3)&lt;=5000,5,IF($F222*IF($C222="売",1-$AG$3,1+$AG$3)&lt;=30000,10,IF($F222*IF($C222="売",1-$AG$3,1+$AG$3)&lt;=50000,50,IF($F222*IF($C222="売",1-$AG$3,1+$AG$3)&lt;=300000,100,500))))))))</f>
      </c>
      <c r="N222" s="598">
        <f>IF($F222="","",IF($C222="売",CEILING($F222*IF($C222="売",1+$AG$2,1-$AG$2),IF($F222*IF($C222="売",1+$AG$2,1-$AG$2)&lt;=3000,1,IF($F222*IF($C222="売",1+$AG$2,1-$AG$2)&lt;=5000,5,IF($F222*IF($C222="売",1+$AG$2,1-$AG$2)&lt;=30000,10,IF($F222*IF($C222="売",1+$AG$2,1-$AG$2)&lt;=50000,50,IF($F222*IF($C222="売",1+$AG$2,1-$AG$2)&lt;=300000,100,500)))))),FLOOR($F222*IF($C222="売",1+$AG$2,1-$AG$2),IF($F222*IF($C222="売",1+$AG$2,1-$AG$2)&lt;=3000,1,IF($F222*IF($C222="売",1+$AG$2,1-$AG$2)&lt;=5000,5,IF($F222*IF($C222="売",1+$AG$2,1-$AG$2)&lt;=30000,10,IF($F222*IF($C222="売",1+$AG$2,1-$AG$2)&lt;=50000,50,IF($F222*IF($C222="売",1+$AG$2,1-$AG$2)&lt;=300000,100,500))))))))</f>
      </c>
      <c r="O222" s="478">
        <f>IF(OR($B222="",$F222="",$H222=""),"",IF($S222="✅売却済","―決済済―",IF($C222="売",  IF($H222&lt;=$M222,"🟢利確",  IF(AND($R222&lt;&gt;"",$H222&gt;=$R222),"🟠TRAIL決済",  IF($H222&gt;=$N222,"🔴損切",  IF($W222&gt;=$AG$5,"⏱時間決済",  IF($H222&gt;=$F222*(1+$AG$2*0.7),"⚠️損切接近","保持継続"))))),  IF($H222&gt;=$M222,"🟢利確",  IF(AND($R222&lt;&gt;"",$H222&lt;=$R222),"🟠TRAIL決済",  IF($H222&lt;=$N222,"🔴損切",  IF($W222&gt;=$AG$5,"⏱時間決済",  IF($H222&lt;=$F222*(1-$AG$2*0.7),"⚠️損切接近","保持継続")))))))</f>
      </c>
      <c r="P222" s="445"/>
      <c r="Q222" s="445"/>
      <c r="R222" s="480">
        <f>IF(OR($F222="",$H222="",$N222=""),"",IF($S222="✅売却済","",IF($C222="売",  IF($H222&gt;$F222*(1-$AG$2),$N222,CEILING(MIN($N222,IF($Q222="",$N222,$Q222*1.03)),IF($N222&lt;=3000,1,IF($N222&lt;=5000,5,IF($N222&lt;=30000,10,IF($N222&lt;=50000,50,IF($N222&lt;=300000,100,500))))))),  IF($H222&lt;$F222*(1+$AG$2),$N222,FLOOR(MAX($N222,IF($P222="",$N222,$P222*0.97)),IF($N222&lt;=3000,1,IF($N222&lt;=5000,5,IF($N222&lt;=30000,10,IF($N222&lt;=50000,50,IF($N222&lt;=300000,100,500))))))))))</f>
      </c>
      <c r="S222" s="480" t="str">
        <f t="shared" si="89"/>
        <v/>
      </c>
      <c r="T222" s="596" t="str">
        <f t="shared" ca="1" si="78"/>
        <v/>
      </c>
      <c r="U222" s="598" t="str">
        <f t="shared" ca="1" si="79"/>
        <v/>
      </c>
      <c r="V222" s="703" t="str">
        <f t="shared" ca="1" si="90"/>
        <v/>
      </c>
      <c r="W222" s="480" t="str">
        <f t="shared" ca="1" si="80"/>
        <v/>
      </c>
      <c r="X222" s="480" t="str">
        <f t="shared" ca="1" si="81"/>
        <v/>
      </c>
      <c r="Y222" s="488">
        <f>IF($B222="","",IF(COUNTIFS($B$4:$B222,$B222,$C$4:$C222,$C222)&gt;1,"⛔重複"&amp;COUNTIFS($B$4:$B222,$B222,$C$4:$C222,$C222)&amp;"回目",""))</f>
      </c>
      <c r="Z222" s="710"/>
      <c r="AB222">
        <f>IF($F222="","",MAX(100,ROUNDDOWN($AG$4/($F222*$AG$2)/100,0)*100))</f>
      </c>
      <c r="AC222">
        <f>IF(OR($F222="",$G222="",$U222=""),"",ROUND($V222-($F222+$U222)*$G222*$AG$6-IF($C222="売",$F222*$G222*$AG$7*$W222/365,0),0))</f>
      </c>
      <c r="AD222" s="608"/>
      <c r="AE222" s="600" t="str">
        <f t="shared" si="82"/>
        <v/>
      </c>
      <c r="AF222" s="600"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00"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00" t="str">
        <f t="shared" ca="1" si="83"/>
        <v/>
      </c>
      <c r="AI222" s="600" t="str" cm="1">
        <f t="array" ref="AI222">IFERROR(INDEX(始値!$E$6:$BT$305,MATCH(TEXT($B222,"0"),TEXT(銘柄管理!$B$6:$B$305,"0"),0),MATCH($AE222,始値!$E$3:$BT$3,0)),"")</f>
        <v/>
      </c>
      <c r="AJ222" s="608" t="str">
        <f t="shared" ca="1" si="84"/>
        <v/>
      </c>
      <c r="AK222" s="600" t="str">
        <f t="shared" ca="1" si="85"/>
        <v/>
      </c>
    </row>
    <row r="223" spans="1:37" ht="17.25" customHeight="1">
      <c r="A223" s="621" t="str">
        <f t="shared" si="74"/>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BT$3,0)=1,1,MATCH($E223,始値!$E$3:$BT$3,0)+1)),_xlpm.v,INDEX(始値!$C$6:$B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 t="shared" ca="1" si="86"/>
        <v/>
      </c>
      <c r="L223" s="708" t="str">
        <f t="shared" ca="1" si="87"/>
        <v/>
      </c>
      <c r="M223" s="598">
        <f>IF($F223="","",IF($C223="売",CEILING($F223*IF($C223="売",1-$AG$3,1+$AG$3),IF($F223*IF($C223="売",1-$AG$3,1+$AG$3)&lt;=3000,1,IF($F223*IF($C223="売",1-$AG$3,1+$AG$3)&lt;=5000,5,IF($F223*IF($C223="売",1-$AG$3,1+$AG$3)&lt;=30000,10,IF($F223*IF($C223="売",1-$AG$3,1+$AG$3)&lt;=50000,50,IF($F223*IF($C223="売",1-$AG$3,1+$AG$3)&lt;=300000,100,500)))))),FLOOR($F223*IF($C223="売",1-$AG$3,1+$AG$3),IF($F223*IF($C223="売",1-$AG$3,1+$AG$3)&lt;=3000,1,IF($F223*IF($C223="売",1-$AG$3,1+$AG$3)&lt;=5000,5,IF($F223*IF($C223="売",1-$AG$3,1+$AG$3)&lt;=30000,10,IF($F223*IF($C223="売",1-$AG$3,1+$AG$3)&lt;=50000,50,IF($F223*IF($C223="売",1-$AG$3,1+$AG$3)&lt;=300000,100,500))))))))</f>
      </c>
      <c r="N223" s="598">
        <f>IF($F223="","",IF($C223="売",CEILING($F223*IF($C223="売",1+$AG$2,1-$AG$2),IF($F223*IF($C223="売",1+$AG$2,1-$AG$2)&lt;=3000,1,IF($F223*IF($C223="売",1+$AG$2,1-$AG$2)&lt;=5000,5,IF($F223*IF($C223="売",1+$AG$2,1-$AG$2)&lt;=30000,10,IF($F223*IF($C223="売",1+$AG$2,1-$AG$2)&lt;=50000,50,IF($F223*IF($C223="売",1+$AG$2,1-$AG$2)&lt;=300000,100,500)))))),FLOOR($F223*IF($C223="売",1+$AG$2,1-$AG$2),IF($F223*IF($C223="売",1+$AG$2,1-$AG$2)&lt;=3000,1,IF($F223*IF($C223="売",1+$AG$2,1-$AG$2)&lt;=5000,5,IF($F223*IF($C223="売",1+$AG$2,1-$AG$2)&lt;=30000,10,IF($F223*IF($C223="売",1+$AG$2,1-$AG$2)&lt;=50000,50,IF($F223*IF($C223="売",1+$AG$2,1-$AG$2)&lt;=300000,100,500))))))))</f>
      </c>
      <c r="O223" s="478">
        <f>IF(OR($B223="",$F223="",$H223=""),"",IF($S223="✅売却済","―決済済―",IF($C223="売",  IF($H223&lt;=$M223,"🟢利確",  IF(AND($R223&lt;&gt;"",$H223&gt;=$R223),"🟠TRAIL決済",  IF($H223&gt;=$N223,"🔴損切",  IF($W223&gt;=$AG$5,"⏱時間決済",  IF($H223&gt;=$F223*(1+$AG$2*0.7),"⚠️損切接近","保持継続"))))),  IF($H223&gt;=$M223,"🟢利確",  IF(AND($R223&lt;&gt;"",$H223&lt;=$R223),"🟠TRAIL決済",  IF($H223&lt;=$N223,"🔴損切",  IF($W223&gt;=$AG$5,"⏱時間決済",  IF($H223&lt;=$F223*(1-$AG$2*0.7),"⚠️損切接近","保持継続")))))))</f>
      </c>
      <c r="P223" s="445"/>
      <c r="Q223" s="445"/>
      <c r="R223" s="480">
        <f>IF(OR($F223="",$H223="",$N223=""),"",IF($S223="✅売却済","",IF($C223="売",  IF($H223&gt;$F223*(1-$AG$2),$N223,CEILING(MIN($N223,IF($Q223="",$N223,$Q223*1.03)),IF($N223&lt;=3000,1,IF($N223&lt;=5000,5,IF($N223&lt;=30000,10,IF($N223&lt;=50000,50,IF($N223&lt;=300000,100,500))))))),  IF($H223&lt;$F223*(1+$AG$2),$N223,FLOOR(MAX($N223,IF($P223="",$N223,$P223*0.97)),IF($N223&lt;=3000,1,IF($N223&lt;=5000,5,IF($N223&lt;=30000,10,IF($N223&lt;=50000,50,IF($N223&lt;=300000,100,500))))))))))</f>
      </c>
      <c r="S223" s="480" t="str">
        <f t="shared" si="89"/>
        <v/>
      </c>
      <c r="T223" s="596" t="str">
        <f t="shared" ca="1" si="78"/>
        <v/>
      </c>
      <c r="U223" s="598" t="str">
        <f t="shared" ca="1" si="79"/>
        <v/>
      </c>
      <c r="V223" s="703" t="str">
        <f t="shared" ca="1" si="90"/>
        <v/>
      </c>
      <c r="W223" s="480" t="str">
        <f t="shared" ca="1" si="80"/>
        <v/>
      </c>
      <c r="X223" s="480" t="str">
        <f t="shared" ca="1" si="81"/>
        <v/>
      </c>
      <c r="Y223" s="488">
        <f>IF($B223="","",IF(COUNTIFS($B$4:$B223,$B223,$C$4:$C223,$C223)&gt;1,"⛔重複"&amp;COUNTIFS($B$4:$B223,$B223,$C$4:$C223,$C223)&amp;"回目",""))</f>
      </c>
      <c r="Z223" s="710"/>
      <c r="AB223">
        <f>IF($F223="","",MAX(100,ROUNDDOWN($AG$4/($F223*$AG$2)/100,0)*100))</f>
      </c>
      <c r="AC223">
        <f>IF(OR($F223="",$G223="",$U223=""),"",ROUND($V223-($F223+$U223)*$G223*$AG$6-IF($C223="売",$F223*$G223*$AG$7*$W223/365,0),0))</f>
      </c>
      <c r="AD223" s="608"/>
      <c r="AE223" s="600" t="str">
        <f t="shared" si="82"/>
        <v/>
      </c>
      <c r="AF223" s="600"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00"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00" t="str">
        <f t="shared" ca="1" si="83"/>
        <v/>
      </c>
      <c r="AI223" s="600" t="str" cm="1">
        <f t="array" ref="AI223">IFERROR(INDEX(始値!$E$6:$BT$305,MATCH(TEXT($B223,"0"),TEXT(銘柄管理!$B$6:$B$305,"0"),0),MATCH($AE223,始値!$E$3:$BT$3,0)),"")</f>
        <v/>
      </c>
      <c r="AJ223" s="608" t="str">
        <f t="shared" ca="1" si="84"/>
        <v/>
      </c>
      <c r="AK223" s="600" t="str">
        <f t="shared" ca="1" si="85"/>
        <v/>
      </c>
    </row>
    <row r="224" spans="1:37" ht="17.25" customHeight="1">
      <c r="A224" s="621" t="str">
        <f t="shared" si="74"/>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BT$3,0)=1,1,MATCH($E224,始値!$E$3:$BT$3,0)+1)),_xlpm.v,INDEX(始値!$C$6:$B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 t="shared" ca="1" si="86"/>
        <v/>
      </c>
      <c r="L224" s="708" t="str">
        <f t="shared" ca="1" si="87"/>
        <v/>
      </c>
      <c r="M224" s="598">
        <f>IF($F224="","",IF($C224="売",CEILING($F224*IF($C224="売",1-$AG$3,1+$AG$3),IF($F224*IF($C224="売",1-$AG$3,1+$AG$3)&lt;=3000,1,IF($F224*IF($C224="売",1-$AG$3,1+$AG$3)&lt;=5000,5,IF($F224*IF($C224="売",1-$AG$3,1+$AG$3)&lt;=30000,10,IF($F224*IF($C224="売",1-$AG$3,1+$AG$3)&lt;=50000,50,IF($F224*IF($C224="売",1-$AG$3,1+$AG$3)&lt;=300000,100,500)))))),FLOOR($F224*IF($C224="売",1-$AG$3,1+$AG$3),IF($F224*IF($C224="売",1-$AG$3,1+$AG$3)&lt;=3000,1,IF($F224*IF($C224="売",1-$AG$3,1+$AG$3)&lt;=5000,5,IF($F224*IF($C224="売",1-$AG$3,1+$AG$3)&lt;=30000,10,IF($F224*IF($C224="売",1-$AG$3,1+$AG$3)&lt;=50000,50,IF($F224*IF($C224="売",1-$AG$3,1+$AG$3)&lt;=300000,100,500))))))))</f>
      </c>
      <c r="N224" s="598">
        <f>IF($F224="","",IF($C224="売",CEILING($F224*IF($C224="売",1+$AG$2,1-$AG$2),IF($F224*IF($C224="売",1+$AG$2,1-$AG$2)&lt;=3000,1,IF($F224*IF($C224="売",1+$AG$2,1-$AG$2)&lt;=5000,5,IF($F224*IF($C224="売",1+$AG$2,1-$AG$2)&lt;=30000,10,IF($F224*IF($C224="売",1+$AG$2,1-$AG$2)&lt;=50000,50,IF($F224*IF($C224="売",1+$AG$2,1-$AG$2)&lt;=300000,100,500)))))),FLOOR($F224*IF($C224="売",1+$AG$2,1-$AG$2),IF($F224*IF($C224="売",1+$AG$2,1-$AG$2)&lt;=3000,1,IF($F224*IF($C224="売",1+$AG$2,1-$AG$2)&lt;=5000,5,IF($F224*IF($C224="売",1+$AG$2,1-$AG$2)&lt;=30000,10,IF($F224*IF($C224="売",1+$AG$2,1-$AG$2)&lt;=50000,50,IF($F224*IF($C224="売",1+$AG$2,1-$AG$2)&lt;=300000,100,500))))))))</f>
      </c>
      <c r="O224" s="478">
        <f>IF(OR($B224="",$F224="",$H224=""),"",IF($S224="✅売却済","―決済済―",IF($C224="売",  IF($H224&lt;=$M224,"🟢利確",  IF(AND($R224&lt;&gt;"",$H224&gt;=$R224),"🟠TRAIL決済",  IF($H224&gt;=$N224,"🔴損切",  IF($W224&gt;=$AG$5,"⏱時間決済",  IF($H224&gt;=$F224*(1+$AG$2*0.7),"⚠️損切接近","保持継続"))))),  IF($H224&gt;=$M224,"🟢利確",  IF(AND($R224&lt;&gt;"",$H224&lt;=$R224),"🟠TRAIL決済",  IF($H224&lt;=$N224,"🔴損切",  IF($W224&gt;=$AG$5,"⏱時間決済",  IF($H224&lt;=$F224*(1-$AG$2*0.7),"⚠️損切接近","保持継続")))))))</f>
      </c>
      <c r="P224" s="445"/>
      <c r="Q224" s="445"/>
      <c r="R224" s="480">
        <f>IF(OR($F224="",$H224="",$N224=""),"",IF($S224="✅売却済","",IF($C224="売",  IF($H224&gt;$F224*(1-$AG$2),$N224,CEILING(MIN($N224,IF($Q224="",$N224,$Q224*1.03)),IF($N224&lt;=3000,1,IF($N224&lt;=5000,5,IF($N224&lt;=30000,10,IF($N224&lt;=50000,50,IF($N224&lt;=300000,100,500))))))),  IF($H224&lt;$F224*(1+$AG$2),$N224,FLOOR(MAX($N224,IF($P224="",$N224,$P224*0.97)),IF($N224&lt;=3000,1,IF($N224&lt;=5000,5,IF($N224&lt;=30000,10,IF($N224&lt;=50000,50,IF($N224&lt;=300000,100,500))))))))))</f>
      </c>
      <c r="S224" s="480" t="str">
        <f t="shared" si="89"/>
        <v/>
      </c>
      <c r="T224" s="596" t="str">
        <f t="shared" ca="1" si="78"/>
        <v/>
      </c>
      <c r="U224" s="598" t="str">
        <f t="shared" ca="1" si="79"/>
        <v/>
      </c>
      <c r="V224" s="703" t="str">
        <f t="shared" ca="1" si="90"/>
        <v/>
      </c>
      <c r="W224" s="480" t="str">
        <f t="shared" ca="1" si="80"/>
        <v/>
      </c>
      <c r="X224" s="480" t="str">
        <f t="shared" ca="1" si="81"/>
        <v/>
      </c>
      <c r="Y224" s="488">
        <f>IF($B224="","",IF(COUNTIFS($B$4:$B224,$B224,$C$4:$C224,$C224)&gt;1,"⛔重複"&amp;COUNTIFS($B$4:$B224,$B224,$C$4:$C224,$C224)&amp;"回目",""))</f>
      </c>
      <c r="Z224" s="710"/>
      <c r="AB224">
        <f>IF($F224="","",MAX(100,ROUNDDOWN($AG$4/($F224*$AG$2)/100,0)*100))</f>
      </c>
      <c r="AC224">
        <f>IF(OR($F224="",$G224="",$U224=""),"",ROUND($V224-($F224+$U224)*$G224*$AG$6-IF($C224="売",$F224*$G224*$AG$7*$W224/365,0),0))</f>
      </c>
      <c r="AD224" s="608"/>
      <c r="AE224" s="600" t="str">
        <f t="shared" si="82"/>
        <v/>
      </c>
      <c r="AF224" s="600"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00"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00" t="str">
        <f t="shared" ca="1" si="83"/>
        <v/>
      </c>
      <c r="AI224" s="600" t="str" cm="1">
        <f t="array" ref="AI224">IFERROR(INDEX(始値!$E$6:$BT$305,MATCH(TEXT($B224,"0"),TEXT(銘柄管理!$B$6:$B$305,"0"),0),MATCH($AE224,始値!$E$3:$BT$3,0)),"")</f>
        <v/>
      </c>
      <c r="AJ224" s="608" t="str">
        <f t="shared" ca="1" si="84"/>
        <v/>
      </c>
      <c r="AK224" s="600" t="str">
        <f t="shared" ca="1" si="85"/>
        <v/>
      </c>
    </row>
    <row r="225" spans="1:37" ht="17.25" customHeight="1">
      <c r="A225" s="621" t="str">
        <f t="shared" si="74"/>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BT$3,0)=1,1,MATCH($E225,始値!$E$3:$BT$3,0)+1)),_xlpm.v,INDEX(始値!$C$6:$B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 t="shared" ca="1" si="86"/>
        <v/>
      </c>
      <c r="L225" s="708" t="str">
        <f t="shared" ca="1" si="87"/>
        <v/>
      </c>
      <c r="M225" s="598">
        <f>IF($F225="","",IF($C225="売",CEILING($F225*IF($C225="売",1-$AG$3,1+$AG$3),IF($F225*IF($C225="売",1-$AG$3,1+$AG$3)&lt;=3000,1,IF($F225*IF($C225="売",1-$AG$3,1+$AG$3)&lt;=5000,5,IF($F225*IF($C225="売",1-$AG$3,1+$AG$3)&lt;=30000,10,IF($F225*IF($C225="売",1-$AG$3,1+$AG$3)&lt;=50000,50,IF($F225*IF($C225="売",1-$AG$3,1+$AG$3)&lt;=300000,100,500)))))),FLOOR($F225*IF($C225="売",1-$AG$3,1+$AG$3),IF($F225*IF($C225="売",1-$AG$3,1+$AG$3)&lt;=3000,1,IF($F225*IF($C225="売",1-$AG$3,1+$AG$3)&lt;=5000,5,IF($F225*IF($C225="売",1-$AG$3,1+$AG$3)&lt;=30000,10,IF($F225*IF($C225="売",1-$AG$3,1+$AG$3)&lt;=50000,50,IF($F225*IF($C225="売",1-$AG$3,1+$AG$3)&lt;=300000,100,500))))))))</f>
      </c>
      <c r="N225" s="598">
        <f>IF($F225="","",IF($C225="売",CEILING($F225*IF($C225="売",1+$AG$2,1-$AG$2),IF($F225*IF($C225="売",1+$AG$2,1-$AG$2)&lt;=3000,1,IF($F225*IF($C225="売",1+$AG$2,1-$AG$2)&lt;=5000,5,IF($F225*IF($C225="売",1+$AG$2,1-$AG$2)&lt;=30000,10,IF($F225*IF($C225="売",1+$AG$2,1-$AG$2)&lt;=50000,50,IF($F225*IF($C225="売",1+$AG$2,1-$AG$2)&lt;=300000,100,500)))))),FLOOR($F225*IF($C225="売",1+$AG$2,1-$AG$2),IF($F225*IF($C225="売",1+$AG$2,1-$AG$2)&lt;=3000,1,IF($F225*IF($C225="売",1+$AG$2,1-$AG$2)&lt;=5000,5,IF($F225*IF($C225="売",1+$AG$2,1-$AG$2)&lt;=30000,10,IF($F225*IF($C225="売",1+$AG$2,1-$AG$2)&lt;=50000,50,IF($F225*IF($C225="売",1+$AG$2,1-$AG$2)&lt;=300000,100,500))))))))</f>
      </c>
      <c r="O225" s="478">
        <f>IF(OR($B225="",$F225="",$H225=""),"",IF($S225="✅売却済","―決済済―",IF($C225="売",  IF($H225&lt;=$M225,"🟢利確",  IF(AND($R225&lt;&gt;"",$H225&gt;=$R225),"🟠TRAIL決済",  IF($H225&gt;=$N225,"🔴損切",  IF($W225&gt;=$AG$5,"⏱時間決済",  IF($H225&gt;=$F225*(1+$AG$2*0.7),"⚠️損切接近","保持継続"))))),  IF($H225&gt;=$M225,"🟢利確",  IF(AND($R225&lt;&gt;"",$H225&lt;=$R225),"🟠TRAIL決済",  IF($H225&lt;=$N225,"🔴損切",  IF($W225&gt;=$AG$5,"⏱時間決済",  IF($H225&lt;=$F225*(1-$AG$2*0.7),"⚠️損切接近","保持継続")))))))</f>
      </c>
      <c r="P225" s="445"/>
      <c r="Q225" s="445"/>
      <c r="R225" s="480">
        <f>IF(OR($F225="",$H225="",$N225=""),"",IF($S225="✅売却済","",IF($C225="売",  IF($H225&gt;$F225*(1-$AG$2),$N225,CEILING(MIN($N225,IF($Q225="",$N225,$Q225*1.03)),IF($N225&lt;=3000,1,IF($N225&lt;=5000,5,IF($N225&lt;=30000,10,IF($N225&lt;=50000,50,IF($N225&lt;=300000,100,500))))))),  IF($H225&lt;$F225*(1+$AG$2),$N225,FLOOR(MAX($N225,IF($P225="",$N225,$P225*0.97)),IF($N225&lt;=3000,1,IF($N225&lt;=5000,5,IF($N225&lt;=30000,10,IF($N225&lt;=50000,50,IF($N225&lt;=300000,100,500))))))))))</f>
      </c>
      <c r="S225" s="480" t="str">
        <f t="shared" si="89"/>
        <v/>
      </c>
      <c r="T225" s="596" t="str">
        <f t="shared" ca="1" si="78"/>
        <v/>
      </c>
      <c r="U225" s="598" t="str">
        <f t="shared" ca="1" si="79"/>
        <v/>
      </c>
      <c r="V225" s="703" t="str">
        <f t="shared" ca="1" si="90"/>
        <v/>
      </c>
      <c r="W225" s="480" t="str">
        <f t="shared" ca="1" si="80"/>
        <v/>
      </c>
      <c r="X225" s="480" t="str">
        <f t="shared" ca="1" si="81"/>
        <v/>
      </c>
      <c r="Y225" s="488">
        <f>IF($B225="","",IF(COUNTIFS($B$4:$B225,$B225,$C$4:$C225,$C225)&gt;1,"⛔重複"&amp;COUNTIFS($B$4:$B225,$B225,$C$4:$C225,$C225)&amp;"回目",""))</f>
      </c>
      <c r="Z225" s="710"/>
      <c r="AB225">
        <f>IF($F225="","",MAX(100,ROUNDDOWN($AG$4/($F225*$AG$2)/100,0)*100))</f>
      </c>
      <c r="AC225">
        <f>IF(OR($F225="",$G225="",$U225=""),"",ROUND($V225-($F225+$U225)*$G225*$AG$6-IF($C225="売",$F225*$G225*$AG$7*$W225/365,0),0))</f>
      </c>
      <c r="AD225" s="608"/>
      <c r="AE225" s="600" t="str">
        <f t="shared" si="82"/>
        <v/>
      </c>
      <c r="AF225" s="600"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00"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00" t="str">
        <f t="shared" ca="1" si="83"/>
        <v/>
      </c>
      <c r="AI225" s="600" t="str" cm="1">
        <f t="array" ref="AI225">IFERROR(INDEX(始値!$E$6:$BT$305,MATCH(TEXT($B225,"0"),TEXT(銘柄管理!$B$6:$B$305,"0"),0),MATCH($AE225,始値!$E$3:$BT$3,0)),"")</f>
        <v/>
      </c>
      <c r="AJ225" s="608" t="str">
        <f t="shared" ca="1" si="84"/>
        <v/>
      </c>
      <c r="AK225" s="600" t="str">
        <f t="shared" ca="1" si="85"/>
        <v/>
      </c>
    </row>
    <row r="226" spans="1:37" ht="17.25" customHeight="1">
      <c r="A226" s="621" t="str">
        <f t="shared" si="74"/>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BT$3,0)=1,1,MATCH($E226,始値!$E$3:$BT$3,0)+1)),_xlpm.v,INDEX(始値!$C$6:$B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 t="shared" ca="1" si="86"/>
        <v/>
      </c>
      <c r="L226" s="708" t="str">
        <f t="shared" ca="1" si="87"/>
        <v/>
      </c>
      <c r="M226" s="598">
        <f>IF($F226="","",IF($C226="売",CEILING($F226*IF($C226="売",1-$AG$3,1+$AG$3),IF($F226*IF($C226="売",1-$AG$3,1+$AG$3)&lt;=3000,1,IF($F226*IF($C226="売",1-$AG$3,1+$AG$3)&lt;=5000,5,IF($F226*IF($C226="売",1-$AG$3,1+$AG$3)&lt;=30000,10,IF($F226*IF($C226="売",1-$AG$3,1+$AG$3)&lt;=50000,50,IF($F226*IF($C226="売",1-$AG$3,1+$AG$3)&lt;=300000,100,500)))))),FLOOR($F226*IF($C226="売",1-$AG$3,1+$AG$3),IF($F226*IF($C226="売",1-$AG$3,1+$AG$3)&lt;=3000,1,IF($F226*IF($C226="売",1-$AG$3,1+$AG$3)&lt;=5000,5,IF($F226*IF($C226="売",1-$AG$3,1+$AG$3)&lt;=30000,10,IF($F226*IF($C226="売",1-$AG$3,1+$AG$3)&lt;=50000,50,IF($F226*IF($C226="売",1-$AG$3,1+$AG$3)&lt;=300000,100,500))))))))</f>
      </c>
      <c r="N226" s="598">
        <f>IF($F226="","",IF($C226="売",CEILING($F226*IF($C226="売",1+$AG$2,1-$AG$2),IF($F226*IF($C226="売",1+$AG$2,1-$AG$2)&lt;=3000,1,IF($F226*IF($C226="売",1+$AG$2,1-$AG$2)&lt;=5000,5,IF($F226*IF($C226="売",1+$AG$2,1-$AG$2)&lt;=30000,10,IF($F226*IF($C226="売",1+$AG$2,1-$AG$2)&lt;=50000,50,IF($F226*IF($C226="売",1+$AG$2,1-$AG$2)&lt;=300000,100,500)))))),FLOOR($F226*IF($C226="売",1+$AG$2,1-$AG$2),IF($F226*IF($C226="売",1+$AG$2,1-$AG$2)&lt;=3000,1,IF($F226*IF($C226="売",1+$AG$2,1-$AG$2)&lt;=5000,5,IF($F226*IF($C226="売",1+$AG$2,1-$AG$2)&lt;=30000,10,IF($F226*IF($C226="売",1+$AG$2,1-$AG$2)&lt;=50000,50,IF($F226*IF($C226="売",1+$AG$2,1-$AG$2)&lt;=300000,100,500))))))))</f>
      </c>
      <c r="O226" s="478">
        <f>IF(OR($B226="",$F226="",$H226=""),"",IF($S226="✅売却済","―決済済―",IF($C226="売",  IF($H226&lt;=$M226,"🟢利確",  IF(AND($R226&lt;&gt;"",$H226&gt;=$R226),"🟠TRAIL決済",  IF($H226&gt;=$N226,"🔴損切",  IF($W226&gt;=$AG$5,"⏱時間決済",  IF($H226&gt;=$F226*(1+$AG$2*0.7),"⚠️損切接近","保持継続"))))),  IF($H226&gt;=$M226,"🟢利確",  IF(AND($R226&lt;&gt;"",$H226&lt;=$R226),"🟠TRAIL決済",  IF($H226&lt;=$N226,"🔴損切",  IF($W226&gt;=$AG$5,"⏱時間決済",  IF($H226&lt;=$F226*(1-$AG$2*0.7),"⚠️損切接近","保持継続")))))))</f>
      </c>
      <c r="P226" s="445"/>
      <c r="Q226" s="445"/>
      <c r="R226" s="480">
        <f>IF(OR($F226="",$H226="",$N226=""),"",IF($S226="✅売却済","",IF($C226="売",  IF($H226&gt;$F226*(1-$AG$2),$N226,CEILING(MIN($N226,IF($Q226="",$N226,$Q226*1.03)),IF($N226&lt;=3000,1,IF($N226&lt;=5000,5,IF($N226&lt;=30000,10,IF($N226&lt;=50000,50,IF($N226&lt;=300000,100,500))))))),  IF($H226&lt;$F226*(1+$AG$2),$N226,FLOOR(MAX($N226,IF($P226="",$N226,$P226*0.97)),IF($N226&lt;=3000,1,IF($N226&lt;=5000,5,IF($N226&lt;=30000,10,IF($N226&lt;=50000,50,IF($N226&lt;=300000,100,500))))))))))</f>
      </c>
      <c r="S226" s="480" t="str">
        <f t="shared" si="89"/>
        <v/>
      </c>
      <c r="T226" s="596" t="str">
        <f t="shared" ca="1" si="78"/>
        <v/>
      </c>
      <c r="U226" s="598" t="str">
        <f t="shared" ca="1" si="79"/>
        <v/>
      </c>
      <c r="V226" s="703" t="str">
        <f t="shared" ca="1" si="90"/>
        <v/>
      </c>
      <c r="W226" s="480" t="str">
        <f t="shared" ca="1" si="80"/>
        <v/>
      </c>
      <c r="X226" s="480" t="str">
        <f t="shared" ca="1" si="81"/>
        <v/>
      </c>
      <c r="Y226" s="488">
        <f>IF($B226="","",IF(COUNTIFS($B$4:$B226,$B226,$C$4:$C226,$C226)&gt;1,"⛔重複"&amp;COUNTIFS($B$4:$B226,$B226,$C$4:$C226,$C226)&amp;"回目",""))</f>
      </c>
      <c r="Z226" s="710"/>
      <c r="AB226">
        <f>IF($F226="","",MAX(100,ROUNDDOWN($AG$4/($F226*$AG$2)/100,0)*100))</f>
      </c>
      <c r="AC226">
        <f>IF(OR($F226="",$G226="",$U226=""),"",ROUND($V226-($F226+$U226)*$G226*$AG$6-IF($C226="売",$F226*$G226*$AG$7*$W226/365,0),0))</f>
      </c>
      <c r="AD226" s="608"/>
      <c r="AE226" s="600" t="str">
        <f t="shared" si="82"/>
        <v/>
      </c>
      <c r="AF226" s="600"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00"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00" t="str">
        <f t="shared" ca="1" si="83"/>
        <v/>
      </c>
      <c r="AI226" s="600" t="str" cm="1">
        <f t="array" ref="AI226">IFERROR(INDEX(始値!$E$6:$BT$305,MATCH(TEXT($B226,"0"),TEXT(銘柄管理!$B$6:$B$305,"0"),0),MATCH($AE226,始値!$E$3:$BT$3,0)),"")</f>
        <v/>
      </c>
      <c r="AJ226" s="608" t="str">
        <f t="shared" ca="1" si="84"/>
        <v/>
      </c>
      <c r="AK226" s="600" t="str">
        <f t="shared" ca="1" si="85"/>
        <v/>
      </c>
    </row>
    <row r="227" spans="1:37" ht="17.25" customHeight="1">
      <c r="A227" s="621" t="str">
        <f t="shared" si="74"/>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BT$3,0)=1,1,MATCH($E227,始値!$E$3:$BT$3,0)+1)),_xlpm.v,INDEX(始値!$C$6:$B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 t="shared" ca="1" si="86"/>
        <v/>
      </c>
      <c r="L227" s="708" t="str">
        <f t="shared" ca="1" si="87"/>
        <v/>
      </c>
      <c r="M227" s="598">
        <f>IF($F227="","",IF($C227="売",CEILING($F227*IF($C227="売",1-$AG$3,1+$AG$3),IF($F227*IF($C227="売",1-$AG$3,1+$AG$3)&lt;=3000,1,IF($F227*IF($C227="売",1-$AG$3,1+$AG$3)&lt;=5000,5,IF($F227*IF($C227="売",1-$AG$3,1+$AG$3)&lt;=30000,10,IF($F227*IF($C227="売",1-$AG$3,1+$AG$3)&lt;=50000,50,IF($F227*IF($C227="売",1-$AG$3,1+$AG$3)&lt;=300000,100,500)))))),FLOOR($F227*IF($C227="売",1-$AG$3,1+$AG$3),IF($F227*IF($C227="売",1-$AG$3,1+$AG$3)&lt;=3000,1,IF($F227*IF($C227="売",1-$AG$3,1+$AG$3)&lt;=5000,5,IF($F227*IF($C227="売",1-$AG$3,1+$AG$3)&lt;=30000,10,IF($F227*IF($C227="売",1-$AG$3,1+$AG$3)&lt;=50000,50,IF($F227*IF($C227="売",1-$AG$3,1+$AG$3)&lt;=300000,100,500))))))))</f>
      </c>
      <c r="N227" s="598">
        <f>IF($F227="","",IF($C227="売",CEILING($F227*IF($C227="売",1+$AG$2,1-$AG$2),IF($F227*IF($C227="売",1+$AG$2,1-$AG$2)&lt;=3000,1,IF($F227*IF($C227="売",1+$AG$2,1-$AG$2)&lt;=5000,5,IF($F227*IF($C227="売",1+$AG$2,1-$AG$2)&lt;=30000,10,IF($F227*IF($C227="売",1+$AG$2,1-$AG$2)&lt;=50000,50,IF($F227*IF($C227="売",1+$AG$2,1-$AG$2)&lt;=300000,100,500)))))),FLOOR($F227*IF($C227="売",1+$AG$2,1-$AG$2),IF($F227*IF($C227="売",1+$AG$2,1-$AG$2)&lt;=3000,1,IF($F227*IF($C227="売",1+$AG$2,1-$AG$2)&lt;=5000,5,IF($F227*IF($C227="売",1+$AG$2,1-$AG$2)&lt;=30000,10,IF($F227*IF($C227="売",1+$AG$2,1-$AG$2)&lt;=50000,50,IF($F227*IF($C227="売",1+$AG$2,1-$AG$2)&lt;=300000,100,500))))))))</f>
      </c>
      <c r="O227" s="478">
        <f>IF(OR($B227="",$F227="",$H227=""),"",IF($S227="✅売却済","―決済済―",IF($C227="売",  IF($H227&lt;=$M227,"🟢利確",  IF(AND($R227&lt;&gt;"",$H227&gt;=$R227),"🟠TRAIL決済",  IF($H227&gt;=$N227,"🔴損切",  IF($W227&gt;=$AG$5,"⏱時間決済",  IF($H227&gt;=$F227*(1+$AG$2*0.7),"⚠️損切接近","保持継続"))))),  IF($H227&gt;=$M227,"🟢利確",  IF(AND($R227&lt;&gt;"",$H227&lt;=$R227),"🟠TRAIL決済",  IF($H227&lt;=$N227,"🔴損切",  IF($W227&gt;=$AG$5,"⏱時間決済",  IF($H227&lt;=$F227*(1-$AG$2*0.7),"⚠️損切接近","保持継続")))))))</f>
      </c>
      <c r="P227" s="445"/>
      <c r="Q227" s="445"/>
      <c r="R227" s="480">
        <f>IF(OR($F227="",$H227="",$N227=""),"",IF($S227="✅売却済","",IF($C227="売",  IF($H227&gt;$F227*(1-$AG$2),$N227,CEILING(MIN($N227,IF($Q227="",$N227,$Q227*1.03)),IF($N227&lt;=3000,1,IF($N227&lt;=5000,5,IF($N227&lt;=30000,10,IF($N227&lt;=50000,50,IF($N227&lt;=300000,100,500))))))),  IF($H227&lt;$F227*(1+$AG$2),$N227,FLOOR(MAX($N227,IF($P227="",$N227,$P227*0.97)),IF($N227&lt;=3000,1,IF($N227&lt;=5000,5,IF($N227&lt;=30000,10,IF($N227&lt;=50000,50,IF($N227&lt;=300000,100,500))))))))))</f>
      </c>
      <c r="S227" s="480" t="str">
        <f t="shared" si="89"/>
        <v/>
      </c>
      <c r="T227" s="596" t="str">
        <f t="shared" ca="1" si="78"/>
        <v/>
      </c>
      <c r="U227" s="598" t="str">
        <f t="shared" ca="1" si="79"/>
        <v/>
      </c>
      <c r="V227" s="703" t="str">
        <f t="shared" ca="1" si="90"/>
        <v/>
      </c>
      <c r="W227" s="480" t="str">
        <f t="shared" ca="1" si="80"/>
        <v/>
      </c>
      <c r="X227" s="480" t="str">
        <f t="shared" ca="1" si="81"/>
        <v/>
      </c>
      <c r="Y227" s="488">
        <f>IF($B227="","",IF(COUNTIFS($B$4:$B227,$B227,$C$4:$C227,$C227)&gt;1,"⛔重複"&amp;COUNTIFS($B$4:$B227,$B227,$C$4:$C227,$C227)&amp;"回目",""))</f>
      </c>
      <c r="Z227" s="710"/>
      <c r="AB227">
        <f>IF($F227="","",MAX(100,ROUNDDOWN($AG$4/($F227*$AG$2)/100,0)*100))</f>
      </c>
      <c r="AC227">
        <f>IF(OR($F227="",$G227="",$U227=""),"",ROUND($V227-($F227+$U227)*$G227*$AG$6-IF($C227="売",$F227*$G227*$AG$7*$W227/365,0),0))</f>
      </c>
      <c r="AD227" s="608"/>
      <c r="AE227" s="600" t="str">
        <f t="shared" si="82"/>
        <v/>
      </c>
      <c r="AF227" s="600"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00"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00" t="str">
        <f t="shared" ca="1" si="83"/>
        <v/>
      </c>
      <c r="AI227" s="600" t="str" cm="1">
        <f t="array" ref="AI227">IFERROR(INDEX(始値!$E$6:$BT$305,MATCH(TEXT($B227,"0"),TEXT(銘柄管理!$B$6:$B$305,"0"),0),MATCH($AE227,始値!$E$3:$BT$3,0)),"")</f>
        <v/>
      </c>
      <c r="AJ227" s="608" t="str">
        <f t="shared" ca="1" si="84"/>
        <v/>
      </c>
      <c r="AK227" s="600" t="str">
        <f t="shared" ca="1" si="85"/>
        <v/>
      </c>
    </row>
    <row r="228" spans="1:37" ht="17.25" customHeight="1">
      <c r="A228" s="621" t="str">
        <f t="shared" si="74"/>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BT$3,0)=1,1,MATCH($E228,始値!$E$3:$BT$3,0)+1)),_xlpm.v,INDEX(始値!$C$6:$B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 t="shared" ca="1" si="86"/>
        <v/>
      </c>
      <c r="L228" s="708" t="str">
        <f t="shared" ca="1" si="87"/>
        <v/>
      </c>
      <c r="M228" s="598">
        <f>IF($F228="","",IF($C228="売",CEILING($F228*IF($C228="売",1-$AG$3,1+$AG$3),IF($F228*IF($C228="売",1-$AG$3,1+$AG$3)&lt;=3000,1,IF($F228*IF($C228="売",1-$AG$3,1+$AG$3)&lt;=5000,5,IF($F228*IF($C228="売",1-$AG$3,1+$AG$3)&lt;=30000,10,IF($F228*IF($C228="売",1-$AG$3,1+$AG$3)&lt;=50000,50,IF($F228*IF($C228="売",1-$AG$3,1+$AG$3)&lt;=300000,100,500)))))),FLOOR($F228*IF($C228="売",1-$AG$3,1+$AG$3),IF($F228*IF($C228="売",1-$AG$3,1+$AG$3)&lt;=3000,1,IF($F228*IF($C228="売",1-$AG$3,1+$AG$3)&lt;=5000,5,IF($F228*IF($C228="売",1-$AG$3,1+$AG$3)&lt;=30000,10,IF($F228*IF($C228="売",1-$AG$3,1+$AG$3)&lt;=50000,50,IF($F228*IF($C228="売",1-$AG$3,1+$AG$3)&lt;=300000,100,500))))))))</f>
      </c>
      <c r="N228" s="598">
        <f>IF($F228="","",IF($C228="売",CEILING($F228*IF($C228="売",1+$AG$2,1-$AG$2),IF($F228*IF($C228="売",1+$AG$2,1-$AG$2)&lt;=3000,1,IF($F228*IF($C228="売",1+$AG$2,1-$AG$2)&lt;=5000,5,IF($F228*IF($C228="売",1+$AG$2,1-$AG$2)&lt;=30000,10,IF($F228*IF($C228="売",1+$AG$2,1-$AG$2)&lt;=50000,50,IF($F228*IF($C228="売",1+$AG$2,1-$AG$2)&lt;=300000,100,500)))))),FLOOR($F228*IF($C228="売",1+$AG$2,1-$AG$2),IF($F228*IF($C228="売",1+$AG$2,1-$AG$2)&lt;=3000,1,IF($F228*IF($C228="売",1+$AG$2,1-$AG$2)&lt;=5000,5,IF($F228*IF($C228="売",1+$AG$2,1-$AG$2)&lt;=30000,10,IF($F228*IF($C228="売",1+$AG$2,1-$AG$2)&lt;=50000,50,IF($F228*IF($C228="売",1+$AG$2,1-$AG$2)&lt;=300000,100,500))))))))</f>
      </c>
      <c r="O228" s="478">
        <f>IF(OR($B228="",$F228="",$H228=""),"",IF($S228="✅売却済","―決済済―",IF($C228="売",  IF($H228&lt;=$M228,"🟢利確",  IF(AND($R228&lt;&gt;"",$H228&gt;=$R228),"🟠TRAIL決済",  IF($H228&gt;=$N228,"🔴損切",  IF($W228&gt;=$AG$5,"⏱時間決済",  IF($H228&gt;=$F228*(1+$AG$2*0.7),"⚠️損切接近","保持継続"))))),  IF($H228&gt;=$M228,"🟢利確",  IF(AND($R228&lt;&gt;"",$H228&lt;=$R228),"🟠TRAIL決済",  IF($H228&lt;=$N228,"🔴損切",  IF($W228&gt;=$AG$5,"⏱時間決済",  IF($H228&lt;=$F228*(1-$AG$2*0.7),"⚠️損切接近","保持継続")))))))</f>
      </c>
      <c r="P228" s="445"/>
      <c r="Q228" s="445"/>
      <c r="R228" s="480">
        <f>IF(OR($F228="",$H228="",$N228=""),"",IF($S228="✅売却済","",IF($C228="売",  IF($H228&gt;$F228*(1-$AG$2),$N228,CEILING(MIN($N228,IF($Q228="",$N228,$Q228*1.03)),IF($N228&lt;=3000,1,IF($N228&lt;=5000,5,IF($N228&lt;=30000,10,IF($N228&lt;=50000,50,IF($N228&lt;=300000,100,500))))))),  IF($H228&lt;$F228*(1+$AG$2),$N228,FLOOR(MAX($N228,IF($P228="",$N228,$P228*0.97)),IF($N228&lt;=3000,1,IF($N228&lt;=5000,5,IF($N228&lt;=30000,10,IF($N228&lt;=50000,50,IF($N228&lt;=300000,100,500))))))))))</f>
      </c>
      <c r="S228" s="480" t="str">
        <f t="shared" si="89"/>
        <v/>
      </c>
      <c r="T228" s="596" t="str">
        <f t="shared" ca="1" si="78"/>
        <v/>
      </c>
      <c r="U228" s="598" t="str">
        <f t="shared" ca="1" si="79"/>
        <v/>
      </c>
      <c r="V228" s="703" t="str">
        <f t="shared" ca="1" si="90"/>
        <v/>
      </c>
      <c r="W228" s="480" t="str">
        <f t="shared" ca="1" si="80"/>
        <v/>
      </c>
      <c r="X228" s="480" t="str">
        <f t="shared" ca="1" si="81"/>
        <v/>
      </c>
      <c r="Y228" s="488">
        <f>IF($B228="","",IF(COUNTIFS($B$4:$B228,$B228,$C$4:$C228,$C228)&gt;1,"⛔重複"&amp;COUNTIFS($B$4:$B228,$B228,$C$4:$C228,$C228)&amp;"回目",""))</f>
      </c>
      <c r="Z228" s="710"/>
      <c r="AB228">
        <f>IF($F228="","",MAX(100,ROUNDDOWN($AG$4/($F228*$AG$2)/100,0)*100))</f>
      </c>
      <c r="AC228">
        <f>IF(OR($F228="",$G228="",$U228=""),"",ROUND($V228-($F228+$U228)*$G228*$AG$6-IF($C228="売",$F228*$G228*$AG$7*$W228/365,0),0))</f>
      </c>
      <c r="AD228" s="608"/>
      <c r="AE228" s="600" t="str">
        <f t="shared" si="82"/>
        <v/>
      </c>
      <c r="AF228" s="600"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00"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00" t="str">
        <f t="shared" ca="1" si="83"/>
        <v/>
      </c>
      <c r="AI228" s="600" t="str" cm="1">
        <f t="array" ref="AI228">IFERROR(INDEX(始値!$E$6:$BT$305,MATCH(TEXT($B228,"0"),TEXT(銘柄管理!$B$6:$B$305,"0"),0),MATCH($AE228,始値!$E$3:$BT$3,0)),"")</f>
        <v/>
      </c>
      <c r="AJ228" s="608" t="str">
        <f t="shared" ca="1" si="84"/>
        <v/>
      </c>
      <c r="AK228" s="600" t="str">
        <f t="shared" ca="1" si="85"/>
        <v/>
      </c>
    </row>
    <row r="229" spans="1:37" ht="17.25" customHeight="1">
      <c r="A229" s="621" t="str">
        <f t="shared" si="74"/>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BT$3,0)=1,1,MATCH($E229,始値!$E$3:$BT$3,0)+1)),_xlpm.v,INDEX(始値!$C$6:$B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 t="shared" ca="1" si="86"/>
        <v/>
      </c>
      <c r="L229" s="708" t="str">
        <f t="shared" ca="1" si="87"/>
        <v/>
      </c>
      <c r="M229" s="598">
        <f>IF($F229="","",IF($C229="売",CEILING($F229*IF($C229="売",1-$AG$3,1+$AG$3),IF($F229*IF($C229="売",1-$AG$3,1+$AG$3)&lt;=3000,1,IF($F229*IF($C229="売",1-$AG$3,1+$AG$3)&lt;=5000,5,IF($F229*IF($C229="売",1-$AG$3,1+$AG$3)&lt;=30000,10,IF($F229*IF($C229="売",1-$AG$3,1+$AG$3)&lt;=50000,50,IF($F229*IF($C229="売",1-$AG$3,1+$AG$3)&lt;=300000,100,500)))))),FLOOR($F229*IF($C229="売",1-$AG$3,1+$AG$3),IF($F229*IF($C229="売",1-$AG$3,1+$AG$3)&lt;=3000,1,IF($F229*IF($C229="売",1-$AG$3,1+$AG$3)&lt;=5000,5,IF($F229*IF($C229="売",1-$AG$3,1+$AG$3)&lt;=30000,10,IF($F229*IF($C229="売",1-$AG$3,1+$AG$3)&lt;=50000,50,IF($F229*IF($C229="売",1-$AG$3,1+$AG$3)&lt;=300000,100,500))))))))</f>
      </c>
      <c r="N229" s="598">
        <f>IF($F229="","",IF($C229="売",CEILING($F229*IF($C229="売",1+$AG$2,1-$AG$2),IF($F229*IF($C229="売",1+$AG$2,1-$AG$2)&lt;=3000,1,IF($F229*IF($C229="売",1+$AG$2,1-$AG$2)&lt;=5000,5,IF($F229*IF($C229="売",1+$AG$2,1-$AG$2)&lt;=30000,10,IF($F229*IF($C229="売",1+$AG$2,1-$AG$2)&lt;=50000,50,IF($F229*IF($C229="売",1+$AG$2,1-$AG$2)&lt;=300000,100,500)))))),FLOOR($F229*IF($C229="売",1+$AG$2,1-$AG$2),IF($F229*IF($C229="売",1+$AG$2,1-$AG$2)&lt;=3000,1,IF($F229*IF($C229="売",1+$AG$2,1-$AG$2)&lt;=5000,5,IF($F229*IF($C229="売",1+$AG$2,1-$AG$2)&lt;=30000,10,IF($F229*IF($C229="売",1+$AG$2,1-$AG$2)&lt;=50000,50,IF($F229*IF($C229="売",1+$AG$2,1-$AG$2)&lt;=300000,100,500))))))))</f>
      </c>
      <c r="O229" s="478">
        <f>IF(OR($B229="",$F229="",$H229=""),"",IF($S229="✅売却済","―決済済―",IF($C229="売",  IF($H229&lt;=$M229,"🟢利確",  IF(AND($R229&lt;&gt;"",$H229&gt;=$R229),"🟠TRAIL決済",  IF($H229&gt;=$N229,"🔴損切",  IF($W229&gt;=$AG$5,"⏱時間決済",  IF($H229&gt;=$F229*(1+$AG$2*0.7),"⚠️損切接近","保持継続"))))),  IF($H229&gt;=$M229,"🟢利確",  IF(AND($R229&lt;&gt;"",$H229&lt;=$R229),"🟠TRAIL決済",  IF($H229&lt;=$N229,"🔴損切",  IF($W229&gt;=$AG$5,"⏱時間決済",  IF($H229&lt;=$F229*(1-$AG$2*0.7),"⚠️損切接近","保持継続")))))))</f>
      </c>
      <c r="P229" s="445"/>
      <c r="Q229" s="445"/>
      <c r="R229" s="480">
        <f>IF(OR($F229="",$H229="",$N229=""),"",IF($S229="✅売却済","",IF($C229="売",  IF($H229&gt;$F229*(1-$AG$2),$N229,CEILING(MIN($N229,IF($Q229="",$N229,$Q229*1.03)),IF($N229&lt;=3000,1,IF($N229&lt;=5000,5,IF($N229&lt;=30000,10,IF($N229&lt;=50000,50,IF($N229&lt;=300000,100,500))))))),  IF($H229&lt;$F229*(1+$AG$2),$N229,FLOOR(MAX($N229,IF($P229="",$N229,$P229*0.97)),IF($N229&lt;=3000,1,IF($N229&lt;=5000,5,IF($N229&lt;=30000,10,IF($N229&lt;=50000,50,IF($N229&lt;=300000,100,500))))))))))</f>
      </c>
      <c r="S229" s="480" t="str">
        <f t="shared" si="89"/>
        <v/>
      </c>
      <c r="T229" s="596" t="str">
        <f t="shared" ca="1" si="78"/>
        <v/>
      </c>
      <c r="U229" s="598" t="str">
        <f t="shared" ca="1" si="79"/>
        <v/>
      </c>
      <c r="V229" s="703" t="str">
        <f t="shared" ca="1" si="90"/>
        <v/>
      </c>
      <c r="W229" s="480" t="str">
        <f t="shared" ca="1" si="80"/>
        <v/>
      </c>
      <c r="X229" s="480" t="str">
        <f t="shared" ca="1" si="81"/>
        <v/>
      </c>
      <c r="Y229" s="488">
        <f>IF($B229="","",IF(COUNTIFS($B$4:$B229,$B229,$C$4:$C229,$C229)&gt;1,"⛔重複"&amp;COUNTIFS($B$4:$B229,$B229,$C$4:$C229,$C229)&amp;"回目",""))</f>
      </c>
      <c r="Z229" s="710"/>
      <c r="AB229">
        <f>IF($F229="","",MAX(100,ROUNDDOWN($AG$4/($F229*$AG$2)/100,0)*100))</f>
      </c>
      <c r="AC229">
        <f>IF(OR($F229="",$G229="",$U229=""),"",ROUND($V229-($F229+$U229)*$G229*$AG$6-IF($C229="売",$F229*$G229*$AG$7*$W229/365,0),0))</f>
      </c>
      <c r="AD229" s="608"/>
      <c r="AE229" s="600" t="str">
        <f t="shared" si="82"/>
        <v/>
      </c>
      <c r="AF229" s="600"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00"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00" t="str">
        <f t="shared" ca="1" si="83"/>
        <v/>
      </c>
      <c r="AI229" s="600" t="str" cm="1">
        <f t="array" ref="AI229">IFERROR(INDEX(始値!$E$6:$BT$305,MATCH(TEXT($B229,"0"),TEXT(銘柄管理!$B$6:$B$305,"0"),0),MATCH($AE229,始値!$E$3:$BT$3,0)),"")</f>
        <v/>
      </c>
      <c r="AJ229" s="608" t="str">
        <f t="shared" ca="1" si="84"/>
        <v/>
      </c>
      <c r="AK229" s="600" t="str">
        <f t="shared" ca="1" si="85"/>
        <v/>
      </c>
    </row>
    <row r="230" spans="1:37" ht="17.25" customHeight="1">
      <c r="A230" s="621" t="str">
        <f t="shared" si="74"/>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BT$3,0)=1,1,MATCH($E230,始値!$E$3:$BT$3,0)+1)),_xlpm.v,INDEX(始値!$C$6:$B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 t="shared" ca="1" si="86"/>
        <v/>
      </c>
      <c r="L230" s="708" t="str">
        <f t="shared" ca="1" si="87"/>
        <v/>
      </c>
      <c r="M230" s="598">
        <f>IF($F230="","",IF($C230="売",CEILING($F230*IF($C230="売",1-$AG$3,1+$AG$3),IF($F230*IF($C230="売",1-$AG$3,1+$AG$3)&lt;=3000,1,IF($F230*IF($C230="売",1-$AG$3,1+$AG$3)&lt;=5000,5,IF($F230*IF($C230="売",1-$AG$3,1+$AG$3)&lt;=30000,10,IF($F230*IF($C230="売",1-$AG$3,1+$AG$3)&lt;=50000,50,IF($F230*IF($C230="売",1-$AG$3,1+$AG$3)&lt;=300000,100,500)))))),FLOOR($F230*IF($C230="売",1-$AG$3,1+$AG$3),IF($F230*IF($C230="売",1-$AG$3,1+$AG$3)&lt;=3000,1,IF($F230*IF($C230="売",1-$AG$3,1+$AG$3)&lt;=5000,5,IF($F230*IF($C230="売",1-$AG$3,1+$AG$3)&lt;=30000,10,IF($F230*IF($C230="売",1-$AG$3,1+$AG$3)&lt;=50000,50,IF($F230*IF($C230="売",1-$AG$3,1+$AG$3)&lt;=300000,100,500))))))))</f>
      </c>
      <c r="N230" s="598">
        <f>IF($F230="","",IF($C230="売",CEILING($F230*IF($C230="売",1+$AG$2,1-$AG$2),IF($F230*IF($C230="売",1+$AG$2,1-$AG$2)&lt;=3000,1,IF($F230*IF($C230="売",1+$AG$2,1-$AG$2)&lt;=5000,5,IF($F230*IF($C230="売",1+$AG$2,1-$AG$2)&lt;=30000,10,IF($F230*IF($C230="売",1+$AG$2,1-$AG$2)&lt;=50000,50,IF($F230*IF($C230="売",1+$AG$2,1-$AG$2)&lt;=300000,100,500)))))),FLOOR($F230*IF($C230="売",1+$AG$2,1-$AG$2),IF($F230*IF($C230="売",1+$AG$2,1-$AG$2)&lt;=3000,1,IF($F230*IF($C230="売",1+$AG$2,1-$AG$2)&lt;=5000,5,IF($F230*IF($C230="売",1+$AG$2,1-$AG$2)&lt;=30000,10,IF($F230*IF($C230="売",1+$AG$2,1-$AG$2)&lt;=50000,50,IF($F230*IF($C230="売",1+$AG$2,1-$AG$2)&lt;=300000,100,500))))))))</f>
      </c>
      <c r="O230" s="478">
        <f>IF(OR($B230="",$F230="",$H230=""),"",IF($S230="✅売却済","―決済済―",IF($C230="売",  IF($H230&lt;=$M230,"🟢利確",  IF(AND($R230&lt;&gt;"",$H230&gt;=$R230),"🟠TRAIL決済",  IF($H230&gt;=$N230,"🔴損切",  IF($W230&gt;=$AG$5,"⏱時間決済",  IF($H230&gt;=$F230*(1+$AG$2*0.7),"⚠️損切接近","保持継続"))))),  IF($H230&gt;=$M230,"🟢利確",  IF(AND($R230&lt;&gt;"",$H230&lt;=$R230),"🟠TRAIL決済",  IF($H230&lt;=$N230,"🔴損切",  IF($W230&gt;=$AG$5,"⏱時間決済",  IF($H230&lt;=$F230*(1-$AG$2*0.7),"⚠️損切接近","保持継続")))))))</f>
      </c>
      <c r="P230" s="445"/>
      <c r="Q230" s="445"/>
      <c r="R230" s="480">
        <f>IF(OR($F230="",$H230="",$N230=""),"",IF($S230="✅売却済","",IF($C230="売",  IF($H230&gt;$F230*(1-$AG$2),$N230,CEILING(MIN($N230,IF($Q230="",$N230,$Q230*1.03)),IF($N230&lt;=3000,1,IF($N230&lt;=5000,5,IF($N230&lt;=30000,10,IF($N230&lt;=50000,50,IF($N230&lt;=300000,100,500))))))),  IF($H230&lt;$F230*(1+$AG$2),$N230,FLOOR(MAX($N230,IF($P230="",$N230,$P230*0.97)),IF($N230&lt;=3000,1,IF($N230&lt;=5000,5,IF($N230&lt;=30000,10,IF($N230&lt;=50000,50,IF($N230&lt;=300000,100,500))))))))))</f>
      </c>
      <c r="S230" s="480" t="str">
        <f t="shared" si="89"/>
        <v/>
      </c>
      <c r="T230" s="596" t="str">
        <f t="shared" ca="1" si="78"/>
        <v/>
      </c>
      <c r="U230" s="598" t="str">
        <f t="shared" ca="1" si="79"/>
        <v/>
      </c>
      <c r="V230" s="703" t="str">
        <f t="shared" ca="1" si="90"/>
        <v/>
      </c>
      <c r="W230" s="480" t="str">
        <f t="shared" ca="1" si="80"/>
        <v/>
      </c>
      <c r="X230" s="480" t="str">
        <f t="shared" ca="1" si="81"/>
        <v/>
      </c>
      <c r="Y230" s="488">
        <f>IF($B230="","",IF(COUNTIFS($B$4:$B230,$B230,$C$4:$C230,$C230)&gt;1,"⛔重複"&amp;COUNTIFS($B$4:$B230,$B230,$C$4:$C230,$C230)&amp;"回目",""))</f>
      </c>
      <c r="Z230" s="710"/>
      <c r="AB230">
        <f>IF($F230="","",MAX(100,ROUNDDOWN($AG$4/($F230*$AG$2)/100,0)*100))</f>
      </c>
      <c r="AC230">
        <f>IF(OR($F230="",$G230="",$U230=""),"",ROUND($V230-($F230+$U230)*$G230*$AG$6-IF($C230="売",$F230*$G230*$AG$7*$W230/365,0),0))</f>
      </c>
      <c r="AD230" s="608"/>
      <c r="AE230" s="600" t="str">
        <f t="shared" si="82"/>
        <v/>
      </c>
      <c r="AF230" s="600"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00"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00" t="str">
        <f t="shared" ca="1" si="83"/>
        <v/>
      </c>
      <c r="AI230" s="600" t="str" cm="1">
        <f t="array" ref="AI230">IFERROR(INDEX(始値!$E$6:$BT$305,MATCH(TEXT($B230,"0"),TEXT(銘柄管理!$B$6:$B$305,"0"),0),MATCH($AE230,始値!$E$3:$BT$3,0)),"")</f>
        <v/>
      </c>
      <c r="AJ230" s="608" t="str">
        <f t="shared" ca="1" si="84"/>
        <v/>
      </c>
      <c r="AK230" s="600" t="str">
        <f t="shared" ca="1" si="85"/>
        <v/>
      </c>
    </row>
    <row r="231" spans="1:37" ht="17.25" customHeight="1">
      <c r="A231" s="621" t="str">
        <f t="shared" si="74"/>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BT$3,0)=1,1,MATCH($E231,始値!$E$3:$BT$3,0)+1)),_xlpm.v,INDEX(始値!$C$6:$B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 t="shared" ca="1" si="86"/>
        <v/>
      </c>
      <c r="L231" s="708" t="str">
        <f t="shared" ca="1" si="87"/>
        <v/>
      </c>
      <c r="M231" s="598">
        <f>IF($F231="","",IF($C231="売",CEILING($F231*IF($C231="売",1-$AG$3,1+$AG$3),IF($F231*IF($C231="売",1-$AG$3,1+$AG$3)&lt;=3000,1,IF($F231*IF($C231="売",1-$AG$3,1+$AG$3)&lt;=5000,5,IF($F231*IF($C231="売",1-$AG$3,1+$AG$3)&lt;=30000,10,IF($F231*IF($C231="売",1-$AG$3,1+$AG$3)&lt;=50000,50,IF($F231*IF($C231="売",1-$AG$3,1+$AG$3)&lt;=300000,100,500)))))),FLOOR($F231*IF($C231="売",1-$AG$3,1+$AG$3),IF($F231*IF($C231="売",1-$AG$3,1+$AG$3)&lt;=3000,1,IF($F231*IF($C231="売",1-$AG$3,1+$AG$3)&lt;=5000,5,IF($F231*IF($C231="売",1-$AG$3,1+$AG$3)&lt;=30000,10,IF($F231*IF($C231="売",1-$AG$3,1+$AG$3)&lt;=50000,50,IF($F231*IF($C231="売",1-$AG$3,1+$AG$3)&lt;=300000,100,500))))))))</f>
      </c>
      <c r="N231" s="598">
        <f>IF($F231="","",IF($C231="売",CEILING($F231*IF($C231="売",1+$AG$2,1-$AG$2),IF($F231*IF($C231="売",1+$AG$2,1-$AG$2)&lt;=3000,1,IF($F231*IF($C231="売",1+$AG$2,1-$AG$2)&lt;=5000,5,IF($F231*IF($C231="売",1+$AG$2,1-$AG$2)&lt;=30000,10,IF($F231*IF($C231="売",1+$AG$2,1-$AG$2)&lt;=50000,50,IF($F231*IF($C231="売",1+$AG$2,1-$AG$2)&lt;=300000,100,500)))))),FLOOR($F231*IF($C231="売",1+$AG$2,1-$AG$2),IF($F231*IF($C231="売",1+$AG$2,1-$AG$2)&lt;=3000,1,IF($F231*IF($C231="売",1+$AG$2,1-$AG$2)&lt;=5000,5,IF($F231*IF($C231="売",1+$AG$2,1-$AG$2)&lt;=30000,10,IF($F231*IF($C231="売",1+$AG$2,1-$AG$2)&lt;=50000,50,IF($F231*IF($C231="売",1+$AG$2,1-$AG$2)&lt;=300000,100,500))))))))</f>
      </c>
      <c r="O231" s="478">
        <f>IF(OR($B231="",$F231="",$H231=""),"",IF($S231="✅売却済","―決済済―",IF($C231="売",  IF($H231&lt;=$M231,"🟢利確",  IF(AND($R231&lt;&gt;"",$H231&gt;=$R231),"🟠TRAIL決済",  IF($H231&gt;=$N231,"🔴損切",  IF($W231&gt;=$AG$5,"⏱時間決済",  IF($H231&gt;=$F231*(1+$AG$2*0.7),"⚠️損切接近","保持継続"))))),  IF($H231&gt;=$M231,"🟢利確",  IF(AND($R231&lt;&gt;"",$H231&lt;=$R231),"🟠TRAIL決済",  IF($H231&lt;=$N231,"🔴損切",  IF($W231&gt;=$AG$5,"⏱時間決済",  IF($H231&lt;=$F231*(1-$AG$2*0.7),"⚠️損切接近","保持継続")))))))</f>
      </c>
      <c r="P231" s="445"/>
      <c r="Q231" s="445"/>
      <c r="R231" s="480">
        <f>IF(OR($F231="",$H231="",$N231=""),"",IF($S231="✅売却済","",IF($C231="売",  IF($H231&gt;$F231*(1-$AG$2),$N231,CEILING(MIN($N231,IF($Q231="",$N231,$Q231*1.03)),IF($N231&lt;=3000,1,IF($N231&lt;=5000,5,IF($N231&lt;=30000,10,IF($N231&lt;=50000,50,IF($N231&lt;=300000,100,500))))))),  IF($H231&lt;$F231*(1+$AG$2),$N231,FLOOR(MAX($N231,IF($P231="",$N231,$P231*0.97)),IF($N231&lt;=3000,1,IF($N231&lt;=5000,5,IF($N231&lt;=30000,10,IF($N231&lt;=50000,50,IF($N231&lt;=300000,100,500))))))))))</f>
      </c>
      <c r="S231" s="480" t="str">
        <f t="shared" si="89"/>
        <v/>
      </c>
      <c r="T231" s="596" t="str">
        <f t="shared" ca="1" si="78"/>
        <v/>
      </c>
      <c r="U231" s="598" t="str">
        <f t="shared" ca="1" si="79"/>
        <v/>
      </c>
      <c r="V231" s="703" t="str">
        <f t="shared" ca="1" si="90"/>
        <v/>
      </c>
      <c r="W231" s="480" t="str">
        <f t="shared" ca="1" si="80"/>
        <v/>
      </c>
      <c r="X231" s="480" t="str">
        <f t="shared" ca="1" si="81"/>
        <v/>
      </c>
      <c r="Y231" s="488">
        <f>IF($B231="","",IF(COUNTIFS($B$4:$B231,$B231,$C$4:$C231,$C231)&gt;1,"⛔重複"&amp;COUNTIFS($B$4:$B231,$B231,$C$4:$C231,$C231)&amp;"回目",""))</f>
      </c>
      <c r="Z231" s="710"/>
      <c r="AB231">
        <f>IF($F231="","",MAX(100,ROUNDDOWN($AG$4/($F231*$AG$2)/100,0)*100))</f>
      </c>
      <c r="AC231">
        <f>IF(OR($F231="",$G231="",$U231=""),"",ROUND($V231-($F231+$U231)*$G231*$AG$6-IF($C231="売",$F231*$G231*$AG$7*$W231/365,0),0))</f>
      </c>
      <c r="AD231" s="608"/>
      <c r="AE231" s="600" t="str">
        <f t="shared" si="82"/>
        <v/>
      </c>
      <c r="AF231" s="600"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00"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00" t="str">
        <f t="shared" ca="1" si="83"/>
        <v/>
      </c>
      <c r="AI231" s="600" t="str" cm="1">
        <f t="array" ref="AI231">IFERROR(INDEX(始値!$E$6:$BT$305,MATCH(TEXT($B231,"0"),TEXT(銘柄管理!$B$6:$B$305,"0"),0),MATCH($AE231,始値!$E$3:$BT$3,0)),"")</f>
        <v/>
      </c>
      <c r="AJ231" s="608" t="str">
        <f t="shared" ca="1" si="84"/>
        <v/>
      </c>
      <c r="AK231" s="600" t="str">
        <f t="shared" ca="1" si="85"/>
        <v/>
      </c>
    </row>
    <row r="232" spans="1:37" ht="17.25" customHeight="1">
      <c r="A232" s="621" t="str">
        <f t="shared" si="74"/>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BT$3,0)=1,1,MATCH($E232,始値!$E$3:$BT$3,0)+1)),_xlpm.v,INDEX(始値!$C$6:$B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 t="shared" ca="1" si="86"/>
        <v/>
      </c>
      <c r="L232" s="708" t="str">
        <f t="shared" ca="1" si="87"/>
        <v/>
      </c>
      <c r="M232" s="598">
        <f>IF($F232="","",IF($C232="売",CEILING($F232*IF($C232="売",1-$AG$3,1+$AG$3),IF($F232*IF($C232="売",1-$AG$3,1+$AG$3)&lt;=3000,1,IF($F232*IF($C232="売",1-$AG$3,1+$AG$3)&lt;=5000,5,IF($F232*IF($C232="売",1-$AG$3,1+$AG$3)&lt;=30000,10,IF($F232*IF($C232="売",1-$AG$3,1+$AG$3)&lt;=50000,50,IF($F232*IF($C232="売",1-$AG$3,1+$AG$3)&lt;=300000,100,500)))))),FLOOR($F232*IF($C232="売",1-$AG$3,1+$AG$3),IF($F232*IF($C232="売",1-$AG$3,1+$AG$3)&lt;=3000,1,IF($F232*IF($C232="売",1-$AG$3,1+$AG$3)&lt;=5000,5,IF($F232*IF($C232="売",1-$AG$3,1+$AG$3)&lt;=30000,10,IF($F232*IF($C232="売",1-$AG$3,1+$AG$3)&lt;=50000,50,IF($F232*IF($C232="売",1-$AG$3,1+$AG$3)&lt;=300000,100,500))))))))</f>
      </c>
      <c r="N232" s="598">
        <f>IF($F232="","",IF($C232="売",CEILING($F232*IF($C232="売",1+$AG$2,1-$AG$2),IF($F232*IF($C232="売",1+$AG$2,1-$AG$2)&lt;=3000,1,IF($F232*IF($C232="売",1+$AG$2,1-$AG$2)&lt;=5000,5,IF($F232*IF($C232="売",1+$AG$2,1-$AG$2)&lt;=30000,10,IF($F232*IF($C232="売",1+$AG$2,1-$AG$2)&lt;=50000,50,IF($F232*IF($C232="売",1+$AG$2,1-$AG$2)&lt;=300000,100,500)))))),FLOOR($F232*IF($C232="売",1+$AG$2,1-$AG$2),IF($F232*IF($C232="売",1+$AG$2,1-$AG$2)&lt;=3000,1,IF($F232*IF($C232="売",1+$AG$2,1-$AG$2)&lt;=5000,5,IF($F232*IF($C232="売",1+$AG$2,1-$AG$2)&lt;=30000,10,IF($F232*IF($C232="売",1+$AG$2,1-$AG$2)&lt;=50000,50,IF($F232*IF($C232="売",1+$AG$2,1-$AG$2)&lt;=300000,100,500))))))))</f>
      </c>
      <c r="O232" s="478">
        <f>IF(OR($B232="",$F232="",$H232=""),"",IF($S232="✅売却済","―決済済―",IF($C232="売",  IF($H232&lt;=$M232,"🟢利確",  IF(AND($R232&lt;&gt;"",$H232&gt;=$R232),"🟠TRAIL決済",  IF($H232&gt;=$N232,"🔴損切",  IF($W232&gt;=$AG$5,"⏱時間決済",  IF($H232&gt;=$F232*(1+$AG$2*0.7),"⚠️損切接近","保持継続"))))),  IF($H232&gt;=$M232,"🟢利確",  IF(AND($R232&lt;&gt;"",$H232&lt;=$R232),"🟠TRAIL決済",  IF($H232&lt;=$N232,"🔴損切",  IF($W232&gt;=$AG$5,"⏱時間決済",  IF($H232&lt;=$F232*(1-$AG$2*0.7),"⚠️損切接近","保持継続")))))))</f>
      </c>
      <c r="P232" s="445"/>
      <c r="Q232" s="445"/>
      <c r="R232" s="480">
        <f>IF(OR($F232="",$H232="",$N232=""),"",IF($S232="✅売却済","",IF($C232="売",  IF($H232&gt;$F232*(1-$AG$2),$N232,CEILING(MIN($N232,IF($Q232="",$N232,$Q232*1.03)),IF($N232&lt;=3000,1,IF($N232&lt;=5000,5,IF($N232&lt;=30000,10,IF($N232&lt;=50000,50,IF($N232&lt;=300000,100,500))))))),  IF($H232&lt;$F232*(1+$AG$2),$N232,FLOOR(MAX($N232,IF($P232="",$N232,$P232*0.97)),IF($N232&lt;=3000,1,IF($N232&lt;=5000,5,IF($N232&lt;=30000,10,IF($N232&lt;=50000,50,IF($N232&lt;=300000,100,500))))))))))</f>
      </c>
      <c r="S232" s="480" t="str">
        <f t="shared" si="89"/>
        <v/>
      </c>
      <c r="T232" s="596" t="str">
        <f t="shared" ca="1" si="78"/>
        <v/>
      </c>
      <c r="U232" s="598" t="str">
        <f t="shared" ca="1" si="79"/>
        <v/>
      </c>
      <c r="V232" s="703" t="str">
        <f t="shared" ca="1" si="90"/>
        <v/>
      </c>
      <c r="W232" s="480" t="str">
        <f t="shared" ca="1" si="80"/>
        <v/>
      </c>
      <c r="X232" s="480" t="str">
        <f t="shared" ca="1" si="81"/>
        <v/>
      </c>
      <c r="Y232" s="488">
        <f>IF($B232="","",IF(COUNTIFS($B$4:$B232,$B232,$C$4:$C232,$C232)&gt;1,"⛔重複"&amp;COUNTIFS($B$4:$B232,$B232,$C$4:$C232,$C232)&amp;"回目",""))</f>
      </c>
      <c r="Z232" s="710"/>
      <c r="AB232">
        <f>IF($F232="","",MAX(100,ROUNDDOWN($AG$4/($F232*$AG$2)/100,0)*100))</f>
      </c>
      <c r="AC232">
        <f>IF(OR($F232="",$G232="",$U232=""),"",ROUND($V232-($F232+$U232)*$G232*$AG$6-IF($C232="売",$F232*$G232*$AG$7*$W232/365,0),0))</f>
      </c>
      <c r="AD232" s="608"/>
      <c r="AE232" s="600" t="str">
        <f t="shared" si="82"/>
        <v/>
      </c>
      <c r="AF232" s="600"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00"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00" t="str">
        <f t="shared" ca="1" si="83"/>
        <v/>
      </c>
      <c r="AI232" s="600" t="str" cm="1">
        <f t="array" ref="AI232">IFERROR(INDEX(始値!$E$6:$BT$305,MATCH(TEXT($B232,"0"),TEXT(銘柄管理!$B$6:$B$305,"0"),0),MATCH($AE232,始値!$E$3:$BT$3,0)),"")</f>
        <v/>
      </c>
      <c r="AJ232" s="608" t="str">
        <f t="shared" ca="1" si="84"/>
        <v/>
      </c>
      <c r="AK232" s="600" t="str">
        <f t="shared" ca="1" si="85"/>
        <v/>
      </c>
    </row>
    <row r="233" spans="1:37" ht="17.25" customHeight="1">
      <c r="A233" s="621" t="str">
        <f t="shared" si="74"/>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BT$3,0)=1,1,MATCH($E233,始値!$E$3:$BT$3,0)+1)),_xlpm.v,INDEX(始値!$C$6:$B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 t="shared" ca="1" si="86"/>
        <v/>
      </c>
      <c r="L233" s="708" t="str">
        <f t="shared" ca="1" si="87"/>
        <v/>
      </c>
      <c r="M233" s="598">
        <f>IF($F233="","",IF($C233="売",CEILING($F233*IF($C233="売",1-$AG$3,1+$AG$3),IF($F233*IF($C233="売",1-$AG$3,1+$AG$3)&lt;=3000,1,IF($F233*IF($C233="売",1-$AG$3,1+$AG$3)&lt;=5000,5,IF($F233*IF($C233="売",1-$AG$3,1+$AG$3)&lt;=30000,10,IF($F233*IF($C233="売",1-$AG$3,1+$AG$3)&lt;=50000,50,IF($F233*IF($C233="売",1-$AG$3,1+$AG$3)&lt;=300000,100,500)))))),FLOOR($F233*IF($C233="売",1-$AG$3,1+$AG$3),IF($F233*IF($C233="売",1-$AG$3,1+$AG$3)&lt;=3000,1,IF($F233*IF($C233="売",1-$AG$3,1+$AG$3)&lt;=5000,5,IF($F233*IF($C233="売",1-$AG$3,1+$AG$3)&lt;=30000,10,IF($F233*IF($C233="売",1-$AG$3,1+$AG$3)&lt;=50000,50,IF($F233*IF($C233="売",1-$AG$3,1+$AG$3)&lt;=300000,100,500))))))))</f>
      </c>
      <c r="N233" s="598">
        <f>IF($F233="","",IF($C233="売",CEILING($F233*IF($C233="売",1+$AG$2,1-$AG$2),IF($F233*IF($C233="売",1+$AG$2,1-$AG$2)&lt;=3000,1,IF($F233*IF($C233="売",1+$AG$2,1-$AG$2)&lt;=5000,5,IF($F233*IF($C233="売",1+$AG$2,1-$AG$2)&lt;=30000,10,IF($F233*IF($C233="売",1+$AG$2,1-$AG$2)&lt;=50000,50,IF($F233*IF($C233="売",1+$AG$2,1-$AG$2)&lt;=300000,100,500)))))),FLOOR($F233*IF($C233="売",1+$AG$2,1-$AG$2),IF($F233*IF($C233="売",1+$AG$2,1-$AG$2)&lt;=3000,1,IF($F233*IF($C233="売",1+$AG$2,1-$AG$2)&lt;=5000,5,IF($F233*IF($C233="売",1+$AG$2,1-$AG$2)&lt;=30000,10,IF($F233*IF($C233="売",1+$AG$2,1-$AG$2)&lt;=50000,50,IF($F233*IF($C233="売",1+$AG$2,1-$AG$2)&lt;=300000,100,500))))))))</f>
      </c>
      <c r="O233" s="478">
        <f>IF(OR($B233="",$F233="",$H233=""),"",IF($S233="✅売却済","―決済済―",IF($C233="売",  IF($H233&lt;=$M233,"🟢利確",  IF(AND($R233&lt;&gt;"",$H233&gt;=$R233),"🟠TRAIL決済",  IF($H233&gt;=$N233,"🔴損切",  IF($W233&gt;=$AG$5,"⏱時間決済",  IF($H233&gt;=$F233*(1+$AG$2*0.7),"⚠️損切接近","保持継続"))))),  IF($H233&gt;=$M233,"🟢利確",  IF(AND($R233&lt;&gt;"",$H233&lt;=$R233),"🟠TRAIL決済",  IF($H233&lt;=$N233,"🔴損切",  IF($W233&gt;=$AG$5,"⏱時間決済",  IF($H233&lt;=$F233*(1-$AG$2*0.7),"⚠️損切接近","保持継続")))))))</f>
      </c>
      <c r="P233" s="445"/>
      <c r="Q233" s="445"/>
      <c r="R233" s="480">
        <f>IF(OR($F233="",$H233="",$N233=""),"",IF($S233="✅売却済","",IF($C233="売",  IF($H233&gt;$F233*(1-$AG$2),$N233,CEILING(MIN($N233,IF($Q233="",$N233,$Q233*1.03)),IF($N233&lt;=3000,1,IF($N233&lt;=5000,5,IF($N233&lt;=30000,10,IF($N233&lt;=50000,50,IF($N233&lt;=300000,100,500))))))),  IF($H233&lt;$F233*(1+$AG$2),$N233,FLOOR(MAX($N233,IF($P233="",$N233,$P233*0.97)),IF($N233&lt;=3000,1,IF($N233&lt;=5000,5,IF($N233&lt;=30000,10,IF($N233&lt;=50000,50,IF($N233&lt;=300000,100,500))))))))))</f>
      </c>
      <c r="S233" s="480" t="str">
        <f t="shared" si="89"/>
        <v/>
      </c>
      <c r="T233" s="596" t="str">
        <f t="shared" ca="1" si="78"/>
        <v/>
      </c>
      <c r="U233" s="598" t="str">
        <f t="shared" ca="1" si="79"/>
        <v/>
      </c>
      <c r="V233" s="703" t="str">
        <f t="shared" ca="1" si="90"/>
        <v/>
      </c>
      <c r="W233" s="480" t="str">
        <f t="shared" ca="1" si="80"/>
        <v/>
      </c>
      <c r="X233" s="480" t="str">
        <f t="shared" ca="1" si="81"/>
        <v/>
      </c>
      <c r="Y233" s="488">
        <f>IF($B233="","",IF(COUNTIFS($B$4:$B233,$B233,$C$4:$C233,$C233)&gt;1,"⛔重複"&amp;COUNTIFS($B$4:$B233,$B233,$C$4:$C233,$C233)&amp;"回目",""))</f>
      </c>
      <c r="Z233" s="710"/>
      <c r="AB233">
        <f>IF($F233="","",MAX(100,ROUNDDOWN($AG$4/($F233*$AG$2)/100,0)*100))</f>
      </c>
      <c r="AC233">
        <f>IF(OR($F233="",$G233="",$U233=""),"",ROUND($V233-($F233+$U233)*$G233*$AG$6-IF($C233="売",$F233*$G233*$AG$7*$W233/365,0),0))</f>
      </c>
      <c r="AD233" s="608"/>
      <c r="AE233" s="600" t="str">
        <f t="shared" si="82"/>
        <v/>
      </c>
      <c r="AF233" s="600"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00"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00" t="str">
        <f t="shared" ca="1" si="83"/>
        <v/>
      </c>
      <c r="AI233" s="600" t="str" cm="1">
        <f t="array" ref="AI233">IFERROR(INDEX(始値!$E$6:$BT$305,MATCH(TEXT($B233,"0"),TEXT(銘柄管理!$B$6:$B$305,"0"),0),MATCH($AE233,始値!$E$3:$BT$3,0)),"")</f>
        <v/>
      </c>
      <c r="AJ233" s="608" t="str">
        <f t="shared" ca="1" si="84"/>
        <v/>
      </c>
      <c r="AK233" s="600" t="str">
        <f t="shared" ca="1" si="85"/>
        <v/>
      </c>
    </row>
    <row r="234" spans="1:37" ht="17.25" customHeight="1">
      <c r="A234" s="621" t="str">
        <f t="shared" si="74"/>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BT$3,0)=1,1,MATCH($E234,始値!$E$3:$BT$3,0)+1)),_xlpm.v,INDEX(始値!$C$6:$B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 t="shared" ca="1" si="86"/>
        <v/>
      </c>
      <c r="L234" s="708" t="str">
        <f t="shared" ca="1" si="87"/>
        <v/>
      </c>
      <c r="M234" s="598">
        <f>IF($F234="","",IF($C234="売",CEILING($F234*IF($C234="売",1-$AG$3,1+$AG$3),IF($F234*IF($C234="売",1-$AG$3,1+$AG$3)&lt;=3000,1,IF($F234*IF($C234="売",1-$AG$3,1+$AG$3)&lt;=5000,5,IF($F234*IF($C234="売",1-$AG$3,1+$AG$3)&lt;=30000,10,IF($F234*IF($C234="売",1-$AG$3,1+$AG$3)&lt;=50000,50,IF($F234*IF($C234="売",1-$AG$3,1+$AG$3)&lt;=300000,100,500)))))),FLOOR($F234*IF($C234="売",1-$AG$3,1+$AG$3),IF($F234*IF($C234="売",1-$AG$3,1+$AG$3)&lt;=3000,1,IF($F234*IF($C234="売",1-$AG$3,1+$AG$3)&lt;=5000,5,IF($F234*IF($C234="売",1-$AG$3,1+$AG$3)&lt;=30000,10,IF($F234*IF($C234="売",1-$AG$3,1+$AG$3)&lt;=50000,50,IF($F234*IF($C234="売",1-$AG$3,1+$AG$3)&lt;=300000,100,500))))))))</f>
      </c>
      <c r="N234" s="598">
        <f>IF($F234="","",IF($C234="売",CEILING($F234*IF($C234="売",1+$AG$2,1-$AG$2),IF($F234*IF($C234="売",1+$AG$2,1-$AG$2)&lt;=3000,1,IF($F234*IF($C234="売",1+$AG$2,1-$AG$2)&lt;=5000,5,IF($F234*IF($C234="売",1+$AG$2,1-$AG$2)&lt;=30000,10,IF($F234*IF($C234="売",1+$AG$2,1-$AG$2)&lt;=50000,50,IF($F234*IF($C234="売",1+$AG$2,1-$AG$2)&lt;=300000,100,500)))))),FLOOR($F234*IF($C234="売",1+$AG$2,1-$AG$2),IF($F234*IF($C234="売",1+$AG$2,1-$AG$2)&lt;=3000,1,IF($F234*IF($C234="売",1+$AG$2,1-$AG$2)&lt;=5000,5,IF($F234*IF($C234="売",1+$AG$2,1-$AG$2)&lt;=30000,10,IF($F234*IF($C234="売",1+$AG$2,1-$AG$2)&lt;=50000,50,IF($F234*IF($C234="売",1+$AG$2,1-$AG$2)&lt;=300000,100,500))))))))</f>
      </c>
      <c r="O234" s="478">
        <f>IF(OR($B234="",$F234="",$H234=""),"",IF($S234="✅売却済","―決済済―",IF($C234="売",  IF($H234&lt;=$M234,"🟢利確",  IF(AND($R234&lt;&gt;"",$H234&gt;=$R234),"🟠TRAIL決済",  IF($H234&gt;=$N234,"🔴損切",  IF($W234&gt;=$AG$5,"⏱時間決済",  IF($H234&gt;=$F234*(1+$AG$2*0.7),"⚠️損切接近","保持継続"))))),  IF($H234&gt;=$M234,"🟢利確",  IF(AND($R234&lt;&gt;"",$H234&lt;=$R234),"🟠TRAIL決済",  IF($H234&lt;=$N234,"🔴損切",  IF($W234&gt;=$AG$5,"⏱時間決済",  IF($H234&lt;=$F234*(1-$AG$2*0.7),"⚠️損切接近","保持継続")))))))</f>
      </c>
      <c r="P234" s="445"/>
      <c r="Q234" s="445"/>
      <c r="R234" s="480">
        <f>IF(OR($F234="",$H234="",$N234=""),"",IF($S234="✅売却済","",IF($C234="売",  IF($H234&gt;$F234*(1-$AG$2),$N234,CEILING(MIN($N234,IF($Q234="",$N234,$Q234*1.03)),IF($N234&lt;=3000,1,IF($N234&lt;=5000,5,IF($N234&lt;=30000,10,IF($N234&lt;=50000,50,IF($N234&lt;=300000,100,500))))))),  IF($H234&lt;$F234*(1+$AG$2),$N234,FLOOR(MAX($N234,IF($P234="",$N234,$P234*0.97)),IF($N234&lt;=3000,1,IF($N234&lt;=5000,5,IF($N234&lt;=30000,10,IF($N234&lt;=50000,50,IF($N234&lt;=300000,100,500))))))))))</f>
      </c>
      <c r="S234" s="480" t="str">
        <f t="shared" si="89"/>
        <v/>
      </c>
      <c r="T234" s="596" t="str">
        <f t="shared" ca="1" si="78"/>
        <v/>
      </c>
      <c r="U234" s="598" t="str">
        <f t="shared" ca="1" si="79"/>
        <v/>
      </c>
      <c r="V234" s="703" t="str">
        <f t="shared" ca="1" si="90"/>
        <v/>
      </c>
      <c r="W234" s="480" t="str">
        <f t="shared" ca="1" si="80"/>
        <v/>
      </c>
      <c r="X234" s="480" t="str">
        <f t="shared" ca="1" si="81"/>
        <v/>
      </c>
      <c r="Y234" s="488">
        <f>IF($B234="","",IF(COUNTIFS($B$4:$B234,$B234,$C$4:$C234,$C234)&gt;1,"⛔重複"&amp;COUNTIFS($B$4:$B234,$B234,$C$4:$C234,$C234)&amp;"回目",""))</f>
      </c>
      <c r="Z234" s="710"/>
      <c r="AB234">
        <f>IF($F234="","",MAX(100,ROUNDDOWN($AG$4/($F234*$AG$2)/100,0)*100))</f>
      </c>
      <c r="AC234">
        <f>IF(OR($F234="",$G234="",$U234=""),"",ROUND($V234-($F234+$U234)*$G234*$AG$6-IF($C234="売",$F234*$G234*$AG$7*$W234/365,0),0))</f>
      </c>
      <c r="AD234" s="608"/>
      <c r="AE234" s="600" t="str">
        <f t="shared" si="82"/>
        <v/>
      </c>
      <c r="AF234" s="600"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00"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00" t="str">
        <f t="shared" ca="1" si="83"/>
        <v/>
      </c>
      <c r="AI234" s="600" t="str" cm="1">
        <f t="array" ref="AI234">IFERROR(INDEX(始値!$E$6:$BT$305,MATCH(TEXT($B234,"0"),TEXT(銘柄管理!$B$6:$B$305,"0"),0),MATCH($AE234,始値!$E$3:$BT$3,0)),"")</f>
        <v/>
      </c>
      <c r="AJ234" s="608" t="str">
        <f t="shared" ca="1" si="84"/>
        <v/>
      </c>
      <c r="AK234" s="600" t="str">
        <f t="shared" ca="1" si="85"/>
        <v/>
      </c>
    </row>
    <row r="235" spans="1:37" ht="17.25" customHeight="1">
      <c r="A235" s="621" t="str">
        <f t="shared" si="74"/>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BT$3,0)=1,1,MATCH($E235,始値!$E$3:$BT$3,0)+1)),_xlpm.v,INDEX(始値!$C$6:$B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 t="shared" ca="1" si="86"/>
        <v/>
      </c>
      <c r="L235" s="708" t="str">
        <f t="shared" ca="1" si="87"/>
        <v/>
      </c>
      <c r="M235" s="598">
        <f>IF($F235="","",IF($C235="売",CEILING($F235*IF($C235="売",1-$AG$3,1+$AG$3),IF($F235*IF($C235="売",1-$AG$3,1+$AG$3)&lt;=3000,1,IF($F235*IF($C235="売",1-$AG$3,1+$AG$3)&lt;=5000,5,IF($F235*IF($C235="売",1-$AG$3,1+$AG$3)&lt;=30000,10,IF($F235*IF($C235="売",1-$AG$3,1+$AG$3)&lt;=50000,50,IF($F235*IF($C235="売",1-$AG$3,1+$AG$3)&lt;=300000,100,500)))))),FLOOR($F235*IF($C235="売",1-$AG$3,1+$AG$3),IF($F235*IF($C235="売",1-$AG$3,1+$AG$3)&lt;=3000,1,IF($F235*IF($C235="売",1-$AG$3,1+$AG$3)&lt;=5000,5,IF($F235*IF($C235="売",1-$AG$3,1+$AG$3)&lt;=30000,10,IF($F235*IF($C235="売",1-$AG$3,1+$AG$3)&lt;=50000,50,IF($F235*IF($C235="売",1-$AG$3,1+$AG$3)&lt;=300000,100,500))))))))</f>
      </c>
      <c r="N235" s="598">
        <f>IF($F235="","",IF($C235="売",CEILING($F235*IF($C235="売",1+$AG$2,1-$AG$2),IF($F235*IF($C235="売",1+$AG$2,1-$AG$2)&lt;=3000,1,IF($F235*IF($C235="売",1+$AG$2,1-$AG$2)&lt;=5000,5,IF($F235*IF($C235="売",1+$AG$2,1-$AG$2)&lt;=30000,10,IF($F235*IF($C235="売",1+$AG$2,1-$AG$2)&lt;=50000,50,IF($F235*IF($C235="売",1+$AG$2,1-$AG$2)&lt;=300000,100,500)))))),FLOOR($F235*IF($C235="売",1+$AG$2,1-$AG$2),IF($F235*IF($C235="売",1+$AG$2,1-$AG$2)&lt;=3000,1,IF($F235*IF($C235="売",1+$AG$2,1-$AG$2)&lt;=5000,5,IF($F235*IF($C235="売",1+$AG$2,1-$AG$2)&lt;=30000,10,IF($F235*IF($C235="売",1+$AG$2,1-$AG$2)&lt;=50000,50,IF($F235*IF($C235="売",1+$AG$2,1-$AG$2)&lt;=300000,100,500))))))))</f>
      </c>
      <c r="O235" s="478">
        <f>IF(OR($B235="",$F235="",$H235=""),"",IF($S235="✅売却済","―決済済―",IF($C235="売",  IF($H235&lt;=$M235,"🟢利確",  IF(AND($R235&lt;&gt;"",$H235&gt;=$R235),"🟠TRAIL決済",  IF($H235&gt;=$N235,"🔴損切",  IF($W235&gt;=$AG$5,"⏱時間決済",  IF($H235&gt;=$F235*(1+$AG$2*0.7),"⚠️損切接近","保持継続"))))),  IF($H235&gt;=$M235,"🟢利確",  IF(AND($R235&lt;&gt;"",$H235&lt;=$R235),"🟠TRAIL決済",  IF($H235&lt;=$N235,"🔴損切",  IF($W235&gt;=$AG$5,"⏱時間決済",  IF($H235&lt;=$F235*(1-$AG$2*0.7),"⚠️損切接近","保持継続")))))))</f>
      </c>
      <c r="P235" s="445"/>
      <c r="Q235" s="445"/>
      <c r="R235" s="480">
        <f>IF(OR($F235="",$H235="",$N235=""),"",IF($S235="✅売却済","",IF($C235="売",  IF($H235&gt;$F235*(1-$AG$2),$N235,CEILING(MIN($N235,IF($Q235="",$N235,$Q235*1.03)),IF($N235&lt;=3000,1,IF($N235&lt;=5000,5,IF($N235&lt;=30000,10,IF($N235&lt;=50000,50,IF($N235&lt;=300000,100,500))))))),  IF($H235&lt;$F235*(1+$AG$2),$N235,FLOOR(MAX($N235,IF($P235="",$N235,$P235*0.97)),IF($N235&lt;=3000,1,IF($N235&lt;=5000,5,IF($N235&lt;=30000,10,IF($N235&lt;=50000,50,IF($N235&lt;=300000,100,500))))))))))</f>
      </c>
      <c r="S235" s="480" t="str">
        <f t="shared" si="89"/>
        <v/>
      </c>
      <c r="T235" s="596" t="str">
        <f t="shared" ca="1" si="78"/>
        <v/>
      </c>
      <c r="U235" s="598" t="str">
        <f t="shared" ca="1" si="79"/>
        <v/>
      </c>
      <c r="V235" s="703" t="str">
        <f t="shared" ca="1" si="90"/>
        <v/>
      </c>
      <c r="W235" s="480" t="str">
        <f t="shared" ca="1" si="80"/>
        <v/>
      </c>
      <c r="X235" s="480" t="str">
        <f t="shared" ca="1" si="81"/>
        <v/>
      </c>
      <c r="Y235" s="488">
        <f>IF($B235="","",IF(COUNTIFS($B$4:$B235,$B235,$C$4:$C235,$C235)&gt;1,"⛔重複"&amp;COUNTIFS($B$4:$B235,$B235,$C$4:$C235,$C235)&amp;"回目",""))</f>
      </c>
      <c r="Z235" s="710"/>
      <c r="AB235">
        <f>IF($F235="","",MAX(100,ROUNDDOWN($AG$4/($F235*$AG$2)/100,0)*100))</f>
      </c>
      <c r="AC235">
        <f>IF(OR($F235="",$G235="",$U235=""),"",ROUND($V235-($F235+$U235)*$G235*$AG$6-IF($C235="売",$F235*$G235*$AG$7*$W235/365,0),0))</f>
      </c>
      <c r="AD235" s="608"/>
      <c r="AE235" s="600" t="str">
        <f t="shared" si="82"/>
        <v/>
      </c>
      <c r="AF235" s="600"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00"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00" t="str">
        <f t="shared" ca="1" si="83"/>
        <v/>
      </c>
      <c r="AI235" s="600" t="str" cm="1">
        <f t="array" ref="AI235">IFERROR(INDEX(始値!$E$6:$BT$305,MATCH(TEXT($B235,"0"),TEXT(銘柄管理!$B$6:$B$305,"0"),0),MATCH($AE235,始値!$E$3:$BT$3,0)),"")</f>
        <v/>
      </c>
      <c r="AJ235" s="608" t="str">
        <f t="shared" ca="1" si="84"/>
        <v/>
      </c>
      <c r="AK235" s="600" t="str">
        <f t="shared" ca="1" si="85"/>
        <v/>
      </c>
    </row>
    <row r="236" spans="1:37" ht="17.25" customHeight="1">
      <c r="A236" s="621" t="str">
        <f t="shared" si="74"/>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BT$3,0)=1,1,MATCH($E236,始値!$E$3:$BT$3,0)+1)),_xlpm.v,INDEX(始値!$C$6:$B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 t="shared" ca="1" si="86"/>
        <v/>
      </c>
      <c r="L236" s="708" t="str">
        <f t="shared" ca="1" si="87"/>
        <v/>
      </c>
      <c r="M236" s="598">
        <f>IF($F236="","",IF($C236="売",CEILING($F236*IF($C236="売",1-$AG$3,1+$AG$3),IF($F236*IF($C236="売",1-$AG$3,1+$AG$3)&lt;=3000,1,IF($F236*IF($C236="売",1-$AG$3,1+$AG$3)&lt;=5000,5,IF($F236*IF($C236="売",1-$AG$3,1+$AG$3)&lt;=30000,10,IF($F236*IF($C236="売",1-$AG$3,1+$AG$3)&lt;=50000,50,IF($F236*IF($C236="売",1-$AG$3,1+$AG$3)&lt;=300000,100,500)))))),FLOOR($F236*IF($C236="売",1-$AG$3,1+$AG$3),IF($F236*IF($C236="売",1-$AG$3,1+$AG$3)&lt;=3000,1,IF($F236*IF($C236="売",1-$AG$3,1+$AG$3)&lt;=5000,5,IF($F236*IF($C236="売",1-$AG$3,1+$AG$3)&lt;=30000,10,IF($F236*IF($C236="売",1-$AG$3,1+$AG$3)&lt;=50000,50,IF($F236*IF($C236="売",1-$AG$3,1+$AG$3)&lt;=300000,100,500))))))))</f>
      </c>
      <c r="N236" s="598">
        <f>IF($F236="","",IF($C236="売",CEILING($F236*IF($C236="売",1+$AG$2,1-$AG$2),IF($F236*IF($C236="売",1+$AG$2,1-$AG$2)&lt;=3000,1,IF($F236*IF($C236="売",1+$AG$2,1-$AG$2)&lt;=5000,5,IF($F236*IF($C236="売",1+$AG$2,1-$AG$2)&lt;=30000,10,IF($F236*IF($C236="売",1+$AG$2,1-$AG$2)&lt;=50000,50,IF($F236*IF($C236="売",1+$AG$2,1-$AG$2)&lt;=300000,100,500)))))),FLOOR($F236*IF($C236="売",1+$AG$2,1-$AG$2),IF($F236*IF($C236="売",1+$AG$2,1-$AG$2)&lt;=3000,1,IF($F236*IF($C236="売",1+$AG$2,1-$AG$2)&lt;=5000,5,IF($F236*IF($C236="売",1+$AG$2,1-$AG$2)&lt;=30000,10,IF($F236*IF($C236="売",1+$AG$2,1-$AG$2)&lt;=50000,50,IF($F236*IF($C236="売",1+$AG$2,1-$AG$2)&lt;=300000,100,500))))))))</f>
      </c>
      <c r="O236" s="478">
        <f>IF(OR($B236="",$F236="",$H236=""),"",IF($S236="✅売却済","―決済済―",IF($C236="売",  IF($H236&lt;=$M236,"🟢利確",  IF(AND($R236&lt;&gt;"",$H236&gt;=$R236),"🟠TRAIL決済",  IF($H236&gt;=$N236,"🔴損切",  IF($W236&gt;=$AG$5,"⏱時間決済",  IF($H236&gt;=$F236*(1+$AG$2*0.7),"⚠️損切接近","保持継続"))))),  IF($H236&gt;=$M236,"🟢利確",  IF(AND($R236&lt;&gt;"",$H236&lt;=$R236),"🟠TRAIL決済",  IF($H236&lt;=$N236,"🔴損切",  IF($W236&gt;=$AG$5,"⏱時間決済",  IF($H236&lt;=$F236*(1-$AG$2*0.7),"⚠️損切接近","保持継続")))))))</f>
      </c>
      <c r="P236" s="445"/>
      <c r="Q236" s="445"/>
      <c r="R236" s="480">
        <f>IF(OR($F236="",$H236="",$N236=""),"",IF($S236="✅売却済","",IF($C236="売",  IF($H236&gt;$F236*(1-$AG$2),$N236,CEILING(MIN($N236,IF($Q236="",$N236,$Q236*1.03)),IF($N236&lt;=3000,1,IF($N236&lt;=5000,5,IF($N236&lt;=30000,10,IF($N236&lt;=50000,50,IF($N236&lt;=300000,100,500))))))),  IF($H236&lt;$F236*(1+$AG$2),$N236,FLOOR(MAX($N236,IF($P236="",$N236,$P236*0.97)),IF($N236&lt;=3000,1,IF($N236&lt;=5000,5,IF($N236&lt;=30000,10,IF($N236&lt;=50000,50,IF($N236&lt;=300000,100,500))))))))))</f>
      </c>
      <c r="S236" s="480" t="str">
        <f t="shared" si="89"/>
        <v/>
      </c>
      <c r="T236" s="596" t="str">
        <f t="shared" ca="1" si="78"/>
        <v/>
      </c>
      <c r="U236" s="598" t="str">
        <f t="shared" ca="1" si="79"/>
        <v/>
      </c>
      <c r="V236" s="703" t="str">
        <f t="shared" ca="1" si="90"/>
        <v/>
      </c>
      <c r="W236" s="480" t="str">
        <f t="shared" ca="1" si="80"/>
        <v/>
      </c>
      <c r="X236" s="480" t="str">
        <f t="shared" ca="1" si="81"/>
        <v/>
      </c>
      <c r="Y236" s="488">
        <f>IF($B236="","",IF(COUNTIFS($B$4:$B236,$B236,$C$4:$C236,$C236)&gt;1,"⛔重複"&amp;COUNTIFS($B$4:$B236,$B236,$C$4:$C236,$C236)&amp;"回目",""))</f>
      </c>
      <c r="Z236" s="710"/>
      <c r="AB236">
        <f>IF($F236="","",MAX(100,ROUNDDOWN($AG$4/($F236*$AG$2)/100,0)*100))</f>
      </c>
      <c r="AC236">
        <f>IF(OR($F236="",$G236="",$U236=""),"",ROUND($V236-($F236+$U236)*$G236*$AG$6-IF($C236="売",$F236*$G236*$AG$7*$W236/365,0),0))</f>
      </c>
      <c r="AD236" s="608"/>
      <c r="AE236" s="600" t="str">
        <f t="shared" si="82"/>
        <v/>
      </c>
      <c r="AF236" s="600"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00"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00" t="str">
        <f t="shared" ca="1" si="83"/>
        <v/>
      </c>
      <c r="AI236" s="600" t="str" cm="1">
        <f t="array" ref="AI236">IFERROR(INDEX(始値!$E$6:$BT$305,MATCH(TEXT($B236,"0"),TEXT(銘柄管理!$B$6:$B$305,"0"),0),MATCH($AE236,始値!$E$3:$BT$3,0)),"")</f>
        <v/>
      </c>
      <c r="AJ236" s="608" t="str">
        <f t="shared" ca="1" si="84"/>
        <v/>
      </c>
      <c r="AK236" s="600" t="str">
        <f t="shared" ca="1" si="85"/>
        <v/>
      </c>
    </row>
    <row r="237" spans="1:37" ht="17.25" customHeight="1">
      <c r="A237" s="621" t="str">
        <f t="shared" si="74"/>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BT$3,0)=1,1,MATCH($E237,始値!$E$3:$BT$3,0)+1)),_xlpm.v,INDEX(始値!$C$6:$B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 t="shared" ca="1" si="86"/>
        <v/>
      </c>
      <c r="L237" s="708" t="str">
        <f t="shared" ca="1" si="87"/>
        <v/>
      </c>
      <c r="M237" s="598">
        <f>IF($F237="","",IF($C237="売",CEILING($F237*IF($C237="売",1-$AG$3,1+$AG$3),IF($F237*IF($C237="売",1-$AG$3,1+$AG$3)&lt;=3000,1,IF($F237*IF($C237="売",1-$AG$3,1+$AG$3)&lt;=5000,5,IF($F237*IF($C237="売",1-$AG$3,1+$AG$3)&lt;=30000,10,IF($F237*IF($C237="売",1-$AG$3,1+$AG$3)&lt;=50000,50,IF($F237*IF($C237="売",1-$AG$3,1+$AG$3)&lt;=300000,100,500)))))),FLOOR($F237*IF($C237="売",1-$AG$3,1+$AG$3),IF($F237*IF($C237="売",1-$AG$3,1+$AG$3)&lt;=3000,1,IF($F237*IF($C237="売",1-$AG$3,1+$AG$3)&lt;=5000,5,IF($F237*IF($C237="売",1-$AG$3,1+$AG$3)&lt;=30000,10,IF($F237*IF($C237="売",1-$AG$3,1+$AG$3)&lt;=50000,50,IF($F237*IF($C237="売",1-$AG$3,1+$AG$3)&lt;=300000,100,500))))))))</f>
      </c>
      <c r="N237" s="598">
        <f>IF($F237="","",IF($C237="売",CEILING($F237*IF($C237="売",1+$AG$2,1-$AG$2),IF($F237*IF($C237="売",1+$AG$2,1-$AG$2)&lt;=3000,1,IF($F237*IF($C237="売",1+$AG$2,1-$AG$2)&lt;=5000,5,IF($F237*IF($C237="売",1+$AG$2,1-$AG$2)&lt;=30000,10,IF($F237*IF($C237="売",1+$AG$2,1-$AG$2)&lt;=50000,50,IF($F237*IF($C237="売",1+$AG$2,1-$AG$2)&lt;=300000,100,500)))))),FLOOR($F237*IF($C237="売",1+$AG$2,1-$AG$2),IF($F237*IF($C237="売",1+$AG$2,1-$AG$2)&lt;=3000,1,IF($F237*IF($C237="売",1+$AG$2,1-$AG$2)&lt;=5000,5,IF($F237*IF($C237="売",1+$AG$2,1-$AG$2)&lt;=30000,10,IF($F237*IF($C237="売",1+$AG$2,1-$AG$2)&lt;=50000,50,IF($F237*IF($C237="売",1+$AG$2,1-$AG$2)&lt;=300000,100,500))))))))</f>
      </c>
      <c r="O237" s="478">
        <f>IF(OR($B237="",$F237="",$H237=""),"",IF($S237="✅売却済","―決済済―",IF($C237="売",  IF($H237&lt;=$M237,"🟢利確",  IF(AND($R237&lt;&gt;"",$H237&gt;=$R237),"🟠TRAIL決済",  IF($H237&gt;=$N237,"🔴損切",  IF($W237&gt;=$AG$5,"⏱時間決済",  IF($H237&gt;=$F237*(1+$AG$2*0.7),"⚠️損切接近","保持継続"))))),  IF($H237&gt;=$M237,"🟢利確",  IF(AND($R237&lt;&gt;"",$H237&lt;=$R237),"🟠TRAIL決済",  IF($H237&lt;=$N237,"🔴損切",  IF($W237&gt;=$AG$5,"⏱時間決済",  IF($H237&lt;=$F237*(1-$AG$2*0.7),"⚠️損切接近","保持継続")))))))</f>
      </c>
      <c r="P237" s="445"/>
      <c r="Q237" s="445"/>
      <c r="R237" s="480">
        <f>IF(OR($F237="",$H237="",$N237=""),"",IF($S237="✅売却済","",IF($C237="売",  IF($H237&gt;$F237*(1-$AG$2),$N237,CEILING(MIN($N237,IF($Q237="",$N237,$Q237*1.03)),IF($N237&lt;=3000,1,IF($N237&lt;=5000,5,IF($N237&lt;=30000,10,IF($N237&lt;=50000,50,IF($N237&lt;=300000,100,500))))))),  IF($H237&lt;$F237*(1+$AG$2),$N237,FLOOR(MAX($N237,IF($P237="",$N237,$P237*0.97)),IF($N237&lt;=3000,1,IF($N237&lt;=5000,5,IF($N237&lt;=30000,10,IF($N237&lt;=50000,50,IF($N237&lt;=300000,100,500))))))))))</f>
      </c>
      <c r="S237" s="480" t="str">
        <f t="shared" si="89"/>
        <v/>
      </c>
      <c r="T237" s="596" t="str">
        <f t="shared" ca="1" si="78"/>
        <v/>
      </c>
      <c r="U237" s="598" t="str">
        <f t="shared" ca="1" si="79"/>
        <v/>
      </c>
      <c r="V237" s="703" t="str">
        <f t="shared" ca="1" si="90"/>
        <v/>
      </c>
      <c r="W237" s="480" t="str">
        <f t="shared" ca="1" si="80"/>
        <v/>
      </c>
      <c r="X237" s="480" t="str">
        <f t="shared" ca="1" si="81"/>
        <v/>
      </c>
      <c r="Y237" s="488">
        <f>IF($B237="","",IF(COUNTIFS($B$4:$B237,$B237,$C$4:$C237,$C237)&gt;1,"⛔重複"&amp;COUNTIFS($B$4:$B237,$B237,$C$4:$C237,$C237)&amp;"回目",""))</f>
      </c>
      <c r="Z237" s="710"/>
      <c r="AB237">
        <f>IF($F237="","",MAX(100,ROUNDDOWN($AG$4/($F237*$AG$2)/100,0)*100))</f>
      </c>
      <c r="AC237">
        <f>IF(OR($F237="",$G237="",$U237=""),"",ROUND($V237-($F237+$U237)*$G237*$AG$6-IF($C237="売",$F237*$G237*$AG$7*$W237/365,0),0))</f>
      </c>
      <c r="AD237" s="608"/>
      <c r="AE237" s="600" t="str">
        <f t="shared" si="82"/>
        <v/>
      </c>
      <c r="AF237" s="600"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00"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00" t="str">
        <f t="shared" ca="1" si="83"/>
        <v/>
      </c>
      <c r="AI237" s="600" t="str" cm="1">
        <f t="array" ref="AI237">IFERROR(INDEX(始値!$E$6:$BT$305,MATCH(TEXT($B237,"0"),TEXT(銘柄管理!$B$6:$B$305,"0"),0),MATCH($AE237,始値!$E$3:$BT$3,0)),"")</f>
        <v/>
      </c>
      <c r="AJ237" s="608" t="str">
        <f t="shared" ca="1" si="84"/>
        <v/>
      </c>
      <c r="AK237" s="600" t="str">
        <f t="shared" ca="1" si="85"/>
        <v/>
      </c>
    </row>
    <row r="238" spans="1:37" ht="17.25" customHeight="1">
      <c r="A238" s="621" t="str">
        <f t="shared" si="74"/>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BT$3,0)=1,1,MATCH($E238,始値!$E$3:$BT$3,0)+1)),_xlpm.v,INDEX(始値!$C$6:$B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 t="shared" ca="1" si="86"/>
        <v/>
      </c>
      <c r="L238" s="708" t="str">
        <f t="shared" ca="1" si="87"/>
        <v/>
      </c>
      <c r="M238" s="598">
        <f>IF($F238="","",IF($C238="売",CEILING($F238*IF($C238="売",1-$AG$3,1+$AG$3),IF($F238*IF($C238="売",1-$AG$3,1+$AG$3)&lt;=3000,1,IF($F238*IF($C238="売",1-$AG$3,1+$AG$3)&lt;=5000,5,IF($F238*IF($C238="売",1-$AG$3,1+$AG$3)&lt;=30000,10,IF($F238*IF($C238="売",1-$AG$3,1+$AG$3)&lt;=50000,50,IF($F238*IF($C238="売",1-$AG$3,1+$AG$3)&lt;=300000,100,500)))))),FLOOR($F238*IF($C238="売",1-$AG$3,1+$AG$3),IF($F238*IF($C238="売",1-$AG$3,1+$AG$3)&lt;=3000,1,IF($F238*IF($C238="売",1-$AG$3,1+$AG$3)&lt;=5000,5,IF($F238*IF($C238="売",1-$AG$3,1+$AG$3)&lt;=30000,10,IF($F238*IF($C238="売",1-$AG$3,1+$AG$3)&lt;=50000,50,IF($F238*IF($C238="売",1-$AG$3,1+$AG$3)&lt;=300000,100,500))))))))</f>
      </c>
      <c r="N238" s="598">
        <f>IF($F238="","",IF($C238="売",CEILING($F238*IF($C238="売",1+$AG$2,1-$AG$2),IF($F238*IF($C238="売",1+$AG$2,1-$AG$2)&lt;=3000,1,IF($F238*IF($C238="売",1+$AG$2,1-$AG$2)&lt;=5000,5,IF($F238*IF($C238="売",1+$AG$2,1-$AG$2)&lt;=30000,10,IF($F238*IF($C238="売",1+$AG$2,1-$AG$2)&lt;=50000,50,IF($F238*IF($C238="売",1+$AG$2,1-$AG$2)&lt;=300000,100,500)))))),FLOOR($F238*IF($C238="売",1+$AG$2,1-$AG$2),IF($F238*IF($C238="売",1+$AG$2,1-$AG$2)&lt;=3000,1,IF($F238*IF($C238="売",1+$AG$2,1-$AG$2)&lt;=5000,5,IF($F238*IF($C238="売",1+$AG$2,1-$AG$2)&lt;=30000,10,IF($F238*IF($C238="売",1+$AG$2,1-$AG$2)&lt;=50000,50,IF($F238*IF($C238="売",1+$AG$2,1-$AG$2)&lt;=300000,100,500))))))))</f>
      </c>
      <c r="O238" s="478">
        <f>IF(OR($B238="",$F238="",$H238=""),"",IF($S238="✅売却済","―決済済―",IF($C238="売",  IF($H238&lt;=$M238,"🟢利確",  IF(AND($R238&lt;&gt;"",$H238&gt;=$R238),"🟠TRAIL決済",  IF($H238&gt;=$N238,"🔴損切",  IF($W238&gt;=$AG$5,"⏱時間決済",  IF($H238&gt;=$F238*(1+$AG$2*0.7),"⚠️損切接近","保持継続"))))),  IF($H238&gt;=$M238,"🟢利確",  IF(AND($R238&lt;&gt;"",$H238&lt;=$R238),"🟠TRAIL決済",  IF($H238&lt;=$N238,"🔴損切",  IF($W238&gt;=$AG$5,"⏱時間決済",  IF($H238&lt;=$F238*(1-$AG$2*0.7),"⚠️損切接近","保持継続")))))))</f>
      </c>
      <c r="P238" s="445"/>
      <c r="Q238" s="445"/>
      <c r="R238" s="480">
        <f>IF(OR($F238="",$H238="",$N238=""),"",IF($S238="✅売却済","",IF($C238="売",  IF($H238&gt;$F238*(1-$AG$2),$N238,CEILING(MIN($N238,IF($Q238="",$N238,$Q238*1.03)),IF($N238&lt;=3000,1,IF($N238&lt;=5000,5,IF($N238&lt;=30000,10,IF($N238&lt;=50000,50,IF($N238&lt;=300000,100,500))))))),  IF($H238&lt;$F238*(1+$AG$2),$N238,FLOOR(MAX($N238,IF($P238="",$N238,$P238*0.97)),IF($N238&lt;=3000,1,IF($N238&lt;=5000,5,IF($N238&lt;=30000,10,IF($N238&lt;=50000,50,IF($N238&lt;=300000,100,500))))))))))</f>
      </c>
      <c r="S238" s="480" t="str">
        <f t="shared" si="89"/>
        <v/>
      </c>
      <c r="T238" s="596" t="str">
        <f t="shared" ca="1" si="78"/>
        <v/>
      </c>
      <c r="U238" s="598" t="str">
        <f t="shared" ca="1" si="79"/>
        <v/>
      </c>
      <c r="V238" s="703" t="str">
        <f t="shared" ca="1" si="90"/>
        <v/>
      </c>
      <c r="W238" s="480" t="str">
        <f t="shared" ca="1" si="80"/>
        <v/>
      </c>
      <c r="X238" s="480" t="str">
        <f t="shared" ca="1" si="81"/>
        <v/>
      </c>
      <c r="Y238" s="488">
        <f>IF($B238="","",IF(COUNTIFS($B$4:$B238,$B238,$C$4:$C238,$C238)&gt;1,"⛔重複"&amp;COUNTIFS($B$4:$B238,$B238,$C$4:$C238,$C238)&amp;"回目",""))</f>
      </c>
      <c r="Z238" s="710"/>
      <c r="AB238">
        <f>IF($F238="","",MAX(100,ROUNDDOWN($AG$4/($F238*$AG$2)/100,0)*100))</f>
      </c>
      <c r="AC238">
        <f>IF(OR($F238="",$G238="",$U238=""),"",ROUND($V238-($F238+$U238)*$G238*$AG$6-IF($C238="売",$F238*$G238*$AG$7*$W238/365,0),0))</f>
      </c>
      <c r="AD238" s="608"/>
      <c r="AE238" s="600" t="str">
        <f t="shared" si="82"/>
        <v/>
      </c>
      <c r="AF238" s="600"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00"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00" t="str">
        <f t="shared" ca="1" si="83"/>
        <v/>
      </c>
      <c r="AI238" s="600" t="str" cm="1">
        <f t="array" ref="AI238">IFERROR(INDEX(始値!$E$6:$BT$305,MATCH(TEXT($B238,"0"),TEXT(銘柄管理!$B$6:$B$305,"0"),0),MATCH($AE238,始値!$E$3:$BT$3,0)),"")</f>
        <v/>
      </c>
      <c r="AJ238" s="608" t="str">
        <f t="shared" ca="1" si="84"/>
        <v/>
      </c>
      <c r="AK238" s="600" t="str">
        <f t="shared" ca="1" si="85"/>
        <v/>
      </c>
    </row>
    <row r="239" spans="1:37" ht="17.25" customHeight="1">
      <c r="A239" s="621" t="str">
        <f t="shared" si="74"/>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BT$3,0)=1,1,MATCH($E239,始値!$E$3:$BT$3,0)+1)),_xlpm.v,INDEX(始値!$C$6:$B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 t="shared" ca="1" si="86"/>
        <v/>
      </c>
      <c r="L239" s="708" t="str">
        <f t="shared" ca="1" si="87"/>
        <v/>
      </c>
      <c r="M239" s="598">
        <f>IF($F239="","",IF($C239="売",CEILING($F239*IF($C239="売",1-$AG$3,1+$AG$3),IF($F239*IF($C239="売",1-$AG$3,1+$AG$3)&lt;=3000,1,IF($F239*IF($C239="売",1-$AG$3,1+$AG$3)&lt;=5000,5,IF($F239*IF($C239="売",1-$AG$3,1+$AG$3)&lt;=30000,10,IF($F239*IF($C239="売",1-$AG$3,1+$AG$3)&lt;=50000,50,IF($F239*IF($C239="売",1-$AG$3,1+$AG$3)&lt;=300000,100,500)))))),FLOOR($F239*IF($C239="売",1-$AG$3,1+$AG$3),IF($F239*IF($C239="売",1-$AG$3,1+$AG$3)&lt;=3000,1,IF($F239*IF($C239="売",1-$AG$3,1+$AG$3)&lt;=5000,5,IF($F239*IF($C239="売",1-$AG$3,1+$AG$3)&lt;=30000,10,IF($F239*IF($C239="売",1-$AG$3,1+$AG$3)&lt;=50000,50,IF($F239*IF($C239="売",1-$AG$3,1+$AG$3)&lt;=300000,100,500))))))))</f>
      </c>
      <c r="N239" s="598">
        <f>IF($F239="","",IF($C239="売",CEILING($F239*IF($C239="売",1+$AG$2,1-$AG$2),IF($F239*IF($C239="売",1+$AG$2,1-$AG$2)&lt;=3000,1,IF($F239*IF($C239="売",1+$AG$2,1-$AG$2)&lt;=5000,5,IF($F239*IF($C239="売",1+$AG$2,1-$AG$2)&lt;=30000,10,IF($F239*IF($C239="売",1+$AG$2,1-$AG$2)&lt;=50000,50,IF($F239*IF($C239="売",1+$AG$2,1-$AG$2)&lt;=300000,100,500)))))),FLOOR($F239*IF($C239="売",1+$AG$2,1-$AG$2),IF($F239*IF($C239="売",1+$AG$2,1-$AG$2)&lt;=3000,1,IF($F239*IF($C239="売",1+$AG$2,1-$AG$2)&lt;=5000,5,IF($F239*IF($C239="売",1+$AG$2,1-$AG$2)&lt;=30000,10,IF($F239*IF($C239="売",1+$AG$2,1-$AG$2)&lt;=50000,50,IF($F239*IF($C239="売",1+$AG$2,1-$AG$2)&lt;=300000,100,500))))))))</f>
      </c>
      <c r="O239" s="478">
        <f>IF(OR($B239="",$F239="",$H239=""),"",IF($S239="✅売却済","―決済済―",IF($C239="売",  IF($H239&lt;=$M239,"🟢利確",  IF(AND($R239&lt;&gt;"",$H239&gt;=$R239),"🟠TRAIL決済",  IF($H239&gt;=$N239,"🔴損切",  IF($W239&gt;=$AG$5,"⏱時間決済",  IF($H239&gt;=$F239*(1+$AG$2*0.7),"⚠️損切接近","保持継続"))))),  IF($H239&gt;=$M239,"🟢利確",  IF(AND($R239&lt;&gt;"",$H239&lt;=$R239),"🟠TRAIL決済",  IF($H239&lt;=$N239,"🔴損切",  IF($W239&gt;=$AG$5,"⏱時間決済",  IF($H239&lt;=$F239*(1-$AG$2*0.7),"⚠️損切接近","保持継続")))))))</f>
      </c>
      <c r="P239" s="445"/>
      <c r="Q239" s="445"/>
      <c r="R239" s="480">
        <f>IF(OR($F239="",$H239="",$N239=""),"",IF($S239="✅売却済","",IF($C239="売",  IF($H239&gt;$F239*(1-$AG$2),$N239,CEILING(MIN($N239,IF($Q239="",$N239,$Q239*1.03)),IF($N239&lt;=3000,1,IF($N239&lt;=5000,5,IF($N239&lt;=30000,10,IF($N239&lt;=50000,50,IF($N239&lt;=300000,100,500))))))),  IF($H239&lt;$F239*(1+$AG$2),$N239,FLOOR(MAX($N239,IF($P239="",$N239,$P239*0.97)),IF($N239&lt;=3000,1,IF($N239&lt;=5000,5,IF($N239&lt;=30000,10,IF($N239&lt;=50000,50,IF($N239&lt;=300000,100,500))))))))))</f>
      </c>
      <c r="S239" s="480" t="str">
        <f t="shared" si="89"/>
        <v/>
      </c>
      <c r="T239" s="596" t="str">
        <f t="shared" ca="1" si="78"/>
        <v/>
      </c>
      <c r="U239" s="598" t="str">
        <f t="shared" ca="1" si="79"/>
        <v/>
      </c>
      <c r="V239" s="703" t="str">
        <f t="shared" ca="1" si="90"/>
        <v/>
      </c>
      <c r="W239" s="480" t="str">
        <f t="shared" ca="1" si="80"/>
        <v/>
      </c>
      <c r="X239" s="480" t="str">
        <f t="shared" ca="1" si="81"/>
        <v/>
      </c>
      <c r="Y239" s="488">
        <f>IF($B239="","",IF(COUNTIFS($B$4:$B239,$B239,$C$4:$C239,$C239)&gt;1,"⛔重複"&amp;COUNTIFS($B$4:$B239,$B239,$C$4:$C239,$C239)&amp;"回目",""))</f>
      </c>
      <c r="Z239" s="710"/>
      <c r="AB239">
        <f>IF($F239="","",MAX(100,ROUNDDOWN($AG$4/($F239*$AG$2)/100,0)*100))</f>
      </c>
      <c r="AC239">
        <f>IF(OR($F239="",$G239="",$U239=""),"",ROUND($V239-($F239+$U239)*$G239*$AG$6-IF($C239="売",$F239*$G239*$AG$7*$W239/365,0),0))</f>
      </c>
      <c r="AD239" s="608"/>
      <c r="AE239" s="600" t="str">
        <f t="shared" si="82"/>
        <v/>
      </c>
      <c r="AF239" s="600"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00"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00" t="str">
        <f t="shared" ca="1" si="83"/>
        <v/>
      </c>
      <c r="AI239" s="600" t="str" cm="1">
        <f t="array" ref="AI239">IFERROR(INDEX(始値!$E$6:$BT$305,MATCH(TEXT($B239,"0"),TEXT(銘柄管理!$B$6:$B$305,"0"),0),MATCH($AE239,始値!$E$3:$BT$3,0)),"")</f>
        <v/>
      </c>
      <c r="AJ239" s="608" t="str">
        <f t="shared" ca="1" si="84"/>
        <v/>
      </c>
      <c r="AK239" s="600" t="str">
        <f t="shared" ca="1" si="85"/>
        <v/>
      </c>
    </row>
    <row r="240" spans="1:37" ht="17.25" customHeight="1">
      <c r="A240" s="621" t="str">
        <f t="shared" si="74"/>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BT$3,0)=1,1,MATCH($E240,始値!$E$3:$BT$3,0)+1)),_xlpm.v,INDEX(始値!$C$6:$B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 t="shared" ca="1" si="86"/>
        <v/>
      </c>
      <c r="L240" s="708" t="str">
        <f t="shared" ca="1" si="87"/>
        <v/>
      </c>
      <c r="M240" s="598">
        <f>IF($F240="","",IF($C240="売",CEILING($F240*IF($C240="売",1-$AG$3,1+$AG$3),IF($F240*IF($C240="売",1-$AG$3,1+$AG$3)&lt;=3000,1,IF($F240*IF($C240="売",1-$AG$3,1+$AG$3)&lt;=5000,5,IF($F240*IF($C240="売",1-$AG$3,1+$AG$3)&lt;=30000,10,IF($F240*IF($C240="売",1-$AG$3,1+$AG$3)&lt;=50000,50,IF($F240*IF($C240="売",1-$AG$3,1+$AG$3)&lt;=300000,100,500)))))),FLOOR($F240*IF($C240="売",1-$AG$3,1+$AG$3),IF($F240*IF($C240="売",1-$AG$3,1+$AG$3)&lt;=3000,1,IF($F240*IF($C240="売",1-$AG$3,1+$AG$3)&lt;=5000,5,IF($F240*IF($C240="売",1-$AG$3,1+$AG$3)&lt;=30000,10,IF($F240*IF($C240="売",1-$AG$3,1+$AG$3)&lt;=50000,50,IF($F240*IF($C240="売",1-$AG$3,1+$AG$3)&lt;=300000,100,500))))))))</f>
      </c>
      <c r="N240" s="598">
        <f>IF($F240="","",IF($C240="売",CEILING($F240*IF($C240="売",1+$AG$2,1-$AG$2),IF($F240*IF($C240="売",1+$AG$2,1-$AG$2)&lt;=3000,1,IF($F240*IF($C240="売",1+$AG$2,1-$AG$2)&lt;=5000,5,IF($F240*IF($C240="売",1+$AG$2,1-$AG$2)&lt;=30000,10,IF($F240*IF($C240="売",1+$AG$2,1-$AG$2)&lt;=50000,50,IF($F240*IF($C240="売",1+$AG$2,1-$AG$2)&lt;=300000,100,500)))))),FLOOR($F240*IF($C240="売",1+$AG$2,1-$AG$2),IF($F240*IF($C240="売",1+$AG$2,1-$AG$2)&lt;=3000,1,IF($F240*IF($C240="売",1+$AG$2,1-$AG$2)&lt;=5000,5,IF($F240*IF($C240="売",1+$AG$2,1-$AG$2)&lt;=30000,10,IF($F240*IF($C240="売",1+$AG$2,1-$AG$2)&lt;=50000,50,IF($F240*IF($C240="売",1+$AG$2,1-$AG$2)&lt;=300000,100,500))))))))</f>
      </c>
      <c r="O240" s="478">
        <f>IF(OR($B240="",$F240="",$H240=""),"",IF($S240="✅売却済","―決済済―",IF($C240="売",  IF($H240&lt;=$M240,"🟢利確",  IF(AND($R240&lt;&gt;"",$H240&gt;=$R240),"🟠TRAIL決済",  IF($H240&gt;=$N240,"🔴損切",  IF($W240&gt;=$AG$5,"⏱時間決済",  IF($H240&gt;=$F240*(1+$AG$2*0.7),"⚠️損切接近","保持継続"))))),  IF($H240&gt;=$M240,"🟢利確",  IF(AND($R240&lt;&gt;"",$H240&lt;=$R240),"🟠TRAIL決済",  IF($H240&lt;=$N240,"🔴損切",  IF($W240&gt;=$AG$5,"⏱時間決済",  IF($H240&lt;=$F240*(1-$AG$2*0.7),"⚠️損切接近","保持継続")))))))</f>
      </c>
      <c r="P240" s="445"/>
      <c r="Q240" s="445"/>
      <c r="R240" s="480">
        <f>IF(OR($F240="",$H240="",$N240=""),"",IF($S240="✅売却済","",IF($C240="売",  IF($H240&gt;$F240*(1-$AG$2),$N240,CEILING(MIN($N240,IF($Q240="",$N240,$Q240*1.03)),IF($N240&lt;=3000,1,IF($N240&lt;=5000,5,IF($N240&lt;=30000,10,IF($N240&lt;=50000,50,IF($N240&lt;=300000,100,500))))))),  IF($H240&lt;$F240*(1+$AG$2),$N240,FLOOR(MAX($N240,IF($P240="",$N240,$P240*0.97)),IF($N240&lt;=3000,1,IF($N240&lt;=5000,5,IF($N240&lt;=30000,10,IF($N240&lt;=50000,50,IF($N240&lt;=300000,100,500))))))))))</f>
      </c>
      <c r="S240" s="480" t="str">
        <f t="shared" si="89"/>
        <v/>
      </c>
      <c r="T240" s="596" t="str">
        <f t="shared" ca="1" si="78"/>
        <v/>
      </c>
      <c r="U240" s="598" t="str">
        <f t="shared" ca="1" si="79"/>
        <v/>
      </c>
      <c r="V240" s="703" t="str">
        <f t="shared" ca="1" si="90"/>
        <v/>
      </c>
      <c r="W240" s="480" t="str">
        <f t="shared" ca="1" si="80"/>
        <v/>
      </c>
      <c r="X240" s="480" t="str">
        <f t="shared" ca="1" si="81"/>
        <v/>
      </c>
      <c r="Y240" s="488">
        <f>IF($B240="","",IF(COUNTIFS($B$4:$B240,$B240,$C$4:$C240,$C240)&gt;1,"⛔重複"&amp;COUNTIFS($B$4:$B240,$B240,$C$4:$C240,$C240)&amp;"回目",""))</f>
      </c>
      <c r="Z240" s="710"/>
      <c r="AB240">
        <f>IF($F240="","",MAX(100,ROUNDDOWN($AG$4/($F240*$AG$2)/100,0)*100))</f>
      </c>
      <c r="AC240">
        <f>IF(OR($F240="",$G240="",$U240=""),"",ROUND($V240-($F240+$U240)*$G240*$AG$6-IF($C240="売",$F240*$G240*$AG$7*$W240/365,0),0))</f>
      </c>
      <c r="AD240" s="608"/>
      <c r="AE240" s="600" t="str">
        <f t="shared" si="82"/>
        <v/>
      </c>
      <c r="AF240" s="600"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00"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00" t="str">
        <f t="shared" ca="1" si="83"/>
        <v/>
      </c>
      <c r="AI240" s="600" t="str" cm="1">
        <f t="array" ref="AI240">IFERROR(INDEX(始値!$E$6:$BT$305,MATCH(TEXT($B240,"0"),TEXT(銘柄管理!$B$6:$B$305,"0"),0),MATCH($AE240,始値!$E$3:$BT$3,0)),"")</f>
        <v/>
      </c>
      <c r="AJ240" s="608" t="str">
        <f t="shared" ca="1" si="84"/>
        <v/>
      </c>
      <c r="AK240" s="600" t="str">
        <f t="shared" ca="1" si="85"/>
        <v/>
      </c>
    </row>
    <row r="241" spans="1:37" ht="17.25" customHeight="1">
      <c r="A241" s="621" t="str">
        <f t="shared" si="74"/>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BT$3,0)=1,1,MATCH($E241,始値!$E$3:$BT$3,0)+1)),_xlpm.v,INDEX(始値!$C$6:$B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 t="shared" ca="1" si="86"/>
        <v/>
      </c>
      <c r="L241" s="708" t="str">
        <f t="shared" ca="1" si="87"/>
        <v/>
      </c>
      <c r="M241" s="598">
        <f>IF($F241="","",IF($C241="売",CEILING($F241*IF($C241="売",1-$AG$3,1+$AG$3),IF($F241*IF($C241="売",1-$AG$3,1+$AG$3)&lt;=3000,1,IF($F241*IF($C241="売",1-$AG$3,1+$AG$3)&lt;=5000,5,IF($F241*IF($C241="売",1-$AG$3,1+$AG$3)&lt;=30000,10,IF($F241*IF($C241="売",1-$AG$3,1+$AG$3)&lt;=50000,50,IF($F241*IF($C241="売",1-$AG$3,1+$AG$3)&lt;=300000,100,500)))))),FLOOR($F241*IF($C241="売",1-$AG$3,1+$AG$3),IF($F241*IF($C241="売",1-$AG$3,1+$AG$3)&lt;=3000,1,IF($F241*IF($C241="売",1-$AG$3,1+$AG$3)&lt;=5000,5,IF($F241*IF($C241="売",1-$AG$3,1+$AG$3)&lt;=30000,10,IF($F241*IF($C241="売",1-$AG$3,1+$AG$3)&lt;=50000,50,IF($F241*IF($C241="売",1-$AG$3,1+$AG$3)&lt;=300000,100,500))))))))</f>
      </c>
      <c r="N241" s="598">
        <f>IF($F241="","",IF($C241="売",CEILING($F241*IF($C241="売",1+$AG$2,1-$AG$2),IF($F241*IF($C241="売",1+$AG$2,1-$AG$2)&lt;=3000,1,IF($F241*IF($C241="売",1+$AG$2,1-$AG$2)&lt;=5000,5,IF($F241*IF($C241="売",1+$AG$2,1-$AG$2)&lt;=30000,10,IF($F241*IF($C241="売",1+$AG$2,1-$AG$2)&lt;=50000,50,IF($F241*IF($C241="売",1+$AG$2,1-$AG$2)&lt;=300000,100,500)))))),FLOOR($F241*IF($C241="売",1+$AG$2,1-$AG$2),IF($F241*IF($C241="売",1+$AG$2,1-$AG$2)&lt;=3000,1,IF($F241*IF($C241="売",1+$AG$2,1-$AG$2)&lt;=5000,5,IF($F241*IF($C241="売",1+$AG$2,1-$AG$2)&lt;=30000,10,IF($F241*IF($C241="売",1+$AG$2,1-$AG$2)&lt;=50000,50,IF($F241*IF($C241="売",1+$AG$2,1-$AG$2)&lt;=300000,100,500))))))))</f>
      </c>
      <c r="O241" s="478">
        <f>IF(OR($B241="",$F241="",$H241=""),"",IF($S241="✅売却済","―決済済―",IF($C241="売",  IF($H241&lt;=$M241,"🟢利確",  IF(AND($R241&lt;&gt;"",$H241&gt;=$R241),"🟠TRAIL決済",  IF($H241&gt;=$N241,"🔴損切",  IF($W241&gt;=$AG$5,"⏱時間決済",  IF($H241&gt;=$F241*(1+$AG$2*0.7),"⚠️損切接近","保持継続"))))),  IF($H241&gt;=$M241,"🟢利確",  IF(AND($R241&lt;&gt;"",$H241&lt;=$R241),"🟠TRAIL決済",  IF($H241&lt;=$N241,"🔴損切",  IF($W241&gt;=$AG$5,"⏱時間決済",  IF($H241&lt;=$F241*(1-$AG$2*0.7),"⚠️損切接近","保持継続")))))))</f>
      </c>
      <c r="P241" s="445"/>
      <c r="Q241" s="445"/>
      <c r="R241" s="480">
        <f>IF(OR($F241="",$H241="",$N241=""),"",IF($S241="✅売却済","",IF($C241="売",  IF($H241&gt;$F241*(1-$AG$2),$N241,CEILING(MIN($N241,IF($Q241="",$N241,$Q241*1.03)),IF($N241&lt;=3000,1,IF($N241&lt;=5000,5,IF($N241&lt;=30000,10,IF($N241&lt;=50000,50,IF($N241&lt;=300000,100,500))))))),  IF($H241&lt;$F241*(1+$AG$2),$N241,FLOOR(MAX($N241,IF($P241="",$N241,$P241*0.97)),IF($N241&lt;=3000,1,IF($N241&lt;=5000,5,IF($N241&lt;=30000,10,IF($N241&lt;=50000,50,IF($N241&lt;=300000,100,500))))))))))</f>
      </c>
      <c r="S241" s="480" t="str">
        <f t="shared" si="89"/>
        <v/>
      </c>
      <c r="T241" s="596" t="str">
        <f t="shared" ca="1" si="78"/>
        <v/>
      </c>
      <c r="U241" s="598" t="str">
        <f t="shared" ca="1" si="79"/>
        <v/>
      </c>
      <c r="V241" s="703" t="str">
        <f t="shared" ca="1" si="90"/>
        <v/>
      </c>
      <c r="W241" s="480" t="str">
        <f t="shared" ca="1" si="80"/>
        <v/>
      </c>
      <c r="X241" s="480" t="str">
        <f t="shared" ca="1" si="81"/>
        <v/>
      </c>
      <c r="Y241" s="488">
        <f>IF($B241="","",IF(COUNTIFS($B$4:$B241,$B241,$C$4:$C241,$C241)&gt;1,"⛔重複"&amp;COUNTIFS($B$4:$B241,$B241,$C$4:$C241,$C241)&amp;"回目",""))</f>
      </c>
      <c r="Z241" s="710"/>
      <c r="AB241">
        <f>IF($F241="","",MAX(100,ROUNDDOWN($AG$4/($F241*$AG$2)/100,0)*100))</f>
      </c>
      <c r="AC241">
        <f>IF(OR($F241="",$G241="",$U241=""),"",ROUND($V241-($F241+$U241)*$G241*$AG$6-IF($C241="売",$F241*$G241*$AG$7*$W241/365,0),0))</f>
      </c>
      <c r="AD241" s="608"/>
      <c r="AE241" s="600" t="str">
        <f t="shared" si="82"/>
        <v/>
      </c>
      <c r="AF241" s="600"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00"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00" t="str">
        <f t="shared" ca="1" si="83"/>
        <v/>
      </c>
      <c r="AI241" s="600" t="str" cm="1">
        <f t="array" ref="AI241">IFERROR(INDEX(始値!$E$6:$BT$305,MATCH(TEXT($B241,"0"),TEXT(銘柄管理!$B$6:$B$305,"0"),0),MATCH($AE241,始値!$E$3:$BT$3,0)),"")</f>
        <v/>
      </c>
      <c r="AJ241" s="608" t="str">
        <f t="shared" ca="1" si="84"/>
        <v/>
      </c>
      <c r="AK241" s="600" t="str">
        <f t="shared" ca="1" si="85"/>
        <v/>
      </c>
    </row>
    <row r="242" spans="1:37" ht="17.25" customHeight="1">
      <c r="A242" s="621" t="str">
        <f t="shared" si="74"/>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BT$3,0)=1,1,MATCH($E242,始値!$E$3:$BT$3,0)+1)),_xlpm.v,INDEX(始値!$C$6:$B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 t="shared" ca="1" si="86"/>
        <v/>
      </c>
      <c r="L242" s="708" t="str">
        <f t="shared" ca="1" si="87"/>
        <v/>
      </c>
      <c r="M242" s="598">
        <f>IF($F242="","",IF($C242="売",CEILING($F242*IF($C242="売",1-$AG$3,1+$AG$3),IF($F242*IF($C242="売",1-$AG$3,1+$AG$3)&lt;=3000,1,IF($F242*IF($C242="売",1-$AG$3,1+$AG$3)&lt;=5000,5,IF($F242*IF($C242="売",1-$AG$3,1+$AG$3)&lt;=30000,10,IF($F242*IF($C242="売",1-$AG$3,1+$AG$3)&lt;=50000,50,IF($F242*IF($C242="売",1-$AG$3,1+$AG$3)&lt;=300000,100,500)))))),FLOOR($F242*IF($C242="売",1-$AG$3,1+$AG$3),IF($F242*IF($C242="売",1-$AG$3,1+$AG$3)&lt;=3000,1,IF($F242*IF($C242="売",1-$AG$3,1+$AG$3)&lt;=5000,5,IF($F242*IF($C242="売",1-$AG$3,1+$AG$3)&lt;=30000,10,IF($F242*IF($C242="売",1-$AG$3,1+$AG$3)&lt;=50000,50,IF($F242*IF($C242="売",1-$AG$3,1+$AG$3)&lt;=300000,100,500))))))))</f>
      </c>
      <c r="N242" s="598">
        <f>IF($F242="","",IF($C242="売",CEILING($F242*IF($C242="売",1+$AG$2,1-$AG$2),IF($F242*IF($C242="売",1+$AG$2,1-$AG$2)&lt;=3000,1,IF($F242*IF($C242="売",1+$AG$2,1-$AG$2)&lt;=5000,5,IF($F242*IF($C242="売",1+$AG$2,1-$AG$2)&lt;=30000,10,IF($F242*IF($C242="売",1+$AG$2,1-$AG$2)&lt;=50000,50,IF($F242*IF($C242="売",1+$AG$2,1-$AG$2)&lt;=300000,100,500)))))),FLOOR($F242*IF($C242="売",1+$AG$2,1-$AG$2),IF($F242*IF($C242="売",1+$AG$2,1-$AG$2)&lt;=3000,1,IF($F242*IF($C242="売",1+$AG$2,1-$AG$2)&lt;=5000,5,IF($F242*IF($C242="売",1+$AG$2,1-$AG$2)&lt;=30000,10,IF($F242*IF($C242="売",1+$AG$2,1-$AG$2)&lt;=50000,50,IF($F242*IF($C242="売",1+$AG$2,1-$AG$2)&lt;=300000,100,500))))))))</f>
      </c>
      <c r="O242" s="478">
        <f>IF(OR($B242="",$F242="",$H242=""),"",IF($S242="✅売却済","―決済済―",IF($C242="売",  IF($H242&lt;=$M242,"🟢利確",  IF(AND($R242&lt;&gt;"",$H242&gt;=$R242),"🟠TRAIL決済",  IF($H242&gt;=$N242,"🔴損切",  IF($W242&gt;=$AG$5,"⏱時間決済",  IF($H242&gt;=$F242*(1+$AG$2*0.7),"⚠️損切接近","保持継続"))))),  IF($H242&gt;=$M242,"🟢利確",  IF(AND($R242&lt;&gt;"",$H242&lt;=$R242),"🟠TRAIL決済",  IF($H242&lt;=$N242,"🔴損切",  IF($W242&gt;=$AG$5,"⏱時間決済",  IF($H242&lt;=$F242*(1-$AG$2*0.7),"⚠️損切接近","保持継続")))))))</f>
      </c>
      <c r="P242" s="445"/>
      <c r="Q242" s="445"/>
      <c r="R242" s="480">
        <f>IF(OR($F242="",$H242="",$N242=""),"",IF($S242="✅売却済","",IF($C242="売",  IF($H242&gt;$F242*(1-$AG$2),$N242,CEILING(MIN($N242,IF($Q242="",$N242,$Q242*1.03)),IF($N242&lt;=3000,1,IF($N242&lt;=5000,5,IF($N242&lt;=30000,10,IF($N242&lt;=50000,50,IF($N242&lt;=300000,100,500))))))),  IF($H242&lt;$F242*(1+$AG$2),$N242,FLOOR(MAX($N242,IF($P242="",$N242,$P242*0.97)),IF($N242&lt;=3000,1,IF($N242&lt;=5000,5,IF($N242&lt;=30000,10,IF($N242&lt;=50000,50,IF($N242&lt;=300000,100,500))))))))))</f>
      </c>
      <c r="S242" s="480" t="str">
        <f t="shared" si="89"/>
        <v/>
      </c>
      <c r="T242" s="596" t="str">
        <f t="shared" ca="1" si="78"/>
        <v/>
      </c>
      <c r="U242" s="598" t="str">
        <f t="shared" ca="1" si="79"/>
        <v/>
      </c>
      <c r="V242" s="703" t="str">
        <f t="shared" ca="1" si="90"/>
        <v/>
      </c>
      <c r="W242" s="480" t="str">
        <f t="shared" ca="1" si="80"/>
        <v/>
      </c>
      <c r="X242" s="480" t="str">
        <f t="shared" ca="1" si="81"/>
        <v/>
      </c>
      <c r="Y242" s="488">
        <f>IF($B242="","",IF(COUNTIFS($B$4:$B242,$B242,$C$4:$C242,$C242)&gt;1,"⛔重複"&amp;COUNTIFS($B$4:$B242,$B242,$C$4:$C242,$C242)&amp;"回目",""))</f>
      </c>
      <c r="Z242" s="710"/>
      <c r="AB242">
        <f>IF($F242="","",MAX(100,ROUNDDOWN($AG$4/($F242*$AG$2)/100,0)*100))</f>
      </c>
      <c r="AC242">
        <f>IF(OR($F242="",$G242="",$U242=""),"",ROUND($V242-($F242+$U242)*$G242*$AG$6-IF($C242="売",$F242*$G242*$AG$7*$W242/365,0),0))</f>
      </c>
      <c r="AD242" s="608"/>
      <c r="AE242" s="600" t="str">
        <f t="shared" si="82"/>
        <v/>
      </c>
      <c r="AF242" s="600"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00"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00" t="str">
        <f t="shared" ca="1" si="83"/>
        <v/>
      </c>
      <c r="AI242" s="600" t="str" cm="1">
        <f t="array" ref="AI242">IFERROR(INDEX(始値!$E$6:$BT$305,MATCH(TEXT($B242,"0"),TEXT(銘柄管理!$B$6:$B$305,"0"),0),MATCH($AE242,始値!$E$3:$BT$3,0)),"")</f>
        <v/>
      </c>
      <c r="AJ242" s="608" t="str">
        <f t="shared" ca="1" si="84"/>
        <v/>
      </c>
      <c r="AK242" s="600" t="str">
        <f t="shared" ca="1" si="85"/>
        <v/>
      </c>
    </row>
    <row r="243" spans="1:37" ht="17.25" customHeight="1">
      <c r="A243" s="621" t="str">
        <f t="shared" si="74"/>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BT$3,0)=1,1,MATCH($E243,始値!$E$3:$BT$3,0)+1)),_xlpm.v,INDEX(始値!$C$6:$B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 t="shared" ca="1" si="86"/>
        <v/>
      </c>
      <c r="L243" s="708" t="str">
        <f t="shared" ca="1" si="87"/>
        <v/>
      </c>
      <c r="M243" s="598">
        <f>IF($F243="","",IF($C243="売",CEILING($F243*IF($C243="売",1-$AG$3,1+$AG$3),IF($F243*IF($C243="売",1-$AG$3,1+$AG$3)&lt;=3000,1,IF($F243*IF($C243="売",1-$AG$3,1+$AG$3)&lt;=5000,5,IF($F243*IF($C243="売",1-$AG$3,1+$AG$3)&lt;=30000,10,IF($F243*IF($C243="売",1-$AG$3,1+$AG$3)&lt;=50000,50,IF($F243*IF($C243="売",1-$AG$3,1+$AG$3)&lt;=300000,100,500)))))),FLOOR($F243*IF($C243="売",1-$AG$3,1+$AG$3),IF($F243*IF($C243="売",1-$AG$3,1+$AG$3)&lt;=3000,1,IF($F243*IF($C243="売",1-$AG$3,1+$AG$3)&lt;=5000,5,IF($F243*IF($C243="売",1-$AG$3,1+$AG$3)&lt;=30000,10,IF($F243*IF($C243="売",1-$AG$3,1+$AG$3)&lt;=50000,50,IF($F243*IF($C243="売",1-$AG$3,1+$AG$3)&lt;=300000,100,500))))))))</f>
      </c>
      <c r="N243" s="598">
        <f>IF($F243="","",IF($C243="売",CEILING($F243*IF($C243="売",1+$AG$2,1-$AG$2),IF($F243*IF($C243="売",1+$AG$2,1-$AG$2)&lt;=3000,1,IF($F243*IF($C243="売",1+$AG$2,1-$AG$2)&lt;=5000,5,IF($F243*IF($C243="売",1+$AG$2,1-$AG$2)&lt;=30000,10,IF($F243*IF($C243="売",1+$AG$2,1-$AG$2)&lt;=50000,50,IF($F243*IF($C243="売",1+$AG$2,1-$AG$2)&lt;=300000,100,500)))))),FLOOR($F243*IF($C243="売",1+$AG$2,1-$AG$2),IF($F243*IF($C243="売",1+$AG$2,1-$AG$2)&lt;=3000,1,IF($F243*IF($C243="売",1+$AG$2,1-$AG$2)&lt;=5000,5,IF($F243*IF($C243="売",1+$AG$2,1-$AG$2)&lt;=30000,10,IF($F243*IF($C243="売",1+$AG$2,1-$AG$2)&lt;=50000,50,IF($F243*IF($C243="売",1+$AG$2,1-$AG$2)&lt;=300000,100,500))))))))</f>
      </c>
      <c r="O243" s="478">
        <f>IF(OR($B243="",$F243="",$H243=""),"",IF($S243="✅売却済","―決済済―",IF($C243="売",  IF($H243&lt;=$M243,"🟢利確",  IF(AND($R243&lt;&gt;"",$H243&gt;=$R243),"🟠TRAIL決済",  IF($H243&gt;=$N243,"🔴損切",  IF($W243&gt;=$AG$5,"⏱時間決済",  IF($H243&gt;=$F243*(1+$AG$2*0.7),"⚠️損切接近","保持継続"))))),  IF($H243&gt;=$M243,"🟢利確",  IF(AND($R243&lt;&gt;"",$H243&lt;=$R243),"🟠TRAIL決済",  IF($H243&lt;=$N243,"🔴損切",  IF($W243&gt;=$AG$5,"⏱時間決済",  IF($H243&lt;=$F243*(1-$AG$2*0.7),"⚠️損切接近","保持継続")))))))</f>
      </c>
      <c r="P243" s="445"/>
      <c r="Q243" s="445"/>
      <c r="R243" s="480">
        <f>IF(OR($F243="",$H243="",$N243=""),"",IF($S243="✅売却済","",IF($C243="売",  IF($H243&gt;$F243*(1-$AG$2),$N243,CEILING(MIN($N243,IF($Q243="",$N243,$Q243*1.03)),IF($N243&lt;=3000,1,IF($N243&lt;=5000,5,IF($N243&lt;=30000,10,IF($N243&lt;=50000,50,IF($N243&lt;=300000,100,500))))))),  IF($H243&lt;$F243*(1+$AG$2),$N243,FLOOR(MAX($N243,IF($P243="",$N243,$P243*0.97)),IF($N243&lt;=3000,1,IF($N243&lt;=5000,5,IF($N243&lt;=30000,10,IF($N243&lt;=50000,50,IF($N243&lt;=300000,100,500))))))))))</f>
      </c>
      <c r="S243" s="480" t="str">
        <f t="shared" si="89"/>
        <v/>
      </c>
      <c r="T243" s="596" t="str">
        <f t="shared" ca="1" si="78"/>
        <v/>
      </c>
      <c r="U243" s="598" t="str">
        <f t="shared" ca="1" si="79"/>
        <v/>
      </c>
      <c r="V243" s="703" t="str">
        <f t="shared" ca="1" si="90"/>
        <v/>
      </c>
      <c r="W243" s="480" t="str">
        <f t="shared" ca="1" si="80"/>
        <v/>
      </c>
      <c r="X243" s="480" t="str">
        <f t="shared" ca="1" si="81"/>
        <v/>
      </c>
      <c r="Y243" s="488">
        <f>IF($B243="","",IF(COUNTIFS($B$4:$B243,$B243,$C$4:$C243,$C243)&gt;1,"⛔重複"&amp;COUNTIFS($B$4:$B243,$B243,$C$4:$C243,$C243)&amp;"回目",""))</f>
      </c>
      <c r="Z243" s="710"/>
      <c r="AB243">
        <f>IF($F243="","",MAX(100,ROUNDDOWN($AG$4/($F243*$AG$2)/100,0)*100))</f>
      </c>
      <c r="AC243">
        <f>IF(OR($F243="",$G243="",$U243=""),"",ROUND($V243-($F243+$U243)*$G243*$AG$6-IF($C243="売",$F243*$G243*$AG$7*$W243/365,0),0))</f>
      </c>
      <c r="AD243" s="608"/>
      <c r="AE243" s="600" t="str">
        <f t="shared" si="82"/>
        <v/>
      </c>
      <c r="AF243" s="600"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00"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00" t="str">
        <f t="shared" ca="1" si="83"/>
        <v/>
      </c>
      <c r="AI243" s="600" t="str" cm="1">
        <f t="array" ref="AI243">IFERROR(INDEX(始値!$E$6:$BT$305,MATCH(TEXT($B243,"0"),TEXT(銘柄管理!$B$6:$B$305,"0"),0),MATCH($AE243,始値!$E$3:$BT$3,0)),"")</f>
        <v/>
      </c>
      <c r="AJ243" s="608" t="str">
        <f t="shared" ca="1" si="84"/>
        <v/>
      </c>
      <c r="AK243" s="600" t="str">
        <f t="shared" ca="1" si="85"/>
        <v/>
      </c>
    </row>
    <row r="244" spans="1:37" ht="17.25" customHeight="1">
      <c r="A244" s="621" t="str">
        <f t="shared" si="74"/>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BT$3,0)=1,1,MATCH($E244,始値!$E$3:$BT$3,0)+1)),_xlpm.v,INDEX(始値!$C$6:$B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 t="shared" ca="1" si="86"/>
        <v/>
      </c>
      <c r="L244" s="708" t="str">
        <f t="shared" ca="1" si="87"/>
        <v/>
      </c>
      <c r="M244" s="598">
        <f>IF($F244="","",IF($C244="売",CEILING($F244*IF($C244="売",1-$AG$3,1+$AG$3),IF($F244*IF($C244="売",1-$AG$3,1+$AG$3)&lt;=3000,1,IF($F244*IF($C244="売",1-$AG$3,1+$AG$3)&lt;=5000,5,IF($F244*IF($C244="売",1-$AG$3,1+$AG$3)&lt;=30000,10,IF($F244*IF($C244="売",1-$AG$3,1+$AG$3)&lt;=50000,50,IF($F244*IF($C244="売",1-$AG$3,1+$AG$3)&lt;=300000,100,500)))))),FLOOR($F244*IF($C244="売",1-$AG$3,1+$AG$3),IF($F244*IF($C244="売",1-$AG$3,1+$AG$3)&lt;=3000,1,IF($F244*IF($C244="売",1-$AG$3,1+$AG$3)&lt;=5000,5,IF($F244*IF($C244="売",1-$AG$3,1+$AG$3)&lt;=30000,10,IF($F244*IF($C244="売",1-$AG$3,1+$AG$3)&lt;=50000,50,IF($F244*IF($C244="売",1-$AG$3,1+$AG$3)&lt;=300000,100,500))))))))</f>
      </c>
      <c r="N244" s="598">
        <f>IF($F244="","",IF($C244="売",CEILING($F244*IF($C244="売",1+$AG$2,1-$AG$2),IF($F244*IF($C244="売",1+$AG$2,1-$AG$2)&lt;=3000,1,IF($F244*IF($C244="売",1+$AG$2,1-$AG$2)&lt;=5000,5,IF($F244*IF($C244="売",1+$AG$2,1-$AG$2)&lt;=30000,10,IF($F244*IF($C244="売",1+$AG$2,1-$AG$2)&lt;=50000,50,IF($F244*IF($C244="売",1+$AG$2,1-$AG$2)&lt;=300000,100,500)))))),FLOOR($F244*IF($C244="売",1+$AG$2,1-$AG$2),IF($F244*IF($C244="売",1+$AG$2,1-$AG$2)&lt;=3000,1,IF($F244*IF($C244="売",1+$AG$2,1-$AG$2)&lt;=5000,5,IF($F244*IF($C244="売",1+$AG$2,1-$AG$2)&lt;=30000,10,IF($F244*IF($C244="売",1+$AG$2,1-$AG$2)&lt;=50000,50,IF($F244*IF($C244="売",1+$AG$2,1-$AG$2)&lt;=300000,100,500))))))))</f>
      </c>
      <c r="O244" s="478">
        <f>IF(OR($B244="",$F244="",$H244=""),"",IF($S244="✅売却済","―決済済―",IF($C244="売",  IF($H244&lt;=$M244,"🟢利確",  IF(AND($R244&lt;&gt;"",$H244&gt;=$R244),"🟠TRAIL決済",  IF($H244&gt;=$N244,"🔴損切",  IF($W244&gt;=$AG$5,"⏱時間決済",  IF($H244&gt;=$F244*(1+$AG$2*0.7),"⚠️損切接近","保持継続"))))),  IF($H244&gt;=$M244,"🟢利確",  IF(AND($R244&lt;&gt;"",$H244&lt;=$R244),"🟠TRAIL決済",  IF($H244&lt;=$N244,"🔴損切",  IF($W244&gt;=$AG$5,"⏱時間決済",  IF($H244&lt;=$F244*(1-$AG$2*0.7),"⚠️損切接近","保持継続")))))))</f>
      </c>
      <c r="P244" s="445"/>
      <c r="Q244" s="445"/>
      <c r="R244" s="480">
        <f>IF(OR($F244="",$H244="",$N244=""),"",IF($S244="✅売却済","",IF($C244="売",  IF($H244&gt;$F244*(1-$AG$2),$N244,CEILING(MIN($N244,IF($Q244="",$N244,$Q244*1.03)),IF($N244&lt;=3000,1,IF($N244&lt;=5000,5,IF($N244&lt;=30000,10,IF($N244&lt;=50000,50,IF($N244&lt;=300000,100,500))))))),  IF($H244&lt;$F244*(1+$AG$2),$N244,FLOOR(MAX($N244,IF($P244="",$N244,$P244*0.97)),IF($N244&lt;=3000,1,IF($N244&lt;=5000,5,IF($N244&lt;=30000,10,IF($N244&lt;=50000,50,IF($N244&lt;=300000,100,500))))))))))</f>
      </c>
      <c r="S244" s="480" t="str">
        <f t="shared" si="89"/>
        <v/>
      </c>
      <c r="T244" s="596" t="str">
        <f t="shared" ca="1" si="78"/>
        <v/>
      </c>
      <c r="U244" s="598" t="str">
        <f t="shared" ca="1" si="79"/>
        <v/>
      </c>
      <c r="V244" s="703" t="str">
        <f t="shared" ca="1" si="90"/>
        <v/>
      </c>
      <c r="W244" s="480" t="str">
        <f t="shared" ca="1" si="80"/>
        <v/>
      </c>
      <c r="X244" s="480" t="str">
        <f t="shared" ca="1" si="81"/>
        <v/>
      </c>
      <c r="Y244" s="488">
        <f>IF($B244="","",IF(COUNTIFS($B$4:$B244,$B244,$C$4:$C244,$C244)&gt;1,"⛔重複"&amp;COUNTIFS($B$4:$B244,$B244,$C$4:$C244,$C244)&amp;"回目",""))</f>
      </c>
      <c r="Z244" s="710"/>
      <c r="AB244">
        <f>IF($F244="","",MAX(100,ROUNDDOWN($AG$4/($F244*$AG$2)/100,0)*100))</f>
      </c>
      <c r="AC244">
        <f>IF(OR($F244="",$G244="",$U244=""),"",ROUND($V244-($F244+$U244)*$G244*$AG$6-IF($C244="売",$F244*$G244*$AG$7*$W244/365,0),0))</f>
      </c>
      <c r="AD244" s="608"/>
      <c r="AE244" s="600" t="str">
        <f t="shared" si="82"/>
        <v/>
      </c>
      <c r="AF244" s="600"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00"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00" t="str">
        <f t="shared" ca="1" si="83"/>
        <v/>
      </c>
      <c r="AI244" s="600" t="str" cm="1">
        <f t="array" ref="AI244">IFERROR(INDEX(始値!$E$6:$BT$305,MATCH(TEXT($B244,"0"),TEXT(銘柄管理!$B$6:$B$305,"0"),0),MATCH($AE244,始値!$E$3:$BT$3,0)),"")</f>
        <v/>
      </c>
      <c r="AJ244" s="608" t="str">
        <f t="shared" ca="1" si="84"/>
        <v/>
      </c>
      <c r="AK244" s="600" t="str">
        <f t="shared" ca="1" si="85"/>
        <v/>
      </c>
    </row>
    <row r="245" spans="1:37" ht="17.25" customHeight="1">
      <c r="A245" s="621" t="str">
        <f t="shared" si="74"/>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BT$3,0)=1,1,MATCH($E245,始値!$E$3:$BT$3,0)+1)),_xlpm.v,INDEX(始値!$C$6:$B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 t="shared" ca="1" si="86"/>
        <v/>
      </c>
      <c r="L245" s="708" t="str">
        <f t="shared" ca="1" si="87"/>
        <v/>
      </c>
      <c r="M245" s="598">
        <f>IF($F245="","",IF($C245="売",CEILING($F245*IF($C245="売",1-$AG$3,1+$AG$3),IF($F245*IF($C245="売",1-$AG$3,1+$AG$3)&lt;=3000,1,IF($F245*IF($C245="売",1-$AG$3,1+$AG$3)&lt;=5000,5,IF($F245*IF($C245="売",1-$AG$3,1+$AG$3)&lt;=30000,10,IF($F245*IF($C245="売",1-$AG$3,1+$AG$3)&lt;=50000,50,IF($F245*IF($C245="売",1-$AG$3,1+$AG$3)&lt;=300000,100,500)))))),FLOOR($F245*IF($C245="売",1-$AG$3,1+$AG$3),IF($F245*IF($C245="売",1-$AG$3,1+$AG$3)&lt;=3000,1,IF($F245*IF($C245="売",1-$AG$3,1+$AG$3)&lt;=5000,5,IF($F245*IF($C245="売",1-$AG$3,1+$AG$3)&lt;=30000,10,IF($F245*IF($C245="売",1-$AG$3,1+$AG$3)&lt;=50000,50,IF($F245*IF($C245="売",1-$AG$3,1+$AG$3)&lt;=300000,100,500))))))))</f>
      </c>
      <c r="N245" s="598">
        <f>IF($F245="","",IF($C245="売",CEILING($F245*IF($C245="売",1+$AG$2,1-$AG$2),IF($F245*IF($C245="売",1+$AG$2,1-$AG$2)&lt;=3000,1,IF($F245*IF($C245="売",1+$AG$2,1-$AG$2)&lt;=5000,5,IF($F245*IF($C245="売",1+$AG$2,1-$AG$2)&lt;=30000,10,IF($F245*IF($C245="売",1+$AG$2,1-$AG$2)&lt;=50000,50,IF($F245*IF($C245="売",1+$AG$2,1-$AG$2)&lt;=300000,100,500)))))),FLOOR($F245*IF($C245="売",1+$AG$2,1-$AG$2),IF($F245*IF($C245="売",1+$AG$2,1-$AG$2)&lt;=3000,1,IF($F245*IF($C245="売",1+$AG$2,1-$AG$2)&lt;=5000,5,IF($F245*IF($C245="売",1+$AG$2,1-$AG$2)&lt;=30000,10,IF($F245*IF($C245="売",1+$AG$2,1-$AG$2)&lt;=50000,50,IF($F245*IF($C245="売",1+$AG$2,1-$AG$2)&lt;=300000,100,500))))))))</f>
      </c>
      <c r="O245" s="478">
        <f>IF(OR($B245="",$F245="",$H245=""),"",IF($S245="✅売却済","―決済済―",IF($C245="売",  IF($H245&lt;=$M245,"🟢利確",  IF(AND($R245&lt;&gt;"",$H245&gt;=$R245),"🟠TRAIL決済",  IF($H245&gt;=$N245,"🔴損切",  IF($W245&gt;=$AG$5,"⏱時間決済",  IF($H245&gt;=$F245*(1+$AG$2*0.7),"⚠️損切接近","保持継続"))))),  IF($H245&gt;=$M245,"🟢利確",  IF(AND($R245&lt;&gt;"",$H245&lt;=$R245),"🟠TRAIL決済",  IF($H245&lt;=$N245,"🔴損切",  IF($W245&gt;=$AG$5,"⏱時間決済",  IF($H245&lt;=$F245*(1-$AG$2*0.7),"⚠️損切接近","保持継続")))))))</f>
      </c>
      <c r="P245" s="445"/>
      <c r="Q245" s="445"/>
      <c r="R245" s="480">
        <f>IF(OR($F245="",$H245="",$N245=""),"",IF($S245="✅売却済","",IF($C245="売",  IF($H245&gt;$F245*(1-$AG$2),$N245,CEILING(MIN($N245,IF($Q245="",$N245,$Q245*1.03)),IF($N245&lt;=3000,1,IF($N245&lt;=5000,5,IF($N245&lt;=30000,10,IF($N245&lt;=50000,50,IF($N245&lt;=300000,100,500))))))),  IF($H245&lt;$F245*(1+$AG$2),$N245,FLOOR(MAX($N245,IF($P245="",$N245,$P245*0.97)),IF($N245&lt;=3000,1,IF($N245&lt;=5000,5,IF($N245&lt;=30000,10,IF($N245&lt;=50000,50,IF($N245&lt;=300000,100,500))))))))))</f>
      </c>
      <c r="S245" s="480" t="str">
        <f t="shared" si="89"/>
        <v/>
      </c>
      <c r="T245" s="596" t="str">
        <f t="shared" ca="1" si="78"/>
        <v/>
      </c>
      <c r="U245" s="598" t="str">
        <f t="shared" ca="1" si="79"/>
        <v/>
      </c>
      <c r="V245" s="703" t="str">
        <f t="shared" ca="1" si="90"/>
        <v/>
      </c>
      <c r="W245" s="480" t="str">
        <f t="shared" ca="1" si="80"/>
        <v/>
      </c>
      <c r="X245" s="480" t="str">
        <f t="shared" ca="1" si="81"/>
        <v/>
      </c>
      <c r="Y245" s="488">
        <f>IF($B245="","",IF(COUNTIFS($B$4:$B245,$B245,$C$4:$C245,$C245)&gt;1,"⛔重複"&amp;COUNTIFS($B$4:$B245,$B245,$C$4:$C245,$C245)&amp;"回目",""))</f>
      </c>
      <c r="Z245" s="710"/>
      <c r="AB245">
        <f>IF($F245="","",MAX(100,ROUNDDOWN($AG$4/($F245*$AG$2)/100,0)*100))</f>
      </c>
      <c r="AC245">
        <f>IF(OR($F245="",$G245="",$U245=""),"",ROUND($V245-($F245+$U245)*$G245*$AG$6-IF($C245="売",$F245*$G245*$AG$7*$W245/365,0),0))</f>
      </c>
      <c r="AD245" s="608"/>
      <c r="AE245" s="600" t="str">
        <f t="shared" si="82"/>
        <v/>
      </c>
      <c r="AF245" s="600"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00"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00" t="str">
        <f t="shared" ca="1" si="83"/>
        <v/>
      </c>
      <c r="AI245" s="600" t="str" cm="1">
        <f t="array" ref="AI245">IFERROR(INDEX(始値!$E$6:$BT$305,MATCH(TEXT($B245,"0"),TEXT(銘柄管理!$B$6:$B$305,"0"),0),MATCH($AE245,始値!$E$3:$BT$3,0)),"")</f>
        <v/>
      </c>
      <c r="AJ245" s="608" t="str">
        <f t="shared" ca="1" si="84"/>
        <v/>
      </c>
      <c r="AK245" s="600" t="str">
        <f t="shared" ca="1" si="85"/>
        <v/>
      </c>
    </row>
    <row r="246" spans="1:37" ht="17.25" customHeight="1">
      <c r="A246" s="621" t="str">
        <f t="shared" si="74"/>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BT$3,0)=1,1,MATCH($E246,始値!$E$3:$BT$3,0)+1)),_xlpm.v,INDEX(始値!$C$6:$B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 t="shared" ca="1" si="86"/>
        <v/>
      </c>
      <c r="L246" s="708" t="str">
        <f t="shared" ca="1" si="87"/>
        <v/>
      </c>
      <c r="M246" s="598">
        <f>IF($F246="","",IF($C246="売",CEILING($F246*IF($C246="売",1-$AG$3,1+$AG$3),IF($F246*IF($C246="売",1-$AG$3,1+$AG$3)&lt;=3000,1,IF($F246*IF($C246="売",1-$AG$3,1+$AG$3)&lt;=5000,5,IF($F246*IF($C246="売",1-$AG$3,1+$AG$3)&lt;=30000,10,IF($F246*IF($C246="売",1-$AG$3,1+$AG$3)&lt;=50000,50,IF($F246*IF($C246="売",1-$AG$3,1+$AG$3)&lt;=300000,100,500)))))),FLOOR($F246*IF($C246="売",1-$AG$3,1+$AG$3),IF($F246*IF($C246="売",1-$AG$3,1+$AG$3)&lt;=3000,1,IF($F246*IF($C246="売",1-$AG$3,1+$AG$3)&lt;=5000,5,IF($F246*IF($C246="売",1-$AG$3,1+$AG$3)&lt;=30000,10,IF($F246*IF($C246="売",1-$AG$3,1+$AG$3)&lt;=50000,50,IF($F246*IF($C246="売",1-$AG$3,1+$AG$3)&lt;=300000,100,500))))))))</f>
      </c>
      <c r="N246" s="598">
        <f>IF($F246="","",IF($C246="売",CEILING($F246*IF($C246="売",1+$AG$2,1-$AG$2),IF($F246*IF($C246="売",1+$AG$2,1-$AG$2)&lt;=3000,1,IF($F246*IF($C246="売",1+$AG$2,1-$AG$2)&lt;=5000,5,IF($F246*IF($C246="売",1+$AG$2,1-$AG$2)&lt;=30000,10,IF($F246*IF($C246="売",1+$AG$2,1-$AG$2)&lt;=50000,50,IF($F246*IF($C246="売",1+$AG$2,1-$AG$2)&lt;=300000,100,500)))))),FLOOR($F246*IF($C246="売",1+$AG$2,1-$AG$2),IF($F246*IF($C246="売",1+$AG$2,1-$AG$2)&lt;=3000,1,IF($F246*IF($C246="売",1+$AG$2,1-$AG$2)&lt;=5000,5,IF($F246*IF($C246="売",1+$AG$2,1-$AG$2)&lt;=30000,10,IF($F246*IF($C246="売",1+$AG$2,1-$AG$2)&lt;=50000,50,IF($F246*IF($C246="売",1+$AG$2,1-$AG$2)&lt;=300000,100,500))))))))</f>
      </c>
      <c r="O246" s="478">
        <f>IF(OR($B246="",$F246="",$H246=""),"",IF($S246="✅売却済","―決済済―",IF($C246="売",  IF($H246&lt;=$M246,"🟢利確",  IF(AND($R246&lt;&gt;"",$H246&gt;=$R246),"🟠TRAIL決済",  IF($H246&gt;=$N246,"🔴損切",  IF($W246&gt;=$AG$5,"⏱時間決済",  IF($H246&gt;=$F246*(1+$AG$2*0.7),"⚠️損切接近","保持継続"))))),  IF($H246&gt;=$M246,"🟢利確",  IF(AND($R246&lt;&gt;"",$H246&lt;=$R246),"🟠TRAIL決済",  IF($H246&lt;=$N246,"🔴損切",  IF($W246&gt;=$AG$5,"⏱時間決済",  IF($H246&lt;=$F246*(1-$AG$2*0.7),"⚠️損切接近","保持継続")))))))</f>
      </c>
      <c r="P246" s="445"/>
      <c r="Q246" s="445"/>
      <c r="R246" s="480">
        <f>IF(OR($F246="",$H246="",$N246=""),"",IF($S246="✅売却済","",IF($C246="売",  IF($H246&gt;$F246*(1-$AG$2),$N246,CEILING(MIN($N246,IF($Q246="",$N246,$Q246*1.03)),IF($N246&lt;=3000,1,IF($N246&lt;=5000,5,IF($N246&lt;=30000,10,IF($N246&lt;=50000,50,IF($N246&lt;=300000,100,500))))))),  IF($H246&lt;$F246*(1+$AG$2),$N246,FLOOR(MAX($N246,IF($P246="",$N246,$P246*0.97)),IF($N246&lt;=3000,1,IF($N246&lt;=5000,5,IF($N246&lt;=30000,10,IF($N246&lt;=50000,50,IF($N246&lt;=300000,100,500))))))))))</f>
      </c>
      <c r="S246" s="480" t="str">
        <f t="shared" si="89"/>
        <v/>
      </c>
      <c r="T246" s="596" t="str">
        <f t="shared" ca="1" si="78"/>
        <v/>
      </c>
      <c r="U246" s="598" t="str">
        <f t="shared" ca="1" si="79"/>
        <v/>
      </c>
      <c r="V246" s="703" t="str">
        <f t="shared" ca="1" si="90"/>
        <v/>
      </c>
      <c r="W246" s="480" t="str">
        <f t="shared" ca="1" si="80"/>
        <v/>
      </c>
      <c r="X246" s="480" t="str">
        <f t="shared" ca="1" si="81"/>
        <v/>
      </c>
      <c r="Y246" s="488">
        <f>IF($B246="","",IF(COUNTIFS($B$4:$B246,$B246,$C$4:$C246,$C246)&gt;1,"⛔重複"&amp;COUNTIFS($B$4:$B246,$B246,$C$4:$C246,$C246)&amp;"回目",""))</f>
      </c>
      <c r="Z246" s="710"/>
      <c r="AB246">
        <f>IF($F246="","",MAX(100,ROUNDDOWN($AG$4/($F246*$AG$2)/100,0)*100))</f>
      </c>
      <c r="AC246">
        <f>IF(OR($F246="",$G246="",$U246=""),"",ROUND($V246-($F246+$U246)*$G246*$AG$6-IF($C246="売",$F246*$G246*$AG$7*$W246/365,0),0))</f>
      </c>
      <c r="AD246" s="608"/>
      <c r="AE246" s="600" t="str">
        <f t="shared" si="82"/>
        <v/>
      </c>
      <c r="AF246" s="600"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00"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00" t="str">
        <f t="shared" ca="1" si="83"/>
        <v/>
      </c>
      <c r="AI246" s="600" t="str" cm="1">
        <f t="array" ref="AI246">IFERROR(INDEX(始値!$E$6:$BT$305,MATCH(TEXT($B246,"0"),TEXT(銘柄管理!$B$6:$B$305,"0"),0),MATCH($AE246,始値!$E$3:$BT$3,0)),"")</f>
        <v/>
      </c>
      <c r="AJ246" s="608" t="str">
        <f t="shared" ca="1" si="84"/>
        <v/>
      </c>
      <c r="AK246" s="600" t="str">
        <f t="shared" ca="1" si="85"/>
        <v/>
      </c>
    </row>
    <row r="247" spans="1:37" ht="17.25" customHeight="1">
      <c r="A247" s="621" t="str">
        <f t="shared" si="74"/>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BT$3,0)=1,1,MATCH($E247,始値!$E$3:$BT$3,0)+1)),_xlpm.v,INDEX(始値!$C$6:$B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 t="shared" ca="1" si="86"/>
        <v/>
      </c>
      <c r="L247" s="708" t="str">
        <f t="shared" ca="1" si="87"/>
        <v/>
      </c>
      <c r="M247" s="598">
        <f>IF($F247="","",IF($C247="売",CEILING($F247*IF($C247="売",1-$AG$3,1+$AG$3),IF($F247*IF($C247="売",1-$AG$3,1+$AG$3)&lt;=3000,1,IF($F247*IF($C247="売",1-$AG$3,1+$AG$3)&lt;=5000,5,IF($F247*IF($C247="売",1-$AG$3,1+$AG$3)&lt;=30000,10,IF($F247*IF($C247="売",1-$AG$3,1+$AG$3)&lt;=50000,50,IF($F247*IF($C247="売",1-$AG$3,1+$AG$3)&lt;=300000,100,500)))))),FLOOR($F247*IF($C247="売",1-$AG$3,1+$AG$3),IF($F247*IF($C247="売",1-$AG$3,1+$AG$3)&lt;=3000,1,IF($F247*IF($C247="売",1-$AG$3,1+$AG$3)&lt;=5000,5,IF($F247*IF($C247="売",1-$AG$3,1+$AG$3)&lt;=30000,10,IF($F247*IF($C247="売",1-$AG$3,1+$AG$3)&lt;=50000,50,IF($F247*IF($C247="売",1-$AG$3,1+$AG$3)&lt;=300000,100,500))))))))</f>
      </c>
      <c r="N247" s="598">
        <f>IF($F247="","",IF($C247="売",CEILING($F247*IF($C247="売",1+$AG$2,1-$AG$2),IF($F247*IF($C247="売",1+$AG$2,1-$AG$2)&lt;=3000,1,IF($F247*IF($C247="売",1+$AG$2,1-$AG$2)&lt;=5000,5,IF($F247*IF($C247="売",1+$AG$2,1-$AG$2)&lt;=30000,10,IF($F247*IF($C247="売",1+$AG$2,1-$AG$2)&lt;=50000,50,IF($F247*IF($C247="売",1+$AG$2,1-$AG$2)&lt;=300000,100,500)))))),FLOOR($F247*IF($C247="売",1+$AG$2,1-$AG$2),IF($F247*IF($C247="売",1+$AG$2,1-$AG$2)&lt;=3000,1,IF($F247*IF($C247="売",1+$AG$2,1-$AG$2)&lt;=5000,5,IF($F247*IF($C247="売",1+$AG$2,1-$AG$2)&lt;=30000,10,IF($F247*IF($C247="売",1+$AG$2,1-$AG$2)&lt;=50000,50,IF($F247*IF($C247="売",1+$AG$2,1-$AG$2)&lt;=300000,100,500))))))))</f>
      </c>
      <c r="O247" s="478">
        <f>IF(OR($B247="",$F247="",$H247=""),"",IF($S247="✅売却済","―決済済―",IF($C247="売",  IF($H247&lt;=$M247,"🟢利確",  IF(AND($R247&lt;&gt;"",$H247&gt;=$R247),"🟠TRAIL決済",  IF($H247&gt;=$N247,"🔴損切",  IF($W247&gt;=$AG$5,"⏱時間決済",  IF($H247&gt;=$F247*(1+$AG$2*0.7),"⚠️損切接近","保持継続"))))),  IF($H247&gt;=$M247,"🟢利確",  IF(AND($R247&lt;&gt;"",$H247&lt;=$R247),"🟠TRAIL決済",  IF($H247&lt;=$N247,"🔴損切",  IF($W247&gt;=$AG$5,"⏱時間決済",  IF($H247&lt;=$F247*(1-$AG$2*0.7),"⚠️損切接近","保持継続")))))))</f>
      </c>
      <c r="P247" s="445"/>
      <c r="Q247" s="445"/>
      <c r="R247" s="480">
        <f>IF(OR($F247="",$H247="",$N247=""),"",IF($S247="✅売却済","",IF($C247="売",  IF($H247&gt;$F247*(1-$AG$2),$N247,CEILING(MIN($N247,IF($Q247="",$N247,$Q247*1.03)),IF($N247&lt;=3000,1,IF($N247&lt;=5000,5,IF($N247&lt;=30000,10,IF($N247&lt;=50000,50,IF($N247&lt;=300000,100,500))))))),  IF($H247&lt;$F247*(1+$AG$2),$N247,FLOOR(MAX($N247,IF($P247="",$N247,$P247*0.97)),IF($N247&lt;=3000,1,IF($N247&lt;=5000,5,IF($N247&lt;=30000,10,IF($N247&lt;=50000,50,IF($N247&lt;=300000,100,500))))))))))</f>
      </c>
      <c r="S247" s="480" t="str">
        <f t="shared" si="89"/>
        <v/>
      </c>
      <c r="T247" s="596" t="str">
        <f t="shared" ca="1" si="78"/>
        <v/>
      </c>
      <c r="U247" s="598" t="str">
        <f t="shared" ca="1" si="79"/>
        <v/>
      </c>
      <c r="V247" s="703" t="str">
        <f t="shared" ca="1" si="90"/>
        <v/>
      </c>
      <c r="W247" s="480" t="str">
        <f t="shared" ca="1" si="80"/>
        <v/>
      </c>
      <c r="X247" s="480" t="str">
        <f t="shared" ca="1" si="81"/>
        <v/>
      </c>
      <c r="Y247" s="488">
        <f>IF($B247="","",IF(COUNTIFS($B$4:$B247,$B247,$C$4:$C247,$C247)&gt;1,"⛔重複"&amp;COUNTIFS($B$4:$B247,$B247,$C$4:$C247,$C247)&amp;"回目",""))</f>
      </c>
      <c r="Z247" s="710"/>
      <c r="AB247">
        <f>IF($F247="","",MAX(100,ROUNDDOWN($AG$4/($F247*$AG$2)/100,0)*100))</f>
      </c>
      <c r="AC247">
        <f>IF(OR($F247="",$G247="",$U247=""),"",ROUND($V247-($F247+$U247)*$G247*$AG$6-IF($C247="売",$F247*$G247*$AG$7*$W247/365,0),0))</f>
      </c>
      <c r="AD247" s="608"/>
      <c r="AE247" s="600" t="str">
        <f t="shared" si="82"/>
        <v/>
      </c>
      <c r="AF247" s="600"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00"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00" t="str">
        <f t="shared" ca="1" si="83"/>
        <v/>
      </c>
      <c r="AI247" s="600" t="str" cm="1">
        <f t="array" ref="AI247">IFERROR(INDEX(始値!$E$6:$BT$305,MATCH(TEXT($B247,"0"),TEXT(銘柄管理!$B$6:$B$305,"0"),0),MATCH($AE247,始値!$E$3:$BT$3,0)),"")</f>
        <v/>
      </c>
      <c r="AJ247" s="608" t="str">
        <f t="shared" ca="1" si="84"/>
        <v/>
      </c>
      <c r="AK247" s="600" t="str">
        <f t="shared" ca="1" si="85"/>
        <v/>
      </c>
    </row>
    <row r="248" spans="1:37" ht="17.25" customHeight="1">
      <c r="A248" s="621" t="str">
        <f t="shared" si="74"/>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BT$3,0)=1,1,MATCH($E248,始値!$E$3:$BT$3,0)+1)),_xlpm.v,INDEX(始値!$C$6:$B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 t="shared" ca="1" si="86"/>
        <v/>
      </c>
      <c r="L248" s="708" t="str">
        <f t="shared" ca="1" si="87"/>
        <v/>
      </c>
      <c r="M248" s="598">
        <f>IF($F248="","",IF($C248="売",CEILING($F248*IF($C248="売",1-$AG$3,1+$AG$3),IF($F248*IF($C248="売",1-$AG$3,1+$AG$3)&lt;=3000,1,IF($F248*IF($C248="売",1-$AG$3,1+$AG$3)&lt;=5000,5,IF($F248*IF($C248="売",1-$AG$3,1+$AG$3)&lt;=30000,10,IF($F248*IF($C248="売",1-$AG$3,1+$AG$3)&lt;=50000,50,IF($F248*IF($C248="売",1-$AG$3,1+$AG$3)&lt;=300000,100,500)))))),FLOOR($F248*IF($C248="売",1-$AG$3,1+$AG$3),IF($F248*IF($C248="売",1-$AG$3,1+$AG$3)&lt;=3000,1,IF($F248*IF($C248="売",1-$AG$3,1+$AG$3)&lt;=5000,5,IF($F248*IF($C248="売",1-$AG$3,1+$AG$3)&lt;=30000,10,IF($F248*IF($C248="売",1-$AG$3,1+$AG$3)&lt;=50000,50,IF($F248*IF($C248="売",1-$AG$3,1+$AG$3)&lt;=300000,100,500))))))))</f>
      </c>
      <c r="N248" s="598">
        <f>IF($F248="","",IF($C248="売",CEILING($F248*IF($C248="売",1+$AG$2,1-$AG$2),IF($F248*IF($C248="売",1+$AG$2,1-$AG$2)&lt;=3000,1,IF($F248*IF($C248="売",1+$AG$2,1-$AG$2)&lt;=5000,5,IF($F248*IF($C248="売",1+$AG$2,1-$AG$2)&lt;=30000,10,IF($F248*IF($C248="売",1+$AG$2,1-$AG$2)&lt;=50000,50,IF($F248*IF($C248="売",1+$AG$2,1-$AG$2)&lt;=300000,100,500)))))),FLOOR($F248*IF($C248="売",1+$AG$2,1-$AG$2),IF($F248*IF($C248="売",1+$AG$2,1-$AG$2)&lt;=3000,1,IF($F248*IF($C248="売",1+$AG$2,1-$AG$2)&lt;=5000,5,IF($F248*IF($C248="売",1+$AG$2,1-$AG$2)&lt;=30000,10,IF($F248*IF($C248="売",1+$AG$2,1-$AG$2)&lt;=50000,50,IF($F248*IF($C248="売",1+$AG$2,1-$AG$2)&lt;=300000,100,500))))))))</f>
      </c>
      <c r="O248" s="478">
        <f>IF(OR($B248="",$F248="",$H248=""),"",IF($S248="✅売却済","―決済済―",IF($C248="売",  IF($H248&lt;=$M248,"🟢利確",  IF(AND($R248&lt;&gt;"",$H248&gt;=$R248),"🟠TRAIL決済",  IF($H248&gt;=$N248,"🔴損切",  IF($W248&gt;=$AG$5,"⏱時間決済",  IF($H248&gt;=$F248*(1+$AG$2*0.7),"⚠️損切接近","保持継続"))))),  IF($H248&gt;=$M248,"🟢利確",  IF(AND($R248&lt;&gt;"",$H248&lt;=$R248),"🟠TRAIL決済",  IF($H248&lt;=$N248,"🔴損切",  IF($W248&gt;=$AG$5,"⏱時間決済",  IF($H248&lt;=$F248*(1-$AG$2*0.7),"⚠️損切接近","保持継続")))))))</f>
      </c>
      <c r="P248" s="445"/>
      <c r="Q248" s="445"/>
      <c r="R248" s="480">
        <f>IF(OR($F248="",$H248="",$N248=""),"",IF($S248="✅売却済","",IF($C248="売",  IF($H248&gt;$F248*(1-$AG$2),$N248,CEILING(MIN($N248,IF($Q248="",$N248,$Q248*1.03)),IF($N248&lt;=3000,1,IF($N248&lt;=5000,5,IF($N248&lt;=30000,10,IF($N248&lt;=50000,50,IF($N248&lt;=300000,100,500))))))),  IF($H248&lt;$F248*(1+$AG$2),$N248,FLOOR(MAX($N248,IF($P248="",$N248,$P248*0.97)),IF($N248&lt;=3000,1,IF($N248&lt;=5000,5,IF($N248&lt;=30000,10,IF($N248&lt;=50000,50,IF($N248&lt;=300000,100,500))))))))))</f>
      </c>
      <c r="S248" s="480" t="str">
        <f t="shared" si="89"/>
        <v/>
      </c>
      <c r="T248" s="596" t="str">
        <f t="shared" ca="1" si="78"/>
        <v/>
      </c>
      <c r="U248" s="598" t="str">
        <f t="shared" ca="1" si="79"/>
        <v/>
      </c>
      <c r="V248" s="703" t="str">
        <f t="shared" ca="1" si="90"/>
        <v/>
      </c>
      <c r="W248" s="480" t="str">
        <f t="shared" ca="1" si="80"/>
        <v/>
      </c>
      <c r="X248" s="480" t="str">
        <f t="shared" ca="1" si="81"/>
        <v/>
      </c>
      <c r="Y248" s="488">
        <f>IF($B248="","",IF(COUNTIFS($B$4:$B248,$B248,$C$4:$C248,$C248)&gt;1,"⛔重複"&amp;COUNTIFS($B$4:$B248,$B248,$C$4:$C248,$C248)&amp;"回目",""))</f>
      </c>
      <c r="Z248" s="710"/>
      <c r="AB248">
        <f>IF($F248="","",MAX(100,ROUNDDOWN($AG$4/($F248*$AG$2)/100,0)*100))</f>
      </c>
      <c r="AC248">
        <f>IF(OR($F248="",$G248="",$U248=""),"",ROUND($V248-($F248+$U248)*$G248*$AG$6-IF($C248="売",$F248*$G248*$AG$7*$W248/365,0),0))</f>
      </c>
      <c r="AD248" s="608"/>
      <c r="AE248" s="600" t="str">
        <f t="shared" si="82"/>
        <v/>
      </c>
      <c r="AF248" s="600"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00"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00" t="str">
        <f t="shared" ca="1" si="83"/>
        <v/>
      </c>
      <c r="AI248" s="600" t="str" cm="1">
        <f t="array" ref="AI248">IFERROR(INDEX(始値!$E$6:$BT$305,MATCH(TEXT($B248,"0"),TEXT(銘柄管理!$B$6:$B$305,"0"),0),MATCH($AE248,始値!$E$3:$BT$3,0)),"")</f>
        <v/>
      </c>
      <c r="AJ248" s="608" t="str">
        <f t="shared" ca="1" si="84"/>
        <v/>
      </c>
      <c r="AK248" s="600" t="str">
        <f t="shared" ca="1" si="85"/>
        <v/>
      </c>
    </row>
    <row r="249" spans="1:37" ht="17.25" customHeight="1">
      <c r="A249" s="621" t="str">
        <f t="shared" si="74"/>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BT$3,0)=1,1,MATCH($E249,始値!$E$3:$BT$3,0)+1)),_xlpm.v,INDEX(始値!$C$6:$B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 t="shared" ca="1" si="86"/>
        <v/>
      </c>
      <c r="L249" s="708" t="str">
        <f t="shared" ca="1" si="87"/>
        <v/>
      </c>
      <c r="M249" s="598">
        <f>IF($F249="","",IF($C249="売",CEILING($F249*IF($C249="売",1-$AG$3,1+$AG$3),IF($F249*IF($C249="売",1-$AG$3,1+$AG$3)&lt;=3000,1,IF($F249*IF($C249="売",1-$AG$3,1+$AG$3)&lt;=5000,5,IF($F249*IF($C249="売",1-$AG$3,1+$AG$3)&lt;=30000,10,IF($F249*IF($C249="売",1-$AG$3,1+$AG$3)&lt;=50000,50,IF($F249*IF($C249="売",1-$AG$3,1+$AG$3)&lt;=300000,100,500)))))),FLOOR($F249*IF($C249="売",1-$AG$3,1+$AG$3),IF($F249*IF($C249="売",1-$AG$3,1+$AG$3)&lt;=3000,1,IF($F249*IF($C249="売",1-$AG$3,1+$AG$3)&lt;=5000,5,IF($F249*IF($C249="売",1-$AG$3,1+$AG$3)&lt;=30000,10,IF($F249*IF($C249="売",1-$AG$3,1+$AG$3)&lt;=50000,50,IF($F249*IF($C249="売",1-$AG$3,1+$AG$3)&lt;=300000,100,500))))))))</f>
      </c>
      <c r="N249" s="598">
        <f>IF($F249="","",IF($C249="売",CEILING($F249*IF($C249="売",1+$AG$2,1-$AG$2),IF($F249*IF($C249="売",1+$AG$2,1-$AG$2)&lt;=3000,1,IF($F249*IF($C249="売",1+$AG$2,1-$AG$2)&lt;=5000,5,IF($F249*IF($C249="売",1+$AG$2,1-$AG$2)&lt;=30000,10,IF($F249*IF($C249="売",1+$AG$2,1-$AG$2)&lt;=50000,50,IF($F249*IF($C249="売",1+$AG$2,1-$AG$2)&lt;=300000,100,500)))))),FLOOR($F249*IF($C249="売",1+$AG$2,1-$AG$2),IF($F249*IF($C249="売",1+$AG$2,1-$AG$2)&lt;=3000,1,IF($F249*IF($C249="売",1+$AG$2,1-$AG$2)&lt;=5000,5,IF($F249*IF($C249="売",1+$AG$2,1-$AG$2)&lt;=30000,10,IF($F249*IF($C249="売",1+$AG$2,1-$AG$2)&lt;=50000,50,IF($F249*IF($C249="売",1+$AG$2,1-$AG$2)&lt;=300000,100,500))))))))</f>
      </c>
      <c r="O249" s="478">
        <f>IF(OR($B249="",$F249="",$H249=""),"",IF($S249="✅売却済","―決済済―",IF($C249="売",  IF($H249&lt;=$M249,"🟢利確",  IF(AND($R249&lt;&gt;"",$H249&gt;=$R249),"🟠TRAIL決済",  IF($H249&gt;=$N249,"🔴損切",  IF($W249&gt;=$AG$5,"⏱時間決済",  IF($H249&gt;=$F249*(1+$AG$2*0.7),"⚠️損切接近","保持継続"))))),  IF($H249&gt;=$M249,"🟢利確",  IF(AND($R249&lt;&gt;"",$H249&lt;=$R249),"🟠TRAIL決済",  IF($H249&lt;=$N249,"🔴損切",  IF($W249&gt;=$AG$5,"⏱時間決済",  IF($H249&lt;=$F249*(1-$AG$2*0.7),"⚠️損切接近","保持継続")))))))</f>
      </c>
      <c r="P249" s="445"/>
      <c r="Q249" s="445"/>
      <c r="R249" s="480">
        <f>IF(OR($F249="",$H249="",$N249=""),"",IF($S249="✅売却済","",IF($C249="売",  IF($H249&gt;$F249*(1-$AG$2),$N249,CEILING(MIN($N249,IF($Q249="",$N249,$Q249*1.03)),IF($N249&lt;=3000,1,IF($N249&lt;=5000,5,IF($N249&lt;=30000,10,IF($N249&lt;=50000,50,IF($N249&lt;=300000,100,500))))))),  IF($H249&lt;$F249*(1+$AG$2),$N249,FLOOR(MAX($N249,IF($P249="",$N249,$P249*0.97)),IF($N249&lt;=3000,1,IF($N249&lt;=5000,5,IF($N249&lt;=30000,10,IF($N249&lt;=50000,50,IF($N249&lt;=300000,100,500))))))))))</f>
      </c>
      <c r="S249" s="480" t="str">
        <f t="shared" si="89"/>
        <v/>
      </c>
      <c r="T249" s="596" t="str">
        <f t="shared" ca="1" si="78"/>
        <v/>
      </c>
      <c r="U249" s="598" t="str">
        <f t="shared" ca="1" si="79"/>
        <v/>
      </c>
      <c r="V249" s="703" t="str">
        <f t="shared" ca="1" si="90"/>
        <v/>
      </c>
      <c r="W249" s="480" t="str">
        <f t="shared" ca="1" si="80"/>
        <v/>
      </c>
      <c r="X249" s="480" t="str">
        <f t="shared" ca="1" si="81"/>
        <v/>
      </c>
      <c r="Y249" s="488">
        <f>IF($B249="","",IF(COUNTIFS($B$4:$B249,$B249,$C$4:$C249,$C249)&gt;1,"⛔重複"&amp;COUNTIFS($B$4:$B249,$B249,$C$4:$C249,$C249)&amp;"回目",""))</f>
      </c>
      <c r="Z249" s="710"/>
      <c r="AB249">
        <f>IF($F249="","",MAX(100,ROUNDDOWN($AG$4/($F249*$AG$2)/100,0)*100))</f>
      </c>
      <c r="AC249">
        <f>IF(OR($F249="",$G249="",$U249=""),"",ROUND($V249-($F249+$U249)*$G249*$AG$6-IF($C249="売",$F249*$G249*$AG$7*$W249/365,0),0))</f>
      </c>
      <c r="AD249" s="608"/>
      <c r="AE249" s="600" t="str">
        <f t="shared" si="82"/>
        <v/>
      </c>
      <c r="AF249" s="600"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00"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00" t="str">
        <f t="shared" ca="1" si="83"/>
        <v/>
      </c>
      <c r="AI249" s="600" t="str" cm="1">
        <f t="array" ref="AI249">IFERROR(INDEX(始値!$E$6:$BT$305,MATCH(TEXT($B249,"0"),TEXT(銘柄管理!$B$6:$B$305,"0"),0),MATCH($AE249,始値!$E$3:$BT$3,0)),"")</f>
        <v/>
      </c>
      <c r="AJ249" s="608" t="str">
        <f t="shared" ca="1" si="84"/>
        <v/>
      </c>
      <c r="AK249" s="600" t="str">
        <f t="shared" ca="1" si="85"/>
        <v/>
      </c>
    </row>
    <row r="250" spans="1:37" ht="17.25" customHeight="1">
      <c r="A250" s="621" t="str">
        <f t="shared" si="74"/>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BT$3,0)=1,1,MATCH($E250,始値!$E$3:$BT$3,0)+1)),_xlpm.v,INDEX(始値!$C$6:$B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 t="shared" ca="1" si="86"/>
        <v/>
      </c>
      <c r="L250" s="708" t="str">
        <f t="shared" ca="1" si="87"/>
        <v/>
      </c>
      <c r="M250" s="598">
        <f>IF($F250="","",IF($C250="売",CEILING($F250*IF($C250="売",1-$AG$3,1+$AG$3),IF($F250*IF($C250="売",1-$AG$3,1+$AG$3)&lt;=3000,1,IF($F250*IF($C250="売",1-$AG$3,1+$AG$3)&lt;=5000,5,IF($F250*IF($C250="売",1-$AG$3,1+$AG$3)&lt;=30000,10,IF($F250*IF($C250="売",1-$AG$3,1+$AG$3)&lt;=50000,50,IF($F250*IF($C250="売",1-$AG$3,1+$AG$3)&lt;=300000,100,500)))))),FLOOR($F250*IF($C250="売",1-$AG$3,1+$AG$3),IF($F250*IF($C250="売",1-$AG$3,1+$AG$3)&lt;=3000,1,IF($F250*IF($C250="売",1-$AG$3,1+$AG$3)&lt;=5000,5,IF($F250*IF($C250="売",1-$AG$3,1+$AG$3)&lt;=30000,10,IF($F250*IF($C250="売",1-$AG$3,1+$AG$3)&lt;=50000,50,IF($F250*IF($C250="売",1-$AG$3,1+$AG$3)&lt;=300000,100,500))))))))</f>
      </c>
      <c r="N250" s="598">
        <f>IF($F250="","",IF($C250="売",CEILING($F250*IF($C250="売",1+$AG$2,1-$AG$2),IF($F250*IF($C250="売",1+$AG$2,1-$AG$2)&lt;=3000,1,IF($F250*IF($C250="売",1+$AG$2,1-$AG$2)&lt;=5000,5,IF($F250*IF($C250="売",1+$AG$2,1-$AG$2)&lt;=30000,10,IF($F250*IF($C250="売",1+$AG$2,1-$AG$2)&lt;=50000,50,IF($F250*IF($C250="売",1+$AG$2,1-$AG$2)&lt;=300000,100,500)))))),FLOOR($F250*IF($C250="売",1+$AG$2,1-$AG$2),IF($F250*IF($C250="売",1+$AG$2,1-$AG$2)&lt;=3000,1,IF($F250*IF($C250="売",1+$AG$2,1-$AG$2)&lt;=5000,5,IF($F250*IF($C250="売",1+$AG$2,1-$AG$2)&lt;=30000,10,IF($F250*IF($C250="売",1+$AG$2,1-$AG$2)&lt;=50000,50,IF($F250*IF($C250="売",1+$AG$2,1-$AG$2)&lt;=300000,100,500))))))))</f>
      </c>
      <c r="O250" s="478">
        <f>IF(OR($B250="",$F250="",$H250=""),"",IF($S250="✅売却済","―決済済―",IF($C250="売",  IF($H250&lt;=$M250,"🟢利確",  IF(AND($R250&lt;&gt;"",$H250&gt;=$R250),"🟠TRAIL決済",  IF($H250&gt;=$N250,"🔴損切",  IF($W250&gt;=$AG$5,"⏱時間決済",  IF($H250&gt;=$F250*(1+$AG$2*0.7),"⚠️損切接近","保持継続"))))),  IF($H250&gt;=$M250,"🟢利確",  IF(AND($R250&lt;&gt;"",$H250&lt;=$R250),"🟠TRAIL決済",  IF($H250&lt;=$N250,"🔴損切",  IF($W250&gt;=$AG$5,"⏱時間決済",  IF($H250&lt;=$F250*(1-$AG$2*0.7),"⚠️損切接近","保持継続")))))))</f>
      </c>
      <c r="P250" s="445"/>
      <c r="Q250" s="445"/>
      <c r="R250" s="480">
        <f>IF(OR($F250="",$H250="",$N250=""),"",IF($S250="✅売却済","",IF($C250="売",  IF($H250&gt;$F250*(1-$AG$2),$N250,CEILING(MIN($N250,IF($Q250="",$N250,$Q250*1.03)),IF($N250&lt;=3000,1,IF($N250&lt;=5000,5,IF($N250&lt;=30000,10,IF($N250&lt;=50000,50,IF($N250&lt;=300000,100,500))))))),  IF($H250&lt;$F250*(1+$AG$2),$N250,FLOOR(MAX($N250,IF($P250="",$N250,$P250*0.97)),IF($N250&lt;=3000,1,IF($N250&lt;=5000,5,IF($N250&lt;=30000,10,IF($N250&lt;=50000,50,IF($N250&lt;=300000,100,500))))))))))</f>
      </c>
      <c r="S250" s="480" t="str">
        <f t="shared" si="89"/>
        <v/>
      </c>
      <c r="T250" s="596" t="str">
        <f t="shared" ca="1" si="78"/>
        <v/>
      </c>
      <c r="U250" s="598" t="str">
        <f t="shared" ca="1" si="79"/>
        <v/>
      </c>
      <c r="V250" s="703" t="str">
        <f t="shared" ca="1" si="90"/>
        <v/>
      </c>
      <c r="W250" s="480" t="str">
        <f t="shared" ca="1" si="80"/>
        <v/>
      </c>
      <c r="X250" s="480" t="str">
        <f t="shared" ca="1" si="81"/>
        <v/>
      </c>
      <c r="Y250" s="488">
        <f>IF($B250="","",IF(COUNTIFS($B$4:$B250,$B250,$C$4:$C250,$C250)&gt;1,"⛔重複"&amp;COUNTIFS($B$4:$B250,$B250,$C$4:$C250,$C250)&amp;"回目",""))</f>
      </c>
      <c r="Z250" s="710"/>
      <c r="AB250">
        <f>IF($F250="","",MAX(100,ROUNDDOWN($AG$4/($F250*$AG$2)/100,0)*100))</f>
      </c>
      <c r="AC250">
        <f>IF(OR($F250="",$G250="",$U250=""),"",ROUND($V250-($F250+$U250)*$G250*$AG$6-IF($C250="売",$F250*$G250*$AG$7*$W250/365,0),0))</f>
      </c>
      <c r="AD250" s="608"/>
      <c r="AE250" s="600" t="str">
        <f t="shared" si="82"/>
        <v/>
      </c>
      <c r="AF250" s="600"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00"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00" t="str">
        <f t="shared" ca="1" si="83"/>
        <v/>
      </c>
      <c r="AI250" s="600" t="str" cm="1">
        <f t="array" ref="AI250">IFERROR(INDEX(始値!$E$6:$BT$305,MATCH(TEXT($B250,"0"),TEXT(銘柄管理!$B$6:$B$305,"0"),0),MATCH($AE250,始値!$E$3:$BT$3,0)),"")</f>
        <v/>
      </c>
      <c r="AJ250" s="608" t="str">
        <f t="shared" ca="1" si="84"/>
        <v/>
      </c>
      <c r="AK250" s="600" t="str">
        <f t="shared" ca="1" si="85"/>
        <v/>
      </c>
    </row>
    <row r="251" spans="1:37" ht="17.25" customHeight="1">
      <c r="A251" s="621" t="str">
        <f t="shared" si="74"/>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BT$3,0)=1,1,MATCH($E251,始値!$E$3:$BT$3,0)+1)),_xlpm.v,INDEX(始値!$C$6:$B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 t="shared" ca="1" si="86"/>
        <v/>
      </c>
      <c r="L251" s="708" t="str">
        <f t="shared" ca="1" si="87"/>
        <v/>
      </c>
      <c r="M251" s="598">
        <f>IF($F251="","",IF($C251="売",CEILING($F251*IF($C251="売",1-$AG$3,1+$AG$3),IF($F251*IF($C251="売",1-$AG$3,1+$AG$3)&lt;=3000,1,IF($F251*IF($C251="売",1-$AG$3,1+$AG$3)&lt;=5000,5,IF($F251*IF($C251="売",1-$AG$3,1+$AG$3)&lt;=30000,10,IF($F251*IF($C251="売",1-$AG$3,1+$AG$3)&lt;=50000,50,IF($F251*IF($C251="売",1-$AG$3,1+$AG$3)&lt;=300000,100,500)))))),FLOOR($F251*IF($C251="売",1-$AG$3,1+$AG$3),IF($F251*IF($C251="売",1-$AG$3,1+$AG$3)&lt;=3000,1,IF($F251*IF($C251="売",1-$AG$3,1+$AG$3)&lt;=5000,5,IF($F251*IF($C251="売",1-$AG$3,1+$AG$3)&lt;=30000,10,IF($F251*IF($C251="売",1-$AG$3,1+$AG$3)&lt;=50000,50,IF($F251*IF($C251="売",1-$AG$3,1+$AG$3)&lt;=300000,100,500))))))))</f>
      </c>
      <c r="N251" s="598">
        <f>IF($F251="","",IF($C251="売",CEILING($F251*IF($C251="売",1+$AG$2,1-$AG$2),IF($F251*IF($C251="売",1+$AG$2,1-$AG$2)&lt;=3000,1,IF($F251*IF($C251="売",1+$AG$2,1-$AG$2)&lt;=5000,5,IF($F251*IF($C251="売",1+$AG$2,1-$AG$2)&lt;=30000,10,IF($F251*IF($C251="売",1+$AG$2,1-$AG$2)&lt;=50000,50,IF($F251*IF($C251="売",1+$AG$2,1-$AG$2)&lt;=300000,100,500)))))),FLOOR($F251*IF($C251="売",1+$AG$2,1-$AG$2),IF($F251*IF($C251="売",1+$AG$2,1-$AG$2)&lt;=3000,1,IF($F251*IF($C251="売",1+$AG$2,1-$AG$2)&lt;=5000,5,IF($F251*IF($C251="売",1+$AG$2,1-$AG$2)&lt;=30000,10,IF($F251*IF($C251="売",1+$AG$2,1-$AG$2)&lt;=50000,50,IF($F251*IF($C251="売",1+$AG$2,1-$AG$2)&lt;=300000,100,500))))))))</f>
      </c>
      <c r="O251" s="478">
        <f>IF(OR($B251="",$F251="",$H251=""),"",IF($S251="✅売却済","―決済済―",IF($C251="売",  IF($H251&lt;=$M251,"🟢利確",  IF(AND($R251&lt;&gt;"",$H251&gt;=$R251),"🟠TRAIL決済",  IF($H251&gt;=$N251,"🔴損切",  IF($W251&gt;=$AG$5,"⏱時間決済",  IF($H251&gt;=$F251*(1+$AG$2*0.7),"⚠️損切接近","保持継続"))))),  IF($H251&gt;=$M251,"🟢利確",  IF(AND($R251&lt;&gt;"",$H251&lt;=$R251),"🟠TRAIL決済",  IF($H251&lt;=$N251,"🔴損切",  IF($W251&gt;=$AG$5,"⏱時間決済",  IF($H251&lt;=$F251*(1-$AG$2*0.7),"⚠️損切接近","保持継続")))))))</f>
      </c>
      <c r="P251" s="445"/>
      <c r="Q251" s="445"/>
      <c r="R251" s="480">
        <f>IF(OR($F251="",$H251="",$N251=""),"",IF($S251="✅売却済","",IF($C251="売",  IF($H251&gt;$F251*(1-$AG$2),$N251,CEILING(MIN($N251,IF($Q251="",$N251,$Q251*1.03)),IF($N251&lt;=3000,1,IF($N251&lt;=5000,5,IF($N251&lt;=30000,10,IF($N251&lt;=50000,50,IF($N251&lt;=300000,100,500))))))),  IF($H251&lt;$F251*(1+$AG$2),$N251,FLOOR(MAX($N251,IF($P251="",$N251,$P251*0.97)),IF($N251&lt;=3000,1,IF($N251&lt;=5000,5,IF($N251&lt;=30000,10,IF($N251&lt;=50000,50,IF($N251&lt;=300000,100,500))))))))))</f>
      </c>
      <c r="S251" s="480" t="str">
        <f t="shared" si="89"/>
        <v/>
      </c>
      <c r="T251" s="596" t="str">
        <f t="shared" ca="1" si="78"/>
        <v/>
      </c>
      <c r="U251" s="598" t="str">
        <f t="shared" ca="1" si="79"/>
        <v/>
      </c>
      <c r="V251" s="703" t="str">
        <f t="shared" ca="1" si="90"/>
        <v/>
      </c>
      <c r="W251" s="480" t="str">
        <f t="shared" ca="1" si="80"/>
        <v/>
      </c>
      <c r="X251" s="480" t="str">
        <f t="shared" ca="1" si="81"/>
        <v/>
      </c>
      <c r="Y251" s="488">
        <f>IF($B251="","",IF(COUNTIFS($B$4:$B251,$B251,$C$4:$C251,$C251)&gt;1,"⛔重複"&amp;COUNTIFS($B$4:$B251,$B251,$C$4:$C251,$C251)&amp;"回目",""))</f>
      </c>
      <c r="Z251" s="710"/>
      <c r="AB251">
        <f>IF($F251="","",MAX(100,ROUNDDOWN($AG$4/($F251*$AG$2)/100,0)*100))</f>
      </c>
      <c r="AC251">
        <f>IF(OR($F251="",$G251="",$U251=""),"",ROUND($V251-($F251+$U251)*$G251*$AG$6-IF($C251="売",$F251*$G251*$AG$7*$W251/365,0),0))</f>
      </c>
      <c r="AD251" s="608"/>
      <c r="AE251" s="600" t="str">
        <f t="shared" si="82"/>
        <v/>
      </c>
      <c r="AF251" s="600"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00"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00" t="str">
        <f t="shared" ca="1" si="83"/>
        <v/>
      </c>
      <c r="AI251" s="600" t="str" cm="1">
        <f t="array" ref="AI251">IFERROR(INDEX(始値!$E$6:$BT$305,MATCH(TEXT($B251,"0"),TEXT(銘柄管理!$B$6:$B$305,"0"),0),MATCH($AE251,始値!$E$3:$BT$3,0)),"")</f>
        <v/>
      </c>
      <c r="AJ251" s="608" t="str">
        <f t="shared" ca="1" si="84"/>
        <v/>
      </c>
      <c r="AK251" s="600" t="str">
        <f t="shared" ca="1" si="85"/>
        <v/>
      </c>
    </row>
    <row r="252" spans="1:37" ht="17.25" customHeight="1">
      <c r="A252" s="621" t="str">
        <f t="shared" si="74"/>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BT$3,0)=1,1,MATCH($E252,始値!$E$3:$BT$3,0)+1)),_xlpm.v,INDEX(始値!$C$6:$B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 t="shared" ca="1" si="86"/>
        <v/>
      </c>
      <c r="L252" s="708" t="str">
        <f t="shared" ca="1" si="87"/>
        <v/>
      </c>
      <c r="M252" s="598">
        <f>IF($F252="","",IF($C252="売",CEILING($F252*IF($C252="売",1-$AG$3,1+$AG$3),IF($F252*IF($C252="売",1-$AG$3,1+$AG$3)&lt;=3000,1,IF($F252*IF($C252="売",1-$AG$3,1+$AG$3)&lt;=5000,5,IF($F252*IF($C252="売",1-$AG$3,1+$AG$3)&lt;=30000,10,IF($F252*IF($C252="売",1-$AG$3,1+$AG$3)&lt;=50000,50,IF($F252*IF($C252="売",1-$AG$3,1+$AG$3)&lt;=300000,100,500)))))),FLOOR($F252*IF($C252="売",1-$AG$3,1+$AG$3),IF($F252*IF($C252="売",1-$AG$3,1+$AG$3)&lt;=3000,1,IF($F252*IF($C252="売",1-$AG$3,1+$AG$3)&lt;=5000,5,IF($F252*IF($C252="売",1-$AG$3,1+$AG$3)&lt;=30000,10,IF($F252*IF($C252="売",1-$AG$3,1+$AG$3)&lt;=50000,50,IF($F252*IF($C252="売",1-$AG$3,1+$AG$3)&lt;=300000,100,500))))))))</f>
      </c>
      <c r="N252" s="598">
        <f>IF($F252="","",IF($C252="売",CEILING($F252*IF($C252="売",1+$AG$2,1-$AG$2),IF($F252*IF($C252="売",1+$AG$2,1-$AG$2)&lt;=3000,1,IF($F252*IF($C252="売",1+$AG$2,1-$AG$2)&lt;=5000,5,IF($F252*IF($C252="売",1+$AG$2,1-$AG$2)&lt;=30000,10,IF($F252*IF($C252="売",1+$AG$2,1-$AG$2)&lt;=50000,50,IF($F252*IF($C252="売",1+$AG$2,1-$AG$2)&lt;=300000,100,500)))))),FLOOR($F252*IF($C252="売",1+$AG$2,1-$AG$2),IF($F252*IF($C252="売",1+$AG$2,1-$AG$2)&lt;=3000,1,IF($F252*IF($C252="売",1+$AG$2,1-$AG$2)&lt;=5000,5,IF($F252*IF($C252="売",1+$AG$2,1-$AG$2)&lt;=30000,10,IF($F252*IF($C252="売",1+$AG$2,1-$AG$2)&lt;=50000,50,IF($F252*IF($C252="売",1+$AG$2,1-$AG$2)&lt;=300000,100,500))))))))</f>
      </c>
      <c r="O252" s="478">
        <f>IF(OR($B252="",$F252="",$H252=""),"",IF($S252="✅売却済","―決済済―",IF($C252="売",  IF($H252&lt;=$M252,"🟢利確",  IF(AND($R252&lt;&gt;"",$H252&gt;=$R252),"🟠TRAIL決済",  IF($H252&gt;=$N252,"🔴損切",  IF($W252&gt;=$AG$5,"⏱時間決済",  IF($H252&gt;=$F252*(1+$AG$2*0.7),"⚠️損切接近","保持継続"))))),  IF($H252&gt;=$M252,"🟢利確",  IF(AND($R252&lt;&gt;"",$H252&lt;=$R252),"🟠TRAIL決済",  IF($H252&lt;=$N252,"🔴損切",  IF($W252&gt;=$AG$5,"⏱時間決済",  IF($H252&lt;=$F252*(1-$AG$2*0.7),"⚠️損切接近","保持継続")))))))</f>
      </c>
      <c r="P252" s="445"/>
      <c r="Q252" s="445"/>
      <c r="R252" s="480">
        <f>IF(OR($F252="",$H252="",$N252=""),"",IF($S252="✅売却済","",IF($C252="売",  IF($H252&gt;$F252*(1-$AG$2),$N252,CEILING(MIN($N252,IF($Q252="",$N252,$Q252*1.03)),IF($N252&lt;=3000,1,IF($N252&lt;=5000,5,IF($N252&lt;=30000,10,IF($N252&lt;=50000,50,IF($N252&lt;=300000,100,500))))))),  IF($H252&lt;$F252*(1+$AG$2),$N252,FLOOR(MAX($N252,IF($P252="",$N252,$P252*0.97)),IF($N252&lt;=3000,1,IF($N252&lt;=5000,5,IF($N252&lt;=30000,10,IF($N252&lt;=50000,50,IF($N252&lt;=300000,100,500))))))))))</f>
      </c>
      <c r="S252" s="480" t="str">
        <f t="shared" si="89"/>
        <v/>
      </c>
      <c r="T252" s="596" t="str">
        <f t="shared" ca="1" si="78"/>
        <v/>
      </c>
      <c r="U252" s="598" t="str">
        <f t="shared" ca="1" si="79"/>
        <v/>
      </c>
      <c r="V252" s="703" t="str">
        <f t="shared" ca="1" si="90"/>
        <v/>
      </c>
      <c r="W252" s="480" t="str">
        <f t="shared" ca="1" si="80"/>
        <v/>
      </c>
      <c r="X252" s="480" t="str">
        <f t="shared" ca="1" si="81"/>
        <v/>
      </c>
      <c r="Y252" s="488">
        <f>IF($B252="","",IF(COUNTIFS($B$4:$B252,$B252,$C$4:$C252,$C252)&gt;1,"⛔重複"&amp;COUNTIFS($B$4:$B252,$B252,$C$4:$C252,$C252)&amp;"回目",""))</f>
      </c>
      <c r="Z252" s="710"/>
      <c r="AB252">
        <f>IF($F252="","",MAX(100,ROUNDDOWN($AG$4/($F252*$AG$2)/100,0)*100))</f>
      </c>
      <c r="AC252">
        <f>IF(OR($F252="",$G252="",$U252=""),"",ROUND($V252-($F252+$U252)*$G252*$AG$6-IF($C252="売",$F252*$G252*$AG$7*$W252/365,0),0))</f>
      </c>
      <c r="AD252" s="608"/>
      <c r="AE252" s="600" t="str">
        <f t="shared" si="82"/>
        <v/>
      </c>
      <c r="AF252" s="600"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00"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00" t="str">
        <f t="shared" ca="1" si="83"/>
        <v/>
      </c>
      <c r="AI252" s="600" t="str" cm="1">
        <f t="array" ref="AI252">IFERROR(INDEX(始値!$E$6:$BT$305,MATCH(TEXT($B252,"0"),TEXT(銘柄管理!$B$6:$B$305,"0"),0),MATCH($AE252,始値!$E$3:$BT$3,0)),"")</f>
        <v/>
      </c>
      <c r="AJ252" s="608" t="str">
        <f t="shared" ca="1" si="84"/>
        <v/>
      </c>
      <c r="AK252" s="600" t="str">
        <f t="shared" ca="1" si="85"/>
        <v/>
      </c>
    </row>
    <row r="253" spans="1:37" ht="17.25" customHeight="1">
      <c r="A253" s="621" t="str">
        <f t="shared" si="74"/>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BT$3,0)=1,1,MATCH($E253,始値!$E$3:$BT$3,0)+1)),_xlpm.v,INDEX(始値!$C$6:$B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 t="shared" ca="1" si="86"/>
        <v/>
      </c>
      <c r="L253" s="708" t="str">
        <f t="shared" ca="1" si="87"/>
        <v/>
      </c>
      <c r="M253" s="598">
        <f>IF($F253="","",IF($C253="売",CEILING($F253*IF($C253="売",1-$AG$3,1+$AG$3),IF($F253*IF($C253="売",1-$AG$3,1+$AG$3)&lt;=3000,1,IF($F253*IF($C253="売",1-$AG$3,1+$AG$3)&lt;=5000,5,IF($F253*IF($C253="売",1-$AG$3,1+$AG$3)&lt;=30000,10,IF($F253*IF($C253="売",1-$AG$3,1+$AG$3)&lt;=50000,50,IF($F253*IF($C253="売",1-$AG$3,1+$AG$3)&lt;=300000,100,500)))))),FLOOR($F253*IF($C253="売",1-$AG$3,1+$AG$3),IF($F253*IF($C253="売",1-$AG$3,1+$AG$3)&lt;=3000,1,IF($F253*IF($C253="売",1-$AG$3,1+$AG$3)&lt;=5000,5,IF($F253*IF($C253="売",1-$AG$3,1+$AG$3)&lt;=30000,10,IF($F253*IF($C253="売",1-$AG$3,1+$AG$3)&lt;=50000,50,IF($F253*IF($C253="売",1-$AG$3,1+$AG$3)&lt;=300000,100,500))))))))</f>
      </c>
      <c r="N253" s="598">
        <f>IF($F253="","",IF($C253="売",CEILING($F253*IF($C253="売",1+$AG$2,1-$AG$2),IF($F253*IF($C253="売",1+$AG$2,1-$AG$2)&lt;=3000,1,IF($F253*IF($C253="売",1+$AG$2,1-$AG$2)&lt;=5000,5,IF($F253*IF($C253="売",1+$AG$2,1-$AG$2)&lt;=30000,10,IF($F253*IF($C253="売",1+$AG$2,1-$AG$2)&lt;=50000,50,IF($F253*IF($C253="売",1+$AG$2,1-$AG$2)&lt;=300000,100,500)))))),FLOOR($F253*IF($C253="売",1+$AG$2,1-$AG$2),IF($F253*IF($C253="売",1+$AG$2,1-$AG$2)&lt;=3000,1,IF($F253*IF($C253="売",1+$AG$2,1-$AG$2)&lt;=5000,5,IF($F253*IF($C253="売",1+$AG$2,1-$AG$2)&lt;=30000,10,IF($F253*IF($C253="売",1+$AG$2,1-$AG$2)&lt;=50000,50,IF($F253*IF($C253="売",1+$AG$2,1-$AG$2)&lt;=300000,100,500))))))))</f>
      </c>
      <c r="O253" s="478">
        <f>IF(OR($B253="",$F253="",$H253=""),"",IF($S253="✅売却済","―決済済―",IF($C253="売",  IF($H253&lt;=$M253,"🟢利確",  IF(AND($R253&lt;&gt;"",$H253&gt;=$R253),"🟠TRAIL決済",  IF($H253&gt;=$N253,"🔴損切",  IF($W253&gt;=$AG$5,"⏱時間決済",  IF($H253&gt;=$F253*(1+$AG$2*0.7),"⚠️損切接近","保持継続"))))),  IF($H253&gt;=$M253,"🟢利確",  IF(AND($R253&lt;&gt;"",$H253&lt;=$R253),"🟠TRAIL決済",  IF($H253&lt;=$N253,"🔴損切",  IF($W253&gt;=$AG$5,"⏱時間決済",  IF($H253&lt;=$F253*(1-$AG$2*0.7),"⚠️損切接近","保持継続")))))))</f>
      </c>
      <c r="P253" s="445"/>
      <c r="Q253" s="445"/>
      <c r="R253" s="480">
        <f>IF(OR($F253="",$H253="",$N253=""),"",IF($S253="✅売却済","",IF($C253="売",  IF($H253&gt;$F253*(1-$AG$2),$N253,CEILING(MIN($N253,IF($Q253="",$N253,$Q253*1.03)),IF($N253&lt;=3000,1,IF($N253&lt;=5000,5,IF($N253&lt;=30000,10,IF($N253&lt;=50000,50,IF($N253&lt;=300000,100,500))))))),  IF($H253&lt;$F253*(1+$AG$2),$N253,FLOOR(MAX($N253,IF($P253="",$N253,$P253*0.97)),IF($N253&lt;=3000,1,IF($N253&lt;=5000,5,IF($N253&lt;=30000,10,IF($N253&lt;=50000,50,IF($N253&lt;=300000,100,500))))))))))</f>
      </c>
      <c r="S253" s="480" t="str">
        <f t="shared" si="89"/>
        <v/>
      </c>
      <c r="T253" s="596" t="str">
        <f t="shared" ca="1" si="78"/>
        <v/>
      </c>
      <c r="U253" s="598" t="str">
        <f t="shared" ca="1" si="79"/>
        <v/>
      </c>
      <c r="V253" s="703" t="str">
        <f t="shared" ca="1" si="90"/>
        <v/>
      </c>
      <c r="W253" s="480" t="str">
        <f t="shared" ca="1" si="80"/>
        <v/>
      </c>
      <c r="X253" s="480" t="str">
        <f t="shared" ca="1" si="81"/>
        <v/>
      </c>
      <c r="Y253" s="488">
        <f>IF($B253="","",IF(COUNTIFS($B$4:$B253,$B253,$C$4:$C253,$C253)&gt;1,"⛔重複"&amp;COUNTIFS($B$4:$B253,$B253,$C$4:$C253,$C253)&amp;"回目",""))</f>
      </c>
      <c r="Z253" s="710"/>
      <c r="AB253">
        <f>IF($F253="","",MAX(100,ROUNDDOWN($AG$4/($F253*$AG$2)/100,0)*100))</f>
      </c>
      <c r="AC253">
        <f>IF(OR($F253="",$G253="",$U253=""),"",ROUND($V253-($F253+$U253)*$G253*$AG$6-IF($C253="売",$F253*$G253*$AG$7*$W253/365,0),0))</f>
      </c>
      <c r="AD253" s="608"/>
      <c r="AE253" s="600" t="str">
        <f t="shared" si="82"/>
        <v/>
      </c>
      <c r="AF253" s="600"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00"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00" t="str">
        <f t="shared" ca="1" si="83"/>
        <v/>
      </c>
      <c r="AI253" s="600" t="str" cm="1">
        <f t="array" ref="AI253">IFERROR(INDEX(始値!$E$6:$BT$305,MATCH(TEXT($B253,"0"),TEXT(銘柄管理!$B$6:$B$305,"0"),0),MATCH($AE253,始値!$E$3:$BT$3,0)),"")</f>
        <v/>
      </c>
      <c r="AJ253" s="608" t="str">
        <f t="shared" ca="1" si="84"/>
        <v/>
      </c>
      <c r="AK253" s="600" t="str">
        <f t="shared" ca="1" si="85"/>
        <v/>
      </c>
    </row>
    <row r="254" spans="1:37" ht="17.25" customHeight="1">
      <c r="A254" s="621" t="str">
        <f t="shared" si="74"/>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BT$3,0)=1,1,MATCH($E254,始値!$E$3:$BT$3,0)+1)),_xlpm.v,INDEX(始値!$C$6:$B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 t="shared" ca="1" si="86"/>
        <v/>
      </c>
      <c r="L254" s="708" t="str">
        <f t="shared" ca="1" si="87"/>
        <v/>
      </c>
      <c r="M254" s="598">
        <f>IF($F254="","",IF($C254="売",CEILING($F254*IF($C254="売",1-$AG$3,1+$AG$3),IF($F254*IF($C254="売",1-$AG$3,1+$AG$3)&lt;=3000,1,IF($F254*IF($C254="売",1-$AG$3,1+$AG$3)&lt;=5000,5,IF($F254*IF($C254="売",1-$AG$3,1+$AG$3)&lt;=30000,10,IF($F254*IF($C254="売",1-$AG$3,1+$AG$3)&lt;=50000,50,IF($F254*IF($C254="売",1-$AG$3,1+$AG$3)&lt;=300000,100,500)))))),FLOOR($F254*IF($C254="売",1-$AG$3,1+$AG$3),IF($F254*IF($C254="売",1-$AG$3,1+$AG$3)&lt;=3000,1,IF($F254*IF($C254="売",1-$AG$3,1+$AG$3)&lt;=5000,5,IF($F254*IF($C254="売",1-$AG$3,1+$AG$3)&lt;=30000,10,IF($F254*IF($C254="売",1-$AG$3,1+$AG$3)&lt;=50000,50,IF($F254*IF($C254="売",1-$AG$3,1+$AG$3)&lt;=300000,100,500))))))))</f>
      </c>
      <c r="N254" s="598">
        <f>IF($F254="","",IF($C254="売",CEILING($F254*IF($C254="売",1+$AG$2,1-$AG$2),IF($F254*IF($C254="売",1+$AG$2,1-$AG$2)&lt;=3000,1,IF($F254*IF($C254="売",1+$AG$2,1-$AG$2)&lt;=5000,5,IF($F254*IF($C254="売",1+$AG$2,1-$AG$2)&lt;=30000,10,IF($F254*IF($C254="売",1+$AG$2,1-$AG$2)&lt;=50000,50,IF($F254*IF($C254="売",1+$AG$2,1-$AG$2)&lt;=300000,100,500)))))),FLOOR($F254*IF($C254="売",1+$AG$2,1-$AG$2),IF($F254*IF($C254="売",1+$AG$2,1-$AG$2)&lt;=3000,1,IF($F254*IF($C254="売",1+$AG$2,1-$AG$2)&lt;=5000,5,IF($F254*IF($C254="売",1+$AG$2,1-$AG$2)&lt;=30000,10,IF($F254*IF($C254="売",1+$AG$2,1-$AG$2)&lt;=50000,50,IF($F254*IF($C254="売",1+$AG$2,1-$AG$2)&lt;=300000,100,500))))))))</f>
      </c>
      <c r="O254" s="478">
        <f>IF(OR($B254="",$F254="",$H254=""),"",IF($S254="✅売却済","―決済済―",IF($C254="売",  IF($H254&lt;=$M254,"🟢利確",  IF(AND($R254&lt;&gt;"",$H254&gt;=$R254),"🟠TRAIL決済",  IF($H254&gt;=$N254,"🔴損切",  IF($W254&gt;=$AG$5,"⏱時間決済",  IF($H254&gt;=$F254*(1+$AG$2*0.7),"⚠️損切接近","保持継続"))))),  IF($H254&gt;=$M254,"🟢利確",  IF(AND($R254&lt;&gt;"",$H254&lt;=$R254),"🟠TRAIL決済",  IF($H254&lt;=$N254,"🔴損切",  IF($W254&gt;=$AG$5,"⏱時間決済",  IF($H254&lt;=$F254*(1-$AG$2*0.7),"⚠️損切接近","保持継続")))))))</f>
      </c>
      <c r="P254" s="445"/>
      <c r="Q254" s="445"/>
      <c r="R254" s="480">
        <f>IF(OR($F254="",$H254="",$N254=""),"",IF($S254="✅売却済","",IF($C254="売",  IF($H254&gt;$F254*(1-$AG$2),$N254,CEILING(MIN($N254,IF($Q254="",$N254,$Q254*1.03)),IF($N254&lt;=3000,1,IF($N254&lt;=5000,5,IF($N254&lt;=30000,10,IF($N254&lt;=50000,50,IF($N254&lt;=300000,100,500))))))),  IF($H254&lt;$F254*(1+$AG$2),$N254,FLOOR(MAX($N254,IF($P254="",$N254,$P254*0.97)),IF($N254&lt;=3000,1,IF($N254&lt;=5000,5,IF($N254&lt;=30000,10,IF($N254&lt;=50000,50,IF($N254&lt;=300000,100,500))))))))))</f>
      </c>
      <c r="S254" s="480" t="str">
        <f t="shared" si="89"/>
        <v/>
      </c>
      <c r="T254" s="596" t="str">
        <f t="shared" ca="1" si="78"/>
        <v/>
      </c>
      <c r="U254" s="598" t="str">
        <f t="shared" ca="1" si="79"/>
        <v/>
      </c>
      <c r="V254" s="703" t="str">
        <f t="shared" ca="1" si="90"/>
        <v/>
      </c>
      <c r="W254" s="480" t="str">
        <f t="shared" ca="1" si="80"/>
        <v/>
      </c>
      <c r="X254" s="480" t="str">
        <f t="shared" ca="1" si="81"/>
        <v/>
      </c>
      <c r="Y254" s="488">
        <f>IF($B254="","",IF(COUNTIFS($B$4:$B254,$B254,$C$4:$C254,$C254)&gt;1,"⛔重複"&amp;COUNTIFS($B$4:$B254,$B254,$C$4:$C254,$C254)&amp;"回目",""))</f>
      </c>
      <c r="Z254" s="710"/>
      <c r="AB254">
        <f>IF($F254="","",MAX(100,ROUNDDOWN($AG$4/($F254*$AG$2)/100,0)*100))</f>
      </c>
      <c r="AC254">
        <f>IF(OR($F254="",$G254="",$U254=""),"",ROUND($V254-($F254+$U254)*$G254*$AG$6-IF($C254="売",$F254*$G254*$AG$7*$W254/365,0),0))</f>
      </c>
      <c r="AD254" s="608"/>
      <c r="AE254" s="600" t="str">
        <f t="shared" si="82"/>
        <v/>
      </c>
      <c r="AF254" s="600"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00"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00" t="str">
        <f t="shared" ca="1" si="83"/>
        <v/>
      </c>
      <c r="AI254" s="600" t="str" cm="1">
        <f t="array" ref="AI254">IFERROR(INDEX(始値!$E$6:$BT$305,MATCH(TEXT($B254,"0"),TEXT(銘柄管理!$B$6:$B$305,"0"),0),MATCH($AE254,始値!$E$3:$BT$3,0)),"")</f>
        <v/>
      </c>
      <c r="AJ254" s="608" t="str">
        <f t="shared" ca="1" si="84"/>
        <v/>
      </c>
      <c r="AK254" s="600" t="str">
        <f t="shared" ca="1" si="85"/>
        <v/>
      </c>
    </row>
    <row r="255" spans="1:37" ht="17.25" customHeight="1">
      <c r="A255" s="621" t="str">
        <f t="shared" si="74"/>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BT$3,0)=1,1,MATCH($E255,始値!$E$3:$BT$3,0)+1)),_xlpm.v,INDEX(始値!$C$6:$B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 t="shared" ca="1" si="86"/>
        <v/>
      </c>
      <c r="L255" s="708" t="str">
        <f t="shared" ca="1" si="87"/>
        <v/>
      </c>
      <c r="M255" s="598">
        <f>IF($F255="","",IF($C255="売",CEILING($F255*IF($C255="売",1-$AG$3,1+$AG$3),IF($F255*IF($C255="売",1-$AG$3,1+$AG$3)&lt;=3000,1,IF($F255*IF($C255="売",1-$AG$3,1+$AG$3)&lt;=5000,5,IF($F255*IF($C255="売",1-$AG$3,1+$AG$3)&lt;=30000,10,IF($F255*IF($C255="売",1-$AG$3,1+$AG$3)&lt;=50000,50,IF($F255*IF($C255="売",1-$AG$3,1+$AG$3)&lt;=300000,100,500)))))),FLOOR($F255*IF($C255="売",1-$AG$3,1+$AG$3),IF($F255*IF($C255="売",1-$AG$3,1+$AG$3)&lt;=3000,1,IF($F255*IF($C255="売",1-$AG$3,1+$AG$3)&lt;=5000,5,IF($F255*IF($C255="売",1-$AG$3,1+$AG$3)&lt;=30000,10,IF($F255*IF($C255="売",1-$AG$3,1+$AG$3)&lt;=50000,50,IF($F255*IF($C255="売",1-$AG$3,1+$AG$3)&lt;=300000,100,500))))))))</f>
      </c>
      <c r="N255" s="598">
        <f>IF($F255="","",IF($C255="売",CEILING($F255*IF($C255="売",1+$AG$2,1-$AG$2),IF($F255*IF($C255="売",1+$AG$2,1-$AG$2)&lt;=3000,1,IF($F255*IF($C255="売",1+$AG$2,1-$AG$2)&lt;=5000,5,IF($F255*IF($C255="売",1+$AG$2,1-$AG$2)&lt;=30000,10,IF($F255*IF($C255="売",1+$AG$2,1-$AG$2)&lt;=50000,50,IF($F255*IF($C255="売",1+$AG$2,1-$AG$2)&lt;=300000,100,500)))))),FLOOR($F255*IF($C255="売",1+$AG$2,1-$AG$2),IF($F255*IF($C255="売",1+$AG$2,1-$AG$2)&lt;=3000,1,IF($F255*IF($C255="売",1+$AG$2,1-$AG$2)&lt;=5000,5,IF($F255*IF($C255="売",1+$AG$2,1-$AG$2)&lt;=30000,10,IF($F255*IF($C255="売",1+$AG$2,1-$AG$2)&lt;=50000,50,IF($F255*IF($C255="売",1+$AG$2,1-$AG$2)&lt;=300000,100,500))))))))</f>
      </c>
      <c r="O255" s="478">
        <f>IF(OR($B255="",$F255="",$H255=""),"",IF($S255="✅売却済","―決済済―",IF($C255="売",  IF($H255&lt;=$M255,"🟢利確",  IF(AND($R255&lt;&gt;"",$H255&gt;=$R255),"🟠TRAIL決済",  IF($H255&gt;=$N255,"🔴損切",  IF($W255&gt;=$AG$5,"⏱時間決済",  IF($H255&gt;=$F255*(1+$AG$2*0.7),"⚠️損切接近","保持継続"))))),  IF($H255&gt;=$M255,"🟢利確",  IF(AND($R255&lt;&gt;"",$H255&lt;=$R255),"🟠TRAIL決済",  IF($H255&lt;=$N255,"🔴損切",  IF($W255&gt;=$AG$5,"⏱時間決済",  IF($H255&lt;=$F255*(1-$AG$2*0.7),"⚠️損切接近","保持継続")))))))</f>
      </c>
      <c r="P255" s="445"/>
      <c r="Q255" s="445"/>
      <c r="R255" s="480">
        <f>IF(OR($F255="",$H255="",$N255=""),"",IF($S255="✅売却済","",IF($C255="売",  IF($H255&gt;$F255*(1-$AG$2),$N255,CEILING(MIN($N255,IF($Q255="",$N255,$Q255*1.03)),IF($N255&lt;=3000,1,IF($N255&lt;=5000,5,IF($N255&lt;=30000,10,IF($N255&lt;=50000,50,IF($N255&lt;=300000,100,500))))))),  IF($H255&lt;$F255*(1+$AG$2),$N255,FLOOR(MAX($N255,IF($P255="",$N255,$P255*0.97)),IF($N255&lt;=3000,1,IF($N255&lt;=5000,5,IF($N255&lt;=30000,10,IF($N255&lt;=50000,50,IF($N255&lt;=300000,100,500))))))))))</f>
      </c>
      <c r="S255" s="480" t="str">
        <f t="shared" si="89"/>
        <v/>
      </c>
      <c r="T255" s="596" t="str">
        <f t="shared" ca="1" si="78"/>
        <v/>
      </c>
      <c r="U255" s="598" t="str">
        <f t="shared" ca="1" si="79"/>
        <v/>
      </c>
      <c r="V255" s="703" t="str">
        <f t="shared" ca="1" si="90"/>
        <v/>
      </c>
      <c r="W255" s="480" t="str">
        <f t="shared" ca="1" si="80"/>
        <v/>
      </c>
      <c r="X255" s="480" t="str">
        <f t="shared" ca="1" si="81"/>
        <v/>
      </c>
      <c r="Y255" s="488">
        <f>IF($B255="","",IF(COUNTIFS($B$4:$B255,$B255,$C$4:$C255,$C255)&gt;1,"⛔重複"&amp;COUNTIFS($B$4:$B255,$B255,$C$4:$C255,$C255)&amp;"回目",""))</f>
      </c>
      <c r="Z255" s="710"/>
      <c r="AB255">
        <f>IF($F255="","",MAX(100,ROUNDDOWN($AG$4/($F255*$AG$2)/100,0)*100))</f>
      </c>
      <c r="AC255">
        <f>IF(OR($F255="",$G255="",$U255=""),"",ROUND($V255-($F255+$U255)*$G255*$AG$6-IF($C255="売",$F255*$G255*$AG$7*$W255/365,0),0))</f>
      </c>
      <c r="AD255" s="608"/>
      <c r="AE255" s="600" t="str">
        <f t="shared" si="82"/>
        <v/>
      </c>
      <c r="AF255" s="600"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00"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00" t="str">
        <f t="shared" ca="1" si="83"/>
        <v/>
      </c>
      <c r="AI255" s="600" t="str" cm="1">
        <f t="array" ref="AI255">IFERROR(INDEX(始値!$E$6:$BT$305,MATCH(TEXT($B255,"0"),TEXT(銘柄管理!$B$6:$B$305,"0"),0),MATCH($AE255,始値!$E$3:$BT$3,0)),"")</f>
        <v/>
      </c>
      <c r="AJ255" s="608" t="str">
        <f t="shared" ca="1" si="84"/>
        <v/>
      </c>
      <c r="AK255" s="600" t="str">
        <f t="shared" ca="1" si="85"/>
        <v/>
      </c>
    </row>
    <row r="256" spans="1:37" ht="17.25" customHeight="1">
      <c r="A256" s="621" t="str">
        <f t="shared" si="74"/>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BT$3,0)=1,1,MATCH($E256,始値!$E$3:$BT$3,0)+1)),_xlpm.v,INDEX(始値!$C$6:$B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 t="shared" ca="1" si="86"/>
        <v/>
      </c>
      <c r="L256" s="708" t="str">
        <f t="shared" ca="1" si="87"/>
        <v/>
      </c>
      <c r="M256" s="598">
        <f>IF($F256="","",IF($C256="売",CEILING($F256*IF($C256="売",1-$AG$3,1+$AG$3),IF($F256*IF($C256="売",1-$AG$3,1+$AG$3)&lt;=3000,1,IF($F256*IF($C256="売",1-$AG$3,1+$AG$3)&lt;=5000,5,IF($F256*IF($C256="売",1-$AG$3,1+$AG$3)&lt;=30000,10,IF($F256*IF($C256="売",1-$AG$3,1+$AG$3)&lt;=50000,50,IF($F256*IF($C256="売",1-$AG$3,1+$AG$3)&lt;=300000,100,500)))))),FLOOR($F256*IF($C256="売",1-$AG$3,1+$AG$3),IF($F256*IF($C256="売",1-$AG$3,1+$AG$3)&lt;=3000,1,IF($F256*IF($C256="売",1-$AG$3,1+$AG$3)&lt;=5000,5,IF($F256*IF($C256="売",1-$AG$3,1+$AG$3)&lt;=30000,10,IF($F256*IF($C256="売",1-$AG$3,1+$AG$3)&lt;=50000,50,IF($F256*IF($C256="売",1-$AG$3,1+$AG$3)&lt;=300000,100,500))))))))</f>
      </c>
      <c r="N256" s="598">
        <f>IF($F256="","",IF($C256="売",CEILING($F256*IF($C256="売",1+$AG$2,1-$AG$2),IF($F256*IF($C256="売",1+$AG$2,1-$AG$2)&lt;=3000,1,IF($F256*IF($C256="売",1+$AG$2,1-$AG$2)&lt;=5000,5,IF($F256*IF($C256="売",1+$AG$2,1-$AG$2)&lt;=30000,10,IF($F256*IF($C256="売",1+$AG$2,1-$AG$2)&lt;=50000,50,IF($F256*IF($C256="売",1+$AG$2,1-$AG$2)&lt;=300000,100,500)))))),FLOOR($F256*IF($C256="売",1+$AG$2,1-$AG$2),IF($F256*IF($C256="売",1+$AG$2,1-$AG$2)&lt;=3000,1,IF($F256*IF($C256="売",1+$AG$2,1-$AG$2)&lt;=5000,5,IF($F256*IF($C256="売",1+$AG$2,1-$AG$2)&lt;=30000,10,IF($F256*IF($C256="売",1+$AG$2,1-$AG$2)&lt;=50000,50,IF($F256*IF($C256="売",1+$AG$2,1-$AG$2)&lt;=300000,100,500))))))))</f>
      </c>
      <c r="O256" s="478">
        <f>IF(OR($B256="",$F256="",$H256=""),"",IF($S256="✅売却済","―決済済―",IF($C256="売",  IF($H256&lt;=$M256,"🟢利確",  IF(AND($R256&lt;&gt;"",$H256&gt;=$R256),"🟠TRAIL決済",  IF($H256&gt;=$N256,"🔴損切",  IF($W256&gt;=$AG$5,"⏱時間決済",  IF($H256&gt;=$F256*(1+$AG$2*0.7),"⚠️損切接近","保持継続"))))),  IF($H256&gt;=$M256,"🟢利確",  IF(AND($R256&lt;&gt;"",$H256&lt;=$R256),"🟠TRAIL決済",  IF($H256&lt;=$N256,"🔴損切",  IF($W256&gt;=$AG$5,"⏱時間決済",  IF($H256&lt;=$F256*(1-$AG$2*0.7),"⚠️損切接近","保持継続")))))))</f>
      </c>
      <c r="P256" s="445"/>
      <c r="Q256" s="445"/>
      <c r="R256" s="480">
        <f>IF(OR($F256="",$H256="",$N256=""),"",IF($S256="✅売却済","",IF($C256="売",  IF($H256&gt;$F256*(1-$AG$2),$N256,CEILING(MIN($N256,IF($Q256="",$N256,$Q256*1.03)),IF($N256&lt;=3000,1,IF($N256&lt;=5000,5,IF($N256&lt;=30000,10,IF($N256&lt;=50000,50,IF($N256&lt;=300000,100,500))))))),  IF($H256&lt;$F256*(1+$AG$2),$N256,FLOOR(MAX($N256,IF($P256="",$N256,$P256*0.97)),IF($N256&lt;=3000,1,IF($N256&lt;=5000,5,IF($N256&lt;=30000,10,IF($N256&lt;=50000,50,IF($N256&lt;=300000,100,500))))))))))</f>
      </c>
      <c r="S256" s="480" t="str">
        <f t="shared" si="89"/>
        <v/>
      </c>
      <c r="T256" s="596" t="str">
        <f t="shared" ca="1" si="78"/>
        <v/>
      </c>
      <c r="U256" s="598" t="str">
        <f t="shared" ca="1" si="79"/>
        <v/>
      </c>
      <c r="V256" s="703" t="str">
        <f t="shared" ca="1" si="90"/>
        <v/>
      </c>
      <c r="W256" s="480" t="str">
        <f t="shared" ca="1" si="80"/>
        <v/>
      </c>
      <c r="X256" s="480" t="str">
        <f t="shared" ca="1" si="81"/>
        <v/>
      </c>
      <c r="Y256" s="488">
        <f>IF($B256="","",IF(COUNTIFS($B$4:$B256,$B256,$C$4:$C256,$C256)&gt;1,"⛔重複"&amp;COUNTIFS($B$4:$B256,$B256,$C$4:$C256,$C256)&amp;"回目",""))</f>
      </c>
      <c r="Z256" s="710"/>
      <c r="AB256">
        <f>IF($F256="","",MAX(100,ROUNDDOWN($AG$4/($F256*$AG$2)/100,0)*100))</f>
      </c>
      <c r="AC256">
        <f>IF(OR($F256="",$G256="",$U256=""),"",ROUND($V256-($F256+$U256)*$G256*$AG$6-IF($C256="売",$F256*$G256*$AG$7*$W256/365,0),0))</f>
      </c>
      <c r="AD256" s="608"/>
      <c r="AE256" s="600" t="str">
        <f t="shared" si="82"/>
        <v/>
      </c>
      <c r="AF256" s="600"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00"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00" t="str">
        <f t="shared" ca="1" si="83"/>
        <v/>
      </c>
      <c r="AI256" s="600" t="str" cm="1">
        <f t="array" ref="AI256">IFERROR(INDEX(始値!$E$6:$BT$305,MATCH(TEXT($B256,"0"),TEXT(銘柄管理!$B$6:$B$305,"0"),0),MATCH($AE256,始値!$E$3:$BT$3,0)),"")</f>
        <v/>
      </c>
      <c r="AJ256" s="608" t="str">
        <f t="shared" ca="1" si="84"/>
        <v/>
      </c>
      <c r="AK256" s="600" t="str">
        <f t="shared" ca="1" si="85"/>
        <v/>
      </c>
    </row>
    <row r="257" spans="1:37" ht="17.25" customHeight="1">
      <c r="A257" s="621" t="str">
        <f t="shared" si="74"/>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BT$3,0)=1,1,MATCH($E257,始値!$E$3:$BT$3,0)+1)),_xlpm.v,INDEX(始値!$C$6:$B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 t="shared" ca="1" si="86"/>
        <v/>
      </c>
      <c r="L257" s="708" t="str">
        <f t="shared" ca="1" si="87"/>
        <v/>
      </c>
      <c r="M257" s="598">
        <f>IF($F257="","",IF($C257="売",CEILING($F257*IF($C257="売",1-$AG$3,1+$AG$3),IF($F257*IF($C257="売",1-$AG$3,1+$AG$3)&lt;=3000,1,IF($F257*IF($C257="売",1-$AG$3,1+$AG$3)&lt;=5000,5,IF($F257*IF($C257="売",1-$AG$3,1+$AG$3)&lt;=30000,10,IF($F257*IF($C257="売",1-$AG$3,1+$AG$3)&lt;=50000,50,IF($F257*IF($C257="売",1-$AG$3,1+$AG$3)&lt;=300000,100,500)))))),FLOOR($F257*IF($C257="売",1-$AG$3,1+$AG$3),IF($F257*IF($C257="売",1-$AG$3,1+$AG$3)&lt;=3000,1,IF($F257*IF($C257="売",1-$AG$3,1+$AG$3)&lt;=5000,5,IF($F257*IF($C257="売",1-$AG$3,1+$AG$3)&lt;=30000,10,IF($F257*IF($C257="売",1-$AG$3,1+$AG$3)&lt;=50000,50,IF($F257*IF($C257="売",1-$AG$3,1+$AG$3)&lt;=300000,100,500))))))))</f>
      </c>
      <c r="N257" s="598">
        <f>IF($F257="","",IF($C257="売",CEILING($F257*IF($C257="売",1+$AG$2,1-$AG$2),IF($F257*IF($C257="売",1+$AG$2,1-$AG$2)&lt;=3000,1,IF($F257*IF($C257="売",1+$AG$2,1-$AG$2)&lt;=5000,5,IF($F257*IF($C257="売",1+$AG$2,1-$AG$2)&lt;=30000,10,IF($F257*IF($C257="売",1+$AG$2,1-$AG$2)&lt;=50000,50,IF($F257*IF($C257="売",1+$AG$2,1-$AG$2)&lt;=300000,100,500)))))),FLOOR($F257*IF($C257="売",1+$AG$2,1-$AG$2),IF($F257*IF($C257="売",1+$AG$2,1-$AG$2)&lt;=3000,1,IF($F257*IF($C257="売",1+$AG$2,1-$AG$2)&lt;=5000,5,IF($F257*IF($C257="売",1+$AG$2,1-$AG$2)&lt;=30000,10,IF($F257*IF($C257="売",1+$AG$2,1-$AG$2)&lt;=50000,50,IF($F257*IF($C257="売",1+$AG$2,1-$AG$2)&lt;=300000,100,500))))))))</f>
      </c>
      <c r="O257" s="478">
        <f>IF(OR($B257="",$F257="",$H257=""),"",IF($S257="✅売却済","―決済済―",IF($C257="売",  IF($H257&lt;=$M257,"🟢利確",  IF(AND($R257&lt;&gt;"",$H257&gt;=$R257),"🟠TRAIL決済",  IF($H257&gt;=$N257,"🔴損切",  IF($W257&gt;=$AG$5,"⏱時間決済",  IF($H257&gt;=$F257*(1+$AG$2*0.7),"⚠️損切接近","保持継続"))))),  IF($H257&gt;=$M257,"🟢利確",  IF(AND($R257&lt;&gt;"",$H257&lt;=$R257),"🟠TRAIL決済",  IF($H257&lt;=$N257,"🔴損切",  IF($W257&gt;=$AG$5,"⏱時間決済",  IF($H257&lt;=$F257*(1-$AG$2*0.7),"⚠️損切接近","保持継続")))))))</f>
      </c>
      <c r="P257" s="445"/>
      <c r="Q257" s="445"/>
      <c r="R257" s="480">
        <f>IF(OR($F257="",$H257="",$N257=""),"",IF($S257="✅売却済","",IF($C257="売",  IF($H257&gt;$F257*(1-$AG$2),$N257,CEILING(MIN($N257,IF($Q257="",$N257,$Q257*1.03)),IF($N257&lt;=3000,1,IF($N257&lt;=5000,5,IF($N257&lt;=30000,10,IF($N257&lt;=50000,50,IF($N257&lt;=300000,100,500))))))),  IF($H257&lt;$F257*(1+$AG$2),$N257,FLOOR(MAX($N257,IF($P257="",$N257,$P257*0.97)),IF($N257&lt;=3000,1,IF($N257&lt;=5000,5,IF($N257&lt;=30000,10,IF($N257&lt;=50000,50,IF($N257&lt;=300000,100,500))))))))))</f>
      </c>
      <c r="S257" s="480" t="str">
        <f t="shared" si="89"/>
        <v/>
      </c>
      <c r="T257" s="596" t="str">
        <f t="shared" ca="1" si="78"/>
        <v/>
      </c>
      <c r="U257" s="598" t="str">
        <f t="shared" ca="1" si="79"/>
        <v/>
      </c>
      <c r="V257" s="703" t="str">
        <f t="shared" ca="1" si="90"/>
        <v/>
      </c>
      <c r="W257" s="480" t="str">
        <f t="shared" ca="1" si="80"/>
        <v/>
      </c>
      <c r="X257" s="480" t="str">
        <f t="shared" ca="1" si="81"/>
        <v/>
      </c>
      <c r="Y257" s="488">
        <f>IF($B257="","",IF(COUNTIFS($B$4:$B257,$B257,$C$4:$C257,$C257)&gt;1,"⛔重複"&amp;COUNTIFS($B$4:$B257,$B257,$C$4:$C257,$C257)&amp;"回目",""))</f>
      </c>
      <c r="Z257" s="710"/>
      <c r="AB257">
        <f>IF($F257="","",MAX(100,ROUNDDOWN($AG$4/($F257*$AG$2)/100,0)*100))</f>
      </c>
      <c r="AC257">
        <f>IF(OR($F257="",$G257="",$U257=""),"",ROUND($V257-($F257+$U257)*$G257*$AG$6-IF($C257="売",$F257*$G257*$AG$7*$W257/365,0),0))</f>
      </c>
      <c r="AD257" s="608"/>
      <c r="AE257" s="600" t="str">
        <f t="shared" si="82"/>
        <v/>
      </c>
      <c r="AF257" s="600"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00"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00" t="str">
        <f t="shared" ca="1" si="83"/>
        <v/>
      </c>
      <c r="AI257" s="600" t="str" cm="1">
        <f t="array" ref="AI257">IFERROR(INDEX(始値!$E$6:$BT$305,MATCH(TEXT($B257,"0"),TEXT(銘柄管理!$B$6:$B$305,"0"),0),MATCH($AE257,始値!$E$3:$BT$3,0)),"")</f>
        <v/>
      </c>
      <c r="AJ257" s="608" t="str">
        <f t="shared" ca="1" si="84"/>
        <v/>
      </c>
      <c r="AK257" s="600" t="str">
        <f t="shared" ca="1" si="85"/>
        <v/>
      </c>
    </row>
    <row r="258" spans="1:37" ht="17.25" customHeight="1">
      <c r="A258" s="621" t="str">
        <f t="shared" si="74"/>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BT$3,0)=1,1,MATCH($E258,始値!$E$3:$BT$3,0)+1)),_xlpm.v,INDEX(始値!$C$6:$B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 t="shared" ca="1" si="86"/>
        <v/>
      </c>
      <c r="L258" s="708" t="str">
        <f t="shared" ca="1" si="87"/>
        <v/>
      </c>
      <c r="M258" s="598">
        <f>IF($F258="","",IF($C258="売",CEILING($F258*IF($C258="売",1-$AG$3,1+$AG$3),IF($F258*IF($C258="売",1-$AG$3,1+$AG$3)&lt;=3000,1,IF($F258*IF($C258="売",1-$AG$3,1+$AG$3)&lt;=5000,5,IF($F258*IF($C258="売",1-$AG$3,1+$AG$3)&lt;=30000,10,IF($F258*IF($C258="売",1-$AG$3,1+$AG$3)&lt;=50000,50,IF($F258*IF($C258="売",1-$AG$3,1+$AG$3)&lt;=300000,100,500)))))),FLOOR($F258*IF($C258="売",1-$AG$3,1+$AG$3),IF($F258*IF($C258="売",1-$AG$3,1+$AG$3)&lt;=3000,1,IF($F258*IF($C258="売",1-$AG$3,1+$AG$3)&lt;=5000,5,IF($F258*IF($C258="売",1-$AG$3,1+$AG$3)&lt;=30000,10,IF($F258*IF($C258="売",1-$AG$3,1+$AG$3)&lt;=50000,50,IF($F258*IF($C258="売",1-$AG$3,1+$AG$3)&lt;=300000,100,500))))))))</f>
      </c>
      <c r="N258" s="598">
        <f>IF($F258="","",IF($C258="売",CEILING($F258*IF($C258="売",1+$AG$2,1-$AG$2),IF($F258*IF($C258="売",1+$AG$2,1-$AG$2)&lt;=3000,1,IF($F258*IF($C258="売",1+$AG$2,1-$AG$2)&lt;=5000,5,IF($F258*IF($C258="売",1+$AG$2,1-$AG$2)&lt;=30000,10,IF($F258*IF($C258="売",1+$AG$2,1-$AG$2)&lt;=50000,50,IF($F258*IF($C258="売",1+$AG$2,1-$AG$2)&lt;=300000,100,500)))))),FLOOR($F258*IF($C258="売",1+$AG$2,1-$AG$2),IF($F258*IF($C258="売",1+$AG$2,1-$AG$2)&lt;=3000,1,IF($F258*IF($C258="売",1+$AG$2,1-$AG$2)&lt;=5000,5,IF($F258*IF($C258="売",1+$AG$2,1-$AG$2)&lt;=30000,10,IF($F258*IF($C258="売",1+$AG$2,1-$AG$2)&lt;=50000,50,IF($F258*IF($C258="売",1+$AG$2,1-$AG$2)&lt;=300000,100,500))))))))</f>
      </c>
      <c r="O258" s="478">
        <f>IF(OR($B258="",$F258="",$H258=""),"",IF($S258="✅売却済","―決済済―",IF($C258="売",  IF($H258&lt;=$M258,"🟢利確",  IF(AND($R258&lt;&gt;"",$H258&gt;=$R258),"🟠TRAIL決済",  IF($H258&gt;=$N258,"🔴損切",  IF($W258&gt;=$AG$5,"⏱時間決済",  IF($H258&gt;=$F258*(1+$AG$2*0.7),"⚠️損切接近","保持継続"))))),  IF($H258&gt;=$M258,"🟢利確",  IF(AND($R258&lt;&gt;"",$H258&lt;=$R258),"🟠TRAIL決済",  IF($H258&lt;=$N258,"🔴損切",  IF($W258&gt;=$AG$5,"⏱時間決済",  IF($H258&lt;=$F258*(1-$AG$2*0.7),"⚠️損切接近","保持継続")))))))</f>
      </c>
      <c r="P258" s="445"/>
      <c r="Q258" s="445"/>
      <c r="R258" s="480">
        <f>IF(OR($F258="",$H258="",$N258=""),"",IF($S258="✅売却済","",IF($C258="売",  IF($H258&gt;$F258*(1-$AG$2),$N258,CEILING(MIN($N258,IF($Q258="",$N258,$Q258*1.03)),IF($N258&lt;=3000,1,IF($N258&lt;=5000,5,IF($N258&lt;=30000,10,IF($N258&lt;=50000,50,IF($N258&lt;=300000,100,500))))))),  IF($H258&lt;$F258*(1+$AG$2),$N258,FLOOR(MAX($N258,IF($P258="",$N258,$P258*0.97)),IF($N258&lt;=3000,1,IF($N258&lt;=5000,5,IF($N258&lt;=30000,10,IF($N258&lt;=50000,50,IF($N258&lt;=300000,100,500))))))))))</f>
      </c>
      <c r="S258" s="480" t="str">
        <f t="shared" si="89"/>
        <v/>
      </c>
      <c r="T258" s="596" t="str">
        <f t="shared" ca="1" si="78"/>
        <v/>
      </c>
      <c r="U258" s="598" t="str">
        <f t="shared" ca="1" si="79"/>
        <v/>
      </c>
      <c r="V258" s="703" t="str">
        <f t="shared" ca="1" si="90"/>
        <v/>
      </c>
      <c r="W258" s="480" t="str">
        <f t="shared" ca="1" si="80"/>
        <v/>
      </c>
      <c r="X258" s="480" t="str">
        <f t="shared" ca="1" si="81"/>
        <v/>
      </c>
      <c r="Y258" s="488">
        <f>IF($B258="","",IF(COUNTIFS($B$4:$B258,$B258,$C$4:$C258,$C258)&gt;1,"⛔重複"&amp;COUNTIFS($B$4:$B258,$B258,$C$4:$C258,$C258)&amp;"回目",""))</f>
      </c>
      <c r="Z258" s="710"/>
      <c r="AB258">
        <f>IF($F258="","",MAX(100,ROUNDDOWN($AG$4/($F258*$AG$2)/100,0)*100))</f>
      </c>
      <c r="AC258">
        <f>IF(OR($F258="",$G258="",$U258=""),"",ROUND($V258-($F258+$U258)*$G258*$AG$6-IF($C258="売",$F258*$G258*$AG$7*$W258/365,0),0))</f>
      </c>
      <c r="AD258" s="608"/>
      <c r="AE258" s="600" t="str">
        <f t="shared" si="82"/>
        <v/>
      </c>
      <c r="AF258" s="600"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00"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00" t="str">
        <f t="shared" ca="1" si="83"/>
        <v/>
      </c>
      <c r="AI258" s="600" t="str" cm="1">
        <f t="array" ref="AI258">IFERROR(INDEX(始値!$E$6:$BT$305,MATCH(TEXT($B258,"0"),TEXT(銘柄管理!$B$6:$B$305,"0"),0),MATCH($AE258,始値!$E$3:$BT$3,0)),"")</f>
        <v/>
      </c>
      <c r="AJ258" s="608" t="str">
        <f t="shared" ca="1" si="84"/>
        <v/>
      </c>
      <c r="AK258" s="600" t="str">
        <f t="shared" ca="1" si="85"/>
        <v/>
      </c>
    </row>
    <row r="259" spans="1:37" ht="17.25" customHeight="1">
      <c r="A259" s="621" t="str">
        <f t="shared" si="74"/>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BT$3,0)=1,1,MATCH($E259,始値!$E$3:$BT$3,0)+1)),_xlpm.v,INDEX(始値!$C$6:$B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 t="shared" ca="1" si="86"/>
        <v/>
      </c>
      <c r="L259" s="708" t="str">
        <f t="shared" ca="1" si="87"/>
        <v/>
      </c>
      <c r="M259" s="598">
        <f>IF($F259="","",IF($C259="売",CEILING($F259*IF($C259="売",1-$AG$3,1+$AG$3),IF($F259*IF($C259="売",1-$AG$3,1+$AG$3)&lt;=3000,1,IF($F259*IF($C259="売",1-$AG$3,1+$AG$3)&lt;=5000,5,IF($F259*IF($C259="売",1-$AG$3,1+$AG$3)&lt;=30000,10,IF($F259*IF($C259="売",1-$AG$3,1+$AG$3)&lt;=50000,50,IF($F259*IF($C259="売",1-$AG$3,1+$AG$3)&lt;=300000,100,500)))))),FLOOR($F259*IF($C259="売",1-$AG$3,1+$AG$3),IF($F259*IF($C259="売",1-$AG$3,1+$AG$3)&lt;=3000,1,IF($F259*IF($C259="売",1-$AG$3,1+$AG$3)&lt;=5000,5,IF($F259*IF($C259="売",1-$AG$3,1+$AG$3)&lt;=30000,10,IF($F259*IF($C259="売",1-$AG$3,1+$AG$3)&lt;=50000,50,IF($F259*IF($C259="売",1-$AG$3,1+$AG$3)&lt;=300000,100,500))))))))</f>
      </c>
      <c r="N259" s="598">
        <f>IF($F259="","",IF($C259="売",CEILING($F259*IF($C259="売",1+$AG$2,1-$AG$2),IF($F259*IF($C259="売",1+$AG$2,1-$AG$2)&lt;=3000,1,IF($F259*IF($C259="売",1+$AG$2,1-$AG$2)&lt;=5000,5,IF($F259*IF($C259="売",1+$AG$2,1-$AG$2)&lt;=30000,10,IF($F259*IF($C259="売",1+$AG$2,1-$AG$2)&lt;=50000,50,IF($F259*IF($C259="売",1+$AG$2,1-$AG$2)&lt;=300000,100,500)))))),FLOOR($F259*IF($C259="売",1+$AG$2,1-$AG$2),IF($F259*IF($C259="売",1+$AG$2,1-$AG$2)&lt;=3000,1,IF($F259*IF($C259="売",1+$AG$2,1-$AG$2)&lt;=5000,5,IF($F259*IF($C259="売",1+$AG$2,1-$AG$2)&lt;=30000,10,IF($F259*IF($C259="売",1+$AG$2,1-$AG$2)&lt;=50000,50,IF($F259*IF($C259="売",1+$AG$2,1-$AG$2)&lt;=300000,100,500))))))))</f>
      </c>
      <c r="O259" s="478">
        <f>IF(OR($B259="",$F259="",$H259=""),"",IF($S259="✅売却済","―決済済―",IF($C259="売",  IF($H259&lt;=$M259,"🟢利確",  IF(AND($R259&lt;&gt;"",$H259&gt;=$R259),"🟠TRAIL決済",  IF($H259&gt;=$N259,"🔴損切",  IF($W259&gt;=$AG$5,"⏱時間決済",  IF($H259&gt;=$F259*(1+$AG$2*0.7),"⚠️損切接近","保持継続"))))),  IF($H259&gt;=$M259,"🟢利確",  IF(AND($R259&lt;&gt;"",$H259&lt;=$R259),"🟠TRAIL決済",  IF($H259&lt;=$N259,"🔴損切",  IF($W259&gt;=$AG$5,"⏱時間決済",  IF($H259&lt;=$F259*(1-$AG$2*0.7),"⚠️損切接近","保持継続")))))))</f>
      </c>
      <c r="P259" s="445"/>
      <c r="Q259" s="445"/>
      <c r="R259" s="480">
        <f>IF(OR($F259="",$H259="",$N259=""),"",IF($S259="✅売却済","",IF($C259="売",  IF($H259&gt;$F259*(1-$AG$2),$N259,CEILING(MIN($N259,IF($Q259="",$N259,$Q259*1.03)),IF($N259&lt;=3000,1,IF($N259&lt;=5000,5,IF($N259&lt;=30000,10,IF($N259&lt;=50000,50,IF($N259&lt;=300000,100,500))))))),  IF($H259&lt;$F259*(1+$AG$2),$N259,FLOOR(MAX($N259,IF($P259="",$N259,$P259*0.97)),IF($N259&lt;=3000,1,IF($N259&lt;=5000,5,IF($N259&lt;=30000,10,IF($N259&lt;=50000,50,IF($N259&lt;=300000,100,500))))))))))</f>
      </c>
      <c r="S259" s="480" t="str">
        <f t="shared" si="89"/>
        <v/>
      </c>
      <c r="T259" s="596" t="str">
        <f t="shared" ca="1" si="78"/>
        <v/>
      </c>
      <c r="U259" s="598" t="str">
        <f t="shared" ca="1" si="79"/>
        <v/>
      </c>
      <c r="V259" s="703" t="str">
        <f t="shared" ca="1" si="90"/>
        <v/>
      </c>
      <c r="W259" s="480" t="str">
        <f t="shared" ca="1" si="80"/>
        <v/>
      </c>
      <c r="X259" s="480" t="str">
        <f t="shared" ca="1" si="81"/>
        <v/>
      </c>
      <c r="Y259" s="488">
        <f>IF($B259="","",IF(COUNTIFS($B$4:$B259,$B259,$C$4:$C259,$C259)&gt;1,"⛔重複"&amp;COUNTIFS($B$4:$B259,$B259,$C$4:$C259,$C259)&amp;"回目",""))</f>
      </c>
      <c r="Z259" s="710"/>
      <c r="AB259">
        <f>IF($F259="","",MAX(100,ROUNDDOWN($AG$4/($F259*$AG$2)/100,0)*100))</f>
      </c>
      <c r="AC259">
        <f>IF(OR($F259="",$G259="",$U259=""),"",ROUND($V259-($F259+$U259)*$G259*$AG$6-IF($C259="売",$F259*$G259*$AG$7*$W259/365,0),0))</f>
      </c>
      <c r="AD259" s="608"/>
      <c r="AE259" s="600" t="str">
        <f t="shared" si="82"/>
        <v/>
      </c>
      <c r="AF259" s="600"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00"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00" t="str">
        <f t="shared" ca="1" si="83"/>
        <v/>
      </c>
      <c r="AI259" s="600" t="str" cm="1">
        <f t="array" ref="AI259">IFERROR(INDEX(始値!$E$6:$BT$305,MATCH(TEXT($B259,"0"),TEXT(銘柄管理!$B$6:$B$305,"0"),0),MATCH($AE259,始値!$E$3:$BT$3,0)),"")</f>
        <v/>
      </c>
      <c r="AJ259" s="608" t="str">
        <f t="shared" ca="1" si="84"/>
        <v/>
      </c>
      <c r="AK259" s="600" t="str">
        <f t="shared" ca="1" si="85"/>
        <v/>
      </c>
    </row>
    <row r="260" spans="1:37" ht="17.25" customHeight="1">
      <c r="A260" s="621" t="str">
        <f t="shared" ref="A260:A323" si="91">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BT$3,0)=1,1,MATCH($E260,始値!$E$3:$BT$3,0)+1)),_xlpm.v,INDEX(始値!$C$6:$B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 t="shared" ca="1" si="86"/>
        <v/>
      </c>
      <c r="L260" s="708" t="str">
        <f t="shared" ca="1" si="87"/>
        <v/>
      </c>
      <c r="M260" s="598">
        <f>IF($F260="","",IF($C260="売",CEILING($F260*IF($C260="売",1-$AG$3,1+$AG$3),IF($F260*IF($C260="売",1-$AG$3,1+$AG$3)&lt;=3000,1,IF($F260*IF($C260="売",1-$AG$3,1+$AG$3)&lt;=5000,5,IF($F260*IF($C260="売",1-$AG$3,1+$AG$3)&lt;=30000,10,IF($F260*IF($C260="売",1-$AG$3,1+$AG$3)&lt;=50000,50,IF($F260*IF($C260="売",1-$AG$3,1+$AG$3)&lt;=300000,100,500)))))),FLOOR($F260*IF($C260="売",1-$AG$3,1+$AG$3),IF($F260*IF($C260="売",1-$AG$3,1+$AG$3)&lt;=3000,1,IF($F260*IF($C260="売",1-$AG$3,1+$AG$3)&lt;=5000,5,IF($F260*IF($C260="売",1-$AG$3,1+$AG$3)&lt;=30000,10,IF($F260*IF($C260="売",1-$AG$3,1+$AG$3)&lt;=50000,50,IF($F260*IF($C260="売",1-$AG$3,1+$AG$3)&lt;=300000,100,500))))))))</f>
      </c>
      <c r="N260" s="598">
        <f>IF($F260="","",IF($C260="売",CEILING($F260*IF($C260="売",1+$AG$2,1-$AG$2),IF($F260*IF($C260="売",1+$AG$2,1-$AG$2)&lt;=3000,1,IF($F260*IF($C260="売",1+$AG$2,1-$AG$2)&lt;=5000,5,IF($F260*IF($C260="売",1+$AG$2,1-$AG$2)&lt;=30000,10,IF($F260*IF($C260="売",1+$AG$2,1-$AG$2)&lt;=50000,50,IF($F260*IF($C260="売",1+$AG$2,1-$AG$2)&lt;=300000,100,500)))))),FLOOR($F260*IF($C260="売",1+$AG$2,1-$AG$2),IF($F260*IF($C260="売",1+$AG$2,1-$AG$2)&lt;=3000,1,IF($F260*IF($C260="売",1+$AG$2,1-$AG$2)&lt;=5000,5,IF($F260*IF($C260="売",1+$AG$2,1-$AG$2)&lt;=30000,10,IF($F260*IF($C260="売",1+$AG$2,1-$AG$2)&lt;=50000,50,IF($F260*IF($C260="売",1+$AG$2,1-$AG$2)&lt;=300000,100,500))))))))</f>
      </c>
      <c r="O260" s="478">
        <f>IF(OR($B260="",$F260="",$H260=""),"",IF($S260="✅売却済","―決済済―",IF($C260="売",  IF($H260&lt;=$M260,"🟢利確",  IF(AND($R260&lt;&gt;"",$H260&gt;=$R260),"🟠TRAIL決済",  IF($H260&gt;=$N260,"🔴損切",  IF($W260&gt;=$AG$5,"⏱時間決済",  IF($H260&gt;=$F260*(1+$AG$2*0.7),"⚠️損切接近","保持継続"))))),  IF($H260&gt;=$M260,"🟢利確",  IF(AND($R260&lt;&gt;"",$H260&lt;=$R260),"🟠TRAIL決済",  IF($H260&lt;=$N260,"🔴損切",  IF($W260&gt;=$AG$5,"⏱時間決済",  IF($H260&lt;=$F260*(1-$AG$2*0.7),"⚠️損切接近","保持継続")))))))</f>
      </c>
      <c r="P260" s="445"/>
      <c r="Q260" s="445"/>
      <c r="R260" s="480">
        <f>IF(OR($F260="",$H260="",$N260=""),"",IF($S260="✅売却済","",IF($C260="売",  IF($H260&gt;$F260*(1-$AG$2),$N260,CEILING(MIN($N260,IF($Q260="",$N260,$Q260*1.03)),IF($N260&lt;=3000,1,IF($N260&lt;=5000,5,IF($N260&lt;=30000,10,IF($N260&lt;=50000,50,IF($N260&lt;=300000,100,500))))))),  IF($H260&lt;$F260*(1+$AG$2),$N260,FLOOR(MAX($N260,IF($P260="",$N260,$P260*0.97)),IF($N260&lt;=3000,1,IF($N260&lt;=5000,5,IF($N260&lt;=30000,10,IF($N260&lt;=50000,50,IF($N260&lt;=300000,100,500))))))))))</f>
      </c>
      <c r="S260" s="480" t="str">
        <f t="shared" si="89"/>
        <v/>
      </c>
      <c r="T260" s="596" t="str">
        <f t="shared" ca="1" si="78"/>
        <v/>
      </c>
      <c r="U260" s="598" t="str">
        <f t="shared" ca="1" si="79"/>
        <v/>
      </c>
      <c r="V260" s="703" t="str">
        <f t="shared" ca="1" si="90"/>
        <v/>
      </c>
      <c r="W260" s="480" t="str">
        <f t="shared" ca="1" si="80"/>
        <v/>
      </c>
      <c r="X260" s="480" t="str">
        <f t="shared" ca="1" si="81"/>
        <v/>
      </c>
      <c r="Y260" s="488">
        <f>IF($B260="","",IF(COUNTIFS($B$4:$B260,$B260,$C$4:$C260,$C260)&gt;1,"⛔重複"&amp;COUNTIFS($B$4:$B260,$B260,$C$4:$C260,$C260)&amp;"回目",""))</f>
      </c>
      <c r="Z260" s="710"/>
      <c r="AB260">
        <f>IF($F260="","",MAX(100,ROUNDDOWN($AG$4/($F260*$AG$2)/100,0)*100))</f>
      </c>
      <c r="AC260">
        <f>IF(OR($F260="",$G260="",$U260=""),"",ROUND($V260-($F260+$U260)*$G260*$AG$6-IF($C260="売",$F260*$G260*$AG$7*$W260/365,0),0))</f>
      </c>
      <c r="AD260" s="608"/>
      <c r="AE260" s="600" t="str">
        <f t="shared" si="82"/>
        <v/>
      </c>
      <c r="AF260" s="600"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00"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00" t="str">
        <f t="shared" ca="1" si="83"/>
        <v/>
      </c>
      <c r="AI260" s="600" t="str" cm="1">
        <f t="array" ref="AI260">IFERROR(INDEX(始値!$E$6:$BT$305,MATCH(TEXT($B260,"0"),TEXT(銘柄管理!$B$6:$B$305,"0"),0),MATCH($AE260,始値!$E$3:$BT$3,0)),"")</f>
        <v/>
      </c>
      <c r="AJ260" s="608" t="str">
        <f t="shared" ca="1" si="84"/>
        <v/>
      </c>
      <c r="AK260" s="600" t="str">
        <f t="shared" ca="1" si="85"/>
        <v/>
      </c>
    </row>
    <row r="261" spans="1:37" ht="17.25" customHeight="1">
      <c r="A261" s="621" t="str">
        <f t="shared" si="91"/>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BT$3,0)=1,1,MATCH($E261,始値!$E$3:$BT$3,0)+1)),_xlpm.v,INDEX(始値!$C$6:$B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 t="shared" ca="1" si="86"/>
        <v/>
      </c>
      <c r="L261" s="708" t="str">
        <f t="shared" ca="1" si="87"/>
        <v/>
      </c>
      <c r="M261" s="598">
        <f>IF($F261="","",IF($C261="売",CEILING($F261*IF($C261="売",1-$AG$3,1+$AG$3),IF($F261*IF($C261="売",1-$AG$3,1+$AG$3)&lt;=3000,1,IF($F261*IF($C261="売",1-$AG$3,1+$AG$3)&lt;=5000,5,IF($F261*IF($C261="売",1-$AG$3,1+$AG$3)&lt;=30000,10,IF($F261*IF($C261="売",1-$AG$3,1+$AG$3)&lt;=50000,50,IF($F261*IF($C261="売",1-$AG$3,1+$AG$3)&lt;=300000,100,500)))))),FLOOR($F261*IF($C261="売",1-$AG$3,1+$AG$3),IF($F261*IF($C261="売",1-$AG$3,1+$AG$3)&lt;=3000,1,IF($F261*IF($C261="売",1-$AG$3,1+$AG$3)&lt;=5000,5,IF($F261*IF($C261="売",1-$AG$3,1+$AG$3)&lt;=30000,10,IF($F261*IF($C261="売",1-$AG$3,1+$AG$3)&lt;=50000,50,IF($F261*IF($C261="売",1-$AG$3,1+$AG$3)&lt;=300000,100,500))))))))</f>
      </c>
      <c r="N261" s="598">
        <f>IF($F261="","",IF($C261="売",CEILING($F261*IF($C261="売",1+$AG$2,1-$AG$2),IF($F261*IF($C261="売",1+$AG$2,1-$AG$2)&lt;=3000,1,IF($F261*IF($C261="売",1+$AG$2,1-$AG$2)&lt;=5000,5,IF($F261*IF($C261="売",1+$AG$2,1-$AG$2)&lt;=30000,10,IF($F261*IF($C261="売",1+$AG$2,1-$AG$2)&lt;=50000,50,IF($F261*IF($C261="売",1+$AG$2,1-$AG$2)&lt;=300000,100,500)))))),FLOOR($F261*IF($C261="売",1+$AG$2,1-$AG$2),IF($F261*IF($C261="売",1+$AG$2,1-$AG$2)&lt;=3000,1,IF($F261*IF($C261="売",1+$AG$2,1-$AG$2)&lt;=5000,5,IF($F261*IF($C261="売",1+$AG$2,1-$AG$2)&lt;=30000,10,IF($F261*IF($C261="売",1+$AG$2,1-$AG$2)&lt;=50000,50,IF($F261*IF($C261="売",1+$AG$2,1-$AG$2)&lt;=300000,100,500))))))))</f>
      </c>
      <c r="O261" s="478">
        <f>IF(OR($B261="",$F261="",$H261=""),"",IF($S261="✅売却済","―決済済―",IF($C261="売",  IF($H261&lt;=$M261,"🟢利確",  IF(AND($R261&lt;&gt;"",$H261&gt;=$R261),"🟠TRAIL決済",  IF($H261&gt;=$N261,"🔴損切",  IF($W261&gt;=$AG$5,"⏱時間決済",  IF($H261&gt;=$F261*(1+$AG$2*0.7),"⚠️損切接近","保持継続"))))),  IF($H261&gt;=$M261,"🟢利確",  IF(AND($R261&lt;&gt;"",$H261&lt;=$R261),"🟠TRAIL決済",  IF($H261&lt;=$N261,"🔴損切",  IF($W261&gt;=$AG$5,"⏱時間決済",  IF($H261&lt;=$F261*(1-$AG$2*0.7),"⚠️損切接近","保持継続")))))))</f>
      </c>
      <c r="P261" s="445"/>
      <c r="Q261" s="445"/>
      <c r="R261" s="480">
        <f>IF(OR($F261="",$H261="",$N261=""),"",IF($S261="✅売却済","",IF($C261="売",  IF($H261&gt;$F261*(1-$AG$2),$N261,CEILING(MIN($N261,IF($Q261="",$N261,$Q261*1.03)),IF($N261&lt;=3000,1,IF($N261&lt;=5000,5,IF($N261&lt;=30000,10,IF($N261&lt;=50000,50,IF($N261&lt;=300000,100,500))))))),  IF($H261&lt;$F261*(1+$AG$2),$N261,FLOOR(MAX($N261,IF($P261="",$N261,$P261*0.97)),IF($N261&lt;=3000,1,IF($N261&lt;=5000,5,IF($N261&lt;=30000,10,IF($N261&lt;=50000,50,IF($N261&lt;=300000,100,500))))))))))</f>
      </c>
      <c r="S261" s="480" t="str">
        <f t="shared" si="89"/>
        <v/>
      </c>
      <c r="T261" s="596" t="str">
        <f t="shared" ref="T261:T324" ca="1" si="95">IF(OR($AH261="",$AH261="保有中"),"",IF($AH261="日数制限",$AE261,IF($AH261="損切確定",IF(N($AG261)=0,TODAY(),$AG261),IF(N($AF261)=0,TODAY(),$AF261))))</f>
        <v/>
      </c>
      <c r="U261" s="598" t="str">
        <f t="shared" ref="U261:U324" ca="1" si="96">IF(OR($AH261="",$AH261="保有中"),"",ROUND(IF($AH261="日数制限",$AI261,IF($AH261="利益確定",$M261,$N261)),0))</f>
        <v/>
      </c>
      <c r="V261" s="703" t="str">
        <f t="shared" ca="1" si="90"/>
        <v/>
      </c>
      <c r="W261" s="480" t="str">
        <f t="shared" ref="W261:W324" ca="1" si="97">IF(OR($E261="",$B261=""),"",IF($T261&lt;&gt;"",$T261-$E261,TODAY()-$E261)+1)</f>
        <v/>
      </c>
      <c r="X261" s="480" t="str">
        <f t="shared" ref="X261:X324" ca="1" si="98">IF(OR($AH261="",$AH261="保有中"),"",$AH261)</f>
        <v/>
      </c>
      <c r="Y261" s="488">
        <f>IF($B261="","",IF(COUNTIFS($B$4:$B261,$B261,$C$4:$C261,$C261)&gt;1,"⛔重複"&amp;COUNTIFS($B$4:$B261,$B261,$C$4:$C261,$C261)&amp;"回目",""))</f>
      </c>
      <c r="Z261" s="710"/>
      <c r="AB261">
        <f>IF($F261="","",MAX(100,ROUNDDOWN($AG$4/($F261*$AG$2)/100,0)*100))</f>
      </c>
      <c r="AC261">
        <f>IF(OR($F261="",$G261="",$U261=""),"",ROUND($V261-($F261+$U261)*$G261*$AG$6-IF($C261="売",$F261*$G261*$AG$7*$W261/365,0),0))</f>
      </c>
      <c r="AD261" s="608"/>
      <c r="AE261" s="600" t="str">
        <f t="shared" ref="AE261:AE324" si="99">IF($E261="","",WORKDAY($E261,12))</f>
        <v/>
      </c>
      <c r="AF261" s="600"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00"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00" t="str">
        <f t="shared" ref="AH261:AH324" ca="1" si="100">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IFERROR(INDEX(始値!$E$6:$BT$305,MATCH(TEXT($B261,"0"),TEXT(銘柄管理!$B$6:$B$305,"0"),0),MATCH($AE261,始値!$E$3:$BT$3,0)),"")</f>
        <v/>
      </c>
      <c r="AJ261" s="608" t="str">
        <f t="shared" ref="AJ261:AJ324" ca="1" si="101">IF(OR($V261="",$F261="",$G261=""),"",$V261/($F261*$G261))</f>
        <v/>
      </c>
      <c r="AK261" s="600" t="str">
        <f t="shared" ref="AK261:AK324" ca="1" si="102">IF($V261="","",IF($V261&gt;0,"○勝",IF($V261&lt;0,"●負","△引分")))</f>
        <v/>
      </c>
    </row>
    <row r="262" spans="1:37" ht="17.25" customHeight="1">
      <c r="A262" s="621" t="str">
        <f t="shared" si="91"/>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BT$3,0)=1,1,MATCH($E262,始値!$E$3:$BT$3,0)+1)),_xlpm.v,INDEX(始値!$C$6:$B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 t="shared" ca="1" si="86"/>
        <v/>
      </c>
      <c r="L262" s="708" t="str">
        <f t="shared" ca="1" si="87"/>
        <v/>
      </c>
      <c r="M262" s="598">
        <f>IF($F262="","",IF($C262="売",CEILING($F262*IF($C262="売",1-$AG$3,1+$AG$3),IF($F262*IF($C262="売",1-$AG$3,1+$AG$3)&lt;=3000,1,IF($F262*IF($C262="売",1-$AG$3,1+$AG$3)&lt;=5000,5,IF($F262*IF($C262="売",1-$AG$3,1+$AG$3)&lt;=30000,10,IF($F262*IF($C262="売",1-$AG$3,1+$AG$3)&lt;=50000,50,IF($F262*IF($C262="売",1-$AG$3,1+$AG$3)&lt;=300000,100,500)))))),FLOOR($F262*IF($C262="売",1-$AG$3,1+$AG$3),IF($F262*IF($C262="売",1-$AG$3,1+$AG$3)&lt;=3000,1,IF($F262*IF($C262="売",1-$AG$3,1+$AG$3)&lt;=5000,5,IF($F262*IF($C262="売",1-$AG$3,1+$AG$3)&lt;=30000,10,IF($F262*IF($C262="売",1-$AG$3,1+$AG$3)&lt;=50000,50,IF($F262*IF($C262="売",1-$AG$3,1+$AG$3)&lt;=300000,100,500))))))))</f>
      </c>
      <c r="N262" s="598">
        <f>IF($F262="","",IF($C262="売",CEILING($F262*IF($C262="売",1+$AG$2,1-$AG$2),IF($F262*IF($C262="売",1+$AG$2,1-$AG$2)&lt;=3000,1,IF($F262*IF($C262="売",1+$AG$2,1-$AG$2)&lt;=5000,5,IF($F262*IF($C262="売",1+$AG$2,1-$AG$2)&lt;=30000,10,IF($F262*IF($C262="売",1+$AG$2,1-$AG$2)&lt;=50000,50,IF($F262*IF($C262="売",1+$AG$2,1-$AG$2)&lt;=300000,100,500)))))),FLOOR($F262*IF($C262="売",1+$AG$2,1-$AG$2),IF($F262*IF($C262="売",1+$AG$2,1-$AG$2)&lt;=3000,1,IF($F262*IF($C262="売",1+$AG$2,1-$AG$2)&lt;=5000,5,IF($F262*IF($C262="売",1+$AG$2,1-$AG$2)&lt;=30000,10,IF($F262*IF($C262="売",1+$AG$2,1-$AG$2)&lt;=50000,50,IF($F262*IF($C262="売",1+$AG$2,1-$AG$2)&lt;=300000,100,500))))))))</f>
      </c>
      <c r="O262" s="478">
        <f>IF(OR($B262="",$F262="",$H262=""),"",IF($S262="✅売却済","―決済済―",IF($C262="売",  IF($H262&lt;=$M262,"🟢利確",  IF(AND($R262&lt;&gt;"",$H262&gt;=$R262),"🟠TRAIL決済",  IF($H262&gt;=$N262,"🔴損切",  IF($W262&gt;=$AG$5,"⏱時間決済",  IF($H262&gt;=$F262*(1+$AG$2*0.7),"⚠️損切接近","保持継続"))))),  IF($H262&gt;=$M262,"🟢利確",  IF(AND($R262&lt;&gt;"",$H262&lt;=$R262),"🟠TRAIL決済",  IF($H262&lt;=$N262,"🔴損切",  IF($W262&gt;=$AG$5,"⏱時間決済",  IF($H262&lt;=$F262*(1-$AG$2*0.7),"⚠️損切接近","保持継続")))))))</f>
      </c>
      <c r="P262" s="445"/>
      <c r="Q262" s="445"/>
      <c r="R262" s="480">
        <f>IF(OR($F262="",$H262="",$N262=""),"",IF($S262="✅売却済","",IF($C262="売",  IF($H262&gt;$F262*(1-$AG$2),$N262,CEILING(MIN($N262,IF($Q262="",$N262,$Q262*1.03)),IF($N262&lt;=3000,1,IF($N262&lt;=5000,5,IF($N262&lt;=30000,10,IF($N262&lt;=50000,50,IF($N262&lt;=300000,100,500))))))),  IF($H262&lt;$F262*(1+$AG$2),$N262,FLOOR(MAX($N262,IF($P262="",$N262,$P262*0.97)),IF($N262&lt;=3000,1,IF($N262&lt;=5000,5,IF($N262&lt;=30000,10,IF($N262&lt;=50000,50,IF($N262&lt;=300000,100,500))))))))))</f>
      </c>
      <c r="S262" s="480" t="str">
        <f t="shared" si="89"/>
        <v/>
      </c>
      <c r="T262" s="596" t="str">
        <f t="shared" ca="1" si="95"/>
        <v/>
      </c>
      <c r="U262" s="598" t="str">
        <f t="shared" ca="1" si="96"/>
        <v/>
      </c>
      <c r="V262" s="703" t="str">
        <f t="shared" ca="1" si="90"/>
        <v/>
      </c>
      <c r="W262" s="480" t="str">
        <f t="shared" ca="1" si="97"/>
        <v/>
      </c>
      <c r="X262" s="480" t="str">
        <f t="shared" ca="1" si="98"/>
        <v/>
      </c>
      <c r="Y262" s="488">
        <f>IF($B262="","",IF(COUNTIFS($B$4:$B262,$B262,$C$4:$C262,$C262)&gt;1,"⛔重複"&amp;COUNTIFS($B$4:$B262,$B262,$C$4:$C262,$C262)&amp;"回目",""))</f>
      </c>
      <c r="Z262" s="710"/>
      <c r="AB262">
        <f>IF($F262="","",MAX(100,ROUNDDOWN($AG$4/($F262*$AG$2)/100,0)*100))</f>
      </c>
      <c r="AC262">
        <f>IF(OR($F262="",$G262="",$U262=""),"",ROUND($V262-($F262+$U262)*$G262*$AG$6-IF($C262="売",$F262*$G262*$AG$7*$W262/365,0),0))</f>
      </c>
      <c r="AD262" s="608"/>
      <c r="AE262" s="600" t="str">
        <f t="shared" si="99"/>
        <v/>
      </c>
      <c r="AF262" s="600"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00"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00" t="str">
        <f t="shared" ca="1" si="100"/>
        <v/>
      </c>
      <c r="AI262" s="600" t="str" cm="1">
        <f t="array" ref="AI262">IFERROR(INDEX(始値!$E$6:$BT$305,MATCH(TEXT($B262,"0"),TEXT(銘柄管理!$B$6:$B$305,"0"),0),MATCH($AE262,始値!$E$3:$BT$3,0)),"")</f>
        <v/>
      </c>
      <c r="AJ262" s="608" t="str">
        <f t="shared" ca="1" si="101"/>
        <v/>
      </c>
      <c r="AK262" s="600" t="str">
        <f t="shared" ca="1" si="102"/>
        <v/>
      </c>
    </row>
    <row r="263" spans="1:37" ht="17.25" customHeight="1">
      <c r="A263" s="621" t="str">
        <f t="shared" si="91"/>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BT$3,0)=1,1,MATCH($E263,始値!$E$3:$BT$3,0)+1)),_xlpm.v,INDEX(始値!$C$6:$B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 t="shared" ca="1" si="86"/>
        <v/>
      </c>
      <c r="L263" s="708" t="str">
        <f t="shared" ca="1" si="87"/>
        <v/>
      </c>
      <c r="M263" s="598">
        <f>IF($F263="","",IF($C263="売",CEILING($F263*IF($C263="売",1-$AG$3,1+$AG$3),IF($F263*IF($C263="売",1-$AG$3,1+$AG$3)&lt;=3000,1,IF($F263*IF($C263="売",1-$AG$3,1+$AG$3)&lt;=5000,5,IF($F263*IF($C263="売",1-$AG$3,1+$AG$3)&lt;=30000,10,IF($F263*IF($C263="売",1-$AG$3,1+$AG$3)&lt;=50000,50,IF($F263*IF($C263="売",1-$AG$3,1+$AG$3)&lt;=300000,100,500)))))),FLOOR($F263*IF($C263="売",1-$AG$3,1+$AG$3),IF($F263*IF($C263="売",1-$AG$3,1+$AG$3)&lt;=3000,1,IF($F263*IF($C263="売",1-$AG$3,1+$AG$3)&lt;=5000,5,IF($F263*IF($C263="売",1-$AG$3,1+$AG$3)&lt;=30000,10,IF($F263*IF($C263="売",1-$AG$3,1+$AG$3)&lt;=50000,50,IF($F263*IF($C263="売",1-$AG$3,1+$AG$3)&lt;=300000,100,500))))))))</f>
      </c>
      <c r="N263" s="598">
        <f>IF($F263="","",IF($C263="売",CEILING($F263*IF($C263="売",1+$AG$2,1-$AG$2),IF($F263*IF($C263="売",1+$AG$2,1-$AG$2)&lt;=3000,1,IF($F263*IF($C263="売",1+$AG$2,1-$AG$2)&lt;=5000,5,IF($F263*IF($C263="売",1+$AG$2,1-$AG$2)&lt;=30000,10,IF($F263*IF($C263="売",1+$AG$2,1-$AG$2)&lt;=50000,50,IF($F263*IF($C263="売",1+$AG$2,1-$AG$2)&lt;=300000,100,500)))))),FLOOR($F263*IF($C263="売",1+$AG$2,1-$AG$2),IF($F263*IF($C263="売",1+$AG$2,1-$AG$2)&lt;=3000,1,IF($F263*IF($C263="売",1+$AG$2,1-$AG$2)&lt;=5000,5,IF($F263*IF($C263="売",1+$AG$2,1-$AG$2)&lt;=30000,10,IF($F263*IF($C263="売",1+$AG$2,1-$AG$2)&lt;=50000,50,IF($F263*IF($C263="売",1+$AG$2,1-$AG$2)&lt;=300000,100,500))))))))</f>
      </c>
      <c r="O263" s="478">
        <f>IF(OR($B263="",$F263="",$H263=""),"",IF($S263="✅売却済","―決済済―",IF($C263="売",  IF($H263&lt;=$M263,"🟢利確",  IF(AND($R263&lt;&gt;"",$H263&gt;=$R263),"🟠TRAIL決済",  IF($H263&gt;=$N263,"🔴損切",  IF($W263&gt;=$AG$5,"⏱時間決済",  IF($H263&gt;=$F263*(1+$AG$2*0.7),"⚠️損切接近","保持継続"))))),  IF($H263&gt;=$M263,"🟢利確",  IF(AND($R263&lt;&gt;"",$H263&lt;=$R263),"🟠TRAIL決済",  IF($H263&lt;=$N263,"🔴損切",  IF($W263&gt;=$AG$5,"⏱時間決済",  IF($H263&lt;=$F263*(1-$AG$2*0.7),"⚠️損切接近","保持継続")))))))</f>
      </c>
      <c r="P263" s="445"/>
      <c r="Q263" s="445"/>
      <c r="R263" s="480">
        <f>IF(OR($F263="",$H263="",$N263=""),"",IF($S263="✅売却済","",IF($C263="売",  IF($H263&gt;$F263*(1-$AG$2),$N263,CEILING(MIN($N263,IF($Q263="",$N263,$Q263*1.03)),IF($N263&lt;=3000,1,IF($N263&lt;=5000,5,IF($N263&lt;=30000,10,IF($N263&lt;=50000,50,IF($N263&lt;=300000,100,500))))))),  IF($H263&lt;$F263*(1+$AG$2),$N263,FLOOR(MAX($N263,IF($P263="",$N263,$P263*0.97)),IF($N263&lt;=3000,1,IF($N263&lt;=5000,5,IF($N263&lt;=30000,10,IF($N263&lt;=50000,50,IF($N263&lt;=300000,100,500))))))))))</f>
      </c>
      <c r="S263" s="480" t="str">
        <f t="shared" si="89"/>
        <v/>
      </c>
      <c r="T263" s="596" t="str">
        <f t="shared" ca="1" si="95"/>
        <v/>
      </c>
      <c r="U263" s="598" t="str">
        <f t="shared" ca="1" si="96"/>
        <v/>
      </c>
      <c r="V263" s="703" t="str">
        <f t="shared" ca="1" si="90"/>
        <v/>
      </c>
      <c r="W263" s="480" t="str">
        <f t="shared" ca="1" si="97"/>
        <v/>
      </c>
      <c r="X263" s="480" t="str">
        <f t="shared" ca="1" si="98"/>
        <v/>
      </c>
      <c r="Y263" s="488">
        <f>IF($B263="","",IF(COUNTIFS($B$4:$B263,$B263,$C$4:$C263,$C263)&gt;1,"⛔重複"&amp;COUNTIFS($B$4:$B263,$B263,$C$4:$C263,$C263)&amp;"回目",""))</f>
      </c>
      <c r="Z263" s="710"/>
      <c r="AB263">
        <f>IF($F263="","",MAX(100,ROUNDDOWN($AG$4/($F263*$AG$2)/100,0)*100))</f>
      </c>
      <c r="AC263">
        <f>IF(OR($F263="",$G263="",$U263=""),"",ROUND($V263-($F263+$U263)*$G263*$AG$6-IF($C263="売",$F263*$G263*$AG$7*$W263/365,0),0))</f>
      </c>
      <c r="AD263" s="608"/>
      <c r="AE263" s="600" t="str">
        <f t="shared" si="99"/>
        <v/>
      </c>
      <c r="AF263" s="600"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00"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00" t="str">
        <f t="shared" ca="1" si="100"/>
        <v/>
      </c>
      <c r="AI263" s="600" t="str" cm="1">
        <f t="array" ref="AI263">IFERROR(INDEX(始値!$E$6:$BT$305,MATCH(TEXT($B263,"0"),TEXT(銘柄管理!$B$6:$B$305,"0"),0),MATCH($AE263,始値!$E$3:$BT$3,0)),"")</f>
        <v/>
      </c>
      <c r="AJ263" s="608" t="str">
        <f t="shared" ca="1" si="101"/>
        <v/>
      </c>
      <c r="AK263" s="600" t="str">
        <f t="shared" ca="1" si="102"/>
        <v/>
      </c>
    </row>
    <row r="264" spans="1:37" ht="17.25" customHeight="1">
      <c r="A264" s="621" t="str">
        <f t="shared" si="91"/>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BT$3,0)=1,1,MATCH($E264,始値!$E$3:$BT$3,0)+1)),_xlpm.v,INDEX(始値!$C$6:$B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 t="shared" ca="1" si="86"/>
        <v/>
      </c>
      <c r="L264" s="708" t="str">
        <f t="shared" ca="1" si="87"/>
        <v/>
      </c>
      <c r="M264" s="598">
        <f>IF($F264="","",IF($C264="売",CEILING($F264*IF($C264="売",1-$AG$3,1+$AG$3),IF($F264*IF($C264="売",1-$AG$3,1+$AG$3)&lt;=3000,1,IF($F264*IF($C264="売",1-$AG$3,1+$AG$3)&lt;=5000,5,IF($F264*IF($C264="売",1-$AG$3,1+$AG$3)&lt;=30000,10,IF($F264*IF($C264="売",1-$AG$3,1+$AG$3)&lt;=50000,50,IF($F264*IF($C264="売",1-$AG$3,1+$AG$3)&lt;=300000,100,500)))))),FLOOR($F264*IF($C264="売",1-$AG$3,1+$AG$3),IF($F264*IF($C264="売",1-$AG$3,1+$AG$3)&lt;=3000,1,IF($F264*IF($C264="売",1-$AG$3,1+$AG$3)&lt;=5000,5,IF($F264*IF($C264="売",1-$AG$3,1+$AG$3)&lt;=30000,10,IF($F264*IF($C264="売",1-$AG$3,1+$AG$3)&lt;=50000,50,IF($F264*IF($C264="売",1-$AG$3,1+$AG$3)&lt;=300000,100,500))))))))</f>
      </c>
      <c r="N264" s="598">
        <f>IF($F264="","",IF($C264="売",CEILING($F264*IF($C264="売",1+$AG$2,1-$AG$2),IF($F264*IF($C264="売",1+$AG$2,1-$AG$2)&lt;=3000,1,IF($F264*IF($C264="売",1+$AG$2,1-$AG$2)&lt;=5000,5,IF($F264*IF($C264="売",1+$AG$2,1-$AG$2)&lt;=30000,10,IF($F264*IF($C264="売",1+$AG$2,1-$AG$2)&lt;=50000,50,IF($F264*IF($C264="売",1+$AG$2,1-$AG$2)&lt;=300000,100,500)))))),FLOOR($F264*IF($C264="売",1+$AG$2,1-$AG$2),IF($F264*IF($C264="売",1+$AG$2,1-$AG$2)&lt;=3000,1,IF($F264*IF($C264="売",1+$AG$2,1-$AG$2)&lt;=5000,5,IF($F264*IF($C264="売",1+$AG$2,1-$AG$2)&lt;=30000,10,IF($F264*IF($C264="売",1+$AG$2,1-$AG$2)&lt;=50000,50,IF($F264*IF($C264="売",1+$AG$2,1-$AG$2)&lt;=300000,100,500))))))))</f>
      </c>
      <c r="O264" s="478">
        <f>IF(OR($B264="",$F264="",$H264=""),"",IF($S264="✅売却済","―決済済―",IF($C264="売",  IF($H264&lt;=$M264,"🟢利確",  IF(AND($R264&lt;&gt;"",$H264&gt;=$R264),"🟠TRAIL決済",  IF($H264&gt;=$N264,"🔴損切",  IF($W264&gt;=$AG$5,"⏱時間決済",  IF($H264&gt;=$F264*(1+$AG$2*0.7),"⚠️損切接近","保持継続"))))),  IF($H264&gt;=$M264,"🟢利確",  IF(AND($R264&lt;&gt;"",$H264&lt;=$R264),"🟠TRAIL決済",  IF($H264&lt;=$N264,"🔴損切",  IF($W264&gt;=$AG$5,"⏱時間決済",  IF($H264&lt;=$F264*(1-$AG$2*0.7),"⚠️損切接近","保持継続")))))))</f>
      </c>
      <c r="P264" s="445"/>
      <c r="Q264" s="445"/>
      <c r="R264" s="480">
        <f>IF(OR($F264="",$H264="",$N264=""),"",IF($S264="✅売却済","",IF($C264="売",  IF($H264&gt;$F264*(1-$AG$2),$N264,CEILING(MIN($N264,IF($Q264="",$N264,$Q264*1.03)),IF($N264&lt;=3000,1,IF($N264&lt;=5000,5,IF($N264&lt;=30000,10,IF($N264&lt;=50000,50,IF($N264&lt;=300000,100,500))))))),  IF($H264&lt;$F264*(1+$AG$2),$N264,FLOOR(MAX($N264,IF($P264="",$N264,$P264*0.97)),IF($N264&lt;=3000,1,IF($N264&lt;=5000,5,IF($N264&lt;=30000,10,IF($N264&lt;=50000,50,IF($N264&lt;=300000,100,500))))))))))</f>
      </c>
      <c r="S264" s="480" t="str">
        <f t="shared" si="89"/>
        <v/>
      </c>
      <c r="T264" s="596" t="str">
        <f t="shared" ca="1" si="95"/>
        <v/>
      </c>
      <c r="U264" s="598" t="str">
        <f t="shared" ca="1" si="96"/>
        <v/>
      </c>
      <c r="V264" s="703" t="str">
        <f t="shared" ca="1" si="90"/>
        <v/>
      </c>
      <c r="W264" s="480" t="str">
        <f t="shared" ca="1" si="97"/>
        <v/>
      </c>
      <c r="X264" s="480" t="str">
        <f t="shared" ca="1" si="98"/>
        <v/>
      </c>
      <c r="Y264" s="488">
        <f>IF($B264="","",IF(COUNTIFS($B$4:$B264,$B264,$C$4:$C264,$C264)&gt;1,"⛔重複"&amp;COUNTIFS($B$4:$B264,$B264,$C$4:$C264,$C264)&amp;"回目",""))</f>
      </c>
      <c r="Z264" s="710"/>
      <c r="AB264">
        <f>IF($F264="","",MAX(100,ROUNDDOWN($AG$4/($F264*$AG$2)/100,0)*100))</f>
      </c>
      <c r="AC264">
        <f>IF(OR($F264="",$G264="",$U264=""),"",ROUND($V264-($F264+$U264)*$G264*$AG$6-IF($C264="売",$F264*$G264*$AG$7*$W264/365,0),0))</f>
      </c>
      <c r="AD264" s="608"/>
      <c r="AE264" s="600" t="str">
        <f t="shared" si="99"/>
        <v/>
      </c>
      <c r="AF264" s="600"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00"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00" t="str">
        <f t="shared" ca="1" si="100"/>
        <v/>
      </c>
      <c r="AI264" s="600" t="str" cm="1">
        <f t="array" ref="AI264">IFERROR(INDEX(始値!$E$6:$BT$305,MATCH(TEXT($B264,"0"),TEXT(銘柄管理!$B$6:$B$305,"0"),0),MATCH($AE264,始値!$E$3:$BT$3,0)),"")</f>
        <v/>
      </c>
      <c r="AJ264" s="608" t="str">
        <f t="shared" ca="1" si="101"/>
        <v/>
      </c>
      <c r="AK264" s="600" t="str">
        <f t="shared" ca="1" si="102"/>
        <v/>
      </c>
    </row>
    <row r="265" spans="1:37" ht="17.25" customHeight="1">
      <c r="A265" s="621" t="str">
        <f t="shared" si="91"/>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BT$3,0)=1,1,MATCH($E265,始値!$E$3:$BT$3,0)+1)),_xlpm.v,INDEX(始値!$C$6:$B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 t="shared" ca="1" si="86"/>
        <v/>
      </c>
      <c r="L265" s="708" t="str">
        <f t="shared" ca="1" si="87"/>
        <v/>
      </c>
      <c r="M265" s="598">
        <f>IF($F265="","",IF($C265="売",CEILING($F265*IF($C265="売",1-$AG$3,1+$AG$3),IF($F265*IF($C265="売",1-$AG$3,1+$AG$3)&lt;=3000,1,IF($F265*IF($C265="売",1-$AG$3,1+$AG$3)&lt;=5000,5,IF($F265*IF($C265="売",1-$AG$3,1+$AG$3)&lt;=30000,10,IF($F265*IF($C265="売",1-$AG$3,1+$AG$3)&lt;=50000,50,IF($F265*IF($C265="売",1-$AG$3,1+$AG$3)&lt;=300000,100,500)))))),FLOOR($F265*IF($C265="売",1-$AG$3,1+$AG$3),IF($F265*IF($C265="売",1-$AG$3,1+$AG$3)&lt;=3000,1,IF($F265*IF($C265="売",1-$AG$3,1+$AG$3)&lt;=5000,5,IF($F265*IF($C265="売",1-$AG$3,1+$AG$3)&lt;=30000,10,IF($F265*IF($C265="売",1-$AG$3,1+$AG$3)&lt;=50000,50,IF($F265*IF($C265="売",1-$AG$3,1+$AG$3)&lt;=300000,100,500))))))))</f>
      </c>
      <c r="N265" s="598">
        <f>IF($F265="","",IF($C265="売",CEILING($F265*IF($C265="売",1+$AG$2,1-$AG$2),IF($F265*IF($C265="売",1+$AG$2,1-$AG$2)&lt;=3000,1,IF($F265*IF($C265="売",1+$AG$2,1-$AG$2)&lt;=5000,5,IF($F265*IF($C265="売",1+$AG$2,1-$AG$2)&lt;=30000,10,IF($F265*IF($C265="売",1+$AG$2,1-$AG$2)&lt;=50000,50,IF($F265*IF($C265="売",1+$AG$2,1-$AG$2)&lt;=300000,100,500)))))),FLOOR($F265*IF($C265="売",1+$AG$2,1-$AG$2),IF($F265*IF($C265="売",1+$AG$2,1-$AG$2)&lt;=3000,1,IF($F265*IF($C265="売",1+$AG$2,1-$AG$2)&lt;=5000,5,IF($F265*IF($C265="売",1+$AG$2,1-$AG$2)&lt;=30000,10,IF($F265*IF($C265="売",1+$AG$2,1-$AG$2)&lt;=50000,50,IF($F265*IF($C265="売",1+$AG$2,1-$AG$2)&lt;=300000,100,500))))))))</f>
      </c>
      <c r="O265" s="478">
        <f>IF(OR($B265="",$F265="",$H265=""),"",IF($S265="✅売却済","―決済済―",IF($C265="売",  IF($H265&lt;=$M265,"🟢利確",  IF(AND($R265&lt;&gt;"",$H265&gt;=$R265),"🟠TRAIL決済",  IF($H265&gt;=$N265,"🔴損切",  IF($W265&gt;=$AG$5,"⏱時間決済",  IF($H265&gt;=$F265*(1+$AG$2*0.7),"⚠️損切接近","保持継続"))))),  IF($H265&gt;=$M265,"🟢利確",  IF(AND($R265&lt;&gt;"",$H265&lt;=$R265),"🟠TRAIL決済",  IF($H265&lt;=$N265,"🔴損切",  IF($W265&gt;=$AG$5,"⏱時間決済",  IF($H265&lt;=$F265*(1-$AG$2*0.7),"⚠️損切接近","保持継続")))))))</f>
      </c>
      <c r="P265" s="445"/>
      <c r="Q265" s="445"/>
      <c r="R265" s="480">
        <f>IF(OR($F265="",$H265="",$N265=""),"",IF($S265="✅売却済","",IF($C265="売",  IF($H265&gt;$F265*(1-$AG$2),$N265,CEILING(MIN($N265,IF($Q265="",$N265,$Q265*1.03)),IF($N265&lt;=3000,1,IF($N265&lt;=5000,5,IF($N265&lt;=30000,10,IF($N265&lt;=50000,50,IF($N265&lt;=300000,100,500))))))),  IF($H265&lt;$F265*(1+$AG$2),$N265,FLOOR(MAX($N265,IF($P265="",$N265,$P265*0.97)),IF($N265&lt;=3000,1,IF($N265&lt;=5000,5,IF($N265&lt;=30000,10,IF($N265&lt;=50000,50,IF($N265&lt;=300000,100,500))))))))))</f>
      </c>
      <c r="S265" s="480" t="str">
        <f t="shared" si="89"/>
        <v/>
      </c>
      <c r="T265" s="596" t="str">
        <f t="shared" ca="1" si="95"/>
        <v/>
      </c>
      <c r="U265" s="598" t="str">
        <f t="shared" ca="1" si="96"/>
        <v/>
      </c>
      <c r="V265" s="703" t="str">
        <f t="shared" ca="1" si="90"/>
        <v/>
      </c>
      <c r="W265" s="480" t="str">
        <f t="shared" ca="1" si="97"/>
        <v/>
      </c>
      <c r="X265" s="480" t="str">
        <f t="shared" ca="1" si="98"/>
        <v/>
      </c>
      <c r="Y265" s="488">
        <f>IF($B265="","",IF(COUNTIFS($B$4:$B265,$B265,$C$4:$C265,$C265)&gt;1,"⛔重複"&amp;COUNTIFS($B$4:$B265,$B265,$C$4:$C265,$C265)&amp;"回目",""))</f>
      </c>
      <c r="Z265" s="710"/>
      <c r="AB265">
        <f>IF($F265="","",MAX(100,ROUNDDOWN($AG$4/($F265*$AG$2)/100,0)*100))</f>
      </c>
      <c r="AC265">
        <f>IF(OR($F265="",$G265="",$U265=""),"",ROUND($V265-($F265+$U265)*$G265*$AG$6-IF($C265="売",$F265*$G265*$AG$7*$W265/365,0),0))</f>
      </c>
      <c r="AD265" s="608"/>
      <c r="AE265" s="600" t="str">
        <f t="shared" si="99"/>
        <v/>
      </c>
      <c r="AF265" s="600"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00"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00" t="str">
        <f t="shared" ca="1" si="100"/>
        <v/>
      </c>
      <c r="AI265" s="600" t="str" cm="1">
        <f t="array" ref="AI265">IFERROR(INDEX(始値!$E$6:$BT$305,MATCH(TEXT($B265,"0"),TEXT(銘柄管理!$B$6:$B$305,"0"),0),MATCH($AE265,始値!$E$3:$BT$3,0)),"")</f>
        <v/>
      </c>
      <c r="AJ265" s="608" t="str">
        <f t="shared" ca="1" si="101"/>
        <v/>
      </c>
      <c r="AK265" s="600" t="str">
        <f t="shared" ca="1" si="102"/>
        <v/>
      </c>
    </row>
    <row r="266" spans="1:37" ht="17.25" customHeight="1">
      <c r="A266" s="621" t="str">
        <f t="shared" si="91"/>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BT$3,0)=1,1,MATCH($E266,始値!$E$3:$BT$3,0)+1)),_xlpm.v,INDEX(始値!$C$6:$B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 t="shared" ref="K266:K329" ca="1" si="103">IF(OR(F266="",G266="",H266=""),"",IF(C266="売",(F266-H266)*G266,(H266-F266)*G266))</f>
        <v/>
      </c>
      <c r="L266" s="708" t="str">
        <f t="shared" ref="L266:L329" ca="1" si="104">IF(OR(F266="",H266=""),"",IF(C266="売",(F266-H266)/F266,(H266-F266)/F266))</f>
        <v/>
      </c>
      <c r="M266" s="598">
        <f>IF($F266="","",IF($C266="売",CEILING($F266*IF($C266="売",1-$AG$3,1+$AG$3),IF($F266*IF($C266="売",1-$AG$3,1+$AG$3)&lt;=3000,1,IF($F266*IF($C266="売",1-$AG$3,1+$AG$3)&lt;=5000,5,IF($F266*IF($C266="売",1-$AG$3,1+$AG$3)&lt;=30000,10,IF($F266*IF($C266="売",1-$AG$3,1+$AG$3)&lt;=50000,50,IF($F266*IF($C266="売",1-$AG$3,1+$AG$3)&lt;=300000,100,500)))))),FLOOR($F266*IF($C266="売",1-$AG$3,1+$AG$3),IF($F266*IF($C266="売",1-$AG$3,1+$AG$3)&lt;=3000,1,IF($F266*IF($C266="売",1-$AG$3,1+$AG$3)&lt;=5000,5,IF($F266*IF($C266="売",1-$AG$3,1+$AG$3)&lt;=30000,10,IF($F266*IF($C266="売",1-$AG$3,1+$AG$3)&lt;=50000,50,IF($F266*IF($C266="売",1-$AG$3,1+$AG$3)&lt;=300000,100,500))))))))</f>
      </c>
      <c r="N266" s="598">
        <f>IF($F266="","",IF($C266="売",CEILING($F266*IF($C266="売",1+$AG$2,1-$AG$2),IF($F266*IF($C266="売",1+$AG$2,1-$AG$2)&lt;=3000,1,IF($F266*IF($C266="売",1+$AG$2,1-$AG$2)&lt;=5000,5,IF($F266*IF($C266="売",1+$AG$2,1-$AG$2)&lt;=30000,10,IF($F266*IF($C266="売",1+$AG$2,1-$AG$2)&lt;=50000,50,IF($F266*IF($C266="売",1+$AG$2,1-$AG$2)&lt;=300000,100,500)))))),FLOOR($F266*IF($C266="売",1+$AG$2,1-$AG$2),IF($F266*IF($C266="売",1+$AG$2,1-$AG$2)&lt;=3000,1,IF($F266*IF($C266="売",1+$AG$2,1-$AG$2)&lt;=5000,5,IF($F266*IF($C266="売",1+$AG$2,1-$AG$2)&lt;=30000,10,IF($F266*IF($C266="売",1+$AG$2,1-$AG$2)&lt;=50000,50,IF($F266*IF($C266="売",1+$AG$2,1-$AG$2)&lt;=300000,100,500))))))))</f>
      </c>
      <c r="O266" s="478">
        <f>IF(OR($B266="",$F266="",$H266=""),"",IF($S266="✅売却済","―決済済―",IF($C266="売",  IF($H266&lt;=$M266,"🟢利確",  IF(AND($R266&lt;&gt;"",$H266&gt;=$R266),"🟠TRAIL決済",  IF($H266&gt;=$N266,"🔴損切",  IF($W266&gt;=$AG$5,"⏱時間決済",  IF($H266&gt;=$F266*(1+$AG$2*0.7),"⚠️損切接近","保持継続"))))),  IF($H266&gt;=$M266,"🟢利確",  IF(AND($R266&lt;&gt;"",$H266&lt;=$R266),"🟠TRAIL決済",  IF($H266&lt;=$N266,"🔴損切",  IF($W266&gt;=$AG$5,"⏱時間決済",  IF($H266&lt;=$F266*(1-$AG$2*0.7),"⚠️損切接近","保持継続")))))))</f>
      </c>
      <c r="P266" s="445"/>
      <c r="Q266" s="445"/>
      <c r="R266" s="480">
        <f>IF(OR($F266="",$H266="",$N266=""),"",IF($S266="✅売却済","",IF($C266="売",  IF($H266&gt;$F266*(1-$AG$2),$N266,CEILING(MIN($N266,IF($Q266="",$N266,$Q266*1.03)),IF($N266&lt;=3000,1,IF($N266&lt;=5000,5,IF($N266&lt;=30000,10,IF($N266&lt;=50000,50,IF($N266&lt;=300000,100,500))))))),  IF($H266&lt;$F266*(1+$AG$2),$N266,FLOOR(MAX($N266,IF($P266="",$N266,$P266*0.97)),IF($N266&lt;=3000,1,IF($N266&lt;=5000,5,IF($N266&lt;=30000,10,IF($N266&lt;=50000,50,IF($N266&lt;=300000,100,500))))))))))</f>
      </c>
      <c r="S266" s="480" t="str">
        <f t="shared" ref="S266:S329" si="106">IF(B266="","",IF(T266&lt;&gt;"","✅売却済",IF(OR(H266="",L266=""),"📌保有中",IF(L266&gt;=0.06,"🟢利確推奨",IF(L266&gt;=0.05,"🟡利確直近",IF(L266&gt;=0.045,"🔵トレーリング検討",IF(L266&gt;-0.03,"📌保有中",IF(L266&gt;-0.04,"⚠️損切注意","🔴損切り"))))))))</f>
        <v/>
      </c>
      <c r="T266" s="596" t="str">
        <f t="shared" ca="1" si="95"/>
        <v/>
      </c>
      <c r="U266" s="598" t="str">
        <f t="shared" ca="1" si="96"/>
        <v/>
      </c>
      <c r="V266" s="703" t="str">
        <f t="shared" ref="V266:V329" ca="1" si="107">IF(OR(F266="",G266="",U266=""),"",IF(C266="売",(F266-U266)*G266,(U266-F266)*G266))</f>
        <v/>
      </c>
      <c r="W266" s="480" t="str">
        <f t="shared" ca="1" si="97"/>
        <v/>
      </c>
      <c r="X266" s="480" t="str">
        <f t="shared" ca="1" si="98"/>
        <v/>
      </c>
      <c r="Y266" s="488">
        <f>IF($B266="","",IF(COUNTIFS($B$4:$B266,$B266,$C$4:$C266,$C266)&gt;1,"⛔重複"&amp;COUNTIFS($B$4:$B266,$B266,$C$4:$C266,$C266)&amp;"回目",""))</f>
      </c>
      <c r="Z266" s="710"/>
      <c r="AB266">
        <f>IF($F266="","",MAX(100,ROUNDDOWN($AG$4/($F266*$AG$2)/100,0)*100))</f>
      </c>
      <c r="AC266">
        <f>IF(OR($F266="",$G266="",$U266=""),"",ROUND($V266-($F266+$U266)*$G266*$AG$6-IF($C266="売",$F266*$G266*$AG$7*$W266/365,0),0))</f>
      </c>
      <c r="AD266" s="608"/>
      <c r="AE266" s="600" t="str">
        <f t="shared" si="99"/>
        <v/>
      </c>
      <c r="AF266" s="600"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00"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00" t="str">
        <f t="shared" ca="1" si="100"/>
        <v/>
      </c>
      <c r="AI266" s="600" t="str" cm="1">
        <f t="array" ref="AI266">IFERROR(INDEX(始値!$E$6:$BT$305,MATCH(TEXT($B266,"0"),TEXT(銘柄管理!$B$6:$B$305,"0"),0),MATCH($AE266,始値!$E$3:$BT$3,0)),"")</f>
        <v/>
      </c>
      <c r="AJ266" s="608" t="str">
        <f t="shared" ca="1" si="101"/>
        <v/>
      </c>
      <c r="AK266" s="600" t="str">
        <f t="shared" ca="1" si="102"/>
        <v/>
      </c>
    </row>
    <row r="267" spans="1:37" ht="17.25" customHeight="1">
      <c r="A267" s="621" t="str">
        <f t="shared" si="91"/>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BT$3,0)=1,1,MATCH($E267,始値!$E$3:$BT$3,0)+1)),_xlpm.v,INDEX(始値!$C$6:$B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 t="shared" ca="1" si="103"/>
        <v/>
      </c>
      <c r="L267" s="708" t="str">
        <f t="shared" ca="1" si="104"/>
        <v/>
      </c>
      <c r="M267" s="598">
        <f>IF($F267="","",IF($C267="売",CEILING($F267*IF($C267="売",1-$AG$3,1+$AG$3),IF($F267*IF($C267="売",1-$AG$3,1+$AG$3)&lt;=3000,1,IF($F267*IF($C267="売",1-$AG$3,1+$AG$3)&lt;=5000,5,IF($F267*IF($C267="売",1-$AG$3,1+$AG$3)&lt;=30000,10,IF($F267*IF($C267="売",1-$AG$3,1+$AG$3)&lt;=50000,50,IF($F267*IF($C267="売",1-$AG$3,1+$AG$3)&lt;=300000,100,500)))))),FLOOR($F267*IF($C267="売",1-$AG$3,1+$AG$3),IF($F267*IF($C267="売",1-$AG$3,1+$AG$3)&lt;=3000,1,IF($F267*IF($C267="売",1-$AG$3,1+$AG$3)&lt;=5000,5,IF($F267*IF($C267="売",1-$AG$3,1+$AG$3)&lt;=30000,10,IF($F267*IF($C267="売",1-$AG$3,1+$AG$3)&lt;=50000,50,IF($F267*IF($C267="売",1-$AG$3,1+$AG$3)&lt;=300000,100,500))))))))</f>
      </c>
      <c r="N267" s="598">
        <f>IF($F267="","",IF($C267="売",CEILING($F267*IF($C267="売",1+$AG$2,1-$AG$2),IF($F267*IF($C267="売",1+$AG$2,1-$AG$2)&lt;=3000,1,IF($F267*IF($C267="売",1+$AG$2,1-$AG$2)&lt;=5000,5,IF($F267*IF($C267="売",1+$AG$2,1-$AG$2)&lt;=30000,10,IF($F267*IF($C267="売",1+$AG$2,1-$AG$2)&lt;=50000,50,IF($F267*IF($C267="売",1+$AG$2,1-$AG$2)&lt;=300000,100,500)))))),FLOOR($F267*IF($C267="売",1+$AG$2,1-$AG$2),IF($F267*IF($C267="売",1+$AG$2,1-$AG$2)&lt;=3000,1,IF($F267*IF($C267="売",1+$AG$2,1-$AG$2)&lt;=5000,5,IF($F267*IF($C267="売",1+$AG$2,1-$AG$2)&lt;=30000,10,IF($F267*IF($C267="売",1+$AG$2,1-$AG$2)&lt;=50000,50,IF($F267*IF($C267="売",1+$AG$2,1-$AG$2)&lt;=300000,100,500))))))))</f>
      </c>
      <c r="O267" s="478">
        <f>IF(OR($B267="",$F267="",$H267=""),"",IF($S267="✅売却済","―決済済―",IF($C267="売",  IF($H267&lt;=$M267,"🟢利確",  IF(AND($R267&lt;&gt;"",$H267&gt;=$R267),"🟠TRAIL決済",  IF($H267&gt;=$N267,"🔴損切",  IF($W267&gt;=$AG$5,"⏱時間決済",  IF($H267&gt;=$F267*(1+$AG$2*0.7),"⚠️損切接近","保持継続"))))),  IF($H267&gt;=$M267,"🟢利確",  IF(AND($R267&lt;&gt;"",$H267&lt;=$R267),"🟠TRAIL決済",  IF($H267&lt;=$N267,"🔴損切",  IF($W267&gt;=$AG$5,"⏱時間決済",  IF($H267&lt;=$F267*(1-$AG$2*0.7),"⚠️損切接近","保持継続")))))))</f>
      </c>
      <c r="P267" s="445"/>
      <c r="Q267" s="445"/>
      <c r="R267" s="480">
        <f>IF(OR($F267="",$H267="",$N267=""),"",IF($S267="✅売却済","",IF($C267="売",  IF($H267&gt;$F267*(1-$AG$2),$N267,CEILING(MIN($N267,IF($Q267="",$N267,$Q267*1.03)),IF($N267&lt;=3000,1,IF($N267&lt;=5000,5,IF($N267&lt;=30000,10,IF($N267&lt;=50000,50,IF($N267&lt;=300000,100,500))))))),  IF($H267&lt;$F267*(1+$AG$2),$N267,FLOOR(MAX($N267,IF($P267="",$N267,$P267*0.97)),IF($N267&lt;=3000,1,IF($N267&lt;=5000,5,IF($N267&lt;=30000,10,IF($N267&lt;=50000,50,IF($N267&lt;=300000,100,500))))))))))</f>
      </c>
      <c r="S267" s="480" t="str">
        <f t="shared" si="106"/>
        <v/>
      </c>
      <c r="T267" s="596" t="str">
        <f t="shared" ca="1" si="95"/>
        <v/>
      </c>
      <c r="U267" s="598" t="str">
        <f t="shared" ca="1" si="96"/>
        <v/>
      </c>
      <c r="V267" s="703" t="str">
        <f t="shared" ca="1" si="107"/>
        <v/>
      </c>
      <c r="W267" s="480" t="str">
        <f t="shared" ca="1" si="97"/>
        <v/>
      </c>
      <c r="X267" s="480" t="str">
        <f t="shared" ca="1" si="98"/>
        <v/>
      </c>
      <c r="Y267" s="488">
        <f>IF($B267="","",IF(COUNTIFS($B$4:$B267,$B267,$C$4:$C267,$C267)&gt;1,"⛔重複"&amp;COUNTIFS($B$4:$B267,$B267,$C$4:$C267,$C267)&amp;"回目",""))</f>
      </c>
      <c r="Z267" s="710"/>
      <c r="AB267">
        <f>IF($F267="","",MAX(100,ROUNDDOWN($AG$4/($F267*$AG$2)/100,0)*100))</f>
      </c>
      <c r="AC267">
        <f>IF(OR($F267="",$G267="",$U267=""),"",ROUND($V267-($F267+$U267)*$G267*$AG$6-IF($C267="売",$F267*$G267*$AG$7*$W267/365,0),0))</f>
      </c>
      <c r="AD267" s="608"/>
      <c r="AE267" s="600" t="str">
        <f t="shared" si="99"/>
        <v/>
      </c>
      <c r="AF267" s="600"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00"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00" t="str">
        <f t="shared" ca="1" si="100"/>
        <v/>
      </c>
      <c r="AI267" s="600" t="str" cm="1">
        <f t="array" ref="AI267">IFERROR(INDEX(始値!$E$6:$BT$305,MATCH(TEXT($B267,"0"),TEXT(銘柄管理!$B$6:$B$305,"0"),0),MATCH($AE267,始値!$E$3:$BT$3,0)),"")</f>
        <v/>
      </c>
      <c r="AJ267" s="608" t="str">
        <f t="shared" ca="1" si="101"/>
        <v/>
      </c>
      <c r="AK267" s="600" t="str">
        <f t="shared" ca="1" si="102"/>
        <v/>
      </c>
    </row>
    <row r="268" spans="1:37" ht="17.25" customHeight="1">
      <c r="A268" s="621" t="str">
        <f t="shared" si="91"/>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BT$3,0)=1,1,MATCH($E268,始値!$E$3:$BT$3,0)+1)),_xlpm.v,INDEX(始値!$C$6:$B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 t="shared" ca="1" si="103"/>
        <v/>
      </c>
      <c r="L268" s="708" t="str">
        <f t="shared" ca="1" si="104"/>
        <v/>
      </c>
      <c r="M268" s="598">
        <f>IF($F268="","",IF($C268="売",CEILING($F268*IF($C268="売",1-$AG$3,1+$AG$3),IF($F268*IF($C268="売",1-$AG$3,1+$AG$3)&lt;=3000,1,IF($F268*IF($C268="売",1-$AG$3,1+$AG$3)&lt;=5000,5,IF($F268*IF($C268="売",1-$AG$3,1+$AG$3)&lt;=30000,10,IF($F268*IF($C268="売",1-$AG$3,1+$AG$3)&lt;=50000,50,IF($F268*IF($C268="売",1-$AG$3,1+$AG$3)&lt;=300000,100,500)))))),FLOOR($F268*IF($C268="売",1-$AG$3,1+$AG$3),IF($F268*IF($C268="売",1-$AG$3,1+$AG$3)&lt;=3000,1,IF($F268*IF($C268="売",1-$AG$3,1+$AG$3)&lt;=5000,5,IF($F268*IF($C268="売",1-$AG$3,1+$AG$3)&lt;=30000,10,IF($F268*IF($C268="売",1-$AG$3,1+$AG$3)&lt;=50000,50,IF($F268*IF($C268="売",1-$AG$3,1+$AG$3)&lt;=300000,100,500))))))))</f>
      </c>
      <c r="N268" s="598">
        <f>IF($F268="","",IF($C268="売",CEILING($F268*IF($C268="売",1+$AG$2,1-$AG$2),IF($F268*IF($C268="売",1+$AG$2,1-$AG$2)&lt;=3000,1,IF($F268*IF($C268="売",1+$AG$2,1-$AG$2)&lt;=5000,5,IF($F268*IF($C268="売",1+$AG$2,1-$AG$2)&lt;=30000,10,IF($F268*IF($C268="売",1+$AG$2,1-$AG$2)&lt;=50000,50,IF($F268*IF($C268="売",1+$AG$2,1-$AG$2)&lt;=300000,100,500)))))),FLOOR($F268*IF($C268="売",1+$AG$2,1-$AG$2),IF($F268*IF($C268="売",1+$AG$2,1-$AG$2)&lt;=3000,1,IF($F268*IF($C268="売",1+$AG$2,1-$AG$2)&lt;=5000,5,IF($F268*IF($C268="売",1+$AG$2,1-$AG$2)&lt;=30000,10,IF($F268*IF($C268="売",1+$AG$2,1-$AG$2)&lt;=50000,50,IF($F268*IF($C268="売",1+$AG$2,1-$AG$2)&lt;=300000,100,500))))))))</f>
      </c>
      <c r="O268" s="478">
        <f>IF(OR($B268="",$F268="",$H268=""),"",IF($S268="✅売却済","―決済済―",IF($C268="売",  IF($H268&lt;=$M268,"🟢利確",  IF(AND($R268&lt;&gt;"",$H268&gt;=$R268),"🟠TRAIL決済",  IF($H268&gt;=$N268,"🔴損切",  IF($W268&gt;=$AG$5,"⏱時間決済",  IF($H268&gt;=$F268*(1+$AG$2*0.7),"⚠️損切接近","保持継続"))))),  IF($H268&gt;=$M268,"🟢利確",  IF(AND($R268&lt;&gt;"",$H268&lt;=$R268),"🟠TRAIL決済",  IF($H268&lt;=$N268,"🔴損切",  IF($W268&gt;=$AG$5,"⏱時間決済",  IF($H268&lt;=$F268*(1-$AG$2*0.7),"⚠️損切接近","保持継続")))))))</f>
      </c>
      <c r="P268" s="445"/>
      <c r="Q268" s="445"/>
      <c r="R268" s="480">
        <f>IF(OR($F268="",$H268="",$N268=""),"",IF($S268="✅売却済","",IF($C268="売",  IF($H268&gt;$F268*(1-$AG$2),$N268,CEILING(MIN($N268,IF($Q268="",$N268,$Q268*1.03)),IF($N268&lt;=3000,1,IF($N268&lt;=5000,5,IF($N268&lt;=30000,10,IF($N268&lt;=50000,50,IF($N268&lt;=300000,100,500))))))),  IF($H268&lt;$F268*(1+$AG$2),$N268,FLOOR(MAX($N268,IF($P268="",$N268,$P268*0.97)),IF($N268&lt;=3000,1,IF($N268&lt;=5000,5,IF($N268&lt;=30000,10,IF($N268&lt;=50000,50,IF($N268&lt;=300000,100,500))))))))))</f>
      </c>
      <c r="S268" s="480" t="str">
        <f t="shared" si="106"/>
        <v/>
      </c>
      <c r="T268" s="596" t="str">
        <f t="shared" ca="1" si="95"/>
        <v/>
      </c>
      <c r="U268" s="598" t="str">
        <f t="shared" ca="1" si="96"/>
        <v/>
      </c>
      <c r="V268" s="703" t="str">
        <f t="shared" ca="1" si="107"/>
        <v/>
      </c>
      <c r="W268" s="480" t="str">
        <f t="shared" ca="1" si="97"/>
        <v/>
      </c>
      <c r="X268" s="480" t="str">
        <f t="shared" ca="1" si="98"/>
        <v/>
      </c>
      <c r="Y268" s="488">
        <f>IF($B268="","",IF(COUNTIFS($B$4:$B268,$B268,$C$4:$C268,$C268)&gt;1,"⛔重複"&amp;COUNTIFS($B$4:$B268,$B268,$C$4:$C268,$C268)&amp;"回目",""))</f>
      </c>
      <c r="Z268" s="710"/>
      <c r="AB268">
        <f>IF($F268="","",MAX(100,ROUNDDOWN($AG$4/($F268*$AG$2)/100,0)*100))</f>
      </c>
      <c r="AC268">
        <f>IF(OR($F268="",$G268="",$U268=""),"",ROUND($V268-($F268+$U268)*$G268*$AG$6-IF($C268="売",$F268*$G268*$AG$7*$W268/365,0),0))</f>
      </c>
      <c r="AD268" s="608"/>
      <c r="AE268" s="600" t="str">
        <f t="shared" si="99"/>
        <v/>
      </c>
      <c r="AF268" s="600"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00"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00" t="str">
        <f t="shared" ca="1" si="100"/>
        <v/>
      </c>
      <c r="AI268" s="600" t="str" cm="1">
        <f t="array" ref="AI268">IFERROR(INDEX(始値!$E$6:$BT$305,MATCH(TEXT($B268,"0"),TEXT(銘柄管理!$B$6:$B$305,"0"),0),MATCH($AE268,始値!$E$3:$BT$3,0)),"")</f>
        <v/>
      </c>
      <c r="AJ268" s="608" t="str">
        <f t="shared" ca="1" si="101"/>
        <v/>
      </c>
      <c r="AK268" s="600" t="str">
        <f t="shared" ca="1" si="102"/>
        <v/>
      </c>
    </row>
    <row r="269" spans="1:37" ht="17.25" customHeight="1">
      <c r="A269" s="621" t="str">
        <f t="shared" si="91"/>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BT$3,0)=1,1,MATCH($E269,始値!$E$3:$BT$3,0)+1)),_xlpm.v,INDEX(始値!$C$6:$B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 t="shared" ca="1" si="103"/>
        <v/>
      </c>
      <c r="L269" s="708" t="str">
        <f t="shared" ca="1" si="104"/>
        <v/>
      </c>
      <c r="M269" s="598">
        <f>IF($F269="","",IF($C269="売",CEILING($F269*IF($C269="売",1-$AG$3,1+$AG$3),IF($F269*IF($C269="売",1-$AG$3,1+$AG$3)&lt;=3000,1,IF($F269*IF($C269="売",1-$AG$3,1+$AG$3)&lt;=5000,5,IF($F269*IF($C269="売",1-$AG$3,1+$AG$3)&lt;=30000,10,IF($F269*IF($C269="売",1-$AG$3,1+$AG$3)&lt;=50000,50,IF($F269*IF($C269="売",1-$AG$3,1+$AG$3)&lt;=300000,100,500)))))),FLOOR($F269*IF($C269="売",1-$AG$3,1+$AG$3),IF($F269*IF($C269="売",1-$AG$3,1+$AG$3)&lt;=3000,1,IF($F269*IF($C269="売",1-$AG$3,1+$AG$3)&lt;=5000,5,IF($F269*IF($C269="売",1-$AG$3,1+$AG$3)&lt;=30000,10,IF($F269*IF($C269="売",1-$AG$3,1+$AG$3)&lt;=50000,50,IF($F269*IF($C269="売",1-$AG$3,1+$AG$3)&lt;=300000,100,500))))))))</f>
      </c>
      <c r="N269" s="598">
        <f>IF($F269="","",IF($C269="売",CEILING($F269*IF($C269="売",1+$AG$2,1-$AG$2),IF($F269*IF($C269="売",1+$AG$2,1-$AG$2)&lt;=3000,1,IF($F269*IF($C269="売",1+$AG$2,1-$AG$2)&lt;=5000,5,IF($F269*IF($C269="売",1+$AG$2,1-$AG$2)&lt;=30000,10,IF($F269*IF($C269="売",1+$AG$2,1-$AG$2)&lt;=50000,50,IF($F269*IF($C269="売",1+$AG$2,1-$AG$2)&lt;=300000,100,500)))))),FLOOR($F269*IF($C269="売",1+$AG$2,1-$AG$2),IF($F269*IF($C269="売",1+$AG$2,1-$AG$2)&lt;=3000,1,IF($F269*IF($C269="売",1+$AG$2,1-$AG$2)&lt;=5000,5,IF($F269*IF($C269="売",1+$AG$2,1-$AG$2)&lt;=30000,10,IF($F269*IF($C269="売",1+$AG$2,1-$AG$2)&lt;=50000,50,IF($F269*IF($C269="売",1+$AG$2,1-$AG$2)&lt;=300000,100,500))))))))</f>
      </c>
      <c r="O269" s="478">
        <f>IF(OR($B269="",$F269="",$H269=""),"",IF($S269="✅売却済","―決済済―",IF($C269="売",  IF($H269&lt;=$M269,"🟢利確",  IF(AND($R269&lt;&gt;"",$H269&gt;=$R269),"🟠TRAIL決済",  IF($H269&gt;=$N269,"🔴損切",  IF($W269&gt;=$AG$5,"⏱時間決済",  IF($H269&gt;=$F269*(1+$AG$2*0.7),"⚠️損切接近","保持継続"))))),  IF($H269&gt;=$M269,"🟢利確",  IF(AND($R269&lt;&gt;"",$H269&lt;=$R269),"🟠TRAIL決済",  IF($H269&lt;=$N269,"🔴損切",  IF($W269&gt;=$AG$5,"⏱時間決済",  IF($H269&lt;=$F269*(1-$AG$2*0.7),"⚠️損切接近","保持継続")))))))</f>
      </c>
      <c r="P269" s="445"/>
      <c r="Q269" s="445"/>
      <c r="R269" s="480">
        <f>IF(OR($F269="",$H269="",$N269=""),"",IF($S269="✅売却済","",IF($C269="売",  IF($H269&gt;$F269*(1-$AG$2),$N269,CEILING(MIN($N269,IF($Q269="",$N269,$Q269*1.03)),IF($N269&lt;=3000,1,IF($N269&lt;=5000,5,IF($N269&lt;=30000,10,IF($N269&lt;=50000,50,IF($N269&lt;=300000,100,500))))))),  IF($H269&lt;$F269*(1+$AG$2),$N269,FLOOR(MAX($N269,IF($P269="",$N269,$P269*0.97)),IF($N269&lt;=3000,1,IF($N269&lt;=5000,5,IF($N269&lt;=30000,10,IF($N269&lt;=50000,50,IF($N269&lt;=300000,100,500))))))))))</f>
      </c>
      <c r="S269" s="480" t="str">
        <f t="shared" si="106"/>
        <v/>
      </c>
      <c r="T269" s="596" t="str">
        <f t="shared" ca="1" si="95"/>
        <v/>
      </c>
      <c r="U269" s="598" t="str">
        <f t="shared" ca="1" si="96"/>
        <v/>
      </c>
      <c r="V269" s="703" t="str">
        <f t="shared" ca="1" si="107"/>
        <v/>
      </c>
      <c r="W269" s="480" t="str">
        <f t="shared" ca="1" si="97"/>
        <v/>
      </c>
      <c r="X269" s="480" t="str">
        <f t="shared" ca="1" si="98"/>
        <v/>
      </c>
      <c r="Y269" s="488">
        <f>IF($B269="","",IF(COUNTIFS($B$4:$B269,$B269,$C$4:$C269,$C269)&gt;1,"⛔重複"&amp;COUNTIFS($B$4:$B269,$B269,$C$4:$C269,$C269)&amp;"回目",""))</f>
      </c>
      <c r="Z269" s="710"/>
      <c r="AB269">
        <f>IF($F269="","",MAX(100,ROUNDDOWN($AG$4/($F269*$AG$2)/100,0)*100))</f>
      </c>
      <c r="AC269">
        <f>IF(OR($F269="",$G269="",$U269=""),"",ROUND($V269-($F269+$U269)*$G269*$AG$6-IF($C269="売",$F269*$G269*$AG$7*$W269/365,0),0))</f>
      </c>
      <c r="AD269" s="608"/>
      <c r="AE269" s="600" t="str">
        <f t="shared" si="99"/>
        <v/>
      </c>
      <c r="AF269" s="600"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00"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00" t="str">
        <f t="shared" ca="1" si="100"/>
        <v/>
      </c>
      <c r="AI269" s="600" t="str" cm="1">
        <f t="array" ref="AI269">IFERROR(INDEX(始値!$E$6:$BT$305,MATCH(TEXT($B269,"0"),TEXT(銘柄管理!$B$6:$B$305,"0"),0),MATCH($AE269,始値!$E$3:$BT$3,0)),"")</f>
        <v/>
      </c>
      <c r="AJ269" s="608" t="str">
        <f t="shared" ca="1" si="101"/>
        <v/>
      </c>
      <c r="AK269" s="600" t="str">
        <f t="shared" ca="1" si="102"/>
        <v/>
      </c>
    </row>
    <row r="270" spans="1:37" ht="17.25" customHeight="1">
      <c r="A270" s="621" t="str">
        <f t="shared" si="91"/>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BT$3,0)=1,1,MATCH($E270,始値!$E$3:$BT$3,0)+1)),_xlpm.v,INDEX(始値!$C$6:$B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 t="shared" ca="1" si="103"/>
        <v/>
      </c>
      <c r="L270" s="708" t="str">
        <f t="shared" ca="1" si="104"/>
        <v/>
      </c>
      <c r="M270" s="598">
        <f>IF($F270="","",IF($C270="売",CEILING($F270*IF($C270="売",1-$AG$3,1+$AG$3),IF($F270*IF($C270="売",1-$AG$3,1+$AG$3)&lt;=3000,1,IF($F270*IF($C270="売",1-$AG$3,1+$AG$3)&lt;=5000,5,IF($F270*IF($C270="売",1-$AG$3,1+$AG$3)&lt;=30000,10,IF($F270*IF($C270="売",1-$AG$3,1+$AG$3)&lt;=50000,50,IF($F270*IF($C270="売",1-$AG$3,1+$AG$3)&lt;=300000,100,500)))))),FLOOR($F270*IF($C270="売",1-$AG$3,1+$AG$3),IF($F270*IF($C270="売",1-$AG$3,1+$AG$3)&lt;=3000,1,IF($F270*IF($C270="売",1-$AG$3,1+$AG$3)&lt;=5000,5,IF($F270*IF($C270="売",1-$AG$3,1+$AG$3)&lt;=30000,10,IF($F270*IF($C270="売",1-$AG$3,1+$AG$3)&lt;=50000,50,IF($F270*IF($C270="売",1-$AG$3,1+$AG$3)&lt;=300000,100,500))))))))</f>
      </c>
      <c r="N270" s="598">
        <f>IF($F270="","",IF($C270="売",CEILING($F270*IF($C270="売",1+$AG$2,1-$AG$2),IF($F270*IF($C270="売",1+$AG$2,1-$AG$2)&lt;=3000,1,IF($F270*IF($C270="売",1+$AG$2,1-$AG$2)&lt;=5000,5,IF($F270*IF($C270="売",1+$AG$2,1-$AG$2)&lt;=30000,10,IF($F270*IF($C270="売",1+$AG$2,1-$AG$2)&lt;=50000,50,IF($F270*IF($C270="売",1+$AG$2,1-$AG$2)&lt;=300000,100,500)))))),FLOOR($F270*IF($C270="売",1+$AG$2,1-$AG$2),IF($F270*IF($C270="売",1+$AG$2,1-$AG$2)&lt;=3000,1,IF($F270*IF($C270="売",1+$AG$2,1-$AG$2)&lt;=5000,5,IF($F270*IF($C270="売",1+$AG$2,1-$AG$2)&lt;=30000,10,IF($F270*IF($C270="売",1+$AG$2,1-$AG$2)&lt;=50000,50,IF($F270*IF($C270="売",1+$AG$2,1-$AG$2)&lt;=300000,100,500))))))))</f>
      </c>
      <c r="O270" s="478">
        <f>IF(OR($B270="",$F270="",$H270=""),"",IF($S270="✅売却済","―決済済―",IF($C270="売",  IF($H270&lt;=$M270,"🟢利確",  IF(AND($R270&lt;&gt;"",$H270&gt;=$R270),"🟠TRAIL決済",  IF($H270&gt;=$N270,"🔴損切",  IF($W270&gt;=$AG$5,"⏱時間決済",  IF($H270&gt;=$F270*(1+$AG$2*0.7),"⚠️損切接近","保持継続"))))),  IF($H270&gt;=$M270,"🟢利確",  IF(AND($R270&lt;&gt;"",$H270&lt;=$R270),"🟠TRAIL決済",  IF($H270&lt;=$N270,"🔴損切",  IF($W270&gt;=$AG$5,"⏱時間決済",  IF($H270&lt;=$F270*(1-$AG$2*0.7),"⚠️損切接近","保持継続")))))))</f>
      </c>
      <c r="P270" s="445"/>
      <c r="Q270" s="445"/>
      <c r="R270" s="480">
        <f>IF(OR($F270="",$H270="",$N270=""),"",IF($S270="✅売却済","",IF($C270="売",  IF($H270&gt;$F270*(1-$AG$2),$N270,CEILING(MIN($N270,IF($Q270="",$N270,$Q270*1.03)),IF($N270&lt;=3000,1,IF($N270&lt;=5000,5,IF($N270&lt;=30000,10,IF($N270&lt;=50000,50,IF($N270&lt;=300000,100,500))))))),  IF($H270&lt;$F270*(1+$AG$2),$N270,FLOOR(MAX($N270,IF($P270="",$N270,$P270*0.97)),IF($N270&lt;=3000,1,IF($N270&lt;=5000,5,IF($N270&lt;=30000,10,IF($N270&lt;=50000,50,IF($N270&lt;=300000,100,500))))))))))</f>
      </c>
      <c r="S270" s="480" t="str">
        <f t="shared" si="106"/>
        <v/>
      </c>
      <c r="T270" s="596" t="str">
        <f t="shared" ca="1" si="95"/>
        <v/>
      </c>
      <c r="U270" s="598" t="str">
        <f t="shared" ca="1" si="96"/>
        <v/>
      </c>
      <c r="V270" s="703" t="str">
        <f t="shared" ca="1" si="107"/>
        <v/>
      </c>
      <c r="W270" s="480" t="str">
        <f t="shared" ca="1" si="97"/>
        <v/>
      </c>
      <c r="X270" s="480" t="str">
        <f t="shared" ca="1" si="98"/>
        <v/>
      </c>
      <c r="Y270" s="488">
        <f>IF($B270="","",IF(COUNTIFS($B$4:$B270,$B270,$C$4:$C270,$C270)&gt;1,"⛔重複"&amp;COUNTIFS($B$4:$B270,$B270,$C$4:$C270,$C270)&amp;"回目",""))</f>
      </c>
      <c r="Z270" s="710"/>
      <c r="AB270">
        <f>IF($F270="","",MAX(100,ROUNDDOWN($AG$4/($F270*$AG$2)/100,0)*100))</f>
      </c>
      <c r="AC270">
        <f>IF(OR($F270="",$G270="",$U270=""),"",ROUND($V270-($F270+$U270)*$G270*$AG$6-IF($C270="売",$F270*$G270*$AG$7*$W270/365,0),0))</f>
      </c>
      <c r="AD270" s="608"/>
      <c r="AE270" s="600" t="str">
        <f t="shared" si="99"/>
        <v/>
      </c>
      <c r="AF270" s="600"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00"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00" t="str">
        <f t="shared" ca="1" si="100"/>
        <v/>
      </c>
      <c r="AI270" s="600" t="str" cm="1">
        <f t="array" ref="AI270">IFERROR(INDEX(始値!$E$6:$BT$305,MATCH(TEXT($B270,"0"),TEXT(銘柄管理!$B$6:$B$305,"0"),0),MATCH($AE270,始値!$E$3:$BT$3,0)),"")</f>
        <v/>
      </c>
      <c r="AJ270" s="608" t="str">
        <f t="shared" ca="1" si="101"/>
        <v/>
      </c>
      <c r="AK270" s="600" t="str">
        <f t="shared" ca="1" si="102"/>
        <v/>
      </c>
    </row>
    <row r="271" spans="1:37" ht="17.25" customHeight="1">
      <c r="A271" s="621" t="str">
        <f t="shared" si="91"/>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BT$3,0)=1,1,MATCH($E271,始値!$E$3:$BT$3,0)+1)),_xlpm.v,INDEX(始値!$C$6:$B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 t="shared" ca="1" si="103"/>
        <v/>
      </c>
      <c r="L271" s="708" t="str">
        <f t="shared" ca="1" si="104"/>
        <v/>
      </c>
      <c r="M271" s="598">
        <f>IF($F271="","",IF($C271="売",CEILING($F271*IF($C271="売",1-$AG$3,1+$AG$3),IF($F271*IF($C271="売",1-$AG$3,1+$AG$3)&lt;=3000,1,IF($F271*IF($C271="売",1-$AG$3,1+$AG$3)&lt;=5000,5,IF($F271*IF($C271="売",1-$AG$3,1+$AG$3)&lt;=30000,10,IF($F271*IF($C271="売",1-$AG$3,1+$AG$3)&lt;=50000,50,IF($F271*IF($C271="売",1-$AG$3,1+$AG$3)&lt;=300000,100,500)))))),FLOOR($F271*IF($C271="売",1-$AG$3,1+$AG$3),IF($F271*IF($C271="売",1-$AG$3,1+$AG$3)&lt;=3000,1,IF($F271*IF($C271="売",1-$AG$3,1+$AG$3)&lt;=5000,5,IF($F271*IF($C271="売",1-$AG$3,1+$AG$3)&lt;=30000,10,IF($F271*IF($C271="売",1-$AG$3,1+$AG$3)&lt;=50000,50,IF($F271*IF($C271="売",1-$AG$3,1+$AG$3)&lt;=300000,100,500))))))))</f>
      </c>
      <c r="N271" s="598">
        <f>IF($F271="","",IF($C271="売",CEILING($F271*IF($C271="売",1+$AG$2,1-$AG$2),IF($F271*IF($C271="売",1+$AG$2,1-$AG$2)&lt;=3000,1,IF($F271*IF($C271="売",1+$AG$2,1-$AG$2)&lt;=5000,5,IF($F271*IF($C271="売",1+$AG$2,1-$AG$2)&lt;=30000,10,IF($F271*IF($C271="売",1+$AG$2,1-$AG$2)&lt;=50000,50,IF($F271*IF($C271="売",1+$AG$2,1-$AG$2)&lt;=300000,100,500)))))),FLOOR($F271*IF($C271="売",1+$AG$2,1-$AG$2),IF($F271*IF($C271="売",1+$AG$2,1-$AG$2)&lt;=3000,1,IF($F271*IF($C271="売",1+$AG$2,1-$AG$2)&lt;=5000,5,IF($F271*IF($C271="売",1+$AG$2,1-$AG$2)&lt;=30000,10,IF($F271*IF($C271="売",1+$AG$2,1-$AG$2)&lt;=50000,50,IF($F271*IF($C271="売",1+$AG$2,1-$AG$2)&lt;=300000,100,500))))))))</f>
      </c>
      <c r="O271" s="478">
        <f>IF(OR($B271="",$F271="",$H271=""),"",IF($S271="✅売却済","―決済済―",IF($C271="売",  IF($H271&lt;=$M271,"🟢利確",  IF(AND($R271&lt;&gt;"",$H271&gt;=$R271),"🟠TRAIL決済",  IF($H271&gt;=$N271,"🔴損切",  IF($W271&gt;=$AG$5,"⏱時間決済",  IF($H271&gt;=$F271*(1+$AG$2*0.7),"⚠️損切接近","保持継続"))))),  IF($H271&gt;=$M271,"🟢利確",  IF(AND($R271&lt;&gt;"",$H271&lt;=$R271),"🟠TRAIL決済",  IF($H271&lt;=$N271,"🔴損切",  IF($W271&gt;=$AG$5,"⏱時間決済",  IF($H271&lt;=$F271*(1-$AG$2*0.7),"⚠️損切接近","保持継続")))))))</f>
      </c>
      <c r="P271" s="445"/>
      <c r="Q271" s="445"/>
      <c r="R271" s="480">
        <f>IF(OR($F271="",$H271="",$N271=""),"",IF($S271="✅売却済","",IF($C271="売",  IF($H271&gt;$F271*(1-$AG$2),$N271,CEILING(MIN($N271,IF($Q271="",$N271,$Q271*1.03)),IF($N271&lt;=3000,1,IF($N271&lt;=5000,5,IF($N271&lt;=30000,10,IF($N271&lt;=50000,50,IF($N271&lt;=300000,100,500))))))),  IF($H271&lt;$F271*(1+$AG$2),$N271,FLOOR(MAX($N271,IF($P271="",$N271,$P271*0.97)),IF($N271&lt;=3000,1,IF($N271&lt;=5000,5,IF($N271&lt;=30000,10,IF($N271&lt;=50000,50,IF($N271&lt;=300000,100,500))))))))))</f>
      </c>
      <c r="S271" s="480" t="str">
        <f t="shared" si="106"/>
        <v/>
      </c>
      <c r="T271" s="596" t="str">
        <f t="shared" ca="1" si="95"/>
        <v/>
      </c>
      <c r="U271" s="598" t="str">
        <f t="shared" ca="1" si="96"/>
        <v/>
      </c>
      <c r="V271" s="703" t="str">
        <f t="shared" ca="1" si="107"/>
        <v/>
      </c>
      <c r="W271" s="480" t="str">
        <f t="shared" ca="1" si="97"/>
        <v/>
      </c>
      <c r="X271" s="480" t="str">
        <f t="shared" ca="1" si="98"/>
        <v/>
      </c>
      <c r="Y271" s="488">
        <f>IF($B271="","",IF(COUNTIFS($B$4:$B271,$B271,$C$4:$C271,$C271)&gt;1,"⛔重複"&amp;COUNTIFS($B$4:$B271,$B271,$C$4:$C271,$C271)&amp;"回目",""))</f>
      </c>
      <c r="Z271" s="710"/>
      <c r="AB271">
        <f>IF($F271="","",MAX(100,ROUNDDOWN($AG$4/($F271*$AG$2)/100,0)*100))</f>
      </c>
      <c r="AC271">
        <f>IF(OR($F271="",$G271="",$U271=""),"",ROUND($V271-($F271+$U271)*$G271*$AG$6-IF($C271="売",$F271*$G271*$AG$7*$W271/365,0),0))</f>
      </c>
      <c r="AD271" s="608"/>
      <c r="AE271" s="600" t="str">
        <f t="shared" si="99"/>
        <v/>
      </c>
      <c r="AF271" s="600"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00"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00" t="str">
        <f t="shared" ca="1" si="100"/>
        <v/>
      </c>
      <c r="AI271" s="600" t="str" cm="1">
        <f t="array" ref="AI271">IFERROR(INDEX(始値!$E$6:$BT$305,MATCH(TEXT($B271,"0"),TEXT(銘柄管理!$B$6:$B$305,"0"),0),MATCH($AE271,始値!$E$3:$BT$3,0)),"")</f>
        <v/>
      </c>
      <c r="AJ271" s="608" t="str">
        <f t="shared" ca="1" si="101"/>
        <v/>
      </c>
      <c r="AK271" s="600" t="str">
        <f t="shared" ca="1" si="102"/>
        <v/>
      </c>
    </row>
    <row r="272" spans="1:37" ht="17.25" customHeight="1">
      <c r="A272" s="621" t="str">
        <f t="shared" si="91"/>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BT$3,0)=1,1,MATCH($E272,始値!$E$3:$BT$3,0)+1)),_xlpm.v,INDEX(始値!$C$6:$B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 t="shared" ca="1" si="103"/>
        <v/>
      </c>
      <c r="L272" s="708" t="str">
        <f t="shared" ca="1" si="104"/>
        <v/>
      </c>
      <c r="M272" s="598">
        <f>IF($F272="","",IF($C272="売",CEILING($F272*IF($C272="売",1-$AG$3,1+$AG$3),IF($F272*IF($C272="売",1-$AG$3,1+$AG$3)&lt;=3000,1,IF($F272*IF($C272="売",1-$AG$3,1+$AG$3)&lt;=5000,5,IF($F272*IF($C272="売",1-$AG$3,1+$AG$3)&lt;=30000,10,IF($F272*IF($C272="売",1-$AG$3,1+$AG$3)&lt;=50000,50,IF($F272*IF($C272="売",1-$AG$3,1+$AG$3)&lt;=300000,100,500)))))),FLOOR($F272*IF($C272="売",1-$AG$3,1+$AG$3),IF($F272*IF($C272="売",1-$AG$3,1+$AG$3)&lt;=3000,1,IF($F272*IF($C272="売",1-$AG$3,1+$AG$3)&lt;=5000,5,IF($F272*IF($C272="売",1-$AG$3,1+$AG$3)&lt;=30000,10,IF($F272*IF($C272="売",1-$AG$3,1+$AG$3)&lt;=50000,50,IF($F272*IF($C272="売",1-$AG$3,1+$AG$3)&lt;=300000,100,500))))))))</f>
      </c>
      <c r="N272" s="598">
        <f>IF($F272="","",IF($C272="売",CEILING($F272*IF($C272="売",1+$AG$2,1-$AG$2),IF($F272*IF($C272="売",1+$AG$2,1-$AG$2)&lt;=3000,1,IF($F272*IF($C272="売",1+$AG$2,1-$AG$2)&lt;=5000,5,IF($F272*IF($C272="売",1+$AG$2,1-$AG$2)&lt;=30000,10,IF($F272*IF($C272="売",1+$AG$2,1-$AG$2)&lt;=50000,50,IF($F272*IF($C272="売",1+$AG$2,1-$AG$2)&lt;=300000,100,500)))))),FLOOR($F272*IF($C272="売",1+$AG$2,1-$AG$2),IF($F272*IF($C272="売",1+$AG$2,1-$AG$2)&lt;=3000,1,IF($F272*IF($C272="売",1+$AG$2,1-$AG$2)&lt;=5000,5,IF($F272*IF($C272="売",1+$AG$2,1-$AG$2)&lt;=30000,10,IF($F272*IF($C272="売",1+$AG$2,1-$AG$2)&lt;=50000,50,IF($F272*IF($C272="売",1+$AG$2,1-$AG$2)&lt;=300000,100,500))))))))</f>
      </c>
      <c r="O272" s="478">
        <f>IF(OR($B272="",$F272="",$H272=""),"",IF($S272="✅売却済","―決済済―",IF($C272="売",  IF($H272&lt;=$M272,"🟢利確",  IF(AND($R272&lt;&gt;"",$H272&gt;=$R272),"🟠TRAIL決済",  IF($H272&gt;=$N272,"🔴損切",  IF($W272&gt;=$AG$5,"⏱時間決済",  IF($H272&gt;=$F272*(1+$AG$2*0.7),"⚠️損切接近","保持継続"))))),  IF($H272&gt;=$M272,"🟢利確",  IF(AND($R272&lt;&gt;"",$H272&lt;=$R272),"🟠TRAIL決済",  IF($H272&lt;=$N272,"🔴損切",  IF($W272&gt;=$AG$5,"⏱時間決済",  IF($H272&lt;=$F272*(1-$AG$2*0.7),"⚠️損切接近","保持継続")))))))</f>
      </c>
      <c r="P272" s="445"/>
      <c r="Q272" s="445"/>
      <c r="R272" s="480">
        <f>IF(OR($F272="",$H272="",$N272=""),"",IF($S272="✅売却済","",IF($C272="売",  IF($H272&gt;$F272*(1-$AG$2),$N272,CEILING(MIN($N272,IF($Q272="",$N272,$Q272*1.03)),IF($N272&lt;=3000,1,IF($N272&lt;=5000,5,IF($N272&lt;=30000,10,IF($N272&lt;=50000,50,IF($N272&lt;=300000,100,500))))))),  IF($H272&lt;$F272*(1+$AG$2),$N272,FLOOR(MAX($N272,IF($P272="",$N272,$P272*0.97)),IF($N272&lt;=3000,1,IF($N272&lt;=5000,5,IF($N272&lt;=30000,10,IF($N272&lt;=50000,50,IF($N272&lt;=300000,100,500))))))))))</f>
      </c>
      <c r="S272" s="480" t="str">
        <f t="shared" si="106"/>
        <v/>
      </c>
      <c r="T272" s="596" t="str">
        <f t="shared" ca="1" si="95"/>
        <v/>
      </c>
      <c r="U272" s="598" t="str">
        <f t="shared" ca="1" si="96"/>
        <v/>
      </c>
      <c r="V272" s="703" t="str">
        <f t="shared" ca="1" si="107"/>
        <v/>
      </c>
      <c r="W272" s="480" t="str">
        <f t="shared" ca="1" si="97"/>
        <v/>
      </c>
      <c r="X272" s="480" t="str">
        <f t="shared" ca="1" si="98"/>
        <v/>
      </c>
      <c r="Y272" s="488">
        <f>IF($B272="","",IF(COUNTIFS($B$4:$B272,$B272,$C$4:$C272,$C272)&gt;1,"⛔重複"&amp;COUNTIFS($B$4:$B272,$B272,$C$4:$C272,$C272)&amp;"回目",""))</f>
      </c>
      <c r="Z272" s="710"/>
      <c r="AB272">
        <f>IF($F272="","",MAX(100,ROUNDDOWN($AG$4/($F272*$AG$2)/100,0)*100))</f>
      </c>
      <c r="AC272">
        <f>IF(OR($F272="",$G272="",$U272=""),"",ROUND($V272-($F272+$U272)*$G272*$AG$6-IF($C272="売",$F272*$G272*$AG$7*$W272/365,0),0))</f>
      </c>
      <c r="AD272" s="608"/>
      <c r="AE272" s="600" t="str">
        <f t="shared" si="99"/>
        <v/>
      </c>
      <c r="AF272" s="600"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00"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00" t="str">
        <f t="shared" ca="1" si="100"/>
        <v/>
      </c>
      <c r="AI272" s="600" t="str" cm="1">
        <f t="array" ref="AI272">IFERROR(INDEX(始値!$E$6:$BT$305,MATCH(TEXT($B272,"0"),TEXT(銘柄管理!$B$6:$B$305,"0"),0),MATCH($AE272,始値!$E$3:$BT$3,0)),"")</f>
        <v/>
      </c>
      <c r="AJ272" s="608" t="str">
        <f t="shared" ca="1" si="101"/>
        <v/>
      </c>
      <c r="AK272" s="600" t="str">
        <f t="shared" ca="1" si="102"/>
        <v/>
      </c>
    </row>
    <row r="273" spans="1:37" ht="17.25" customHeight="1">
      <c r="A273" s="621" t="str">
        <f t="shared" si="91"/>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BT$3,0)=1,1,MATCH($E273,始値!$E$3:$BT$3,0)+1)),_xlpm.v,INDEX(始値!$C$6:$B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 t="shared" ca="1" si="103"/>
        <v/>
      </c>
      <c r="L273" s="708" t="str">
        <f t="shared" ca="1" si="104"/>
        <v/>
      </c>
      <c r="M273" s="598">
        <f>IF($F273="","",IF($C273="売",CEILING($F273*IF($C273="売",1-$AG$3,1+$AG$3),IF($F273*IF($C273="売",1-$AG$3,1+$AG$3)&lt;=3000,1,IF($F273*IF($C273="売",1-$AG$3,1+$AG$3)&lt;=5000,5,IF($F273*IF($C273="売",1-$AG$3,1+$AG$3)&lt;=30000,10,IF($F273*IF($C273="売",1-$AG$3,1+$AG$3)&lt;=50000,50,IF($F273*IF($C273="売",1-$AG$3,1+$AG$3)&lt;=300000,100,500)))))),FLOOR($F273*IF($C273="売",1-$AG$3,1+$AG$3),IF($F273*IF($C273="売",1-$AG$3,1+$AG$3)&lt;=3000,1,IF($F273*IF($C273="売",1-$AG$3,1+$AG$3)&lt;=5000,5,IF($F273*IF($C273="売",1-$AG$3,1+$AG$3)&lt;=30000,10,IF($F273*IF($C273="売",1-$AG$3,1+$AG$3)&lt;=50000,50,IF($F273*IF($C273="売",1-$AG$3,1+$AG$3)&lt;=300000,100,500))))))))</f>
      </c>
      <c r="N273" s="598">
        <f>IF($F273="","",IF($C273="売",CEILING($F273*IF($C273="売",1+$AG$2,1-$AG$2),IF($F273*IF($C273="売",1+$AG$2,1-$AG$2)&lt;=3000,1,IF($F273*IF($C273="売",1+$AG$2,1-$AG$2)&lt;=5000,5,IF($F273*IF($C273="売",1+$AG$2,1-$AG$2)&lt;=30000,10,IF($F273*IF($C273="売",1+$AG$2,1-$AG$2)&lt;=50000,50,IF($F273*IF($C273="売",1+$AG$2,1-$AG$2)&lt;=300000,100,500)))))),FLOOR($F273*IF($C273="売",1+$AG$2,1-$AG$2),IF($F273*IF($C273="売",1+$AG$2,1-$AG$2)&lt;=3000,1,IF($F273*IF($C273="売",1+$AG$2,1-$AG$2)&lt;=5000,5,IF($F273*IF($C273="売",1+$AG$2,1-$AG$2)&lt;=30000,10,IF($F273*IF($C273="売",1+$AG$2,1-$AG$2)&lt;=50000,50,IF($F273*IF($C273="売",1+$AG$2,1-$AG$2)&lt;=300000,100,500))))))))</f>
      </c>
      <c r="O273" s="478">
        <f>IF(OR($B273="",$F273="",$H273=""),"",IF($S273="✅売却済","―決済済―",IF($C273="売",  IF($H273&lt;=$M273,"🟢利確",  IF(AND($R273&lt;&gt;"",$H273&gt;=$R273),"🟠TRAIL決済",  IF($H273&gt;=$N273,"🔴損切",  IF($W273&gt;=$AG$5,"⏱時間決済",  IF($H273&gt;=$F273*(1+$AG$2*0.7),"⚠️損切接近","保持継続"))))),  IF($H273&gt;=$M273,"🟢利確",  IF(AND($R273&lt;&gt;"",$H273&lt;=$R273),"🟠TRAIL決済",  IF($H273&lt;=$N273,"🔴損切",  IF($W273&gt;=$AG$5,"⏱時間決済",  IF($H273&lt;=$F273*(1-$AG$2*0.7),"⚠️損切接近","保持継続")))))))</f>
      </c>
      <c r="P273" s="445"/>
      <c r="Q273" s="445"/>
      <c r="R273" s="480">
        <f>IF(OR($F273="",$H273="",$N273=""),"",IF($S273="✅売却済","",IF($C273="売",  IF($H273&gt;$F273*(1-$AG$2),$N273,CEILING(MIN($N273,IF($Q273="",$N273,$Q273*1.03)),IF($N273&lt;=3000,1,IF($N273&lt;=5000,5,IF($N273&lt;=30000,10,IF($N273&lt;=50000,50,IF($N273&lt;=300000,100,500))))))),  IF($H273&lt;$F273*(1+$AG$2),$N273,FLOOR(MAX($N273,IF($P273="",$N273,$P273*0.97)),IF($N273&lt;=3000,1,IF($N273&lt;=5000,5,IF($N273&lt;=30000,10,IF($N273&lt;=50000,50,IF($N273&lt;=300000,100,500))))))))))</f>
      </c>
      <c r="S273" s="480" t="str">
        <f t="shared" si="106"/>
        <v/>
      </c>
      <c r="T273" s="596" t="str">
        <f t="shared" ca="1" si="95"/>
        <v/>
      </c>
      <c r="U273" s="598" t="str">
        <f t="shared" ca="1" si="96"/>
        <v/>
      </c>
      <c r="V273" s="703" t="str">
        <f t="shared" ca="1" si="107"/>
        <v/>
      </c>
      <c r="W273" s="480" t="str">
        <f t="shared" ca="1" si="97"/>
        <v/>
      </c>
      <c r="X273" s="480" t="str">
        <f t="shared" ca="1" si="98"/>
        <v/>
      </c>
      <c r="Y273" s="488">
        <f>IF($B273="","",IF(COUNTIFS($B$4:$B273,$B273,$C$4:$C273,$C273)&gt;1,"⛔重複"&amp;COUNTIFS($B$4:$B273,$B273,$C$4:$C273,$C273)&amp;"回目",""))</f>
      </c>
      <c r="Z273" s="710"/>
      <c r="AB273">
        <f>IF($F273="","",MAX(100,ROUNDDOWN($AG$4/($F273*$AG$2)/100,0)*100))</f>
      </c>
      <c r="AC273">
        <f>IF(OR($F273="",$G273="",$U273=""),"",ROUND($V273-($F273+$U273)*$G273*$AG$6-IF($C273="売",$F273*$G273*$AG$7*$W273/365,0),0))</f>
      </c>
      <c r="AD273" s="608"/>
      <c r="AE273" s="600" t="str">
        <f t="shared" si="99"/>
        <v/>
      </c>
      <c r="AF273" s="600"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00"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00" t="str">
        <f t="shared" ca="1" si="100"/>
        <v/>
      </c>
      <c r="AI273" s="600" t="str" cm="1">
        <f t="array" ref="AI273">IFERROR(INDEX(始値!$E$6:$BT$305,MATCH(TEXT($B273,"0"),TEXT(銘柄管理!$B$6:$B$305,"0"),0),MATCH($AE273,始値!$E$3:$BT$3,0)),"")</f>
        <v/>
      </c>
      <c r="AJ273" s="608" t="str">
        <f t="shared" ca="1" si="101"/>
        <v/>
      </c>
      <c r="AK273" s="600" t="str">
        <f t="shared" ca="1" si="102"/>
        <v/>
      </c>
    </row>
    <row r="274" spans="1:37" ht="17.25" customHeight="1">
      <c r="A274" s="621" t="str">
        <f t="shared" si="91"/>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BT$3,0)=1,1,MATCH($E274,始値!$E$3:$BT$3,0)+1)),_xlpm.v,INDEX(始値!$C$6:$B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 t="shared" ca="1" si="103"/>
        <v/>
      </c>
      <c r="L274" s="708" t="str">
        <f t="shared" ca="1" si="104"/>
        <v/>
      </c>
      <c r="M274" s="598">
        <f>IF($F274="","",IF($C274="売",CEILING($F274*IF($C274="売",1-$AG$3,1+$AG$3),IF($F274*IF($C274="売",1-$AG$3,1+$AG$3)&lt;=3000,1,IF($F274*IF($C274="売",1-$AG$3,1+$AG$3)&lt;=5000,5,IF($F274*IF($C274="売",1-$AG$3,1+$AG$3)&lt;=30000,10,IF($F274*IF($C274="売",1-$AG$3,1+$AG$3)&lt;=50000,50,IF($F274*IF($C274="売",1-$AG$3,1+$AG$3)&lt;=300000,100,500)))))),FLOOR($F274*IF($C274="売",1-$AG$3,1+$AG$3),IF($F274*IF($C274="売",1-$AG$3,1+$AG$3)&lt;=3000,1,IF($F274*IF($C274="売",1-$AG$3,1+$AG$3)&lt;=5000,5,IF($F274*IF($C274="売",1-$AG$3,1+$AG$3)&lt;=30000,10,IF($F274*IF($C274="売",1-$AG$3,1+$AG$3)&lt;=50000,50,IF($F274*IF($C274="売",1-$AG$3,1+$AG$3)&lt;=300000,100,500))))))))</f>
      </c>
      <c r="N274" s="598">
        <f>IF($F274="","",IF($C274="売",CEILING($F274*IF($C274="売",1+$AG$2,1-$AG$2),IF($F274*IF($C274="売",1+$AG$2,1-$AG$2)&lt;=3000,1,IF($F274*IF($C274="売",1+$AG$2,1-$AG$2)&lt;=5000,5,IF($F274*IF($C274="売",1+$AG$2,1-$AG$2)&lt;=30000,10,IF($F274*IF($C274="売",1+$AG$2,1-$AG$2)&lt;=50000,50,IF($F274*IF($C274="売",1+$AG$2,1-$AG$2)&lt;=300000,100,500)))))),FLOOR($F274*IF($C274="売",1+$AG$2,1-$AG$2),IF($F274*IF($C274="売",1+$AG$2,1-$AG$2)&lt;=3000,1,IF($F274*IF($C274="売",1+$AG$2,1-$AG$2)&lt;=5000,5,IF($F274*IF($C274="売",1+$AG$2,1-$AG$2)&lt;=30000,10,IF($F274*IF($C274="売",1+$AG$2,1-$AG$2)&lt;=50000,50,IF($F274*IF($C274="売",1+$AG$2,1-$AG$2)&lt;=300000,100,500))))))))</f>
      </c>
      <c r="O274" s="478">
        <f>IF(OR($B274="",$F274="",$H274=""),"",IF($S274="✅売却済","―決済済―",IF($C274="売",  IF($H274&lt;=$M274,"🟢利確",  IF(AND($R274&lt;&gt;"",$H274&gt;=$R274),"🟠TRAIL決済",  IF($H274&gt;=$N274,"🔴損切",  IF($W274&gt;=$AG$5,"⏱時間決済",  IF($H274&gt;=$F274*(1+$AG$2*0.7),"⚠️損切接近","保持継続"))))),  IF($H274&gt;=$M274,"🟢利確",  IF(AND($R274&lt;&gt;"",$H274&lt;=$R274),"🟠TRAIL決済",  IF($H274&lt;=$N274,"🔴損切",  IF($W274&gt;=$AG$5,"⏱時間決済",  IF($H274&lt;=$F274*(1-$AG$2*0.7),"⚠️損切接近","保持継続")))))))</f>
      </c>
      <c r="P274" s="445"/>
      <c r="Q274" s="445"/>
      <c r="R274" s="480">
        <f>IF(OR($F274="",$H274="",$N274=""),"",IF($S274="✅売却済","",IF($C274="売",  IF($H274&gt;$F274*(1-$AG$2),$N274,CEILING(MIN($N274,IF($Q274="",$N274,$Q274*1.03)),IF($N274&lt;=3000,1,IF($N274&lt;=5000,5,IF($N274&lt;=30000,10,IF($N274&lt;=50000,50,IF($N274&lt;=300000,100,500))))))),  IF($H274&lt;$F274*(1+$AG$2),$N274,FLOOR(MAX($N274,IF($P274="",$N274,$P274*0.97)),IF($N274&lt;=3000,1,IF($N274&lt;=5000,5,IF($N274&lt;=30000,10,IF($N274&lt;=50000,50,IF($N274&lt;=300000,100,500))))))))))</f>
      </c>
      <c r="S274" s="480" t="str">
        <f t="shared" si="106"/>
        <v/>
      </c>
      <c r="T274" s="596" t="str">
        <f t="shared" ca="1" si="95"/>
        <v/>
      </c>
      <c r="U274" s="598" t="str">
        <f t="shared" ca="1" si="96"/>
        <v/>
      </c>
      <c r="V274" s="703" t="str">
        <f t="shared" ca="1" si="107"/>
        <v/>
      </c>
      <c r="W274" s="480" t="str">
        <f t="shared" ca="1" si="97"/>
        <v/>
      </c>
      <c r="X274" s="480" t="str">
        <f t="shared" ca="1" si="98"/>
        <v/>
      </c>
      <c r="Y274" s="488">
        <f>IF($B274="","",IF(COUNTIFS($B$4:$B274,$B274,$C$4:$C274,$C274)&gt;1,"⛔重複"&amp;COUNTIFS($B$4:$B274,$B274,$C$4:$C274,$C274)&amp;"回目",""))</f>
      </c>
      <c r="Z274" s="710"/>
      <c r="AB274">
        <f>IF($F274="","",MAX(100,ROUNDDOWN($AG$4/($F274*$AG$2)/100,0)*100))</f>
      </c>
      <c r="AC274">
        <f>IF(OR($F274="",$G274="",$U274=""),"",ROUND($V274-($F274+$U274)*$G274*$AG$6-IF($C274="売",$F274*$G274*$AG$7*$W274/365,0),0))</f>
      </c>
      <c r="AD274" s="608"/>
      <c r="AE274" s="600" t="str">
        <f t="shared" si="99"/>
        <v/>
      </c>
      <c r="AF274" s="600"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00"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00" t="str">
        <f t="shared" ca="1" si="100"/>
        <v/>
      </c>
      <c r="AI274" s="600" t="str" cm="1">
        <f t="array" ref="AI274">IFERROR(INDEX(始値!$E$6:$BT$305,MATCH(TEXT($B274,"0"),TEXT(銘柄管理!$B$6:$B$305,"0"),0),MATCH($AE274,始値!$E$3:$BT$3,0)),"")</f>
        <v/>
      </c>
      <c r="AJ274" s="608" t="str">
        <f t="shared" ca="1" si="101"/>
        <v/>
      </c>
      <c r="AK274" s="600" t="str">
        <f t="shared" ca="1" si="102"/>
        <v/>
      </c>
    </row>
    <row r="275" spans="1:37" ht="17.25" customHeight="1">
      <c r="A275" s="621" t="str">
        <f t="shared" si="91"/>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BT$3,0)=1,1,MATCH($E275,始値!$E$3:$BT$3,0)+1)),_xlpm.v,INDEX(始値!$C$6:$B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 t="shared" ca="1" si="103"/>
        <v/>
      </c>
      <c r="L275" s="708" t="str">
        <f t="shared" ca="1" si="104"/>
        <v/>
      </c>
      <c r="M275" s="598">
        <f>IF($F275="","",IF($C275="売",CEILING($F275*IF($C275="売",1-$AG$3,1+$AG$3),IF($F275*IF($C275="売",1-$AG$3,1+$AG$3)&lt;=3000,1,IF($F275*IF($C275="売",1-$AG$3,1+$AG$3)&lt;=5000,5,IF($F275*IF($C275="売",1-$AG$3,1+$AG$3)&lt;=30000,10,IF($F275*IF($C275="売",1-$AG$3,1+$AG$3)&lt;=50000,50,IF($F275*IF($C275="売",1-$AG$3,1+$AG$3)&lt;=300000,100,500)))))),FLOOR($F275*IF($C275="売",1-$AG$3,1+$AG$3),IF($F275*IF($C275="売",1-$AG$3,1+$AG$3)&lt;=3000,1,IF($F275*IF($C275="売",1-$AG$3,1+$AG$3)&lt;=5000,5,IF($F275*IF($C275="売",1-$AG$3,1+$AG$3)&lt;=30000,10,IF($F275*IF($C275="売",1-$AG$3,1+$AG$3)&lt;=50000,50,IF($F275*IF($C275="売",1-$AG$3,1+$AG$3)&lt;=300000,100,500))))))))</f>
      </c>
      <c r="N275" s="598">
        <f>IF($F275="","",IF($C275="売",CEILING($F275*IF($C275="売",1+$AG$2,1-$AG$2),IF($F275*IF($C275="売",1+$AG$2,1-$AG$2)&lt;=3000,1,IF($F275*IF($C275="売",1+$AG$2,1-$AG$2)&lt;=5000,5,IF($F275*IF($C275="売",1+$AG$2,1-$AG$2)&lt;=30000,10,IF($F275*IF($C275="売",1+$AG$2,1-$AG$2)&lt;=50000,50,IF($F275*IF($C275="売",1+$AG$2,1-$AG$2)&lt;=300000,100,500)))))),FLOOR($F275*IF($C275="売",1+$AG$2,1-$AG$2),IF($F275*IF($C275="売",1+$AG$2,1-$AG$2)&lt;=3000,1,IF($F275*IF($C275="売",1+$AG$2,1-$AG$2)&lt;=5000,5,IF($F275*IF($C275="売",1+$AG$2,1-$AG$2)&lt;=30000,10,IF($F275*IF($C275="売",1+$AG$2,1-$AG$2)&lt;=50000,50,IF($F275*IF($C275="売",1+$AG$2,1-$AG$2)&lt;=300000,100,500))))))))</f>
      </c>
      <c r="O275" s="478">
        <f>IF(OR($B275="",$F275="",$H275=""),"",IF($S275="✅売却済","―決済済―",IF($C275="売",  IF($H275&lt;=$M275,"🟢利確",  IF(AND($R275&lt;&gt;"",$H275&gt;=$R275),"🟠TRAIL決済",  IF($H275&gt;=$N275,"🔴損切",  IF($W275&gt;=$AG$5,"⏱時間決済",  IF($H275&gt;=$F275*(1+$AG$2*0.7),"⚠️損切接近","保持継続"))))),  IF($H275&gt;=$M275,"🟢利確",  IF(AND($R275&lt;&gt;"",$H275&lt;=$R275),"🟠TRAIL決済",  IF($H275&lt;=$N275,"🔴損切",  IF($W275&gt;=$AG$5,"⏱時間決済",  IF($H275&lt;=$F275*(1-$AG$2*0.7),"⚠️損切接近","保持継続")))))))</f>
      </c>
      <c r="P275" s="445"/>
      <c r="Q275" s="445"/>
      <c r="R275" s="480">
        <f>IF(OR($F275="",$H275="",$N275=""),"",IF($S275="✅売却済","",IF($C275="売",  IF($H275&gt;$F275*(1-$AG$2),$N275,CEILING(MIN($N275,IF($Q275="",$N275,$Q275*1.03)),IF($N275&lt;=3000,1,IF($N275&lt;=5000,5,IF($N275&lt;=30000,10,IF($N275&lt;=50000,50,IF($N275&lt;=300000,100,500))))))),  IF($H275&lt;$F275*(1+$AG$2),$N275,FLOOR(MAX($N275,IF($P275="",$N275,$P275*0.97)),IF($N275&lt;=3000,1,IF($N275&lt;=5000,5,IF($N275&lt;=30000,10,IF($N275&lt;=50000,50,IF($N275&lt;=300000,100,500))))))))))</f>
      </c>
      <c r="S275" s="480" t="str">
        <f t="shared" si="106"/>
        <v/>
      </c>
      <c r="T275" s="596" t="str">
        <f t="shared" ca="1" si="95"/>
        <v/>
      </c>
      <c r="U275" s="598" t="str">
        <f t="shared" ca="1" si="96"/>
        <v/>
      </c>
      <c r="V275" s="703" t="str">
        <f t="shared" ca="1" si="107"/>
        <v/>
      </c>
      <c r="W275" s="480" t="str">
        <f t="shared" ca="1" si="97"/>
        <v/>
      </c>
      <c r="X275" s="480" t="str">
        <f t="shared" ca="1" si="98"/>
        <v/>
      </c>
      <c r="Y275" s="488">
        <f>IF($B275="","",IF(COUNTIFS($B$4:$B275,$B275,$C$4:$C275,$C275)&gt;1,"⛔重複"&amp;COUNTIFS($B$4:$B275,$B275,$C$4:$C275,$C275)&amp;"回目",""))</f>
      </c>
      <c r="Z275" s="710"/>
      <c r="AB275">
        <f>IF($F275="","",MAX(100,ROUNDDOWN($AG$4/($F275*$AG$2)/100,0)*100))</f>
      </c>
      <c r="AC275">
        <f>IF(OR($F275="",$G275="",$U275=""),"",ROUND($V275-($F275+$U275)*$G275*$AG$6-IF($C275="売",$F275*$G275*$AG$7*$W275/365,0),0))</f>
      </c>
      <c r="AD275" s="608"/>
      <c r="AE275" s="600" t="str">
        <f t="shared" si="99"/>
        <v/>
      </c>
      <c r="AF275" s="600"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00"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00" t="str">
        <f t="shared" ca="1" si="100"/>
        <v/>
      </c>
      <c r="AI275" s="600" t="str" cm="1">
        <f t="array" ref="AI275">IFERROR(INDEX(始値!$E$6:$BT$305,MATCH(TEXT($B275,"0"),TEXT(銘柄管理!$B$6:$B$305,"0"),0),MATCH($AE275,始値!$E$3:$BT$3,0)),"")</f>
        <v/>
      </c>
      <c r="AJ275" s="608" t="str">
        <f t="shared" ca="1" si="101"/>
        <v/>
      </c>
      <c r="AK275" s="600" t="str">
        <f t="shared" ca="1" si="102"/>
        <v/>
      </c>
    </row>
    <row r="276" spans="1:37" ht="17.25" customHeight="1">
      <c r="A276" s="621" t="str">
        <f t="shared" si="91"/>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BT$3,0)=1,1,MATCH($E276,始値!$E$3:$BT$3,0)+1)),_xlpm.v,INDEX(始値!$C$6:$B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 t="shared" ca="1" si="103"/>
        <v/>
      </c>
      <c r="L276" s="708" t="str">
        <f t="shared" ca="1" si="104"/>
        <v/>
      </c>
      <c r="M276" s="598">
        <f>IF($F276="","",IF($C276="売",CEILING($F276*IF($C276="売",1-$AG$3,1+$AG$3),IF($F276*IF($C276="売",1-$AG$3,1+$AG$3)&lt;=3000,1,IF($F276*IF($C276="売",1-$AG$3,1+$AG$3)&lt;=5000,5,IF($F276*IF($C276="売",1-$AG$3,1+$AG$3)&lt;=30000,10,IF($F276*IF($C276="売",1-$AG$3,1+$AG$3)&lt;=50000,50,IF($F276*IF($C276="売",1-$AG$3,1+$AG$3)&lt;=300000,100,500)))))),FLOOR($F276*IF($C276="売",1-$AG$3,1+$AG$3),IF($F276*IF($C276="売",1-$AG$3,1+$AG$3)&lt;=3000,1,IF($F276*IF($C276="売",1-$AG$3,1+$AG$3)&lt;=5000,5,IF($F276*IF($C276="売",1-$AG$3,1+$AG$3)&lt;=30000,10,IF($F276*IF($C276="売",1-$AG$3,1+$AG$3)&lt;=50000,50,IF($F276*IF($C276="売",1-$AG$3,1+$AG$3)&lt;=300000,100,500))))))))</f>
      </c>
      <c r="N276" s="598">
        <f>IF($F276="","",IF($C276="売",CEILING($F276*IF($C276="売",1+$AG$2,1-$AG$2),IF($F276*IF($C276="売",1+$AG$2,1-$AG$2)&lt;=3000,1,IF($F276*IF($C276="売",1+$AG$2,1-$AG$2)&lt;=5000,5,IF($F276*IF($C276="売",1+$AG$2,1-$AG$2)&lt;=30000,10,IF($F276*IF($C276="売",1+$AG$2,1-$AG$2)&lt;=50000,50,IF($F276*IF($C276="売",1+$AG$2,1-$AG$2)&lt;=300000,100,500)))))),FLOOR($F276*IF($C276="売",1+$AG$2,1-$AG$2),IF($F276*IF($C276="売",1+$AG$2,1-$AG$2)&lt;=3000,1,IF($F276*IF($C276="売",1+$AG$2,1-$AG$2)&lt;=5000,5,IF($F276*IF($C276="売",1+$AG$2,1-$AG$2)&lt;=30000,10,IF($F276*IF($C276="売",1+$AG$2,1-$AG$2)&lt;=50000,50,IF($F276*IF($C276="売",1+$AG$2,1-$AG$2)&lt;=300000,100,500))))))))</f>
      </c>
      <c r="O276" s="478">
        <f>IF(OR($B276="",$F276="",$H276=""),"",IF($S276="✅売却済","―決済済―",IF($C276="売",  IF($H276&lt;=$M276,"🟢利確",  IF(AND($R276&lt;&gt;"",$H276&gt;=$R276),"🟠TRAIL決済",  IF($H276&gt;=$N276,"🔴損切",  IF($W276&gt;=$AG$5,"⏱時間決済",  IF($H276&gt;=$F276*(1+$AG$2*0.7),"⚠️損切接近","保持継続"))))),  IF($H276&gt;=$M276,"🟢利確",  IF(AND($R276&lt;&gt;"",$H276&lt;=$R276),"🟠TRAIL決済",  IF($H276&lt;=$N276,"🔴損切",  IF($W276&gt;=$AG$5,"⏱時間決済",  IF($H276&lt;=$F276*(1-$AG$2*0.7),"⚠️損切接近","保持継続")))))))</f>
      </c>
      <c r="P276" s="445"/>
      <c r="Q276" s="445"/>
      <c r="R276" s="480">
        <f>IF(OR($F276="",$H276="",$N276=""),"",IF($S276="✅売却済","",IF($C276="売",  IF($H276&gt;$F276*(1-$AG$2),$N276,CEILING(MIN($N276,IF($Q276="",$N276,$Q276*1.03)),IF($N276&lt;=3000,1,IF($N276&lt;=5000,5,IF($N276&lt;=30000,10,IF($N276&lt;=50000,50,IF($N276&lt;=300000,100,500))))))),  IF($H276&lt;$F276*(1+$AG$2),$N276,FLOOR(MAX($N276,IF($P276="",$N276,$P276*0.97)),IF($N276&lt;=3000,1,IF($N276&lt;=5000,5,IF($N276&lt;=30000,10,IF($N276&lt;=50000,50,IF($N276&lt;=300000,100,500))))))))))</f>
      </c>
      <c r="S276" s="480" t="str">
        <f t="shared" si="106"/>
        <v/>
      </c>
      <c r="T276" s="596" t="str">
        <f t="shared" ca="1" si="95"/>
        <v/>
      </c>
      <c r="U276" s="598" t="str">
        <f t="shared" ca="1" si="96"/>
        <v/>
      </c>
      <c r="V276" s="703" t="str">
        <f t="shared" ca="1" si="107"/>
        <v/>
      </c>
      <c r="W276" s="480" t="str">
        <f t="shared" ca="1" si="97"/>
        <v/>
      </c>
      <c r="X276" s="480" t="str">
        <f t="shared" ca="1" si="98"/>
        <v/>
      </c>
      <c r="Y276" s="488">
        <f>IF($B276="","",IF(COUNTIFS($B$4:$B276,$B276,$C$4:$C276,$C276)&gt;1,"⛔重複"&amp;COUNTIFS($B$4:$B276,$B276,$C$4:$C276,$C276)&amp;"回目",""))</f>
      </c>
      <c r="Z276" s="710"/>
      <c r="AB276">
        <f>IF($F276="","",MAX(100,ROUNDDOWN($AG$4/($F276*$AG$2)/100,0)*100))</f>
      </c>
      <c r="AC276">
        <f>IF(OR($F276="",$G276="",$U276=""),"",ROUND($V276-($F276+$U276)*$G276*$AG$6-IF($C276="売",$F276*$G276*$AG$7*$W276/365,0),0))</f>
      </c>
      <c r="AD276" s="608"/>
      <c r="AE276" s="600" t="str">
        <f t="shared" si="99"/>
        <v/>
      </c>
      <c r="AF276" s="600"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00"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00" t="str">
        <f t="shared" ca="1" si="100"/>
        <v/>
      </c>
      <c r="AI276" s="600" t="str" cm="1">
        <f t="array" ref="AI276">IFERROR(INDEX(始値!$E$6:$BT$305,MATCH(TEXT($B276,"0"),TEXT(銘柄管理!$B$6:$B$305,"0"),0),MATCH($AE276,始値!$E$3:$BT$3,0)),"")</f>
        <v/>
      </c>
      <c r="AJ276" s="608" t="str">
        <f t="shared" ca="1" si="101"/>
        <v/>
      </c>
      <c r="AK276" s="600" t="str">
        <f t="shared" ca="1" si="102"/>
        <v/>
      </c>
    </row>
    <row r="277" spans="1:37" ht="17.25" customHeight="1">
      <c r="A277" s="621" t="str">
        <f t="shared" si="91"/>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BT$3,0)=1,1,MATCH($E277,始値!$E$3:$BT$3,0)+1)),_xlpm.v,INDEX(始値!$C$6:$B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 t="shared" ca="1" si="103"/>
        <v/>
      </c>
      <c r="L277" s="708" t="str">
        <f t="shared" ca="1" si="104"/>
        <v/>
      </c>
      <c r="M277" s="598">
        <f>IF($F277="","",IF($C277="売",CEILING($F277*IF($C277="売",1-$AG$3,1+$AG$3),IF($F277*IF($C277="売",1-$AG$3,1+$AG$3)&lt;=3000,1,IF($F277*IF($C277="売",1-$AG$3,1+$AG$3)&lt;=5000,5,IF($F277*IF($C277="売",1-$AG$3,1+$AG$3)&lt;=30000,10,IF($F277*IF($C277="売",1-$AG$3,1+$AG$3)&lt;=50000,50,IF($F277*IF($C277="売",1-$AG$3,1+$AG$3)&lt;=300000,100,500)))))),FLOOR($F277*IF($C277="売",1-$AG$3,1+$AG$3),IF($F277*IF($C277="売",1-$AG$3,1+$AG$3)&lt;=3000,1,IF($F277*IF($C277="売",1-$AG$3,1+$AG$3)&lt;=5000,5,IF($F277*IF($C277="売",1-$AG$3,1+$AG$3)&lt;=30000,10,IF($F277*IF($C277="売",1-$AG$3,1+$AG$3)&lt;=50000,50,IF($F277*IF($C277="売",1-$AG$3,1+$AG$3)&lt;=300000,100,500))))))))</f>
      </c>
      <c r="N277" s="598">
        <f>IF($F277="","",IF($C277="売",CEILING($F277*IF($C277="売",1+$AG$2,1-$AG$2),IF($F277*IF($C277="売",1+$AG$2,1-$AG$2)&lt;=3000,1,IF($F277*IF($C277="売",1+$AG$2,1-$AG$2)&lt;=5000,5,IF($F277*IF($C277="売",1+$AG$2,1-$AG$2)&lt;=30000,10,IF($F277*IF($C277="売",1+$AG$2,1-$AG$2)&lt;=50000,50,IF($F277*IF($C277="売",1+$AG$2,1-$AG$2)&lt;=300000,100,500)))))),FLOOR($F277*IF($C277="売",1+$AG$2,1-$AG$2),IF($F277*IF($C277="売",1+$AG$2,1-$AG$2)&lt;=3000,1,IF($F277*IF($C277="売",1+$AG$2,1-$AG$2)&lt;=5000,5,IF($F277*IF($C277="売",1+$AG$2,1-$AG$2)&lt;=30000,10,IF($F277*IF($C277="売",1+$AG$2,1-$AG$2)&lt;=50000,50,IF($F277*IF($C277="売",1+$AG$2,1-$AG$2)&lt;=300000,100,500))))))))</f>
      </c>
      <c r="O277" s="478">
        <f>IF(OR($B277="",$F277="",$H277=""),"",IF($S277="✅売却済","―決済済―",IF($C277="売",  IF($H277&lt;=$M277,"🟢利確",  IF(AND($R277&lt;&gt;"",$H277&gt;=$R277),"🟠TRAIL決済",  IF($H277&gt;=$N277,"🔴損切",  IF($W277&gt;=$AG$5,"⏱時間決済",  IF($H277&gt;=$F277*(1+$AG$2*0.7),"⚠️損切接近","保持継続"))))),  IF($H277&gt;=$M277,"🟢利確",  IF(AND($R277&lt;&gt;"",$H277&lt;=$R277),"🟠TRAIL決済",  IF($H277&lt;=$N277,"🔴損切",  IF($W277&gt;=$AG$5,"⏱時間決済",  IF($H277&lt;=$F277*(1-$AG$2*0.7),"⚠️損切接近","保持継続")))))))</f>
      </c>
      <c r="P277" s="445"/>
      <c r="Q277" s="445"/>
      <c r="R277" s="480">
        <f>IF(OR($F277="",$H277="",$N277=""),"",IF($S277="✅売却済","",IF($C277="売",  IF($H277&gt;$F277*(1-$AG$2),$N277,CEILING(MIN($N277,IF($Q277="",$N277,$Q277*1.03)),IF($N277&lt;=3000,1,IF($N277&lt;=5000,5,IF($N277&lt;=30000,10,IF($N277&lt;=50000,50,IF($N277&lt;=300000,100,500))))))),  IF($H277&lt;$F277*(1+$AG$2),$N277,FLOOR(MAX($N277,IF($P277="",$N277,$P277*0.97)),IF($N277&lt;=3000,1,IF($N277&lt;=5000,5,IF($N277&lt;=30000,10,IF($N277&lt;=50000,50,IF($N277&lt;=300000,100,500))))))))))</f>
      </c>
      <c r="S277" s="480" t="str">
        <f t="shared" si="106"/>
        <v/>
      </c>
      <c r="T277" s="596" t="str">
        <f t="shared" ca="1" si="95"/>
        <v/>
      </c>
      <c r="U277" s="598" t="str">
        <f t="shared" ca="1" si="96"/>
        <v/>
      </c>
      <c r="V277" s="703" t="str">
        <f t="shared" ca="1" si="107"/>
        <v/>
      </c>
      <c r="W277" s="480" t="str">
        <f t="shared" ca="1" si="97"/>
        <v/>
      </c>
      <c r="X277" s="480" t="str">
        <f t="shared" ca="1" si="98"/>
        <v/>
      </c>
      <c r="Y277" s="488">
        <f>IF($B277="","",IF(COUNTIFS($B$4:$B277,$B277,$C$4:$C277,$C277)&gt;1,"⛔重複"&amp;COUNTIFS($B$4:$B277,$B277,$C$4:$C277,$C277)&amp;"回目",""))</f>
      </c>
      <c r="Z277" s="710"/>
      <c r="AB277">
        <f>IF($F277="","",MAX(100,ROUNDDOWN($AG$4/($F277*$AG$2)/100,0)*100))</f>
      </c>
      <c r="AC277">
        <f>IF(OR($F277="",$G277="",$U277=""),"",ROUND($V277-($F277+$U277)*$G277*$AG$6-IF($C277="売",$F277*$G277*$AG$7*$W277/365,0),0))</f>
      </c>
      <c r="AD277" s="608"/>
      <c r="AE277" s="600" t="str">
        <f t="shared" si="99"/>
        <v/>
      </c>
      <c r="AF277" s="600"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00"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00" t="str">
        <f t="shared" ca="1" si="100"/>
        <v/>
      </c>
      <c r="AI277" s="600" t="str" cm="1">
        <f t="array" ref="AI277">IFERROR(INDEX(始値!$E$6:$BT$305,MATCH(TEXT($B277,"0"),TEXT(銘柄管理!$B$6:$B$305,"0"),0),MATCH($AE277,始値!$E$3:$BT$3,0)),"")</f>
        <v/>
      </c>
      <c r="AJ277" s="608" t="str">
        <f t="shared" ca="1" si="101"/>
        <v/>
      </c>
      <c r="AK277" s="600" t="str">
        <f t="shared" ca="1" si="102"/>
        <v/>
      </c>
    </row>
    <row r="278" spans="1:37" ht="17.25" customHeight="1">
      <c r="A278" s="621" t="str">
        <f t="shared" si="91"/>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BT$3,0)=1,1,MATCH($E278,始値!$E$3:$BT$3,0)+1)),_xlpm.v,INDEX(始値!$C$6:$B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 t="shared" ca="1" si="103"/>
        <v/>
      </c>
      <c r="L278" s="708" t="str">
        <f t="shared" ca="1" si="104"/>
        <v/>
      </c>
      <c r="M278" s="598">
        <f>IF($F278="","",IF($C278="売",CEILING($F278*IF($C278="売",1-$AG$3,1+$AG$3),IF($F278*IF($C278="売",1-$AG$3,1+$AG$3)&lt;=3000,1,IF($F278*IF($C278="売",1-$AG$3,1+$AG$3)&lt;=5000,5,IF($F278*IF($C278="売",1-$AG$3,1+$AG$3)&lt;=30000,10,IF($F278*IF($C278="売",1-$AG$3,1+$AG$3)&lt;=50000,50,IF($F278*IF($C278="売",1-$AG$3,1+$AG$3)&lt;=300000,100,500)))))),FLOOR($F278*IF($C278="売",1-$AG$3,1+$AG$3),IF($F278*IF($C278="売",1-$AG$3,1+$AG$3)&lt;=3000,1,IF($F278*IF($C278="売",1-$AG$3,1+$AG$3)&lt;=5000,5,IF($F278*IF($C278="売",1-$AG$3,1+$AG$3)&lt;=30000,10,IF($F278*IF($C278="売",1-$AG$3,1+$AG$3)&lt;=50000,50,IF($F278*IF($C278="売",1-$AG$3,1+$AG$3)&lt;=300000,100,500))))))))</f>
      </c>
      <c r="N278" s="598">
        <f>IF($F278="","",IF($C278="売",CEILING($F278*IF($C278="売",1+$AG$2,1-$AG$2),IF($F278*IF($C278="売",1+$AG$2,1-$AG$2)&lt;=3000,1,IF($F278*IF($C278="売",1+$AG$2,1-$AG$2)&lt;=5000,5,IF($F278*IF($C278="売",1+$AG$2,1-$AG$2)&lt;=30000,10,IF($F278*IF($C278="売",1+$AG$2,1-$AG$2)&lt;=50000,50,IF($F278*IF($C278="売",1+$AG$2,1-$AG$2)&lt;=300000,100,500)))))),FLOOR($F278*IF($C278="売",1+$AG$2,1-$AG$2),IF($F278*IF($C278="売",1+$AG$2,1-$AG$2)&lt;=3000,1,IF($F278*IF($C278="売",1+$AG$2,1-$AG$2)&lt;=5000,5,IF($F278*IF($C278="売",1+$AG$2,1-$AG$2)&lt;=30000,10,IF($F278*IF($C278="売",1+$AG$2,1-$AG$2)&lt;=50000,50,IF($F278*IF($C278="売",1+$AG$2,1-$AG$2)&lt;=300000,100,500))))))))</f>
      </c>
      <c r="O278" s="478">
        <f>IF(OR($B278="",$F278="",$H278=""),"",IF($S278="✅売却済","―決済済―",IF($C278="売",  IF($H278&lt;=$M278,"🟢利確",  IF(AND($R278&lt;&gt;"",$H278&gt;=$R278),"🟠TRAIL決済",  IF($H278&gt;=$N278,"🔴損切",  IF($W278&gt;=$AG$5,"⏱時間決済",  IF($H278&gt;=$F278*(1+$AG$2*0.7),"⚠️損切接近","保持継続"))))),  IF($H278&gt;=$M278,"🟢利確",  IF(AND($R278&lt;&gt;"",$H278&lt;=$R278),"🟠TRAIL決済",  IF($H278&lt;=$N278,"🔴損切",  IF($W278&gt;=$AG$5,"⏱時間決済",  IF($H278&lt;=$F278*(1-$AG$2*0.7),"⚠️損切接近","保持継続")))))))</f>
      </c>
      <c r="P278" s="445"/>
      <c r="Q278" s="445"/>
      <c r="R278" s="480">
        <f>IF(OR($F278="",$H278="",$N278=""),"",IF($S278="✅売却済","",IF($C278="売",  IF($H278&gt;$F278*(1-$AG$2),$N278,CEILING(MIN($N278,IF($Q278="",$N278,$Q278*1.03)),IF($N278&lt;=3000,1,IF($N278&lt;=5000,5,IF($N278&lt;=30000,10,IF($N278&lt;=50000,50,IF($N278&lt;=300000,100,500))))))),  IF($H278&lt;$F278*(1+$AG$2),$N278,FLOOR(MAX($N278,IF($P278="",$N278,$P278*0.97)),IF($N278&lt;=3000,1,IF($N278&lt;=5000,5,IF($N278&lt;=30000,10,IF($N278&lt;=50000,50,IF($N278&lt;=300000,100,500))))))))))</f>
      </c>
      <c r="S278" s="480" t="str">
        <f t="shared" si="106"/>
        <v/>
      </c>
      <c r="T278" s="596" t="str">
        <f t="shared" ca="1" si="95"/>
        <v/>
      </c>
      <c r="U278" s="598" t="str">
        <f t="shared" ca="1" si="96"/>
        <v/>
      </c>
      <c r="V278" s="703" t="str">
        <f t="shared" ca="1" si="107"/>
        <v/>
      </c>
      <c r="W278" s="480" t="str">
        <f t="shared" ca="1" si="97"/>
        <v/>
      </c>
      <c r="X278" s="480" t="str">
        <f t="shared" ca="1" si="98"/>
        <v/>
      </c>
      <c r="Y278" s="488">
        <f>IF($B278="","",IF(COUNTIFS($B$4:$B278,$B278,$C$4:$C278,$C278)&gt;1,"⛔重複"&amp;COUNTIFS($B$4:$B278,$B278,$C$4:$C278,$C278)&amp;"回目",""))</f>
      </c>
      <c r="Z278" s="710"/>
      <c r="AB278">
        <f>IF($F278="","",MAX(100,ROUNDDOWN($AG$4/($F278*$AG$2)/100,0)*100))</f>
      </c>
      <c r="AC278">
        <f>IF(OR($F278="",$G278="",$U278=""),"",ROUND($V278-($F278+$U278)*$G278*$AG$6-IF($C278="売",$F278*$G278*$AG$7*$W278/365,0),0))</f>
      </c>
      <c r="AD278" s="608"/>
      <c r="AE278" s="600" t="str">
        <f t="shared" si="99"/>
        <v/>
      </c>
      <c r="AF278" s="600"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00"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00" t="str">
        <f t="shared" ca="1" si="100"/>
        <v/>
      </c>
      <c r="AI278" s="600" t="str" cm="1">
        <f t="array" ref="AI278">IFERROR(INDEX(始値!$E$6:$BT$305,MATCH(TEXT($B278,"0"),TEXT(銘柄管理!$B$6:$B$305,"0"),0),MATCH($AE278,始値!$E$3:$BT$3,0)),"")</f>
        <v/>
      </c>
      <c r="AJ278" s="608" t="str">
        <f t="shared" ca="1" si="101"/>
        <v/>
      </c>
      <c r="AK278" s="600" t="str">
        <f t="shared" ca="1" si="102"/>
        <v/>
      </c>
    </row>
    <row r="279" spans="1:37" ht="17.25" customHeight="1">
      <c r="A279" s="621" t="str">
        <f t="shared" si="91"/>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BT$3,0)=1,1,MATCH($E279,始値!$E$3:$BT$3,0)+1)),_xlpm.v,INDEX(始値!$C$6:$B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 t="shared" ca="1" si="103"/>
        <v/>
      </c>
      <c r="L279" s="708" t="str">
        <f t="shared" ca="1" si="104"/>
        <v/>
      </c>
      <c r="M279" s="598">
        <f>IF($F279="","",IF($C279="売",CEILING($F279*IF($C279="売",1-$AG$3,1+$AG$3),IF($F279*IF($C279="売",1-$AG$3,1+$AG$3)&lt;=3000,1,IF($F279*IF($C279="売",1-$AG$3,1+$AG$3)&lt;=5000,5,IF($F279*IF($C279="売",1-$AG$3,1+$AG$3)&lt;=30000,10,IF($F279*IF($C279="売",1-$AG$3,1+$AG$3)&lt;=50000,50,IF($F279*IF($C279="売",1-$AG$3,1+$AG$3)&lt;=300000,100,500)))))),FLOOR($F279*IF($C279="売",1-$AG$3,1+$AG$3),IF($F279*IF($C279="売",1-$AG$3,1+$AG$3)&lt;=3000,1,IF($F279*IF($C279="売",1-$AG$3,1+$AG$3)&lt;=5000,5,IF($F279*IF($C279="売",1-$AG$3,1+$AG$3)&lt;=30000,10,IF($F279*IF($C279="売",1-$AG$3,1+$AG$3)&lt;=50000,50,IF($F279*IF($C279="売",1-$AG$3,1+$AG$3)&lt;=300000,100,500))))))))</f>
      </c>
      <c r="N279" s="598">
        <f>IF($F279="","",IF($C279="売",CEILING($F279*IF($C279="売",1+$AG$2,1-$AG$2),IF($F279*IF($C279="売",1+$AG$2,1-$AG$2)&lt;=3000,1,IF($F279*IF($C279="売",1+$AG$2,1-$AG$2)&lt;=5000,5,IF($F279*IF($C279="売",1+$AG$2,1-$AG$2)&lt;=30000,10,IF($F279*IF($C279="売",1+$AG$2,1-$AG$2)&lt;=50000,50,IF($F279*IF($C279="売",1+$AG$2,1-$AG$2)&lt;=300000,100,500)))))),FLOOR($F279*IF($C279="売",1+$AG$2,1-$AG$2),IF($F279*IF($C279="売",1+$AG$2,1-$AG$2)&lt;=3000,1,IF($F279*IF($C279="売",1+$AG$2,1-$AG$2)&lt;=5000,5,IF($F279*IF($C279="売",1+$AG$2,1-$AG$2)&lt;=30000,10,IF($F279*IF($C279="売",1+$AG$2,1-$AG$2)&lt;=50000,50,IF($F279*IF($C279="売",1+$AG$2,1-$AG$2)&lt;=300000,100,500))))))))</f>
      </c>
      <c r="O279" s="478">
        <f>IF(OR($B279="",$F279="",$H279=""),"",IF($S279="✅売却済","―決済済―",IF($C279="売",  IF($H279&lt;=$M279,"🟢利確",  IF(AND($R279&lt;&gt;"",$H279&gt;=$R279),"🟠TRAIL決済",  IF($H279&gt;=$N279,"🔴損切",  IF($W279&gt;=$AG$5,"⏱時間決済",  IF($H279&gt;=$F279*(1+$AG$2*0.7),"⚠️損切接近","保持継続"))))),  IF($H279&gt;=$M279,"🟢利確",  IF(AND($R279&lt;&gt;"",$H279&lt;=$R279),"🟠TRAIL決済",  IF($H279&lt;=$N279,"🔴損切",  IF($W279&gt;=$AG$5,"⏱時間決済",  IF($H279&lt;=$F279*(1-$AG$2*0.7),"⚠️損切接近","保持継続")))))))</f>
      </c>
      <c r="P279" s="445"/>
      <c r="Q279" s="445"/>
      <c r="R279" s="480">
        <f>IF(OR($F279="",$H279="",$N279=""),"",IF($S279="✅売却済","",IF($C279="売",  IF($H279&gt;$F279*(1-$AG$2),$N279,CEILING(MIN($N279,IF($Q279="",$N279,$Q279*1.03)),IF($N279&lt;=3000,1,IF($N279&lt;=5000,5,IF($N279&lt;=30000,10,IF($N279&lt;=50000,50,IF($N279&lt;=300000,100,500))))))),  IF($H279&lt;$F279*(1+$AG$2),$N279,FLOOR(MAX($N279,IF($P279="",$N279,$P279*0.97)),IF($N279&lt;=3000,1,IF($N279&lt;=5000,5,IF($N279&lt;=30000,10,IF($N279&lt;=50000,50,IF($N279&lt;=300000,100,500))))))))))</f>
      </c>
      <c r="S279" s="480" t="str">
        <f t="shared" si="106"/>
        <v/>
      </c>
      <c r="T279" s="596" t="str">
        <f t="shared" ca="1" si="95"/>
        <v/>
      </c>
      <c r="U279" s="598" t="str">
        <f t="shared" ca="1" si="96"/>
        <v/>
      </c>
      <c r="V279" s="703" t="str">
        <f t="shared" ca="1" si="107"/>
        <v/>
      </c>
      <c r="W279" s="480" t="str">
        <f t="shared" ca="1" si="97"/>
        <v/>
      </c>
      <c r="X279" s="480" t="str">
        <f t="shared" ca="1" si="98"/>
        <v/>
      </c>
      <c r="Y279" s="488">
        <f>IF($B279="","",IF(COUNTIFS($B$4:$B279,$B279,$C$4:$C279,$C279)&gt;1,"⛔重複"&amp;COUNTIFS($B$4:$B279,$B279,$C$4:$C279,$C279)&amp;"回目",""))</f>
      </c>
      <c r="Z279" s="710"/>
      <c r="AB279">
        <f>IF($F279="","",MAX(100,ROUNDDOWN($AG$4/($F279*$AG$2)/100,0)*100))</f>
      </c>
      <c r="AC279">
        <f>IF(OR($F279="",$G279="",$U279=""),"",ROUND($V279-($F279+$U279)*$G279*$AG$6-IF($C279="売",$F279*$G279*$AG$7*$W279/365,0),0))</f>
      </c>
      <c r="AD279" s="608"/>
      <c r="AE279" s="600" t="str">
        <f t="shared" si="99"/>
        <v/>
      </c>
      <c r="AF279" s="600"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00"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00" t="str">
        <f t="shared" ca="1" si="100"/>
        <v/>
      </c>
      <c r="AI279" s="600" t="str" cm="1">
        <f t="array" ref="AI279">IFERROR(INDEX(始値!$E$6:$BT$305,MATCH(TEXT($B279,"0"),TEXT(銘柄管理!$B$6:$B$305,"0"),0),MATCH($AE279,始値!$E$3:$BT$3,0)),"")</f>
        <v/>
      </c>
      <c r="AJ279" s="608" t="str">
        <f t="shared" ca="1" si="101"/>
        <v/>
      </c>
      <c r="AK279" s="600" t="str">
        <f t="shared" ca="1" si="102"/>
        <v/>
      </c>
    </row>
    <row r="280" spans="1:37" ht="17.25" customHeight="1">
      <c r="A280" s="621" t="str">
        <f t="shared" si="91"/>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BT$3,0)=1,1,MATCH($E280,始値!$E$3:$BT$3,0)+1)),_xlpm.v,INDEX(始値!$C$6:$B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 t="shared" ca="1" si="103"/>
        <v/>
      </c>
      <c r="L280" s="708" t="str">
        <f t="shared" ca="1" si="104"/>
        <v/>
      </c>
      <c r="M280" s="598">
        <f>IF($F280="","",IF($C280="売",CEILING($F280*IF($C280="売",1-$AG$3,1+$AG$3),IF($F280*IF($C280="売",1-$AG$3,1+$AG$3)&lt;=3000,1,IF($F280*IF($C280="売",1-$AG$3,1+$AG$3)&lt;=5000,5,IF($F280*IF($C280="売",1-$AG$3,1+$AG$3)&lt;=30000,10,IF($F280*IF($C280="売",1-$AG$3,1+$AG$3)&lt;=50000,50,IF($F280*IF($C280="売",1-$AG$3,1+$AG$3)&lt;=300000,100,500)))))),FLOOR($F280*IF($C280="売",1-$AG$3,1+$AG$3),IF($F280*IF($C280="売",1-$AG$3,1+$AG$3)&lt;=3000,1,IF($F280*IF($C280="売",1-$AG$3,1+$AG$3)&lt;=5000,5,IF($F280*IF($C280="売",1-$AG$3,1+$AG$3)&lt;=30000,10,IF($F280*IF($C280="売",1-$AG$3,1+$AG$3)&lt;=50000,50,IF($F280*IF($C280="売",1-$AG$3,1+$AG$3)&lt;=300000,100,500))))))))</f>
      </c>
      <c r="N280" s="598">
        <f>IF($F280="","",IF($C280="売",CEILING($F280*IF($C280="売",1+$AG$2,1-$AG$2),IF($F280*IF($C280="売",1+$AG$2,1-$AG$2)&lt;=3000,1,IF($F280*IF($C280="売",1+$AG$2,1-$AG$2)&lt;=5000,5,IF($F280*IF($C280="売",1+$AG$2,1-$AG$2)&lt;=30000,10,IF($F280*IF($C280="売",1+$AG$2,1-$AG$2)&lt;=50000,50,IF($F280*IF($C280="売",1+$AG$2,1-$AG$2)&lt;=300000,100,500)))))),FLOOR($F280*IF($C280="売",1+$AG$2,1-$AG$2),IF($F280*IF($C280="売",1+$AG$2,1-$AG$2)&lt;=3000,1,IF($F280*IF($C280="売",1+$AG$2,1-$AG$2)&lt;=5000,5,IF($F280*IF($C280="売",1+$AG$2,1-$AG$2)&lt;=30000,10,IF($F280*IF($C280="売",1+$AG$2,1-$AG$2)&lt;=50000,50,IF($F280*IF($C280="売",1+$AG$2,1-$AG$2)&lt;=300000,100,500))))))))</f>
      </c>
      <c r="O280" s="478">
        <f>IF(OR($B280="",$F280="",$H280=""),"",IF($S280="✅売却済","―決済済―",IF($C280="売",  IF($H280&lt;=$M280,"🟢利確",  IF(AND($R280&lt;&gt;"",$H280&gt;=$R280),"🟠TRAIL決済",  IF($H280&gt;=$N280,"🔴損切",  IF($W280&gt;=$AG$5,"⏱時間決済",  IF($H280&gt;=$F280*(1+$AG$2*0.7),"⚠️損切接近","保持継続"))))),  IF($H280&gt;=$M280,"🟢利確",  IF(AND($R280&lt;&gt;"",$H280&lt;=$R280),"🟠TRAIL決済",  IF($H280&lt;=$N280,"🔴損切",  IF($W280&gt;=$AG$5,"⏱時間決済",  IF($H280&lt;=$F280*(1-$AG$2*0.7),"⚠️損切接近","保持継続")))))))</f>
      </c>
      <c r="P280" s="445"/>
      <c r="Q280" s="445"/>
      <c r="R280" s="480">
        <f>IF(OR($F280="",$H280="",$N280=""),"",IF($S280="✅売却済","",IF($C280="売",  IF($H280&gt;$F280*(1-$AG$2),$N280,CEILING(MIN($N280,IF($Q280="",$N280,$Q280*1.03)),IF($N280&lt;=3000,1,IF($N280&lt;=5000,5,IF($N280&lt;=30000,10,IF($N280&lt;=50000,50,IF($N280&lt;=300000,100,500))))))),  IF($H280&lt;$F280*(1+$AG$2),$N280,FLOOR(MAX($N280,IF($P280="",$N280,$P280*0.97)),IF($N280&lt;=3000,1,IF($N280&lt;=5000,5,IF($N280&lt;=30000,10,IF($N280&lt;=50000,50,IF($N280&lt;=300000,100,500))))))))))</f>
      </c>
      <c r="S280" s="480" t="str">
        <f t="shared" si="106"/>
        <v/>
      </c>
      <c r="T280" s="596" t="str">
        <f t="shared" ca="1" si="95"/>
        <v/>
      </c>
      <c r="U280" s="598" t="str">
        <f t="shared" ca="1" si="96"/>
        <v/>
      </c>
      <c r="V280" s="703" t="str">
        <f t="shared" ca="1" si="107"/>
        <v/>
      </c>
      <c r="W280" s="480" t="str">
        <f t="shared" ca="1" si="97"/>
        <v/>
      </c>
      <c r="X280" s="480" t="str">
        <f t="shared" ca="1" si="98"/>
        <v/>
      </c>
      <c r="Y280" s="488">
        <f>IF($B280="","",IF(COUNTIFS($B$4:$B280,$B280,$C$4:$C280,$C280)&gt;1,"⛔重複"&amp;COUNTIFS($B$4:$B280,$B280,$C$4:$C280,$C280)&amp;"回目",""))</f>
      </c>
      <c r="Z280" s="710"/>
      <c r="AB280">
        <f>IF($F280="","",MAX(100,ROUNDDOWN($AG$4/($F280*$AG$2)/100,0)*100))</f>
      </c>
      <c r="AC280">
        <f>IF(OR($F280="",$G280="",$U280=""),"",ROUND($V280-($F280+$U280)*$G280*$AG$6-IF($C280="売",$F280*$G280*$AG$7*$W280/365,0),0))</f>
      </c>
      <c r="AD280" s="608"/>
      <c r="AE280" s="600" t="str">
        <f t="shared" si="99"/>
        <v/>
      </c>
      <c r="AF280" s="600"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00"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00" t="str">
        <f t="shared" ca="1" si="100"/>
        <v/>
      </c>
      <c r="AI280" s="600" t="str" cm="1">
        <f t="array" ref="AI280">IFERROR(INDEX(始値!$E$6:$BT$305,MATCH(TEXT($B280,"0"),TEXT(銘柄管理!$B$6:$B$305,"0"),0),MATCH($AE280,始値!$E$3:$BT$3,0)),"")</f>
        <v/>
      </c>
      <c r="AJ280" s="608" t="str">
        <f t="shared" ca="1" si="101"/>
        <v/>
      </c>
      <c r="AK280" s="600" t="str">
        <f t="shared" ca="1" si="102"/>
        <v/>
      </c>
    </row>
    <row r="281" spans="1:37" ht="17.25" customHeight="1">
      <c r="A281" s="621" t="str">
        <f t="shared" si="91"/>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BT$3,0)=1,1,MATCH($E281,始値!$E$3:$BT$3,0)+1)),_xlpm.v,INDEX(始値!$C$6:$B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 t="shared" ca="1" si="103"/>
        <v/>
      </c>
      <c r="L281" s="708" t="str">
        <f t="shared" ca="1" si="104"/>
        <v/>
      </c>
      <c r="M281" s="598">
        <f>IF($F281="","",IF($C281="売",CEILING($F281*IF($C281="売",1-$AG$3,1+$AG$3),IF($F281*IF($C281="売",1-$AG$3,1+$AG$3)&lt;=3000,1,IF($F281*IF($C281="売",1-$AG$3,1+$AG$3)&lt;=5000,5,IF($F281*IF($C281="売",1-$AG$3,1+$AG$3)&lt;=30000,10,IF($F281*IF($C281="売",1-$AG$3,1+$AG$3)&lt;=50000,50,IF($F281*IF($C281="売",1-$AG$3,1+$AG$3)&lt;=300000,100,500)))))),FLOOR($F281*IF($C281="売",1-$AG$3,1+$AG$3),IF($F281*IF($C281="売",1-$AG$3,1+$AG$3)&lt;=3000,1,IF($F281*IF($C281="売",1-$AG$3,1+$AG$3)&lt;=5000,5,IF($F281*IF($C281="売",1-$AG$3,1+$AG$3)&lt;=30000,10,IF($F281*IF($C281="売",1-$AG$3,1+$AG$3)&lt;=50000,50,IF($F281*IF($C281="売",1-$AG$3,1+$AG$3)&lt;=300000,100,500))))))))</f>
      </c>
      <c r="N281" s="598">
        <f>IF($F281="","",IF($C281="売",CEILING($F281*IF($C281="売",1+$AG$2,1-$AG$2),IF($F281*IF($C281="売",1+$AG$2,1-$AG$2)&lt;=3000,1,IF($F281*IF($C281="売",1+$AG$2,1-$AG$2)&lt;=5000,5,IF($F281*IF($C281="売",1+$AG$2,1-$AG$2)&lt;=30000,10,IF($F281*IF($C281="売",1+$AG$2,1-$AG$2)&lt;=50000,50,IF($F281*IF($C281="売",1+$AG$2,1-$AG$2)&lt;=300000,100,500)))))),FLOOR($F281*IF($C281="売",1+$AG$2,1-$AG$2),IF($F281*IF($C281="売",1+$AG$2,1-$AG$2)&lt;=3000,1,IF($F281*IF($C281="売",1+$AG$2,1-$AG$2)&lt;=5000,5,IF($F281*IF($C281="売",1+$AG$2,1-$AG$2)&lt;=30000,10,IF($F281*IF($C281="売",1+$AG$2,1-$AG$2)&lt;=50000,50,IF($F281*IF($C281="売",1+$AG$2,1-$AG$2)&lt;=300000,100,500))))))))</f>
      </c>
      <c r="O281" s="478">
        <f>IF(OR($B281="",$F281="",$H281=""),"",IF($S281="✅売却済","―決済済―",IF($C281="売",  IF($H281&lt;=$M281,"🟢利確",  IF(AND($R281&lt;&gt;"",$H281&gt;=$R281),"🟠TRAIL決済",  IF($H281&gt;=$N281,"🔴損切",  IF($W281&gt;=$AG$5,"⏱時間決済",  IF($H281&gt;=$F281*(1+$AG$2*0.7),"⚠️損切接近","保持継続"))))),  IF($H281&gt;=$M281,"🟢利確",  IF(AND($R281&lt;&gt;"",$H281&lt;=$R281),"🟠TRAIL決済",  IF($H281&lt;=$N281,"🔴損切",  IF($W281&gt;=$AG$5,"⏱時間決済",  IF($H281&lt;=$F281*(1-$AG$2*0.7),"⚠️損切接近","保持継続")))))))</f>
      </c>
      <c r="P281" s="445"/>
      <c r="Q281" s="445"/>
      <c r="R281" s="480">
        <f>IF(OR($F281="",$H281="",$N281=""),"",IF($S281="✅売却済","",IF($C281="売",  IF($H281&gt;$F281*(1-$AG$2),$N281,CEILING(MIN($N281,IF($Q281="",$N281,$Q281*1.03)),IF($N281&lt;=3000,1,IF($N281&lt;=5000,5,IF($N281&lt;=30000,10,IF($N281&lt;=50000,50,IF($N281&lt;=300000,100,500))))))),  IF($H281&lt;$F281*(1+$AG$2),$N281,FLOOR(MAX($N281,IF($P281="",$N281,$P281*0.97)),IF($N281&lt;=3000,1,IF($N281&lt;=5000,5,IF($N281&lt;=30000,10,IF($N281&lt;=50000,50,IF($N281&lt;=300000,100,500))))))))))</f>
      </c>
      <c r="S281" s="480" t="str">
        <f t="shared" si="106"/>
        <v/>
      </c>
      <c r="T281" s="596" t="str">
        <f t="shared" ca="1" si="95"/>
        <v/>
      </c>
      <c r="U281" s="598" t="str">
        <f t="shared" ca="1" si="96"/>
        <v/>
      </c>
      <c r="V281" s="703" t="str">
        <f t="shared" ca="1" si="107"/>
        <v/>
      </c>
      <c r="W281" s="480" t="str">
        <f t="shared" ca="1" si="97"/>
        <v/>
      </c>
      <c r="X281" s="480" t="str">
        <f t="shared" ca="1" si="98"/>
        <v/>
      </c>
      <c r="Y281" s="488">
        <f>IF($B281="","",IF(COUNTIFS($B$4:$B281,$B281,$C$4:$C281,$C281)&gt;1,"⛔重複"&amp;COUNTIFS($B$4:$B281,$B281,$C$4:$C281,$C281)&amp;"回目",""))</f>
      </c>
      <c r="Z281" s="710"/>
      <c r="AB281">
        <f>IF($F281="","",MAX(100,ROUNDDOWN($AG$4/($F281*$AG$2)/100,0)*100))</f>
      </c>
      <c r="AC281">
        <f>IF(OR($F281="",$G281="",$U281=""),"",ROUND($V281-($F281+$U281)*$G281*$AG$6-IF($C281="売",$F281*$G281*$AG$7*$W281/365,0),0))</f>
      </c>
      <c r="AD281" s="608"/>
      <c r="AE281" s="600" t="str">
        <f t="shared" si="99"/>
        <v/>
      </c>
      <c r="AF281" s="600"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00"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00" t="str">
        <f t="shared" ca="1" si="100"/>
        <v/>
      </c>
      <c r="AI281" s="600" t="str" cm="1">
        <f t="array" ref="AI281">IFERROR(INDEX(始値!$E$6:$BT$305,MATCH(TEXT($B281,"0"),TEXT(銘柄管理!$B$6:$B$305,"0"),0),MATCH($AE281,始値!$E$3:$BT$3,0)),"")</f>
        <v/>
      </c>
      <c r="AJ281" s="608" t="str">
        <f t="shared" ca="1" si="101"/>
        <v/>
      </c>
      <c r="AK281" s="600" t="str">
        <f t="shared" ca="1" si="102"/>
        <v/>
      </c>
    </row>
    <row r="282" spans="1:37" ht="17.25" customHeight="1">
      <c r="A282" s="621" t="str">
        <f t="shared" si="91"/>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BT$3,0)=1,1,MATCH($E282,始値!$E$3:$BT$3,0)+1)),_xlpm.v,INDEX(始値!$C$6:$B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 t="shared" ca="1" si="103"/>
        <v/>
      </c>
      <c r="L282" s="708" t="str">
        <f t="shared" ca="1" si="104"/>
        <v/>
      </c>
      <c r="M282" s="598">
        <f>IF($F282="","",IF($C282="売",CEILING($F282*IF($C282="売",1-$AG$3,1+$AG$3),IF($F282*IF($C282="売",1-$AG$3,1+$AG$3)&lt;=3000,1,IF($F282*IF($C282="売",1-$AG$3,1+$AG$3)&lt;=5000,5,IF($F282*IF($C282="売",1-$AG$3,1+$AG$3)&lt;=30000,10,IF($F282*IF($C282="売",1-$AG$3,1+$AG$3)&lt;=50000,50,IF($F282*IF($C282="売",1-$AG$3,1+$AG$3)&lt;=300000,100,500)))))),FLOOR($F282*IF($C282="売",1-$AG$3,1+$AG$3),IF($F282*IF($C282="売",1-$AG$3,1+$AG$3)&lt;=3000,1,IF($F282*IF($C282="売",1-$AG$3,1+$AG$3)&lt;=5000,5,IF($F282*IF($C282="売",1-$AG$3,1+$AG$3)&lt;=30000,10,IF($F282*IF($C282="売",1-$AG$3,1+$AG$3)&lt;=50000,50,IF($F282*IF($C282="売",1-$AG$3,1+$AG$3)&lt;=300000,100,500))))))))</f>
      </c>
      <c r="N282" s="598">
        <f>IF($F282="","",IF($C282="売",CEILING($F282*IF($C282="売",1+$AG$2,1-$AG$2),IF($F282*IF($C282="売",1+$AG$2,1-$AG$2)&lt;=3000,1,IF($F282*IF($C282="売",1+$AG$2,1-$AG$2)&lt;=5000,5,IF($F282*IF($C282="売",1+$AG$2,1-$AG$2)&lt;=30000,10,IF($F282*IF($C282="売",1+$AG$2,1-$AG$2)&lt;=50000,50,IF($F282*IF($C282="売",1+$AG$2,1-$AG$2)&lt;=300000,100,500)))))),FLOOR($F282*IF($C282="売",1+$AG$2,1-$AG$2),IF($F282*IF($C282="売",1+$AG$2,1-$AG$2)&lt;=3000,1,IF($F282*IF($C282="売",1+$AG$2,1-$AG$2)&lt;=5000,5,IF($F282*IF($C282="売",1+$AG$2,1-$AG$2)&lt;=30000,10,IF($F282*IF($C282="売",1+$AG$2,1-$AG$2)&lt;=50000,50,IF($F282*IF($C282="売",1+$AG$2,1-$AG$2)&lt;=300000,100,500))))))))</f>
      </c>
      <c r="O282" s="478">
        <f>IF(OR($B282="",$F282="",$H282=""),"",IF($S282="✅売却済","―決済済―",IF($C282="売",  IF($H282&lt;=$M282,"🟢利確",  IF(AND($R282&lt;&gt;"",$H282&gt;=$R282),"🟠TRAIL決済",  IF($H282&gt;=$N282,"🔴損切",  IF($W282&gt;=$AG$5,"⏱時間決済",  IF($H282&gt;=$F282*(1+$AG$2*0.7),"⚠️損切接近","保持継続"))))),  IF($H282&gt;=$M282,"🟢利確",  IF(AND($R282&lt;&gt;"",$H282&lt;=$R282),"🟠TRAIL決済",  IF($H282&lt;=$N282,"🔴損切",  IF($W282&gt;=$AG$5,"⏱時間決済",  IF($H282&lt;=$F282*(1-$AG$2*0.7),"⚠️損切接近","保持継続")))))))</f>
      </c>
      <c r="P282" s="445"/>
      <c r="Q282" s="445"/>
      <c r="R282" s="480">
        <f>IF(OR($F282="",$H282="",$N282=""),"",IF($S282="✅売却済","",IF($C282="売",  IF($H282&gt;$F282*(1-$AG$2),$N282,CEILING(MIN($N282,IF($Q282="",$N282,$Q282*1.03)),IF($N282&lt;=3000,1,IF($N282&lt;=5000,5,IF($N282&lt;=30000,10,IF($N282&lt;=50000,50,IF($N282&lt;=300000,100,500))))))),  IF($H282&lt;$F282*(1+$AG$2),$N282,FLOOR(MAX($N282,IF($P282="",$N282,$P282*0.97)),IF($N282&lt;=3000,1,IF($N282&lt;=5000,5,IF($N282&lt;=30000,10,IF($N282&lt;=50000,50,IF($N282&lt;=300000,100,500))))))))))</f>
      </c>
      <c r="S282" s="480" t="str">
        <f t="shared" si="106"/>
        <v/>
      </c>
      <c r="T282" s="596" t="str">
        <f t="shared" ca="1" si="95"/>
        <v/>
      </c>
      <c r="U282" s="598" t="str">
        <f t="shared" ca="1" si="96"/>
        <v/>
      </c>
      <c r="V282" s="703" t="str">
        <f t="shared" ca="1" si="107"/>
        <v/>
      </c>
      <c r="W282" s="480" t="str">
        <f t="shared" ca="1" si="97"/>
        <v/>
      </c>
      <c r="X282" s="480" t="str">
        <f t="shared" ca="1" si="98"/>
        <v/>
      </c>
      <c r="Y282" s="488">
        <f>IF($B282="","",IF(COUNTIFS($B$4:$B282,$B282,$C$4:$C282,$C282)&gt;1,"⛔重複"&amp;COUNTIFS($B$4:$B282,$B282,$C$4:$C282,$C282)&amp;"回目",""))</f>
      </c>
      <c r="Z282" s="710"/>
      <c r="AB282">
        <f>IF($F282="","",MAX(100,ROUNDDOWN($AG$4/($F282*$AG$2)/100,0)*100))</f>
      </c>
      <c r="AC282">
        <f>IF(OR($F282="",$G282="",$U282=""),"",ROUND($V282-($F282+$U282)*$G282*$AG$6-IF($C282="売",$F282*$G282*$AG$7*$W282/365,0),0))</f>
      </c>
      <c r="AD282" s="608"/>
      <c r="AE282" s="600" t="str">
        <f t="shared" si="99"/>
        <v/>
      </c>
      <c r="AF282" s="600"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00"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00" t="str">
        <f t="shared" ca="1" si="100"/>
        <v/>
      </c>
      <c r="AI282" s="600" t="str" cm="1">
        <f t="array" ref="AI282">IFERROR(INDEX(始値!$E$6:$BT$305,MATCH(TEXT($B282,"0"),TEXT(銘柄管理!$B$6:$B$305,"0"),0),MATCH($AE282,始値!$E$3:$BT$3,0)),"")</f>
        <v/>
      </c>
      <c r="AJ282" s="608" t="str">
        <f t="shared" ca="1" si="101"/>
        <v/>
      </c>
      <c r="AK282" s="600" t="str">
        <f t="shared" ca="1" si="102"/>
        <v/>
      </c>
    </row>
    <row r="283" spans="1:37" ht="17.25" customHeight="1">
      <c r="A283" s="621" t="str">
        <f t="shared" si="91"/>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BT$3,0)=1,1,MATCH($E283,始値!$E$3:$BT$3,0)+1)),_xlpm.v,INDEX(始値!$C$6:$B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 t="shared" ca="1" si="103"/>
        <v/>
      </c>
      <c r="L283" s="708" t="str">
        <f t="shared" ca="1" si="104"/>
        <v/>
      </c>
      <c r="M283" s="598">
        <f>IF($F283="","",IF($C283="売",CEILING($F283*IF($C283="売",1-$AG$3,1+$AG$3),IF($F283*IF($C283="売",1-$AG$3,1+$AG$3)&lt;=3000,1,IF($F283*IF($C283="売",1-$AG$3,1+$AG$3)&lt;=5000,5,IF($F283*IF($C283="売",1-$AG$3,1+$AG$3)&lt;=30000,10,IF($F283*IF($C283="売",1-$AG$3,1+$AG$3)&lt;=50000,50,IF($F283*IF($C283="売",1-$AG$3,1+$AG$3)&lt;=300000,100,500)))))),FLOOR($F283*IF($C283="売",1-$AG$3,1+$AG$3),IF($F283*IF($C283="売",1-$AG$3,1+$AG$3)&lt;=3000,1,IF($F283*IF($C283="売",1-$AG$3,1+$AG$3)&lt;=5000,5,IF($F283*IF($C283="売",1-$AG$3,1+$AG$3)&lt;=30000,10,IF($F283*IF($C283="売",1-$AG$3,1+$AG$3)&lt;=50000,50,IF($F283*IF($C283="売",1-$AG$3,1+$AG$3)&lt;=300000,100,500))))))))</f>
      </c>
      <c r="N283" s="598">
        <f>IF($F283="","",IF($C283="売",CEILING($F283*IF($C283="売",1+$AG$2,1-$AG$2),IF($F283*IF($C283="売",1+$AG$2,1-$AG$2)&lt;=3000,1,IF($F283*IF($C283="売",1+$AG$2,1-$AG$2)&lt;=5000,5,IF($F283*IF($C283="売",1+$AG$2,1-$AG$2)&lt;=30000,10,IF($F283*IF($C283="売",1+$AG$2,1-$AG$2)&lt;=50000,50,IF($F283*IF($C283="売",1+$AG$2,1-$AG$2)&lt;=300000,100,500)))))),FLOOR($F283*IF($C283="売",1+$AG$2,1-$AG$2),IF($F283*IF($C283="売",1+$AG$2,1-$AG$2)&lt;=3000,1,IF($F283*IF($C283="売",1+$AG$2,1-$AG$2)&lt;=5000,5,IF($F283*IF($C283="売",1+$AG$2,1-$AG$2)&lt;=30000,10,IF($F283*IF($C283="売",1+$AG$2,1-$AG$2)&lt;=50000,50,IF($F283*IF($C283="売",1+$AG$2,1-$AG$2)&lt;=300000,100,500))))))))</f>
      </c>
      <c r="O283" s="478">
        <f>IF(OR($B283="",$F283="",$H283=""),"",IF($S283="✅売却済","―決済済―",IF($C283="売",  IF($H283&lt;=$M283,"🟢利確",  IF(AND($R283&lt;&gt;"",$H283&gt;=$R283),"🟠TRAIL決済",  IF($H283&gt;=$N283,"🔴損切",  IF($W283&gt;=$AG$5,"⏱時間決済",  IF($H283&gt;=$F283*(1+$AG$2*0.7),"⚠️損切接近","保持継続"))))),  IF($H283&gt;=$M283,"🟢利確",  IF(AND($R283&lt;&gt;"",$H283&lt;=$R283),"🟠TRAIL決済",  IF($H283&lt;=$N283,"🔴損切",  IF($W283&gt;=$AG$5,"⏱時間決済",  IF($H283&lt;=$F283*(1-$AG$2*0.7),"⚠️損切接近","保持継続")))))))</f>
      </c>
      <c r="P283" s="445"/>
      <c r="Q283" s="445"/>
      <c r="R283" s="480">
        <f>IF(OR($F283="",$H283="",$N283=""),"",IF($S283="✅売却済","",IF($C283="売",  IF($H283&gt;$F283*(1-$AG$2),$N283,CEILING(MIN($N283,IF($Q283="",$N283,$Q283*1.03)),IF($N283&lt;=3000,1,IF($N283&lt;=5000,5,IF($N283&lt;=30000,10,IF($N283&lt;=50000,50,IF($N283&lt;=300000,100,500))))))),  IF($H283&lt;$F283*(1+$AG$2),$N283,FLOOR(MAX($N283,IF($P283="",$N283,$P283*0.97)),IF($N283&lt;=3000,1,IF($N283&lt;=5000,5,IF($N283&lt;=30000,10,IF($N283&lt;=50000,50,IF($N283&lt;=300000,100,500))))))))))</f>
      </c>
      <c r="S283" s="480" t="str">
        <f t="shared" si="106"/>
        <v/>
      </c>
      <c r="T283" s="596" t="str">
        <f t="shared" ca="1" si="95"/>
        <v/>
      </c>
      <c r="U283" s="598" t="str">
        <f t="shared" ca="1" si="96"/>
        <v/>
      </c>
      <c r="V283" s="703" t="str">
        <f t="shared" ca="1" si="107"/>
        <v/>
      </c>
      <c r="W283" s="480" t="str">
        <f t="shared" ca="1" si="97"/>
        <v/>
      </c>
      <c r="X283" s="480" t="str">
        <f t="shared" ca="1" si="98"/>
        <v/>
      </c>
      <c r="Y283" s="488">
        <f>IF($B283="","",IF(COUNTIFS($B$4:$B283,$B283,$C$4:$C283,$C283)&gt;1,"⛔重複"&amp;COUNTIFS($B$4:$B283,$B283,$C$4:$C283,$C283)&amp;"回目",""))</f>
      </c>
      <c r="Z283" s="710"/>
      <c r="AB283">
        <f>IF($F283="","",MAX(100,ROUNDDOWN($AG$4/($F283*$AG$2)/100,0)*100))</f>
      </c>
      <c r="AC283">
        <f>IF(OR($F283="",$G283="",$U283=""),"",ROUND($V283-($F283+$U283)*$G283*$AG$6-IF($C283="売",$F283*$G283*$AG$7*$W283/365,0),0))</f>
      </c>
      <c r="AD283" s="608"/>
      <c r="AE283" s="600" t="str">
        <f t="shared" si="99"/>
        <v/>
      </c>
      <c r="AF283" s="600"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00"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00" t="str">
        <f t="shared" ca="1" si="100"/>
        <v/>
      </c>
      <c r="AI283" s="600" t="str" cm="1">
        <f t="array" ref="AI283">IFERROR(INDEX(始値!$E$6:$BT$305,MATCH(TEXT($B283,"0"),TEXT(銘柄管理!$B$6:$B$305,"0"),0),MATCH($AE283,始値!$E$3:$BT$3,0)),"")</f>
        <v/>
      </c>
      <c r="AJ283" s="608" t="str">
        <f t="shared" ca="1" si="101"/>
        <v/>
      </c>
      <c r="AK283" s="600" t="str">
        <f t="shared" ca="1" si="102"/>
        <v/>
      </c>
    </row>
    <row r="284" spans="1:37" ht="17.25" customHeight="1">
      <c r="A284" s="621" t="str">
        <f t="shared" si="91"/>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BT$3,0)=1,1,MATCH($E284,始値!$E$3:$BT$3,0)+1)),_xlpm.v,INDEX(始値!$C$6:$B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 t="shared" ca="1" si="103"/>
        <v/>
      </c>
      <c r="L284" s="708" t="str">
        <f t="shared" ca="1" si="104"/>
        <v/>
      </c>
      <c r="M284" s="598">
        <f>IF($F284="","",IF($C284="売",CEILING($F284*IF($C284="売",1-$AG$3,1+$AG$3),IF($F284*IF($C284="売",1-$AG$3,1+$AG$3)&lt;=3000,1,IF($F284*IF($C284="売",1-$AG$3,1+$AG$3)&lt;=5000,5,IF($F284*IF($C284="売",1-$AG$3,1+$AG$3)&lt;=30000,10,IF($F284*IF($C284="売",1-$AG$3,1+$AG$3)&lt;=50000,50,IF($F284*IF($C284="売",1-$AG$3,1+$AG$3)&lt;=300000,100,500)))))),FLOOR($F284*IF($C284="売",1-$AG$3,1+$AG$3),IF($F284*IF($C284="売",1-$AG$3,1+$AG$3)&lt;=3000,1,IF($F284*IF($C284="売",1-$AG$3,1+$AG$3)&lt;=5000,5,IF($F284*IF($C284="売",1-$AG$3,1+$AG$3)&lt;=30000,10,IF($F284*IF($C284="売",1-$AG$3,1+$AG$3)&lt;=50000,50,IF($F284*IF($C284="売",1-$AG$3,1+$AG$3)&lt;=300000,100,500))))))))</f>
      </c>
      <c r="N284" s="598">
        <f>IF($F284="","",IF($C284="売",CEILING($F284*IF($C284="売",1+$AG$2,1-$AG$2),IF($F284*IF($C284="売",1+$AG$2,1-$AG$2)&lt;=3000,1,IF($F284*IF($C284="売",1+$AG$2,1-$AG$2)&lt;=5000,5,IF($F284*IF($C284="売",1+$AG$2,1-$AG$2)&lt;=30000,10,IF($F284*IF($C284="売",1+$AG$2,1-$AG$2)&lt;=50000,50,IF($F284*IF($C284="売",1+$AG$2,1-$AG$2)&lt;=300000,100,500)))))),FLOOR($F284*IF($C284="売",1+$AG$2,1-$AG$2),IF($F284*IF($C284="売",1+$AG$2,1-$AG$2)&lt;=3000,1,IF($F284*IF($C284="売",1+$AG$2,1-$AG$2)&lt;=5000,5,IF($F284*IF($C284="売",1+$AG$2,1-$AG$2)&lt;=30000,10,IF($F284*IF($C284="売",1+$AG$2,1-$AG$2)&lt;=50000,50,IF($F284*IF($C284="売",1+$AG$2,1-$AG$2)&lt;=300000,100,500))))))))</f>
      </c>
      <c r="O284" s="478">
        <f>IF(OR($B284="",$F284="",$H284=""),"",IF($S284="✅売却済","―決済済―",IF($C284="売",  IF($H284&lt;=$M284,"🟢利確",  IF(AND($R284&lt;&gt;"",$H284&gt;=$R284),"🟠TRAIL決済",  IF($H284&gt;=$N284,"🔴損切",  IF($W284&gt;=$AG$5,"⏱時間決済",  IF($H284&gt;=$F284*(1+$AG$2*0.7),"⚠️損切接近","保持継続"))))),  IF($H284&gt;=$M284,"🟢利確",  IF(AND($R284&lt;&gt;"",$H284&lt;=$R284),"🟠TRAIL決済",  IF($H284&lt;=$N284,"🔴損切",  IF($W284&gt;=$AG$5,"⏱時間決済",  IF($H284&lt;=$F284*(1-$AG$2*0.7),"⚠️損切接近","保持継続")))))))</f>
      </c>
      <c r="P284" s="445"/>
      <c r="Q284" s="445"/>
      <c r="R284" s="480">
        <f>IF(OR($F284="",$H284="",$N284=""),"",IF($S284="✅売却済","",IF($C284="売",  IF($H284&gt;$F284*(1-$AG$2),$N284,CEILING(MIN($N284,IF($Q284="",$N284,$Q284*1.03)),IF($N284&lt;=3000,1,IF($N284&lt;=5000,5,IF($N284&lt;=30000,10,IF($N284&lt;=50000,50,IF($N284&lt;=300000,100,500))))))),  IF($H284&lt;$F284*(1+$AG$2),$N284,FLOOR(MAX($N284,IF($P284="",$N284,$P284*0.97)),IF($N284&lt;=3000,1,IF($N284&lt;=5000,5,IF($N284&lt;=30000,10,IF($N284&lt;=50000,50,IF($N284&lt;=300000,100,500))))))))))</f>
      </c>
      <c r="S284" s="480" t="str">
        <f t="shared" si="106"/>
        <v/>
      </c>
      <c r="T284" s="596" t="str">
        <f t="shared" ca="1" si="95"/>
        <v/>
      </c>
      <c r="U284" s="598" t="str">
        <f t="shared" ca="1" si="96"/>
        <v/>
      </c>
      <c r="V284" s="703" t="str">
        <f t="shared" ca="1" si="107"/>
        <v/>
      </c>
      <c r="W284" s="480" t="str">
        <f t="shared" ca="1" si="97"/>
        <v/>
      </c>
      <c r="X284" s="480" t="str">
        <f t="shared" ca="1" si="98"/>
        <v/>
      </c>
      <c r="Y284" s="488">
        <f>IF($B284="","",IF(COUNTIFS($B$4:$B284,$B284,$C$4:$C284,$C284)&gt;1,"⛔重複"&amp;COUNTIFS($B$4:$B284,$B284,$C$4:$C284,$C284)&amp;"回目",""))</f>
      </c>
      <c r="Z284" s="710"/>
      <c r="AB284">
        <f>IF($F284="","",MAX(100,ROUNDDOWN($AG$4/($F284*$AG$2)/100,0)*100))</f>
      </c>
      <c r="AC284">
        <f>IF(OR($F284="",$G284="",$U284=""),"",ROUND($V284-($F284+$U284)*$G284*$AG$6-IF($C284="売",$F284*$G284*$AG$7*$W284/365,0),0))</f>
      </c>
      <c r="AD284" s="608"/>
      <c r="AE284" s="600" t="str">
        <f t="shared" si="99"/>
        <v/>
      </c>
      <c r="AF284" s="600"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00"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00" t="str">
        <f t="shared" ca="1" si="100"/>
        <v/>
      </c>
      <c r="AI284" s="600" t="str" cm="1">
        <f t="array" ref="AI284">IFERROR(INDEX(始値!$E$6:$BT$305,MATCH(TEXT($B284,"0"),TEXT(銘柄管理!$B$6:$B$305,"0"),0),MATCH($AE284,始値!$E$3:$BT$3,0)),"")</f>
        <v/>
      </c>
      <c r="AJ284" s="608" t="str">
        <f t="shared" ca="1" si="101"/>
        <v/>
      </c>
      <c r="AK284" s="600" t="str">
        <f t="shared" ca="1" si="102"/>
        <v/>
      </c>
    </row>
    <row r="285" spans="1:37" ht="17.25" customHeight="1">
      <c r="A285" s="621" t="str">
        <f t="shared" si="91"/>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BT$3,0)=1,1,MATCH($E285,始値!$E$3:$BT$3,0)+1)),_xlpm.v,INDEX(始値!$C$6:$B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 t="shared" ca="1" si="103"/>
        <v/>
      </c>
      <c r="L285" s="708" t="str">
        <f t="shared" ca="1" si="104"/>
        <v/>
      </c>
      <c r="M285" s="598">
        <f>IF($F285="","",IF($C285="売",CEILING($F285*IF($C285="売",1-$AG$3,1+$AG$3),IF($F285*IF($C285="売",1-$AG$3,1+$AG$3)&lt;=3000,1,IF($F285*IF($C285="売",1-$AG$3,1+$AG$3)&lt;=5000,5,IF($F285*IF($C285="売",1-$AG$3,1+$AG$3)&lt;=30000,10,IF($F285*IF($C285="売",1-$AG$3,1+$AG$3)&lt;=50000,50,IF($F285*IF($C285="売",1-$AG$3,1+$AG$3)&lt;=300000,100,500)))))),FLOOR($F285*IF($C285="売",1-$AG$3,1+$AG$3),IF($F285*IF($C285="売",1-$AG$3,1+$AG$3)&lt;=3000,1,IF($F285*IF($C285="売",1-$AG$3,1+$AG$3)&lt;=5000,5,IF($F285*IF($C285="売",1-$AG$3,1+$AG$3)&lt;=30000,10,IF($F285*IF($C285="売",1-$AG$3,1+$AG$3)&lt;=50000,50,IF($F285*IF($C285="売",1-$AG$3,1+$AG$3)&lt;=300000,100,500))))))))</f>
      </c>
      <c r="N285" s="598">
        <f>IF($F285="","",IF($C285="売",CEILING($F285*IF($C285="売",1+$AG$2,1-$AG$2),IF($F285*IF($C285="売",1+$AG$2,1-$AG$2)&lt;=3000,1,IF($F285*IF($C285="売",1+$AG$2,1-$AG$2)&lt;=5000,5,IF($F285*IF($C285="売",1+$AG$2,1-$AG$2)&lt;=30000,10,IF($F285*IF($C285="売",1+$AG$2,1-$AG$2)&lt;=50000,50,IF($F285*IF($C285="売",1+$AG$2,1-$AG$2)&lt;=300000,100,500)))))),FLOOR($F285*IF($C285="売",1+$AG$2,1-$AG$2),IF($F285*IF($C285="売",1+$AG$2,1-$AG$2)&lt;=3000,1,IF($F285*IF($C285="売",1+$AG$2,1-$AG$2)&lt;=5000,5,IF($F285*IF($C285="売",1+$AG$2,1-$AG$2)&lt;=30000,10,IF($F285*IF($C285="売",1+$AG$2,1-$AG$2)&lt;=50000,50,IF($F285*IF($C285="売",1+$AG$2,1-$AG$2)&lt;=300000,100,500))))))))</f>
      </c>
      <c r="O285" s="478">
        <f>IF(OR($B285="",$F285="",$H285=""),"",IF($S285="✅売却済","―決済済―",IF($C285="売",  IF($H285&lt;=$M285,"🟢利確",  IF(AND($R285&lt;&gt;"",$H285&gt;=$R285),"🟠TRAIL決済",  IF($H285&gt;=$N285,"🔴損切",  IF($W285&gt;=$AG$5,"⏱時間決済",  IF($H285&gt;=$F285*(1+$AG$2*0.7),"⚠️損切接近","保持継続"))))),  IF($H285&gt;=$M285,"🟢利確",  IF(AND($R285&lt;&gt;"",$H285&lt;=$R285),"🟠TRAIL決済",  IF($H285&lt;=$N285,"🔴損切",  IF($W285&gt;=$AG$5,"⏱時間決済",  IF($H285&lt;=$F285*(1-$AG$2*0.7),"⚠️損切接近","保持継続")))))))</f>
      </c>
      <c r="P285" s="445"/>
      <c r="Q285" s="445"/>
      <c r="R285" s="480">
        <f>IF(OR($F285="",$H285="",$N285=""),"",IF($S285="✅売却済","",IF($C285="売",  IF($H285&gt;$F285*(1-$AG$2),$N285,CEILING(MIN($N285,IF($Q285="",$N285,$Q285*1.03)),IF($N285&lt;=3000,1,IF($N285&lt;=5000,5,IF($N285&lt;=30000,10,IF($N285&lt;=50000,50,IF($N285&lt;=300000,100,500))))))),  IF($H285&lt;$F285*(1+$AG$2),$N285,FLOOR(MAX($N285,IF($P285="",$N285,$P285*0.97)),IF($N285&lt;=3000,1,IF($N285&lt;=5000,5,IF($N285&lt;=30000,10,IF($N285&lt;=50000,50,IF($N285&lt;=300000,100,500))))))))))</f>
      </c>
      <c r="S285" s="480" t="str">
        <f t="shared" si="106"/>
        <v/>
      </c>
      <c r="T285" s="596" t="str">
        <f t="shared" ca="1" si="95"/>
        <v/>
      </c>
      <c r="U285" s="598" t="str">
        <f t="shared" ca="1" si="96"/>
        <v/>
      </c>
      <c r="V285" s="703" t="str">
        <f t="shared" ca="1" si="107"/>
        <v/>
      </c>
      <c r="W285" s="480" t="str">
        <f t="shared" ca="1" si="97"/>
        <v/>
      </c>
      <c r="X285" s="480" t="str">
        <f t="shared" ca="1" si="98"/>
        <v/>
      </c>
      <c r="Y285" s="488">
        <f>IF($B285="","",IF(COUNTIFS($B$4:$B285,$B285,$C$4:$C285,$C285)&gt;1,"⛔重複"&amp;COUNTIFS($B$4:$B285,$B285,$C$4:$C285,$C285)&amp;"回目",""))</f>
      </c>
      <c r="Z285" s="710"/>
      <c r="AB285">
        <f>IF($F285="","",MAX(100,ROUNDDOWN($AG$4/($F285*$AG$2)/100,0)*100))</f>
      </c>
      <c r="AC285">
        <f>IF(OR($F285="",$G285="",$U285=""),"",ROUND($V285-($F285+$U285)*$G285*$AG$6-IF($C285="売",$F285*$G285*$AG$7*$W285/365,0),0))</f>
      </c>
      <c r="AD285" s="608"/>
      <c r="AE285" s="600" t="str">
        <f t="shared" si="99"/>
        <v/>
      </c>
      <c r="AF285" s="600"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00"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00" t="str">
        <f t="shared" ca="1" si="100"/>
        <v/>
      </c>
      <c r="AI285" s="600" t="str" cm="1">
        <f t="array" ref="AI285">IFERROR(INDEX(始値!$E$6:$BT$305,MATCH(TEXT($B285,"0"),TEXT(銘柄管理!$B$6:$B$305,"0"),0),MATCH($AE285,始値!$E$3:$BT$3,0)),"")</f>
        <v/>
      </c>
      <c r="AJ285" s="608" t="str">
        <f t="shared" ca="1" si="101"/>
        <v/>
      </c>
      <c r="AK285" s="600" t="str">
        <f t="shared" ca="1" si="102"/>
        <v/>
      </c>
    </row>
    <row r="286" spans="1:37" ht="17.25" customHeight="1">
      <c r="A286" s="621" t="str">
        <f t="shared" si="91"/>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BT$3,0)=1,1,MATCH($E286,始値!$E$3:$BT$3,0)+1)),_xlpm.v,INDEX(始値!$C$6:$B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 t="shared" ca="1" si="103"/>
        <v/>
      </c>
      <c r="L286" s="708" t="str">
        <f t="shared" ca="1" si="104"/>
        <v/>
      </c>
      <c r="M286" s="598">
        <f>IF($F286="","",IF($C286="売",CEILING($F286*IF($C286="売",1-$AG$3,1+$AG$3),IF($F286*IF($C286="売",1-$AG$3,1+$AG$3)&lt;=3000,1,IF($F286*IF($C286="売",1-$AG$3,1+$AG$3)&lt;=5000,5,IF($F286*IF($C286="売",1-$AG$3,1+$AG$3)&lt;=30000,10,IF($F286*IF($C286="売",1-$AG$3,1+$AG$3)&lt;=50000,50,IF($F286*IF($C286="売",1-$AG$3,1+$AG$3)&lt;=300000,100,500)))))),FLOOR($F286*IF($C286="売",1-$AG$3,1+$AG$3),IF($F286*IF($C286="売",1-$AG$3,1+$AG$3)&lt;=3000,1,IF($F286*IF($C286="売",1-$AG$3,1+$AG$3)&lt;=5000,5,IF($F286*IF($C286="売",1-$AG$3,1+$AG$3)&lt;=30000,10,IF($F286*IF($C286="売",1-$AG$3,1+$AG$3)&lt;=50000,50,IF($F286*IF($C286="売",1-$AG$3,1+$AG$3)&lt;=300000,100,500))))))))</f>
      </c>
      <c r="N286" s="598">
        <f>IF($F286="","",IF($C286="売",CEILING($F286*IF($C286="売",1+$AG$2,1-$AG$2),IF($F286*IF($C286="売",1+$AG$2,1-$AG$2)&lt;=3000,1,IF($F286*IF($C286="売",1+$AG$2,1-$AG$2)&lt;=5000,5,IF($F286*IF($C286="売",1+$AG$2,1-$AG$2)&lt;=30000,10,IF($F286*IF($C286="売",1+$AG$2,1-$AG$2)&lt;=50000,50,IF($F286*IF($C286="売",1+$AG$2,1-$AG$2)&lt;=300000,100,500)))))),FLOOR($F286*IF($C286="売",1+$AG$2,1-$AG$2),IF($F286*IF($C286="売",1+$AG$2,1-$AG$2)&lt;=3000,1,IF($F286*IF($C286="売",1+$AG$2,1-$AG$2)&lt;=5000,5,IF($F286*IF($C286="売",1+$AG$2,1-$AG$2)&lt;=30000,10,IF($F286*IF($C286="売",1+$AG$2,1-$AG$2)&lt;=50000,50,IF($F286*IF($C286="売",1+$AG$2,1-$AG$2)&lt;=300000,100,500))))))))</f>
      </c>
      <c r="O286" s="478">
        <f>IF(OR($B286="",$F286="",$H286=""),"",IF($S286="✅売却済","―決済済―",IF($C286="売",  IF($H286&lt;=$M286,"🟢利確",  IF(AND($R286&lt;&gt;"",$H286&gt;=$R286),"🟠TRAIL決済",  IF($H286&gt;=$N286,"🔴損切",  IF($W286&gt;=$AG$5,"⏱時間決済",  IF($H286&gt;=$F286*(1+$AG$2*0.7),"⚠️損切接近","保持継続"))))),  IF($H286&gt;=$M286,"🟢利確",  IF(AND($R286&lt;&gt;"",$H286&lt;=$R286),"🟠TRAIL決済",  IF($H286&lt;=$N286,"🔴損切",  IF($W286&gt;=$AG$5,"⏱時間決済",  IF($H286&lt;=$F286*(1-$AG$2*0.7),"⚠️損切接近","保持継続")))))))</f>
      </c>
      <c r="P286" s="445"/>
      <c r="Q286" s="445"/>
      <c r="R286" s="480">
        <f>IF(OR($F286="",$H286="",$N286=""),"",IF($S286="✅売却済","",IF($C286="売",  IF($H286&gt;$F286*(1-$AG$2),$N286,CEILING(MIN($N286,IF($Q286="",$N286,$Q286*1.03)),IF($N286&lt;=3000,1,IF($N286&lt;=5000,5,IF($N286&lt;=30000,10,IF($N286&lt;=50000,50,IF($N286&lt;=300000,100,500))))))),  IF($H286&lt;$F286*(1+$AG$2),$N286,FLOOR(MAX($N286,IF($P286="",$N286,$P286*0.97)),IF($N286&lt;=3000,1,IF($N286&lt;=5000,5,IF($N286&lt;=30000,10,IF($N286&lt;=50000,50,IF($N286&lt;=300000,100,500))))))))))</f>
      </c>
      <c r="S286" s="480" t="str">
        <f t="shared" si="106"/>
        <v/>
      </c>
      <c r="T286" s="596" t="str">
        <f t="shared" ca="1" si="95"/>
        <v/>
      </c>
      <c r="U286" s="598" t="str">
        <f t="shared" ca="1" si="96"/>
        <v/>
      </c>
      <c r="V286" s="703" t="str">
        <f t="shared" ca="1" si="107"/>
        <v/>
      </c>
      <c r="W286" s="480" t="str">
        <f t="shared" ca="1" si="97"/>
        <v/>
      </c>
      <c r="X286" s="480" t="str">
        <f t="shared" ca="1" si="98"/>
        <v/>
      </c>
      <c r="Y286" s="488">
        <f>IF($B286="","",IF(COUNTIFS($B$4:$B286,$B286,$C$4:$C286,$C286)&gt;1,"⛔重複"&amp;COUNTIFS($B$4:$B286,$B286,$C$4:$C286,$C286)&amp;"回目",""))</f>
      </c>
      <c r="Z286" s="710"/>
      <c r="AB286">
        <f>IF($F286="","",MAX(100,ROUNDDOWN($AG$4/($F286*$AG$2)/100,0)*100))</f>
      </c>
      <c r="AC286">
        <f>IF(OR($F286="",$G286="",$U286=""),"",ROUND($V286-($F286+$U286)*$G286*$AG$6-IF($C286="売",$F286*$G286*$AG$7*$W286/365,0),0))</f>
      </c>
      <c r="AD286" s="608"/>
      <c r="AE286" s="600" t="str">
        <f t="shared" si="99"/>
        <v/>
      </c>
      <c r="AF286" s="600"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00"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00" t="str">
        <f t="shared" ca="1" si="100"/>
        <v/>
      </c>
      <c r="AI286" s="600" t="str" cm="1">
        <f t="array" ref="AI286">IFERROR(INDEX(始値!$E$6:$BT$305,MATCH(TEXT($B286,"0"),TEXT(銘柄管理!$B$6:$B$305,"0"),0),MATCH($AE286,始値!$E$3:$BT$3,0)),"")</f>
        <v/>
      </c>
      <c r="AJ286" s="608" t="str">
        <f t="shared" ca="1" si="101"/>
        <v/>
      </c>
      <c r="AK286" s="600" t="str">
        <f t="shared" ca="1" si="102"/>
        <v/>
      </c>
    </row>
    <row r="287" spans="1:37" ht="17.25" customHeight="1">
      <c r="A287" s="621" t="str">
        <f t="shared" si="91"/>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BT$3,0)=1,1,MATCH($E287,始値!$E$3:$BT$3,0)+1)),_xlpm.v,INDEX(始値!$C$6:$B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 t="shared" ca="1" si="103"/>
        <v/>
      </c>
      <c r="L287" s="708" t="str">
        <f t="shared" ca="1" si="104"/>
        <v/>
      </c>
      <c r="M287" s="598">
        <f>IF($F287="","",IF($C287="売",CEILING($F287*IF($C287="売",1-$AG$3,1+$AG$3),IF($F287*IF($C287="売",1-$AG$3,1+$AG$3)&lt;=3000,1,IF($F287*IF($C287="売",1-$AG$3,1+$AG$3)&lt;=5000,5,IF($F287*IF($C287="売",1-$AG$3,1+$AG$3)&lt;=30000,10,IF($F287*IF($C287="売",1-$AG$3,1+$AG$3)&lt;=50000,50,IF($F287*IF($C287="売",1-$AG$3,1+$AG$3)&lt;=300000,100,500)))))),FLOOR($F287*IF($C287="売",1-$AG$3,1+$AG$3),IF($F287*IF($C287="売",1-$AG$3,1+$AG$3)&lt;=3000,1,IF($F287*IF($C287="売",1-$AG$3,1+$AG$3)&lt;=5000,5,IF($F287*IF($C287="売",1-$AG$3,1+$AG$3)&lt;=30000,10,IF($F287*IF($C287="売",1-$AG$3,1+$AG$3)&lt;=50000,50,IF($F287*IF($C287="売",1-$AG$3,1+$AG$3)&lt;=300000,100,500))))))))</f>
      </c>
      <c r="N287" s="598">
        <f>IF($F287="","",IF($C287="売",CEILING($F287*IF($C287="売",1+$AG$2,1-$AG$2),IF($F287*IF($C287="売",1+$AG$2,1-$AG$2)&lt;=3000,1,IF($F287*IF($C287="売",1+$AG$2,1-$AG$2)&lt;=5000,5,IF($F287*IF($C287="売",1+$AG$2,1-$AG$2)&lt;=30000,10,IF($F287*IF($C287="売",1+$AG$2,1-$AG$2)&lt;=50000,50,IF($F287*IF($C287="売",1+$AG$2,1-$AG$2)&lt;=300000,100,500)))))),FLOOR($F287*IF($C287="売",1+$AG$2,1-$AG$2),IF($F287*IF($C287="売",1+$AG$2,1-$AG$2)&lt;=3000,1,IF($F287*IF($C287="売",1+$AG$2,1-$AG$2)&lt;=5000,5,IF($F287*IF($C287="売",1+$AG$2,1-$AG$2)&lt;=30000,10,IF($F287*IF($C287="売",1+$AG$2,1-$AG$2)&lt;=50000,50,IF($F287*IF($C287="売",1+$AG$2,1-$AG$2)&lt;=300000,100,500))))))))</f>
      </c>
      <c r="O287" s="478">
        <f>IF(OR($B287="",$F287="",$H287=""),"",IF($S287="✅売却済","―決済済―",IF($C287="売",  IF($H287&lt;=$M287,"🟢利確",  IF(AND($R287&lt;&gt;"",$H287&gt;=$R287),"🟠TRAIL決済",  IF($H287&gt;=$N287,"🔴損切",  IF($W287&gt;=$AG$5,"⏱時間決済",  IF($H287&gt;=$F287*(1+$AG$2*0.7),"⚠️損切接近","保持継続"))))),  IF($H287&gt;=$M287,"🟢利確",  IF(AND($R287&lt;&gt;"",$H287&lt;=$R287),"🟠TRAIL決済",  IF($H287&lt;=$N287,"🔴損切",  IF($W287&gt;=$AG$5,"⏱時間決済",  IF($H287&lt;=$F287*(1-$AG$2*0.7),"⚠️損切接近","保持継続")))))))</f>
      </c>
      <c r="P287" s="445"/>
      <c r="Q287" s="445"/>
      <c r="R287" s="480">
        <f>IF(OR($F287="",$H287="",$N287=""),"",IF($S287="✅売却済","",IF($C287="売",  IF($H287&gt;$F287*(1-$AG$2),$N287,CEILING(MIN($N287,IF($Q287="",$N287,$Q287*1.03)),IF($N287&lt;=3000,1,IF($N287&lt;=5000,5,IF($N287&lt;=30000,10,IF($N287&lt;=50000,50,IF($N287&lt;=300000,100,500))))))),  IF($H287&lt;$F287*(1+$AG$2),$N287,FLOOR(MAX($N287,IF($P287="",$N287,$P287*0.97)),IF($N287&lt;=3000,1,IF($N287&lt;=5000,5,IF($N287&lt;=30000,10,IF($N287&lt;=50000,50,IF($N287&lt;=300000,100,500))))))))))</f>
      </c>
      <c r="S287" s="480" t="str">
        <f t="shared" si="106"/>
        <v/>
      </c>
      <c r="T287" s="596" t="str">
        <f t="shared" ca="1" si="95"/>
        <v/>
      </c>
      <c r="U287" s="598" t="str">
        <f t="shared" ca="1" si="96"/>
        <v/>
      </c>
      <c r="V287" s="703" t="str">
        <f t="shared" ca="1" si="107"/>
        <v/>
      </c>
      <c r="W287" s="480" t="str">
        <f t="shared" ca="1" si="97"/>
        <v/>
      </c>
      <c r="X287" s="480" t="str">
        <f t="shared" ca="1" si="98"/>
        <v/>
      </c>
      <c r="Y287" s="488">
        <f>IF($B287="","",IF(COUNTIFS($B$4:$B287,$B287,$C$4:$C287,$C287)&gt;1,"⛔重複"&amp;COUNTIFS($B$4:$B287,$B287,$C$4:$C287,$C287)&amp;"回目",""))</f>
      </c>
      <c r="Z287" s="710"/>
      <c r="AB287">
        <f>IF($F287="","",MAX(100,ROUNDDOWN($AG$4/($F287*$AG$2)/100,0)*100))</f>
      </c>
      <c r="AC287">
        <f>IF(OR($F287="",$G287="",$U287=""),"",ROUND($V287-($F287+$U287)*$G287*$AG$6-IF($C287="売",$F287*$G287*$AG$7*$W287/365,0),0))</f>
      </c>
      <c r="AD287" s="608"/>
      <c r="AE287" s="600" t="str">
        <f t="shared" si="99"/>
        <v/>
      </c>
      <c r="AF287" s="600"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00"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00" t="str">
        <f t="shared" ca="1" si="100"/>
        <v/>
      </c>
      <c r="AI287" s="600" t="str" cm="1">
        <f t="array" ref="AI287">IFERROR(INDEX(始値!$E$6:$BT$305,MATCH(TEXT($B287,"0"),TEXT(銘柄管理!$B$6:$B$305,"0"),0),MATCH($AE287,始値!$E$3:$BT$3,0)),"")</f>
        <v/>
      </c>
      <c r="AJ287" s="608" t="str">
        <f t="shared" ca="1" si="101"/>
        <v/>
      </c>
      <c r="AK287" s="600" t="str">
        <f t="shared" ca="1" si="102"/>
        <v/>
      </c>
    </row>
    <row r="288" spans="1:37" ht="17.25" customHeight="1">
      <c r="A288" s="621" t="str">
        <f t="shared" si="91"/>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BT$3,0)=1,1,MATCH($E288,始値!$E$3:$BT$3,0)+1)),_xlpm.v,INDEX(始値!$C$6:$B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 t="shared" ca="1" si="103"/>
        <v/>
      </c>
      <c r="L288" s="708" t="str">
        <f t="shared" ca="1" si="104"/>
        <v/>
      </c>
      <c r="M288" s="598">
        <f>IF($F288="","",IF($C288="売",CEILING($F288*IF($C288="売",1-$AG$3,1+$AG$3),IF($F288*IF($C288="売",1-$AG$3,1+$AG$3)&lt;=3000,1,IF($F288*IF($C288="売",1-$AG$3,1+$AG$3)&lt;=5000,5,IF($F288*IF($C288="売",1-$AG$3,1+$AG$3)&lt;=30000,10,IF($F288*IF($C288="売",1-$AG$3,1+$AG$3)&lt;=50000,50,IF($F288*IF($C288="売",1-$AG$3,1+$AG$3)&lt;=300000,100,500)))))),FLOOR($F288*IF($C288="売",1-$AG$3,1+$AG$3),IF($F288*IF($C288="売",1-$AG$3,1+$AG$3)&lt;=3000,1,IF($F288*IF($C288="売",1-$AG$3,1+$AG$3)&lt;=5000,5,IF($F288*IF($C288="売",1-$AG$3,1+$AG$3)&lt;=30000,10,IF($F288*IF($C288="売",1-$AG$3,1+$AG$3)&lt;=50000,50,IF($F288*IF($C288="売",1-$AG$3,1+$AG$3)&lt;=300000,100,500))))))))</f>
      </c>
      <c r="N288" s="598">
        <f>IF($F288="","",IF($C288="売",CEILING($F288*IF($C288="売",1+$AG$2,1-$AG$2),IF($F288*IF($C288="売",1+$AG$2,1-$AG$2)&lt;=3000,1,IF($F288*IF($C288="売",1+$AG$2,1-$AG$2)&lt;=5000,5,IF($F288*IF($C288="売",1+$AG$2,1-$AG$2)&lt;=30000,10,IF($F288*IF($C288="売",1+$AG$2,1-$AG$2)&lt;=50000,50,IF($F288*IF($C288="売",1+$AG$2,1-$AG$2)&lt;=300000,100,500)))))),FLOOR($F288*IF($C288="売",1+$AG$2,1-$AG$2),IF($F288*IF($C288="売",1+$AG$2,1-$AG$2)&lt;=3000,1,IF($F288*IF($C288="売",1+$AG$2,1-$AG$2)&lt;=5000,5,IF($F288*IF($C288="売",1+$AG$2,1-$AG$2)&lt;=30000,10,IF($F288*IF($C288="売",1+$AG$2,1-$AG$2)&lt;=50000,50,IF($F288*IF($C288="売",1+$AG$2,1-$AG$2)&lt;=300000,100,500))))))))</f>
      </c>
      <c r="O288" s="478">
        <f>IF(OR($B288="",$F288="",$H288=""),"",IF($S288="✅売却済","―決済済―",IF($C288="売",  IF($H288&lt;=$M288,"🟢利確",  IF(AND($R288&lt;&gt;"",$H288&gt;=$R288),"🟠TRAIL決済",  IF($H288&gt;=$N288,"🔴損切",  IF($W288&gt;=$AG$5,"⏱時間決済",  IF($H288&gt;=$F288*(1+$AG$2*0.7),"⚠️損切接近","保持継続"))))),  IF($H288&gt;=$M288,"🟢利確",  IF(AND($R288&lt;&gt;"",$H288&lt;=$R288),"🟠TRAIL決済",  IF($H288&lt;=$N288,"🔴損切",  IF($W288&gt;=$AG$5,"⏱時間決済",  IF($H288&lt;=$F288*(1-$AG$2*0.7),"⚠️損切接近","保持継続")))))))</f>
      </c>
      <c r="P288" s="445"/>
      <c r="Q288" s="445"/>
      <c r="R288" s="480">
        <f>IF(OR($F288="",$H288="",$N288=""),"",IF($S288="✅売却済","",IF($C288="売",  IF($H288&gt;$F288*(1-$AG$2),$N288,CEILING(MIN($N288,IF($Q288="",$N288,$Q288*1.03)),IF($N288&lt;=3000,1,IF($N288&lt;=5000,5,IF($N288&lt;=30000,10,IF($N288&lt;=50000,50,IF($N288&lt;=300000,100,500))))))),  IF($H288&lt;$F288*(1+$AG$2),$N288,FLOOR(MAX($N288,IF($P288="",$N288,$P288*0.97)),IF($N288&lt;=3000,1,IF($N288&lt;=5000,5,IF($N288&lt;=30000,10,IF($N288&lt;=50000,50,IF($N288&lt;=300000,100,500))))))))))</f>
      </c>
      <c r="S288" s="480" t="str">
        <f t="shared" si="106"/>
        <v/>
      </c>
      <c r="T288" s="596" t="str">
        <f t="shared" ca="1" si="95"/>
        <v/>
      </c>
      <c r="U288" s="598" t="str">
        <f t="shared" ca="1" si="96"/>
        <v/>
      </c>
      <c r="V288" s="703" t="str">
        <f t="shared" ca="1" si="107"/>
        <v/>
      </c>
      <c r="W288" s="480" t="str">
        <f t="shared" ca="1" si="97"/>
        <v/>
      </c>
      <c r="X288" s="480" t="str">
        <f t="shared" ca="1" si="98"/>
        <v/>
      </c>
      <c r="Y288" s="488">
        <f>IF($B288="","",IF(COUNTIFS($B$4:$B288,$B288,$C$4:$C288,$C288)&gt;1,"⛔重複"&amp;COUNTIFS($B$4:$B288,$B288,$C$4:$C288,$C288)&amp;"回目",""))</f>
      </c>
      <c r="Z288" s="710"/>
      <c r="AB288">
        <f>IF($F288="","",MAX(100,ROUNDDOWN($AG$4/($F288*$AG$2)/100,0)*100))</f>
      </c>
      <c r="AC288">
        <f>IF(OR($F288="",$G288="",$U288=""),"",ROUND($V288-($F288+$U288)*$G288*$AG$6-IF($C288="売",$F288*$G288*$AG$7*$W288/365,0),0))</f>
      </c>
      <c r="AD288" s="608"/>
      <c r="AE288" s="600" t="str">
        <f t="shared" si="99"/>
        <v/>
      </c>
      <c r="AF288" s="600"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00"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00" t="str">
        <f t="shared" ca="1" si="100"/>
        <v/>
      </c>
      <c r="AI288" s="600" t="str" cm="1">
        <f t="array" ref="AI288">IFERROR(INDEX(始値!$E$6:$BT$305,MATCH(TEXT($B288,"0"),TEXT(銘柄管理!$B$6:$B$305,"0"),0),MATCH($AE288,始値!$E$3:$BT$3,0)),"")</f>
        <v/>
      </c>
      <c r="AJ288" s="608" t="str">
        <f t="shared" ca="1" si="101"/>
        <v/>
      </c>
      <c r="AK288" s="600" t="str">
        <f t="shared" ca="1" si="102"/>
        <v/>
      </c>
    </row>
    <row r="289" spans="1:37" ht="17.25" customHeight="1">
      <c r="A289" s="621" t="str">
        <f t="shared" si="91"/>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BT$3,0)=1,1,MATCH($E289,始値!$E$3:$BT$3,0)+1)),_xlpm.v,INDEX(始値!$C$6:$B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 t="shared" ca="1" si="103"/>
        <v/>
      </c>
      <c r="L289" s="708" t="str">
        <f t="shared" ca="1" si="104"/>
        <v/>
      </c>
      <c r="M289" s="598">
        <f>IF($F289="","",IF($C289="売",CEILING($F289*IF($C289="売",1-$AG$3,1+$AG$3),IF($F289*IF($C289="売",1-$AG$3,1+$AG$3)&lt;=3000,1,IF($F289*IF($C289="売",1-$AG$3,1+$AG$3)&lt;=5000,5,IF($F289*IF($C289="売",1-$AG$3,1+$AG$3)&lt;=30000,10,IF($F289*IF($C289="売",1-$AG$3,1+$AG$3)&lt;=50000,50,IF($F289*IF($C289="売",1-$AG$3,1+$AG$3)&lt;=300000,100,500)))))),FLOOR($F289*IF($C289="売",1-$AG$3,1+$AG$3),IF($F289*IF($C289="売",1-$AG$3,1+$AG$3)&lt;=3000,1,IF($F289*IF($C289="売",1-$AG$3,1+$AG$3)&lt;=5000,5,IF($F289*IF($C289="売",1-$AG$3,1+$AG$3)&lt;=30000,10,IF($F289*IF($C289="売",1-$AG$3,1+$AG$3)&lt;=50000,50,IF($F289*IF($C289="売",1-$AG$3,1+$AG$3)&lt;=300000,100,500))))))))</f>
      </c>
      <c r="N289" s="598">
        <f>IF($F289="","",IF($C289="売",CEILING($F289*IF($C289="売",1+$AG$2,1-$AG$2),IF($F289*IF($C289="売",1+$AG$2,1-$AG$2)&lt;=3000,1,IF($F289*IF($C289="売",1+$AG$2,1-$AG$2)&lt;=5000,5,IF($F289*IF($C289="売",1+$AG$2,1-$AG$2)&lt;=30000,10,IF($F289*IF($C289="売",1+$AG$2,1-$AG$2)&lt;=50000,50,IF($F289*IF($C289="売",1+$AG$2,1-$AG$2)&lt;=300000,100,500)))))),FLOOR($F289*IF($C289="売",1+$AG$2,1-$AG$2),IF($F289*IF($C289="売",1+$AG$2,1-$AG$2)&lt;=3000,1,IF($F289*IF($C289="売",1+$AG$2,1-$AG$2)&lt;=5000,5,IF($F289*IF($C289="売",1+$AG$2,1-$AG$2)&lt;=30000,10,IF($F289*IF($C289="売",1+$AG$2,1-$AG$2)&lt;=50000,50,IF($F289*IF($C289="売",1+$AG$2,1-$AG$2)&lt;=300000,100,500))))))))</f>
      </c>
      <c r="O289" s="478">
        <f>IF(OR($B289="",$F289="",$H289=""),"",IF($S289="✅売却済","―決済済―",IF($C289="売",  IF($H289&lt;=$M289,"🟢利確",  IF(AND($R289&lt;&gt;"",$H289&gt;=$R289),"🟠TRAIL決済",  IF($H289&gt;=$N289,"🔴損切",  IF($W289&gt;=$AG$5,"⏱時間決済",  IF($H289&gt;=$F289*(1+$AG$2*0.7),"⚠️損切接近","保持継続"))))),  IF($H289&gt;=$M289,"🟢利確",  IF(AND($R289&lt;&gt;"",$H289&lt;=$R289),"🟠TRAIL決済",  IF($H289&lt;=$N289,"🔴損切",  IF($W289&gt;=$AG$5,"⏱時間決済",  IF($H289&lt;=$F289*(1-$AG$2*0.7),"⚠️損切接近","保持継続")))))))</f>
      </c>
      <c r="P289" s="445"/>
      <c r="Q289" s="445"/>
      <c r="R289" s="480">
        <f>IF(OR($F289="",$H289="",$N289=""),"",IF($S289="✅売却済","",IF($C289="売",  IF($H289&gt;$F289*(1-$AG$2),$N289,CEILING(MIN($N289,IF($Q289="",$N289,$Q289*1.03)),IF($N289&lt;=3000,1,IF($N289&lt;=5000,5,IF($N289&lt;=30000,10,IF($N289&lt;=50000,50,IF($N289&lt;=300000,100,500))))))),  IF($H289&lt;$F289*(1+$AG$2),$N289,FLOOR(MAX($N289,IF($P289="",$N289,$P289*0.97)),IF($N289&lt;=3000,1,IF($N289&lt;=5000,5,IF($N289&lt;=30000,10,IF($N289&lt;=50000,50,IF($N289&lt;=300000,100,500))))))))))</f>
      </c>
      <c r="S289" s="480" t="str">
        <f t="shared" si="106"/>
        <v/>
      </c>
      <c r="T289" s="596" t="str">
        <f t="shared" ca="1" si="95"/>
        <v/>
      </c>
      <c r="U289" s="598" t="str">
        <f t="shared" ca="1" si="96"/>
        <v/>
      </c>
      <c r="V289" s="703" t="str">
        <f t="shared" ca="1" si="107"/>
        <v/>
      </c>
      <c r="W289" s="480" t="str">
        <f t="shared" ca="1" si="97"/>
        <v/>
      </c>
      <c r="X289" s="480" t="str">
        <f t="shared" ca="1" si="98"/>
        <v/>
      </c>
      <c r="Y289" s="488">
        <f>IF($B289="","",IF(COUNTIFS($B$4:$B289,$B289,$C$4:$C289,$C289)&gt;1,"⛔重複"&amp;COUNTIFS($B$4:$B289,$B289,$C$4:$C289,$C289)&amp;"回目",""))</f>
      </c>
      <c r="Z289" s="710"/>
      <c r="AB289">
        <f>IF($F289="","",MAX(100,ROUNDDOWN($AG$4/($F289*$AG$2)/100,0)*100))</f>
      </c>
      <c r="AC289">
        <f>IF(OR($F289="",$G289="",$U289=""),"",ROUND($V289-($F289+$U289)*$G289*$AG$6-IF($C289="売",$F289*$G289*$AG$7*$W289/365,0),0))</f>
      </c>
      <c r="AD289" s="608"/>
      <c r="AE289" s="600" t="str">
        <f t="shared" si="99"/>
        <v/>
      </c>
      <c r="AF289" s="600"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00"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00" t="str">
        <f t="shared" ca="1" si="100"/>
        <v/>
      </c>
      <c r="AI289" s="600" t="str" cm="1">
        <f t="array" ref="AI289">IFERROR(INDEX(始値!$E$6:$BT$305,MATCH(TEXT($B289,"0"),TEXT(銘柄管理!$B$6:$B$305,"0"),0),MATCH($AE289,始値!$E$3:$BT$3,0)),"")</f>
        <v/>
      </c>
      <c r="AJ289" s="608" t="str">
        <f t="shared" ca="1" si="101"/>
        <v/>
      </c>
      <c r="AK289" s="600" t="str">
        <f t="shared" ca="1" si="102"/>
        <v/>
      </c>
    </row>
    <row r="290" spans="1:37" ht="17.25" customHeight="1">
      <c r="A290" s="621" t="str">
        <f t="shared" si="91"/>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BT$3,0)=1,1,MATCH($E290,始値!$E$3:$BT$3,0)+1)),_xlpm.v,INDEX(始値!$C$6:$B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 t="shared" ca="1" si="103"/>
        <v/>
      </c>
      <c r="L290" s="708" t="str">
        <f t="shared" ca="1" si="104"/>
        <v/>
      </c>
      <c r="M290" s="598">
        <f>IF($F290="","",IF($C290="売",CEILING($F290*IF($C290="売",1-$AG$3,1+$AG$3),IF($F290*IF($C290="売",1-$AG$3,1+$AG$3)&lt;=3000,1,IF($F290*IF($C290="売",1-$AG$3,1+$AG$3)&lt;=5000,5,IF($F290*IF($C290="売",1-$AG$3,1+$AG$3)&lt;=30000,10,IF($F290*IF($C290="売",1-$AG$3,1+$AG$3)&lt;=50000,50,IF($F290*IF($C290="売",1-$AG$3,1+$AG$3)&lt;=300000,100,500)))))),FLOOR($F290*IF($C290="売",1-$AG$3,1+$AG$3),IF($F290*IF($C290="売",1-$AG$3,1+$AG$3)&lt;=3000,1,IF($F290*IF($C290="売",1-$AG$3,1+$AG$3)&lt;=5000,5,IF($F290*IF($C290="売",1-$AG$3,1+$AG$3)&lt;=30000,10,IF($F290*IF($C290="売",1-$AG$3,1+$AG$3)&lt;=50000,50,IF($F290*IF($C290="売",1-$AG$3,1+$AG$3)&lt;=300000,100,500))))))))</f>
      </c>
      <c r="N290" s="598">
        <f>IF($F290="","",IF($C290="売",CEILING($F290*IF($C290="売",1+$AG$2,1-$AG$2),IF($F290*IF($C290="売",1+$AG$2,1-$AG$2)&lt;=3000,1,IF($F290*IF($C290="売",1+$AG$2,1-$AG$2)&lt;=5000,5,IF($F290*IF($C290="売",1+$AG$2,1-$AG$2)&lt;=30000,10,IF($F290*IF($C290="売",1+$AG$2,1-$AG$2)&lt;=50000,50,IF($F290*IF($C290="売",1+$AG$2,1-$AG$2)&lt;=300000,100,500)))))),FLOOR($F290*IF($C290="売",1+$AG$2,1-$AG$2),IF($F290*IF($C290="売",1+$AG$2,1-$AG$2)&lt;=3000,1,IF($F290*IF($C290="売",1+$AG$2,1-$AG$2)&lt;=5000,5,IF($F290*IF($C290="売",1+$AG$2,1-$AG$2)&lt;=30000,10,IF($F290*IF($C290="売",1+$AG$2,1-$AG$2)&lt;=50000,50,IF($F290*IF($C290="売",1+$AG$2,1-$AG$2)&lt;=300000,100,500))))))))</f>
      </c>
      <c r="O290" s="478">
        <f>IF(OR($B290="",$F290="",$H290=""),"",IF($S290="✅売却済","―決済済―",IF($C290="売",  IF($H290&lt;=$M290,"🟢利確",  IF(AND($R290&lt;&gt;"",$H290&gt;=$R290),"🟠TRAIL決済",  IF($H290&gt;=$N290,"🔴損切",  IF($W290&gt;=$AG$5,"⏱時間決済",  IF($H290&gt;=$F290*(1+$AG$2*0.7),"⚠️損切接近","保持継続"))))),  IF($H290&gt;=$M290,"🟢利確",  IF(AND($R290&lt;&gt;"",$H290&lt;=$R290),"🟠TRAIL決済",  IF($H290&lt;=$N290,"🔴損切",  IF($W290&gt;=$AG$5,"⏱時間決済",  IF($H290&lt;=$F290*(1-$AG$2*0.7),"⚠️損切接近","保持継続")))))))</f>
      </c>
      <c r="P290" s="445"/>
      <c r="Q290" s="445"/>
      <c r="R290" s="480">
        <f>IF(OR($F290="",$H290="",$N290=""),"",IF($S290="✅売却済","",IF($C290="売",  IF($H290&gt;$F290*(1-$AG$2),$N290,CEILING(MIN($N290,IF($Q290="",$N290,$Q290*1.03)),IF($N290&lt;=3000,1,IF($N290&lt;=5000,5,IF($N290&lt;=30000,10,IF($N290&lt;=50000,50,IF($N290&lt;=300000,100,500))))))),  IF($H290&lt;$F290*(1+$AG$2),$N290,FLOOR(MAX($N290,IF($P290="",$N290,$P290*0.97)),IF($N290&lt;=3000,1,IF($N290&lt;=5000,5,IF($N290&lt;=30000,10,IF($N290&lt;=50000,50,IF($N290&lt;=300000,100,500))))))))))</f>
      </c>
      <c r="S290" s="480" t="str">
        <f t="shared" si="106"/>
        <v/>
      </c>
      <c r="T290" s="596" t="str">
        <f t="shared" ca="1" si="95"/>
        <v/>
      </c>
      <c r="U290" s="598" t="str">
        <f t="shared" ca="1" si="96"/>
        <v/>
      </c>
      <c r="V290" s="703" t="str">
        <f t="shared" ca="1" si="107"/>
        <v/>
      </c>
      <c r="W290" s="480" t="str">
        <f t="shared" ca="1" si="97"/>
        <v/>
      </c>
      <c r="X290" s="480" t="str">
        <f t="shared" ca="1" si="98"/>
        <v/>
      </c>
      <c r="Y290" s="488">
        <f>IF($B290="","",IF(COUNTIFS($B$4:$B290,$B290,$C$4:$C290,$C290)&gt;1,"⛔重複"&amp;COUNTIFS($B$4:$B290,$B290,$C$4:$C290,$C290)&amp;"回目",""))</f>
      </c>
      <c r="Z290" s="710"/>
      <c r="AB290">
        <f>IF($F290="","",MAX(100,ROUNDDOWN($AG$4/($F290*$AG$2)/100,0)*100))</f>
      </c>
      <c r="AC290">
        <f>IF(OR($F290="",$G290="",$U290=""),"",ROUND($V290-($F290+$U290)*$G290*$AG$6-IF($C290="売",$F290*$G290*$AG$7*$W290/365,0),0))</f>
      </c>
      <c r="AD290" s="608"/>
      <c r="AE290" s="600" t="str">
        <f t="shared" si="99"/>
        <v/>
      </c>
      <c r="AF290" s="600"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00"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00" t="str">
        <f t="shared" ca="1" si="100"/>
        <v/>
      </c>
      <c r="AI290" s="600" t="str" cm="1">
        <f t="array" ref="AI290">IFERROR(INDEX(始値!$E$6:$BT$305,MATCH(TEXT($B290,"0"),TEXT(銘柄管理!$B$6:$B$305,"0"),0),MATCH($AE290,始値!$E$3:$BT$3,0)),"")</f>
        <v/>
      </c>
      <c r="AJ290" s="608" t="str">
        <f t="shared" ca="1" si="101"/>
        <v/>
      </c>
      <c r="AK290" s="600" t="str">
        <f t="shared" ca="1" si="102"/>
        <v/>
      </c>
    </row>
    <row r="291" spans="1:37" ht="17.25" customHeight="1">
      <c r="A291" s="621" t="str">
        <f t="shared" si="91"/>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BT$3,0)=1,1,MATCH($E291,始値!$E$3:$BT$3,0)+1)),_xlpm.v,INDEX(始値!$C$6:$B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 t="shared" ca="1" si="103"/>
        <v/>
      </c>
      <c r="L291" s="708" t="str">
        <f t="shared" ca="1" si="104"/>
        <v/>
      </c>
      <c r="M291" s="598">
        <f>IF($F291="","",IF($C291="売",CEILING($F291*IF($C291="売",1-$AG$3,1+$AG$3),IF($F291*IF($C291="売",1-$AG$3,1+$AG$3)&lt;=3000,1,IF($F291*IF($C291="売",1-$AG$3,1+$AG$3)&lt;=5000,5,IF($F291*IF($C291="売",1-$AG$3,1+$AG$3)&lt;=30000,10,IF($F291*IF($C291="売",1-$AG$3,1+$AG$3)&lt;=50000,50,IF($F291*IF($C291="売",1-$AG$3,1+$AG$3)&lt;=300000,100,500)))))),FLOOR($F291*IF($C291="売",1-$AG$3,1+$AG$3),IF($F291*IF($C291="売",1-$AG$3,1+$AG$3)&lt;=3000,1,IF($F291*IF($C291="売",1-$AG$3,1+$AG$3)&lt;=5000,5,IF($F291*IF($C291="売",1-$AG$3,1+$AG$3)&lt;=30000,10,IF($F291*IF($C291="売",1-$AG$3,1+$AG$3)&lt;=50000,50,IF($F291*IF($C291="売",1-$AG$3,1+$AG$3)&lt;=300000,100,500))))))))</f>
      </c>
      <c r="N291" s="598">
        <f>IF($F291="","",IF($C291="売",CEILING($F291*IF($C291="売",1+$AG$2,1-$AG$2),IF($F291*IF($C291="売",1+$AG$2,1-$AG$2)&lt;=3000,1,IF($F291*IF($C291="売",1+$AG$2,1-$AG$2)&lt;=5000,5,IF($F291*IF($C291="売",1+$AG$2,1-$AG$2)&lt;=30000,10,IF($F291*IF($C291="売",1+$AG$2,1-$AG$2)&lt;=50000,50,IF($F291*IF($C291="売",1+$AG$2,1-$AG$2)&lt;=300000,100,500)))))),FLOOR($F291*IF($C291="売",1+$AG$2,1-$AG$2),IF($F291*IF($C291="売",1+$AG$2,1-$AG$2)&lt;=3000,1,IF($F291*IF($C291="売",1+$AG$2,1-$AG$2)&lt;=5000,5,IF($F291*IF($C291="売",1+$AG$2,1-$AG$2)&lt;=30000,10,IF($F291*IF($C291="売",1+$AG$2,1-$AG$2)&lt;=50000,50,IF($F291*IF($C291="売",1+$AG$2,1-$AG$2)&lt;=300000,100,500))))))))</f>
      </c>
      <c r="O291" s="478">
        <f>IF(OR($B291="",$F291="",$H291=""),"",IF($S291="✅売却済","―決済済―",IF($C291="売",  IF($H291&lt;=$M291,"🟢利確",  IF(AND($R291&lt;&gt;"",$H291&gt;=$R291),"🟠TRAIL決済",  IF($H291&gt;=$N291,"🔴損切",  IF($W291&gt;=$AG$5,"⏱時間決済",  IF($H291&gt;=$F291*(1+$AG$2*0.7),"⚠️損切接近","保持継続"))))),  IF($H291&gt;=$M291,"🟢利確",  IF(AND($R291&lt;&gt;"",$H291&lt;=$R291),"🟠TRAIL決済",  IF($H291&lt;=$N291,"🔴損切",  IF($W291&gt;=$AG$5,"⏱時間決済",  IF($H291&lt;=$F291*(1-$AG$2*0.7),"⚠️損切接近","保持継続")))))))</f>
      </c>
      <c r="P291" s="445"/>
      <c r="Q291" s="445"/>
      <c r="R291" s="480">
        <f>IF(OR($F291="",$H291="",$N291=""),"",IF($S291="✅売却済","",IF($C291="売",  IF($H291&gt;$F291*(1-$AG$2),$N291,CEILING(MIN($N291,IF($Q291="",$N291,$Q291*1.03)),IF($N291&lt;=3000,1,IF($N291&lt;=5000,5,IF($N291&lt;=30000,10,IF($N291&lt;=50000,50,IF($N291&lt;=300000,100,500))))))),  IF($H291&lt;$F291*(1+$AG$2),$N291,FLOOR(MAX($N291,IF($P291="",$N291,$P291*0.97)),IF($N291&lt;=3000,1,IF($N291&lt;=5000,5,IF($N291&lt;=30000,10,IF($N291&lt;=50000,50,IF($N291&lt;=300000,100,500))))))))))</f>
      </c>
      <c r="S291" s="480" t="str">
        <f t="shared" si="106"/>
        <v/>
      </c>
      <c r="T291" s="596" t="str">
        <f t="shared" ca="1" si="95"/>
        <v/>
      </c>
      <c r="U291" s="598" t="str">
        <f t="shared" ca="1" si="96"/>
        <v/>
      </c>
      <c r="V291" s="703" t="str">
        <f t="shared" ca="1" si="107"/>
        <v/>
      </c>
      <c r="W291" s="480" t="str">
        <f t="shared" ca="1" si="97"/>
        <v/>
      </c>
      <c r="X291" s="480" t="str">
        <f t="shared" ca="1" si="98"/>
        <v/>
      </c>
      <c r="Y291" s="488">
        <f>IF($B291="","",IF(COUNTIFS($B$4:$B291,$B291,$C$4:$C291,$C291)&gt;1,"⛔重複"&amp;COUNTIFS($B$4:$B291,$B291,$C$4:$C291,$C291)&amp;"回目",""))</f>
      </c>
      <c r="Z291" s="710"/>
      <c r="AB291">
        <f>IF($F291="","",MAX(100,ROUNDDOWN($AG$4/($F291*$AG$2)/100,0)*100))</f>
      </c>
      <c r="AC291">
        <f>IF(OR($F291="",$G291="",$U291=""),"",ROUND($V291-($F291+$U291)*$G291*$AG$6-IF($C291="売",$F291*$G291*$AG$7*$W291/365,0),0))</f>
      </c>
      <c r="AD291" s="608"/>
      <c r="AE291" s="600" t="str">
        <f t="shared" si="99"/>
        <v/>
      </c>
      <c r="AF291" s="600"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00"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00" t="str">
        <f t="shared" ca="1" si="100"/>
        <v/>
      </c>
      <c r="AI291" s="600" t="str" cm="1">
        <f t="array" ref="AI291">IFERROR(INDEX(始値!$E$6:$BT$305,MATCH(TEXT($B291,"0"),TEXT(銘柄管理!$B$6:$B$305,"0"),0),MATCH($AE291,始値!$E$3:$BT$3,0)),"")</f>
        <v/>
      </c>
      <c r="AJ291" s="608" t="str">
        <f t="shared" ca="1" si="101"/>
        <v/>
      </c>
      <c r="AK291" s="600" t="str">
        <f t="shared" ca="1" si="102"/>
        <v/>
      </c>
    </row>
    <row r="292" spans="1:37" ht="17.25" customHeight="1">
      <c r="A292" s="621" t="str">
        <f t="shared" si="91"/>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BT$3,0)=1,1,MATCH($E292,始値!$E$3:$BT$3,0)+1)),_xlpm.v,INDEX(始値!$C$6:$B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 t="shared" ca="1" si="103"/>
        <v/>
      </c>
      <c r="L292" s="708" t="str">
        <f t="shared" ca="1" si="104"/>
        <v/>
      </c>
      <c r="M292" s="598">
        <f>IF($F292="","",IF($C292="売",CEILING($F292*IF($C292="売",1-$AG$3,1+$AG$3),IF($F292*IF($C292="売",1-$AG$3,1+$AG$3)&lt;=3000,1,IF($F292*IF($C292="売",1-$AG$3,1+$AG$3)&lt;=5000,5,IF($F292*IF($C292="売",1-$AG$3,1+$AG$3)&lt;=30000,10,IF($F292*IF($C292="売",1-$AG$3,1+$AG$3)&lt;=50000,50,IF($F292*IF($C292="売",1-$AG$3,1+$AG$3)&lt;=300000,100,500)))))),FLOOR($F292*IF($C292="売",1-$AG$3,1+$AG$3),IF($F292*IF($C292="売",1-$AG$3,1+$AG$3)&lt;=3000,1,IF($F292*IF($C292="売",1-$AG$3,1+$AG$3)&lt;=5000,5,IF($F292*IF($C292="売",1-$AG$3,1+$AG$3)&lt;=30000,10,IF($F292*IF($C292="売",1-$AG$3,1+$AG$3)&lt;=50000,50,IF($F292*IF($C292="売",1-$AG$3,1+$AG$3)&lt;=300000,100,500))))))))</f>
      </c>
      <c r="N292" s="598">
        <f>IF($F292="","",IF($C292="売",CEILING($F292*IF($C292="売",1+$AG$2,1-$AG$2),IF($F292*IF($C292="売",1+$AG$2,1-$AG$2)&lt;=3000,1,IF($F292*IF($C292="売",1+$AG$2,1-$AG$2)&lt;=5000,5,IF($F292*IF($C292="売",1+$AG$2,1-$AG$2)&lt;=30000,10,IF($F292*IF($C292="売",1+$AG$2,1-$AG$2)&lt;=50000,50,IF($F292*IF($C292="売",1+$AG$2,1-$AG$2)&lt;=300000,100,500)))))),FLOOR($F292*IF($C292="売",1+$AG$2,1-$AG$2),IF($F292*IF($C292="売",1+$AG$2,1-$AG$2)&lt;=3000,1,IF($F292*IF($C292="売",1+$AG$2,1-$AG$2)&lt;=5000,5,IF($F292*IF($C292="売",1+$AG$2,1-$AG$2)&lt;=30000,10,IF($F292*IF($C292="売",1+$AG$2,1-$AG$2)&lt;=50000,50,IF($F292*IF($C292="売",1+$AG$2,1-$AG$2)&lt;=300000,100,500))))))))</f>
      </c>
      <c r="O292" s="478">
        <f>IF(OR($B292="",$F292="",$H292=""),"",IF($S292="✅売却済","―決済済―",IF($C292="売",  IF($H292&lt;=$M292,"🟢利確",  IF(AND($R292&lt;&gt;"",$H292&gt;=$R292),"🟠TRAIL決済",  IF($H292&gt;=$N292,"🔴損切",  IF($W292&gt;=$AG$5,"⏱時間決済",  IF($H292&gt;=$F292*(1+$AG$2*0.7),"⚠️損切接近","保持継続"))))),  IF($H292&gt;=$M292,"🟢利確",  IF(AND($R292&lt;&gt;"",$H292&lt;=$R292),"🟠TRAIL決済",  IF($H292&lt;=$N292,"🔴損切",  IF($W292&gt;=$AG$5,"⏱時間決済",  IF($H292&lt;=$F292*(1-$AG$2*0.7),"⚠️損切接近","保持継続")))))))</f>
      </c>
      <c r="P292" s="445"/>
      <c r="Q292" s="445"/>
      <c r="R292" s="480">
        <f>IF(OR($F292="",$H292="",$N292=""),"",IF($S292="✅売却済","",IF($C292="売",  IF($H292&gt;$F292*(1-$AG$2),$N292,CEILING(MIN($N292,IF($Q292="",$N292,$Q292*1.03)),IF($N292&lt;=3000,1,IF($N292&lt;=5000,5,IF($N292&lt;=30000,10,IF($N292&lt;=50000,50,IF($N292&lt;=300000,100,500))))))),  IF($H292&lt;$F292*(1+$AG$2),$N292,FLOOR(MAX($N292,IF($P292="",$N292,$P292*0.97)),IF($N292&lt;=3000,1,IF($N292&lt;=5000,5,IF($N292&lt;=30000,10,IF($N292&lt;=50000,50,IF($N292&lt;=300000,100,500))))))))))</f>
      </c>
      <c r="S292" s="480" t="str">
        <f t="shared" si="106"/>
        <v/>
      </c>
      <c r="T292" s="596" t="str">
        <f t="shared" ca="1" si="95"/>
        <v/>
      </c>
      <c r="U292" s="598" t="str">
        <f t="shared" ca="1" si="96"/>
        <v/>
      </c>
      <c r="V292" s="703" t="str">
        <f t="shared" ca="1" si="107"/>
        <v/>
      </c>
      <c r="W292" s="480" t="str">
        <f t="shared" ca="1" si="97"/>
        <v/>
      </c>
      <c r="X292" s="480" t="str">
        <f t="shared" ca="1" si="98"/>
        <v/>
      </c>
      <c r="Y292" s="488">
        <f>IF($B292="","",IF(COUNTIFS($B$4:$B292,$B292,$C$4:$C292,$C292)&gt;1,"⛔重複"&amp;COUNTIFS($B$4:$B292,$B292,$C$4:$C292,$C292)&amp;"回目",""))</f>
      </c>
      <c r="Z292" s="710"/>
      <c r="AB292">
        <f>IF($F292="","",MAX(100,ROUNDDOWN($AG$4/($F292*$AG$2)/100,0)*100))</f>
      </c>
      <c r="AC292">
        <f>IF(OR($F292="",$G292="",$U292=""),"",ROUND($V292-($F292+$U292)*$G292*$AG$6-IF($C292="売",$F292*$G292*$AG$7*$W292/365,0),0))</f>
      </c>
      <c r="AD292" s="608"/>
      <c r="AE292" s="600" t="str">
        <f t="shared" si="99"/>
        <v/>
      </c>
      <c r="AF292" s="600"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00"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00" t="str">
        <f t="shared" ca="1" si="100"/>
        <v/>
      </c>
      <c r="AI292" s="600" t="str" cm="1">
        <f t="array" ref="AI292">IFERROR(INDEX(始値!$E$6:$BT$305,MATCH(TEXT($B292,"0"),TEXT(銘柄管理!$B$6:$B$305,"0"),0),MATCH($AE292,始値!$E$3:$BT$3,0)),"")</f>
        <v/>
      </c>
      <c r="AJ292" s="608" t="str">
        <f t="shared" ca="1" si="101"/>
        <v/>
      </c>
      <c r="AK292" s="600" t="str">
        <f t="shared" ca="1" si="102"/>
        <v/>
      </c>
    </row>
    <row r="293" spans="1:37" ht="17.25" customHeight="1">
      <c r="A293" s="621" t="str">
        <f t="shared" si="91"/>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BT$3,0)=1,1,MATCH($E293,始値!$E$3:$BT$3,0)+1)),_xlpm.v,INDEX(始値!$C$6:$B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 t="shared" ca="1" si="103"/>
        <v/>
      </c>
      <c r="L293" s="708" t="str">
        <f t="shared" ca="1" si="104"/>
        <v/>
      </c>
      <c r="M293" s="598">
        <f>IF($F293="","",IF($C293="売",CEILING($F293*IF($C293="売",1-$AG$3,1+$AG$3),IF($F293*IF($C293="売",1-$AG$3,1+$AG$3)&lt;=3000,1,IF($F293*IF($C293="売",1-$AG$3,1+$AG$3)&lt;=5000,5,IF($F293*IF($C293="売",1-$AG$3,1+$AG$3)&lt;=30000,10,IF($F293*IF($C293="売",1-$AG$3,1+$AG$3)&lt;=50000,50,IF($F293*IF($C293="売",1-$AG$3,1+$AG$3)&lt;=300000,100,500)))))),FLOOR($F293*IF($C293="売",1-$AG$3,1+$AG$3),IF($F293*IF($C293="売",1-$AG$3,1+$AG$3)&lt;=3000,1,IF($F293*IF($C293="売",1-$AG$3,1+$AG$3)&lt;=5000,5,IF($F293*IF($C293="売",1-$AG$3,1+$AG$3)&lt;=30000,10,IF($F293*IF($C293="売",1-$AG$3,1+$AG$3)&lt;=50000,50,IF($F293*IF($C293="売",1-$AG$3,1+$AG$3)&lt;=300000,100,500))))))))</f>
      </c>
      <c r="N293" s="598">
        <f>IF($F293="","",IF($C293="売",CEILING($F293*IF($C293="売",1+$AG$2,1-$AG$2),IF($F293*IF($C293="売",1+$AG$2,1-$AG$2)&lt;=3000,1,IF($F293*IF($C293="売",1+$AG$2,1-$AG$2)&lt;=5000,5,IF($F293*IF($C293="売",1+$AG$2,1-$AG$2)&lt;=30000,10,IF($F293*IF($C293="売",1+$AG$2,1-$AG$2)&lt;=50000,50,IF($F293*IF($C293="売",1+$AG$2,1-$AG$2)&lt;=300000,100,500)))))),FLOOR($F293*IF($C293="売",1+$AG$2,1-$AG$2),IF($F293*IF($C293="売",1+$AG$2,1-$AG$2)&lt;=3000,1,IF($F293*IF($C293="売",1+$AG$2,1-$AG$2)&lt;=5000,5,IF($F293*IF($C293="売",1+$AG$2,1-$AG$2)&lt;=30000,10,IF($F293*IF($C293="売",1+$AG$2,1-$AG$2)&lt;=50000,50,IF($F293*IF($C293="売",1+$AG$2,1-$AG$2)&lt;=300000,100,500))))))))</f>
      </c>
      <c r="O293" s="478">
        <f>IF(OR($B293="",$F293="",$H293=""),"",IF($S293="✅売却済","―決済済―",IF($C293="売",  IF($H293&lt;=$M293,"🟢利確",  IF(AND($R293&lt;&gt;"",$H293&gt;=$R293),"🟠TRAIL決済",  IF($H293&gt;=$N293,"🔴損切",  IF($W293&gt;=$AG$5,"⏱時間決済",  IF($H293&gt;=$F293*(1+$AG$2*0.7),"⚠️損切接近","保持継続"))))),  IF($H293&gt;=$M293,"🟢利確",  IF(AND($R293&lt;&gt;"",$H293&lt;=$R293),"🟠TRAIL決済",  IF($H293&lt;=$N293,"🔴損切",  IF($W293&gt;=$AG$5,"⏱時間決済",  IF($H293&lt;=$F293*(1-$AG$2*0.7),"⚠️損切接近","保持継続")))))))</f>
      </c>
      <c r="P293" s="445"/>
      <c r="Q293" s="445"/>
      <c r="R293" s="480">
        <f>IF(OR($F293="",$H293="",$N293=""),"",IF($S293="✅売却済","",IF($C293="売",  IF($H293&gt;$F293*(1-$AG$2),$N293,CEILING(MIN($N293,IF($Q293="",$N293,$Q293*1.03)),IF($N293&lt;=3000,1,IF($N293&lt;=5000,5,IF($N293&lt;=30000,10,IF($N293&lt;=50000,50,IF($N293&lt;=300000,100,500))))))),  IF($H293&lt;$F293*(1+$AG$2),$N293,FLOOR(MAX($N293,IF($P293="",$N293,$P293*0.97)),IF($N293&lt;=3000,1,IF($N293&lt;=5000,5,IF($N293&lt;=30000,10,IF($N293&lt;=50000,50,IF($N293&lt;=300000,100,500))))))))))</f>
      </c>
      <c r="S293" s="480" t="str">
        <f t="shared" si="106"/>
        <v/>
      </c>
      <c r="T293" s="596" t="str">
        <f t="shared" ca="1" si="95"/>
        <v/>
      </c>
      <c r="U293" s="598" t="str">
        <f t="shared" ca="1" si="96"/>
        <v/>
      </c>
      <c r="V293" s="703" t="str">
        <f t="shared" ca="1" si="107"/>
        <v/>
      </c>
      <c r="W293" s="480" t="str">
        <f t="shared" ca="1" si="97"/>
        <v/>
      </c>
      <c r="X293" s="480" t="str">
        <f t="shared" ca="1" si="98"/>
        <v/>
      </c>
      <c r="Y293" s="488">
        <f>IF($B293="","",IF(COUNTIFS($B$4:$B293,$B293,$C$4:$C293,$C293)&gt;1,"⛔重複"&amp;COUNTIFS($B$4:$B293,$B293,$C$4:$C293,$C293)&amp;"回目",""))</f>
      </c>
      <c r="Z293" s="710"/>
      <c r="AB293">
        <f>IF($F293="","",MAX(100,ROUNDDOWN($AG$4/($F293*$AG$2)/100,0)*100))</f>
      </c>
      <c r="AC293">
        <f>IF(OR($F293="",$G293="",$U293=""),"",ROUND($V293-($F293+$U293)*$G293*$AG$6-IF($C293="売",$F293*$G293*$AG$7*$W293/365,0),0))</f>
      </c>
      <c r="AD293" s="608"/>
      <c r="AE293" s="600" t="str">
        <f t="shared" si="99"/>
        <v/>
      </c>
      <c r="AF293" s="600"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00"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00" t="str">
        <f t="shared" ca="1" si="100"/>
        <v/>
      </c>
      <c r="AI293" s="600" t="str" cm="1">
        <f t="array" ref="AI293">IFERROR(INDEX(始値!$E$6:$BT$305,MATCH(TEXT($B293,"0"),TEXT(銘柄管理!$B$6:$B$305,"0"),0),MATCH($AE293,始値!$E$3:$BT$3,0)),"")</f>
        <v/>
      </c>
      <c r="AJ293" s="608" t="str">
        <f t="shared" ca="1" si="101"/>
        <v/>
      </c>
      <c r="AK293" s="600" t="str">
        <f t="shared" ca="1" si="102"/>
        <v/>
      </c>
    </row>
    <row r="294" spans="1:37" ht="17.25" customHeight="1">
      <c r="A294" s="621" t="str">
        <f t="shared" si="91"/>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BT$3,0)=1,1,MATCH($E294,始値!$E$3:$BT$3,0)+1)),_xlpm.v,INDEX(始値!$C$6:$B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 t="shared" ca="1" si="103"/>
        <v/>
      </c>
      <c r="L294" s="708" t="str">
        <f t="shared" ca="1" si="104"/>
        <v/>
      </c>
      <c r="M294" s="598">
        <f>IF($F294="","",IF($C294="売",CEILING($F294*IF($C294="売",1-$AG$3,1+$AG$3),IF($F294*IF($C294="売",1-$AG$3,1+$AG$3)&lt;=3000,1,IF($F294*IF($C294="売",1-$AG$3,1+$AG$3)&lt;=5000,5,IF($F294*IF($C294="売",1-$AG$3,1+$AG$3)&lt;=30000,10,IF($F294*IF($C294="売",1-$AG$3,1+$AG$3)&lt;=50000,50,IF($F294*IF($C294="売",1-$AG$3,1+$AG$3)&lt;=300000,100,500)))))),FLOOR($F294*IF($C294="売",1-$AG$3,1+$AG$3),IF($F294*IF($C294="売",1-$AG$3,1+$AG$3)&lt;=3000,1,IF($F294*IF($C294="売",1-$AG$3,1+$AG$3)&lt;=5000,5,IF($F294*IF($C294="売",1-$AG$3,1+$AG$3)&lt;=30000,10,IF($F294*IF($C294="売",1-$AG$3,1+$AG$3)&lt;=50000,50,IF($F294*IF($C294="売",1-$AG$3,1+$AG$3)&lt;=300000,100,500))))))))</f>
      </c>
      <c r="N294" s="598">
        <f>IF($F294="","",IF($C294="売",CEILING($F294*IF($C294="売",1+$AG$2,1-$AG$2),IF($F294*IF($C294="売",1+$AG$2,1-$AG$2)&lt;=3000,1,IF($F294*IF($C294="売",1+$AG$2,1-$AG$2)&lt;=5000,5,IF($F294*IF($C294="売",1+$AG$2,1-$AG$2)&lt;=30000,10,IF($F294*IF($C294="売",1+$AG$2,1-$AG$2)&lt;=50000,50,IF($F294*IF($C294="売",1+$AG$2,1-$AG$2)&lt;=300000,100,500)))))),FLOOR($F294*IF($C294="売",1+$AG$2,1-$AG$2),IF($F294*IF($C294="売",1+$AG$2,1-$AG$2)&lt;=3000,1,IF($F294*IF($C294="売",1+$AG$2,1-$AG$2)&lt;=5000,5,IF($F294*IF($C294="売",1+$AG$2,1-$AG$2)&lt;=30000,10,IF($F294*IF($C294="売",1+$AG$2,1-$AG$2)&lt;=50000,50,IF($F294*IF($C294="売",1+$AG$2,1-$AG$2)&lt;=300000,100,500))))))))</f>
      </c>
      <c r="O294" s="478">
        <f>IF(OR($B294="",$F294="",$H294=""),"",IF($S294="✅売却済","―決済済―",IF($C294="売",  IF($H294&lt;=$M294,"🟢利確",  IF(AND($R294&lt;&gt;"",$H294&gt;=$R294),"🟠TRAIL決済",  IF($H294&gt;=$N294,"🔴損切",  IF($W294&gt;=$AG$5,"⏱時間決済",  IF($H294&gt;=$F294*(1+$AG$2*0.7),"⚠️損切接近","保持継続"))))),  IF($H294&gt;=$M294,"🟢利確",  IF(AND($R294&lt;&gt;"",$H294&lt;=$R294),"🟠TRAIL決済",  IF($H294&lt;=$N294,"🔴損切",  IF($W294&gt;=$AG$5,"⏱時間決済",  IF($H294&lt;=$F294*(1-$AG$2*0.7),"⚠️損切接近","保持継続")))))))</f>
      </c>
      <c r="P294" s="445"/>
      <c r="Q294" s="445"/>
      <c r="R294" s="480">
        <f>IF(OR($F294="",$H294="",$N294=""),"",IF($S294="✅売却済","",IF($C294="売",  IF($H294&gt;$F294*(1-$AG$2),$N294,CEILING(MIN($N294,IF($Q294="",$N294,$Q294*1.03)),IF($N294&lt;=3000,1,IF($N294&lt;=5000,5,IF($N294&lt;=30000,10,IF($N294&lt;=50000,50,IF($N294&lt;=300000,100,500))))))),  IF($H294&lt;$F294*(1+$AG$2),$N294,FLOOR(MAX($N294,IF($P294="",$N294,$P294*0.97)),IF($N294&lt;=3000,1,IF($N294&lt;=5000,5,IF($N294&lt;=30000,10,IF($N294&lt;=50000,50,IF($N294&lt;=300000,100,500))))))))))</f>
      </c>
      <c r="S294" s="480" t="str">
        <f t="shared" si="106"/>
        <v/>
      </c>
      <c r="T294" s="596" t="str">
        <f t="shared" ca="1" si="95"/>
        <v/>
      </c>
      <c r="U294" s="598" t="str">
        <f t="shared" ca="1" si="96"/>
        <v/>
      </c>
      <c r="V294" s="703" t="str">
        <f t="shared" ca="1" si="107"/>
        <v/>
      </c>
      <c r="W294" s="480" t="str">
        <f t="shared" ca="1" si="97"/>
        <v/>
      </c>
      <c r="X294" s="480" t="str">
        <f t="shared" ca="1" si="98"/>
        <v/>
      </c>
      <c r="Y294" s="488">
        <f>IF($B294="","",IF(COUNTIFS($B$4:$B294,$B294,$C$4:$C294,$C294)&gt;1,"⛔重複"&amp;COUNTIFS($B$4:$B294,$B294,$C$4:$C294,$C294)&amp;"回目",""))</f>
      </c>
      <c r="Z294" s="710"/>
      <c r="AB294">
        <f>IF($F294="","",MAX(100,ROUNDDOWN($AG$4/($F294*$AG$2)/100,0)*100))</f>
      </c>
      <c r="AC294">
        <f>IF(OR($F294="",$G294="",$U294=""),"",ROUND($V294-($F294+$U294)*$G294*$AG$6-IF($C294="売",$F294*$G294*$AG$7*$W294/365,0),0))</f>
      </c>
      <c r="AD294" s="608"/>
      <c r="AE294" s="600" t="str">
        <f t="shared" si="99"/>
        <v/>
      </c>
      <c r="AF294" s="600"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00"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00" t="str">
        <f t="shared" ca="1" si="100"/>
        <v/>
      </c>
      <c r="AI294" s="600" t="str" cm="1">
        <f t="array" ref="AI294">IFERROR(INDEX(始値!$E$6:$BT$305,MATCH(TEXT($B294,"0"),TEXT(銘柄管理!$B$6:$B$305,"0"),0),MATCH($AE294,始値!$E$3:$BT$3,0)),"")</f>
        <v/>
      </c>
      <c r="AJ294" s="608" t="str">
        <f t="shared" ca="1" si="101"/>
        <v/>
      </c>
      <c r="AK294" s="600" t="str">
        <f t="shared" ca="1" si="102"/>
        <v/>
      </c>
    </row>
    <row r="295" spans="1:37" ht="17.25" customHeight="1">
      <c r="A295" s="621" t="str">
        <f t="shared" si="91"/>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BT$3,0)=1,1,MATCH($E295,始値!$E$3:$BT$3,0)+1)),_xlpm.v,INDEX(始値!$C$6:$B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 t="shared" ca="1" si="103"/>
        <v/>
      </c>
      <c r="L295" s="708" t="str">
        <f t="shared" ca="1" si="104"/>
        <v/>
      </c>
      <c r="M295" s="598">
        <f>IF($F295="","",IF($C295="売",CEILING($F295*IF($C295="売",1-$AG$3,1+$AG$3),IF($F295*IF($C295="売",1-$AG$3,1+$AG$3)&lt;=3000,1,IF($F295*IF($C295="売",1-$AG$3,1+$AG$3)&lt;=5000,5,IF($F295*IF($C295="売",1-$AG$3,1+$AG$3)&lt;=30000,10,IF($F295*IF($C295="売",1-$AG$3,1+$AG$3)&lt;=50000,50,IF($F295*IF($C295="売",1-$AG$3,1+$AG$3)&lt;=300000,100,500)))))),FLOOR($F295*IF($C295="売",1-$AG$3,1+$AG$3),IF($F295*IF($C295="売",1-$AG$3,1+$AG$3)&lt;=3000,1,IF($F295*IF($C295="売",1-$AG$3,1+$AG$3)&lt;=5000,5,IF($F295*IF($C295="売",1-$AG$3,1+$AG$3)&lt;=30000,10,IF($F295*IF($C295="売",1-$AG$3,1+$AG$3)&lt;=50000,50,IF($F295*IF($C295="売",1-$AG$3,1+$AG$3)&lt;=300000,100,500))))))))</f>
      </c>
      <c r="N295" s="598">
        <f>IF($F295="","",IF($C295="売",CEILING($F295*IF($C295="売",1+$AG$2,1-$AG$2),IF($F295*IF($C295="売",1+$AG$2,1-$AG$2)&lt;=3000,1,IF($F295*IF($C295="売",1+$AG$2,1-$AG$2)&lt;=5000,5,IF($F295*IF($C295="売",1+$AG$2,1-$AG$2)&lt;=30000,10,IF($F295*IF($C295="売",1+$AG$2,1-$AG$2)&lt;=50000,50,IF($F295*IF($C295="売",1+$AG$2,1-$AG$2)&lt;=300000,100,500)))))),FLOOR($F295*IF($C295="売",1+$AG$2,1-$AG$2),IF($F295*IF($C295="売",1+$AG$2,1-$AG$2)&lt;=3000,1,IF($F295*IF($C295="売",1+$AG$2,1-$AG$2)&lt;=5000,5,IF($F295*IF($C295="売",1+$AG$2,1-$AG$2)&lt;=30000,10,IF($F295*IF($C295="売",1+$AG$2,1-$AG$2)&lt;=50000,50,IF($F295*IF($C295="売",1+$AG$2,1-$AG$2)&lt;=300000,100,500))))))))</f>
      </c>
      <c r="O295" s="478">
        <f>IF(OR($B295="",$F295="",$H295=""),"",IF($S295="✅売却済","―決済済―",IF($C295="売",  IF($H295&lt;=$M295,"🟢利確",  IF(AND($R295&lt;&gt;"",$H295&gt;=$R295),"🟠TRAIL決済",  IF($H295&gt;=$N295,"🔴損切",  IF($W295&gt;=$AG$5,"⏱時間決済",  IF($H295&gt;=$F295*(1+$AG$2*0.7),"⚠️損切接近","保持継続"))))),  IF($H295&gt;=$M295,"🟢利確",  IF(AND($R295&lt;&gt;"",$H295&lt;=$R295),"🟠TRAIL決済",  IF($H295&lt;=$N295,"🔴損切",  IF($W295&gt;=$AG$5,"⏱時間決済",  IF($H295&lt;=$F295*(1-$AG$2*0.7),"⚠️損切接近","保持継続")))))))</f>
      </c>
      <c r="P295" s="445"/>
      <c r="Q295" s="445"/>
      <c r="R295" s="480">
        <f>IF(OR($F295="",$H295="",$N295=""),"",IF($S295="✅売却済","",IF($C295="売",  IF($H295&gt;$F295*(1-$AG$2),$N295,CEILING(MIN($N295,IF($Q295="",$N295,$Q295*1.03)),IF($N295&lt;=3000,1,IF($N295&lt;=5000,5,IF($N295&lt;=30000,10,IF($N295&lt;=50000,50,IF($N295&lt;=300000,100,500))))))),  IF($H295&lt;$F295*(1+$AG$2),$N295,FLOOR(MAX($N295,IF($P295="",$N295,$P295*0.97)),IF($N295&lt;=3000,1,IF($N295&lt;=5000,5,IF($N295&lt;=30000,10,IF($N295&lt;=50000,50,IF($N295&lt;=300000,100,500))))))))))</f>
      </c>
      <c r="S295" s="480" t="str">
        <f t="shared" si="106"/>
        <v/>
      </c>
      <c r="T295" s="596" t="str">
        <f t="shared" ca="1" si="95"/>
        <v/>
      </c>
      <c r="U295" s="598" t="str">
        <f t="shared" ca="1" si="96"/>
        <v/>
      </c>
      <c r="V295" s="703" t="str">
        <f t="shared" ca="1" si="107"/>
        <v/>
      </c>
      <c r="W295" s="480" t="str">
        <f t="shared" ca="1" si="97"/>
        <v/>
      </c>
      <c r="X295" s="480" t="str">
        <f t="shared" ca="1" si="98"/>
        <v/>
      </c>
      <c r="Y295" s="488">
        <f>IF($B295="","",IF(COUNTIFS($B$4:$B295,$B295,$C$4:$C295,$C295)&gt;1,"⛔重複"&amp;COUNTIFS($B$4:$B295,$B295,$C$4:$C295,$C295)&amp;"回目",""))</f>
      </c>
      <c r="Z295" s="710"/>
      <c r="AB295">
        <f>IF($F295="","",MAX(100,ROUNDDOWN($AG$4/($F295*$AG$2)/100,0)*100))</f>
      </c>
      <c r="AC295">
        <f>IF(OR($F295="",$G295="",$U295=""),"",ROUND($V295-($F295+$U295)*$G295*$AG$6-IF($C295="売",$F295*$G295*$AG$7*$W295/365,0),0))</f>
      </c>
      <c r="AD295" s="608"/>
      <c r="AE295" s="600" t="str">
        <f t="shared" si="99"/>
        <v/>
      </c>
      <c r="AF295" s="600"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00"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00" t="str">
        <f t="shared" ca="1" si="100"/>
        <v/>
      </c>
      <c r="AI295" s="600" t="str" cm="1">
        <f t="array" ref="AI295">IFERROR(INDEX(始値!$E$6:$BT$305,MATCH(TEXT($B295,"0"),TEXT(銘柄管理!$B$6:$B$305,"0"),0),MATCH($AE295,始値!$E$3:$BT$3,0)),"")</f>
        <v/>
      </c>
      <c r="AJ295" s="608" t="str">
        <f t="shared" ca="1" si="101"/>
        <v/>
      </c>
      <c r="AK295" s="600" t="str">
        <f t="shared" ca="1" si="102"/>
        <v/>
      </c>
    </row>
    <row r="296" spans="1:37" ht="17.25" customHeight="1">
      <c r="A296" s="621" t="str">
        <f t="shared" si="91"/>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BT$3,0)=1,1,MATCH($E296,始値!$E$3:$BT$3,0)+1)),_xlpm.v,INDEX(始値!$C$6:$B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 t="shared" ca="1" si="103"/>
        <v/>
      </c>
      <c r="L296" s="708" t="str">
        <f t="shared" ca="1" si="104"/>
        <v/>
      </c>
      <c r="M296" s="598">
        <f>IF($F296="","",IF($C296="売",CEILING($F296*IF($C296="売",1-$AG$3,1+$AG$3),IF($F296*IF($C296="売",1-$AG$3,1+$AG$3)&lt;=3000,1,IF($F296*IF($C296="売",1-$AG$3,1+$AG$3)&lt;=5000,5,IF($F296*IF($C296="売",1-$AG$3,1+$AG$3)&lt;=30000,10,IF($F296*IF($C296="売",1-$AG$3,1+$AG$3)&lt;=50000,50,IF($F296*IF($C296="売",1-$AG$3,1+$AG$3)&lt;=300000,100,500)))))),FLOOR($F296*IF($C296="売",1-$AG$3,1+$AG$3),IF($F296*IF($C296="売",1-$AG$3,1+$AG$3)&lt;=3000,1,IF($F296*IF($C296="売",1-$AG$3,1+$AG$3)&lt;=5000,5,IF($F296*IF($C296="売",1-$AG$3,1+$AG$3)&lt;=30000,10,IF($F296*IF($C296="売",1-$AG$3,1+$AG$3)&lt;=50000,50,IF($F296*IF($C296="売",1-$AG$3,1+$AG$3)&lt;=300000,100,500))))))))</f>
      </c>
      <c r="N296" s="598">
        <f>IF($F296="","",IF($C296="売",CEILING($F296*IF($C296="売",1+$AG$2,1-$AG$2),IF($F296*IF($C296="売",1+$AG$2,1-$AG$2)&lt;=3000,1,IF($F296*IF($C296="売",1+$AG$2,1-$AG$2)&lt;=5000,5,IF($F296*IF($C296="売",1+$AG$2,1-$AG$2)&lt;=30000,10,IF($F296*IF($C296="売",1+$AG$2,1-$AG$2)&lt;=50000,50,IF($F296*IF($C296="売",1+$AG$2,1-$AG$2)&lt;=300000,100,500)))))),FLOOR($F296*IF($C296="売",1+$AG$2,1-$AG$2),IF($F296*IF($C296="売",1+$AG$2,1-$AG$2)&lt;=3000,1,IF($F296*IF($C296="売",1+$AG$2,1-$AG$2)&lt;=5000,5,IF($F296*IF($C296="売",1+$AG$2,1-$AG$2)&lt;=30000,10,IF($F296*IF($C296="売",1+$AG$2,1-$AG$2)&lt;=50000,50,IF($F296*IF($C296="売",1+$AG$2,1-$AG$2)&lt;=300000,100,500))))))))</f>
      </c>
      <c r="O296" s="478">
        <f>IF(OR($B296="",$F296="",$H296=""),"",IF($S296="✅売却済","―決済済―",IF($C296="売",  IF($H296&lt;=$M296,"🟢利確",  IF(AND($R296&lt;&gt;"",$H296&gt;=$R296),"🟠TRAIL決済",  IF($H296&gt;=$N296,"🔴損切",  IF($W296&gt;=$AG$5,"⏱時間決済",  IF($H296&gt;=$F296*(1+$AG$2*0.7),"⚠️損切接近","保持継続"))))),  IF($H296&gt;=$M296,"🟢利確",  IF(AND($R296&lt;&gt;"",$H296&lt;=$R296),"🟠TRAIL決済",  IF($H296&lt;=$N296,"🔴損切",  IF($W296&gt;=$AG$5,"⏱時間決済",  IF($H296&lt;=$F296*(1-$AG$2*0.7),"⚠️損切接近","保持継続")))))))</f>
      </c>
      <c r="P296" s="445"/>
      <c r="Q296" s="445"/>
      <c r="R296" s="480">
        <f>IF(OR($F296="",$H296="",$N296=""),"",IF($S296="✅売却済","",IF($C296="売",  IF($H296&gt;$F296*(1-$AG$2),$N296,CEILING(MIN($N296,IF($Q296="",$N296,$Q296*1.03)),IF($N296&lt;=3000,1,IF($N296&lt;=5000,5,IF($N296&lt;=30000,10,IF($N296&lt;=50000,50,IF($N296&lt;=300000,100,500))))))),  IF($H296&lt;$F296*(1+$AG$2),$N296,FLOOR(MAX($N296,IF($P296="",$N296,$P296*0.97)),IF($N296&lt;=3000,1,IF($N296&lt;=5000,5,IF($N296&lt;=30000,10,IF($N296&lt;=50000,50,IF($N296&lt;=300000,100,500))))))))))</f>
      </c>
      <c r="S296" s="480" t="str">
        <f t="shared" si="106"/>
        <v/>
      </c>
      <c r="T296" s="596" t="str">
        <f t="shared" ca="1" si="95"/>
        <v/>
      </c>
      <c r="U296" s="598" t="str">
        <f t="shared" ca="1" si="96"/>
        <v/>
      </c>
      <c r="V296" s="703" t="str">
        <f t="shared" ca="1" si="107"/>
        <v/>
      </c>
      <c r="W296" s="480" t="str">
        <f t="shared" ca="1" si="97"/>
        <v/>
      </c>
      <c r="X296" s="480" t="str">
        <f t="shared" ca="1" si="98"/>
        <v/>
      </c>
      <c r="Y296" s="488">
        <f>IF($B296="","",IF(COUNTIFS($B$4:$B296,$B296,$C$4:$C296,$C296)&gt;1,"⛔重複"&amp;COUNTIFS($B$4:$B296,$B296,$C$4:$C296,$C296)&amp;"回目",""))</f>
      </c>
      <c r="Z296" s="710"/>
      <c r="AB296">
        <f>IF($F296="","",MAX(100,ROUNDDOWN($AG$4/($F296*$AG$2)/100,0)*100))</f>
      </c>
      <c r="AC296">
        <f>IF(OR($F296="",$G296="",$U296=""),"",ROUND($V296-($F296+$U296)*$G296*$AG$6-IF($C296="売",$F296*$G296*$AG$7*$W296/365,0),0))</f>
      </c>
      <c r="AD296" s="608"/>
      <c r="AE296" s="600" t="str">
        <f t="shared" si="99"/>
        <v/>
      </c>
      <c r="AF296" s="600"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00"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00" t="str">
        <f t="shared" ca="1" si="100"/>
        <v/>
      </c>
      <c r="AI296" s="600" t="str" cm="1">
        <f t="array" ref="AI296">IFERROR(INDEX(始値!$E$6:$BT$305,MATCH(TEXT($B296,"0"),TEXT(銘柄管理!$B$6:$B$305,"0"),0),MATCH($AE296,始値!$E$3:$BT$3,0)),"")</f>
        <v/>
      </c>
      <c r="AJ296" s="608" t="str">
        <f t="shared" ca="1" si="101"/>
        <v/>
      </c>
      <c r="AK296" s="600" t="str">
        <f t="shared" ca="1" si="102"/>
        <v/>
      </c>
    </row>
    <row r="297" spans="1:37" ht="17.25" customHeight="1">
      <c r="A297" s="621" t="str">
        <f t="shared" si="91"/>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BT$3,0)=1,1,MATCH($E297,始値!$E$3:$BT$3,0)+1)),_xlpm.v,INDEX(始値!$C$6:$B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 t="shared" ca="1" si="103"/>
        <v/>
      </c>
      <c r="L297" s="708" t="str">
        <f t="shared" ca="1" si="104"/>
        <v/>
      </c>
      <c r="M297" s="598">
        <f>IF($F297="","",IF($C297="売",CEILING($F297*IF($C297="売",1-$AG$3,1+$AG$3),IF($F297*IF($C297="売",1-$AG$3,1+$AG$3)&lt;=3000,1,IF($F297*IF($C297="売",1-$AG$3,1+$AG$3)&lt;=5000,5,IF($F297*IF($C297="売",1-$AG$3,1+$AG$3)&lt;=30000,10,IF($F297*IF($C297="売",1-$AG$3,1+$AG$3)&lt;=50000,50,IF($F297*IF($C297="売",1-$AG$3,1+$AG$3)&lt;=300000,100,500)))))),FLOOR($F297*IF($C297="売",1-$AG$3,1+$AG$3),IF($F297*IF($C297="売",1-$AG$3,1+$AG$3)&lt;=3000,1,IF($F297*IF($C297="売",1-$AG$3,1+$AG$3)&lt;=5000,5,IF($F297*IF($C297="売",1-$AG$3,1+$AG$3)&lt;=30000,10,IF($F297*IF($C297="売",1-$AG$3,1+$AG$3)&lt;=50000,50,IF($F297*IF($C297="売",1-$AG$3,1+$AG$3)&lt;=300000,100,500))))))))</f>
      </c>
      <c r="N297" s="598">
        <f>IF($F297="","",IF($C297="売",CEILING($F297*IF($C297="売",1+$AG$2,1-$AG$2),IF($F297*IF($C297="売",1+$AG$2,1-$AG$2)&lt;=3000,1,IF($F297*IF($C297="売",1+$AG$2,1-$AG$2)&lt;=5000,5,IF($F297*IF($C297="売",1+$AG$2,1-$AG$2)&lt;=30000,10,IF($F297*IF($C297="売",1+$AG$2,1-$AG$2)&lt;=50000,50,IF($F297*IF($C297="売",1+$AG$2,1-$AG$2)&lt;=300000,100,500)))))),FLOOR($F297*IF($C297="売",1+$AG$2,1-$AG$2),IF($F297*IF($C297="売",1+$AG$2,1-$AG$2)&lt;=3000,1,IF($F297*IF($C297="売",1+$AG$2,1-$AG$2)&lt;=5000,5,IF($F297*IF($C297="売",1+$AG$2,1-$AG$2)&lt;=30000,10,IF($F297*IF($C297="売",1+$AG$2,1-$AG$2)&lt;=50000,50,IF($F297*IF($C297="売",1+$AG$2,1-$AG$2)&lt;=300000,100,500))))))))</f>
      </c>
      <c r="O297" s="478">
        <f>IF(OR($B297="",$F297="",$H297=""),"",IF($S297="✅売却済","―決済済―",IF($C297="売",  IF($H297&lt;=$M297,"🟢利確",  IF(AND($R297&lt;&gt;"",$H297&gt;=$R297),"🟠TRAIL決済",  IF($H297&gt;=$N297,"🔴損切",  IF($W297&gt;=$AG$5,"⏱時間決済",  IF($H297&gt;=$F297*(1+$AG$2*0.7),"⚠️損切接近","保持継続"))))),  IF($H297&gt;=$M297,"🟢利確",  IF(AND($R297&lt;&gt;"",$H297&lt;=$R297),"🟠TRAIL決済",  IF($H297&lt;=$N297,"🔴損切",  IF($W297&gt;=$AG$5,"⏱時間決済",  IF($H297&lt;=$F297*(1-$AG$2*0.7),"⚠️損切接近","保持継続")))))))</f>
      </c>
      <c r="P297" s="445"/>
      <c r="Q297" s="445"/>
      <c r="R297" s="480">
        <f>IF(OR($F297="",$H297="",$N297=""),"",IF($S297="✅売却済","",IF($C297="売",  IF($H297&gt;$F297*(1-$AG$2),$N297,CEILING(MIN($N297,IF($Q297="",$N297,$Q297*1.03)),IF($N297&lt;=3000,1,IF($N297&lt;=5000,5,IF($N297&lt;=30000,10,IF($N297&lt;=50000,50,IF($N297&lt;=300000,100,500))))))),  IF($H297&lt;$F297*(1+$AG$2),$N297,FLOOR(MAX($N297,IF($P297="",$N297,$P297*0.97)),IF($N297&lt;=3000,1,IF($N297&lt;=5000,5,IF($N297&lt;=30000,10,IF($N297&lt;=50000,50,IF($N297&lt;=300000,100,500))))))))))</f>
      </c>
      <c r="S297" s="480" t="str">
        <f t="shared" si="106"/>
        <v/>
      </c>
      <c r="T297" s="596" t="str">
        <f t="shared" ca="1" si="95"/>
        <v/>
      </c>
      <c r="U297" s="598" t="str">
        <f t="shared" ca="1" si="96"/>
        <v/>
      </c>
      <c r="V297" s="703" t="str">
        <f t="shared" ca="1" si="107"/>
        <v/>
      </c>
      <c r="W297" s="480" t="str">
        <f t="shared" ca="1" si="97"/>
        <v/>
      </c>
      <c r="X297" s="480" t="str">
        <f t="shared" ca="1" si="98"/>
        <v/>
      </c>
      <c r="Y297" s="488">
        <f>IF($B297="","",IF(COUNTIFS($B$4:$B297,$B297,$C$4:$C297,$C297)&gt;1,"⛔重複"&amp;COUNTIFS($B$4:$B297,$B297,$C$4:$C297,$C297)&amp;"回目",""))</f>
      </c>
      <c r="Z297" s="710"/>
      <c r="AB297">
        <f>IF($F297="","",MAX(100,ROUNDDOWN($AG$4/($F297*$AG$2)/100,0)*100))</f>
      </c>
      <c r="AC297">
        <f>IF(OR($F297="",$G297="",$U297=""),"",ROUND($V297-($F297+$U297)*$G297*$AG$6-IF($C297="売",$F297*$G297*$AG$7*$W297/365,0),0))</f>
      </c>
      <c r="AD297" s="608"/>
      <c r="AE297" s="600" t="str">
        <f t="shared" si="99"/>
        <v/>
      </c>
      <c r="AF297" s="600"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00"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00" t="str">
        <f t="shared" ca="1" si="100"/>
        <v/>
      </c>
      <c r="AI297" s="600" t="str" cm="1">
        <f t="array" ref="AI297">IFERROR(INDEX(始値!$E$6:$BT$305,MATCH(TEXT($B297,"0"),TEXT(銘柄管理!$B$6:$B$305,"0"),0),MATCH($AE297,始値!$E$3:$BT$3,0)),"")</f>
        <v/>
      </c>
      <c r="AJ297" s="608" t="str">
        <f t="shared" ca="1" si="101"/>
        <v/>
      </c>
      <c r="AK297" s="600" t="str">
        <f t="shared" ca="1" si="102"/>
        <v/>
      </c>
    </row>
    <row r="298" spans="1:37" ht="17.25" customHeight="1">
      <c r="A298" s="621" t="str">
        <f t="shared" si="91"/>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BT$3,0)=1,1,MATCH($E298,始値!$E$3:$BT$3,0)+1)),_xlpm.v,INDEX(始値!$C$6:$B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 t="shared" ca="1" si="103"/>
        <v/>
      </c>
      <c r="L298" s="708" t="str">
        <f t="shared" ca="1" si="104"/>
        <v/>
      </c>
      <c r="M298" s="598">
        <f>IF($F298="","",IF($C298="売",CEILING($F298*IF($C298="売",1-$AG$3,1+$AG$3),IF($F298*IF($C298="売",1-$AG$3,1+$AG$3)&lt;=3000,1,IF($F298*IF($C298="売",1-$AG$3,1+$AG$3)&lt;=5000,5,IF($F298*IF($C298="売",1-$AG$3,1+$AG$3)&lt;=30000,10,IF($F298*IF($C298="売",1-$AG$3,1+$AG$3)&lt;=50000,50,IF($F298*IF($C298="売",1-$AG$3,1+$AG$3)&lt;=300000,100,500)))))),FLOOR($F298*IF($C298="売",1-$AG$3,1+$AG$3),IF($F298*IF($C298="売",1-$AG$3,1+$AG$3)&lt;=3000,1,IF($F298*IF($C298="売",1-$AG$3,1+$AG$3)&lt;=5000,5,IF($F298*IF($C298="売",1-$AG$3,1+$AG$3)&lt;=30000,10,IF($F298*IF($C298="売",1-$AG$3,1+$AG$3)&lt;=50000,50,IF($F298*IF($C298="売",1-$AG$3,1+$AG$3)&lt;=300000,100,500))))))))</f>
      </c>
      <c r="N298" s="598">
        <f>IF($F298="","",IF($C298="売",CEILING($F298*IF($C298="売",1+$AG$2,1-$AG$2),IF($F298*IF($C298="売",1+$AG$2,1-$AG$2)&lt;=3000,1,IF($F298*IF($C298="売",1+$AG$2,1-$AG$2)&lt;=5000,5,IF($F298*IF($C298="売",1+$AG$2,1-$AG$2)&lt;=30000,10,IF($F298*IF($C298="売",1+$AG$2,1-$AG$2)&lt;=50000,50,IF($F298*IF($C298="売",1+$AG$2,1-$AG$2)&lt;=300000,100,500)))))),FLOOR($F298*IF($C298="売",1+$AG$2,1-$AG$2),IF($F298*IF($C298="売",1+$AG$2,1-$AG$2)&lt;=3000,1,IF($F298*IF($C298="売",1+$AG$2,1-$AG$2)&lt;=5000,5,IF($F298*IF($C298="売",1+$AG$2,1-$AG$2)&lt;=30000,10,IF($F298*IF($C298="売",1+$AG$2,1-$AG$2)&lt;=50000,50,IF($F298*IF($C298="売",1+$AG$2,1-$AG$2)&lt;=300000,100,500))))))))</f>
      </c>
      <c r="O298" s="478">
        <f>IF(OR($B298="",$F298="",$H298=""),"",IF($S298="✅売却済","―決済済―",IF($C298="売",  IF($H298&lt;=$M298,"🟢利確",  IF(AND($R298&lt;&gt;"",$H298&gt;=$R298),"🟠TRAIL決済",  IF($H298&gt;=$N298,"🔴損切",  IF($W298&gt;=$AG$5,"⏱時間決済",  IF($H298&gt;=$F298*(1+$AG$2*0.7),"⚠️損切接近","保持継続"))))),  IF($H298&gt;=$M298,"🟢利確",  IF(AND($R298&lt;&gt;"",$H298&lt;=$R298),"🟠TRAIL決済",  IF($H298&lt;=$N298,"🔴損切",  IF($W298&gt;=$AG$5,"⏱時間決済",  IF($H298&lt;=$F298*(1-$AG$2*0.7),"⚠️損切接近","保持継続")))))))</f>
      </c>
      <c r="P298" s="445"/>
      <c r="Q298" s="445"/>
      <c r="R298" s="480">
        <f>IF(OR($F298="",$H298="",$N298=""),"",IF($S298="✅売却済","",IF($C298="売",  IF($H298&gt;$F298*(1-$AG$2),$N298,CEILING(MIN($N298,IF($Q298="",$N298,$Q298*1.03)),IF($N298&lt;=3000,1,IF($N298&lt;=5000,5,IF($N298&lt;=30000,10,IF($N298&lt;=50000,50,IF($N298&lt;=300000,100,500))))))),  IF($H298&lt;$F298*(1+$AG$2),$N298,FLOOR(MAX($N298,IF($P298="",$N298,$P298*0.97)),IF($N298&lt;=3000,1,IF($N298&lt;=5000,5,IF($N298&lt;=30000,10,IF($N298&lt;=50000,50,IF($N298&lt;=300000,100,500))))))))))</f>
      </c>
      <c r="S298" s="480" t="str">
        <f t="shared" si="106"/>
        <v/>
      </c>
      <c r="T298" s="596" t="str">
        <f t="shared" ca="1" si="95"/>
        <v/>
      </c>
      <c r="U298" s="598" t="str">
        <f t="shared" ca="1" si="96"/>
        <v/>
      </c>
      <c r="V298" s="703" t="str">
        <f t="shared" ca="1" si="107"/>
        <v/>
      </c>
      <c r="W298" s="480" t="str">
        <f t="shared" ca="1" si="97"/>
        <v/>
      </c>
      <c r="X298" s="480" t="str">
        <f t="shared" ca="1" si="98"/>
        <v/>
      </c>
      <c r="Y298" s="488">
        <f>IF($B298="","",IF(COUNTIFS($B$4:$B298,$B298,$C$4:$C298,$C298)&gt;1,"⛔重複"&amp;COUNTIFS($B$4:$B298,$B298,$C$4:$C298,$C298)&amp;"回目",""))</f>
      </c>
      <c r="Z298" s="710"/>
      <c r="AB298">
        <f>IF($F298="","",MAX(100,ROUNDDOWN($AG$4/($F298*$AG$2)/100,0)*100))</f>
      </c>
      <c r="AC298">
        <f>IF(OR($F298="",$G298="",$U298=""),"",ROUND($V298-($F298+$U298)*$G298*$AG$6-IF($C298="売",$F298*$G298*$AG$7*$W298/365,0),0))</f>
      </c>
      <c r="AD298" s="608"/>
      <c r="AE298" s="600" t="str">
        <f t="shared" si="99"/>
        <v/>
      </c>
      <c r="AF298" s="600"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00"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00" t="str">
        <f t="shared" ca="1" si="100"/>
        <v/>
      </c>
      <c r="AI298" s="600" t="str" cm="1">
        <f t="array" ref="AI298">IFERROR(INDEX(始値!$E$6:$BT$305,MATCH(TEXT($B298,"0"),TEXT(銘柄管理!$B$6:$B$305,"0"),0),MATCH($AE298,始値!$E$3:$BT$3,0)),"")</f>
        <v/>
      </c>
      <c r="AJ298" s="608" t="str">
        <f t="shared" ca="1" si="101"/>
        <v/>
      </c>
      <c r="AK298" s="600" t="str">
        <f t="shared" ca="1" si="102"/>
        <v/>
      </c>
    </row>
    <row r="299" spans="1:37" ht="36" customHeight="1">
      <c r="A299" s="621" t="str">
        <f t="shared" si="91"/>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BT$3,0)=1,1,MATCH($E299,始値!$E$3:$BT$3,0)+1)),_xlpm.v,INDEX(始値!$C$6:$B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 t="shared" ca="1" si="103"/>
        <v/>
      </c>
      <c r="L299" s="708" t="str">
        <f t="shared" ca="1" si="104"/>
        <v/>
      </c>
      <c r="M299" s="598">
        <f>IF($F299="","",IF($C299="売",CEILING($F299*IF($C299="売",1-$AG$3,1+$AG$3),IF($F299*IF($C299="売",1-$AG$3,1+$AG$3)&lt;=3000,1,IF($F299*IF($C299="売",1-$AG$3,1+$AG$3)&lt;=5000,5,IF($F299*IF($C299="売",1-$AG$3,1+$AG$3)&lt;=30000,10,IF($F299*IF($C299="売",1-$AG$3,1+$AG$3)&lt;=50000,50,IF($F299*IF($C299="売",1-$AG$3,1+$AG$3)&lt;=300000,100,500)))))),FLOOR($F299*IF($C299="売",1-$AG$3,1+$AG$3),IF($F299*IF($C299="売",1-$AG$3,1+$AG$3)&lt;=3000,1,IF($F299*IF($C299="売",1-$AG$3,1+$AG$3)&lt;=5000,5,IF($F299*IF($C299="売",1-$AG$3,1+$AG$3)&lt;=30000,10,IF($F299*IF($C299="売",1-$AG$3,1+$AG$3)&lt;=50000,50,IF($F299*IF($C299="売",1-$AG$3,1+$AG$3)&lt;=300000,100,500))))))))</f>
      </c>
      <c r="N299" s="598">
        <f>IF($F299="","",IF($C299="売",CEILING($F299*IF($C299="売",1+$AG$2,1-$AG$2),IF($F299*IF($C299="売",1+$AG$2,1-$AG$2)&lt;=3000,1,IF($F299*IF($C299="売",1+$AG$2,1-$AG$2)&lt;=5000,5,IF($F299*IF($C299="売",1+$AG$2,1-$AG$2)&lt;=30000,10,IF($F299*IF($C299="売",1+$AG$2,1-$AG$2)&lt;=50000,50,IF($F299*IF($C299="売",1+$AG$2,1-$AG$2)&lt;=300000,100,500)))))),FLOOR($F299*IF($C299="売",1+$AG$2,1-$AG$2),IF($F299*IF($C299="売",1+$AG$2,1-$AG$2)&lt;=3000,1,IF($F299*IF($C299="売",1+$AG$2,1-$AG$2)&lt;=5000,5,IF($F299*IF($C299="売",1+$AG$2,1-$AG$2)&lt;=30000,10,IF($F299*IF($C299="売",1+$AG$2,1-$AG$2)&lt;=50000,50,IF($F299*IF($C299="売",1+$AG$2,1-$AG$2)&lt;=300000,100,500))))))))</f>
      </c>
      <c r="O299" s="478">
        <f>IF(OR($B299="",$F299="",$H299=""),"",IF($S299="✅売却済","―決済済―",IF($C299="売",  IF($H299&lt;=$M299,"🟢利確",  IF(AND($R299&lt;&gt;"",$H299&gt;=$R299),"🟠TRAIL決済",  IF($H299&gt;=$N299,"🔴損切",  IF($W299&gt;=$AG$5,"⏱時間決済",  IF($H299&gt;=$F299*(1+$AG$2*0.7),"⚠️損切接近","保持継続"))))),  IF($H299&gt;=$M299,"🟢利確",  IF(AND($R299&lt;&gt;"",$H299&lt;=$R299),"🟠TRAIL決済",  IF($H299&lt;=$N299,"🔴損切",  IF($W299&gt;=$AG$5,"⏱時間決済",  IF($H299&lt;=$F299*(1-$AG$2*0.7),"⚠️損切接近","保持継続")))))))</f>
      </c>
      <c r="P299" s="445"/>
      <c r="Q299" s="445"/>
      <c r="R299" s="480">
        <f>IF(OR($F299="",$H299="",$N299=""),"",IF($S299="✅売却済","",IF($C299="売",  IF($H299&gt;$F299*(1-$AG$2),$N299,CEILING(MIN($N299,IF($Q299="",$N299,$Q299*1.03)),IF($N299&lt;=3000,1,IF($N299&lt;=5000,5,IF($N299&lt;=30000,10,IF($N299&lt;=50000,50,IF($N299&lt;=300000,100,500))))))),  IF($H299&lt;$F299*(1+$AG$2),$N299,FLOOR(MAX($N299,IF($P299="",$N299,$P299*0.97)),IF($N299&lt;=3000,1,IF($N299&lt;=5000,5,IF($N299&lt;=30000,10,IF($N299&lt;=50000,50,IF($N299&lt;=300000,100,500))))))))))</f>
      </c>
      <c r="S299" s="480" t="str">
        <f t="shared" si="106"/>
        <v/>
      </c>
      <c r="T299" s="596" t="str">
        <f t="shared" ca="1" si="95"/>
        <v/>
      </c>
      <c r="U299" s="598" t="str">
        <f t="shared" ca="1" si="96"/>
        <v/>
      </c>
      <c r="V299" s="703" t="str">
        <f t="shared" ca="1" si="107"/>
        <v/>
      </c>
      <c r="W299" s="480" t="str">
        <f t="shared" ca="1" si="97"/>
        <v/>
      </c>
      <c r="X299" s="480" t="str">
        <f t="shared" ca="1" si="98"/>
        <v/>
      </c>
      <c r="Y299" s="488">
        <f>IF($B299="","",IF(COUNTIFS($B$4:$B299,$B299,$C$4:$C299,$C299)&gt;1,"⛔重複"&amp;COUNTIFS($B$4:$B299,$B299,$C$4:$C299,$C299)&amp;"回目",""))</f>
      </c>
      <c r="Z299" s="710"/>
      <c r="AB299">
        <f>IF($F299="","",MAX(100,ROUNDDOWN($AG$4/($F299*$AG$2)/100,0)*100))</f>
      </c>
      <c r="AC299">
        <f>IF(OR($F299="",$G299="",$U299=""),"",ROUND($V299-($F299+$U299)*$G299*$AG$6-IF($C299="売",$F299*$G299*$AG$7*$W299/365,0),0))</f>
      </c>
      <c r="AD299" s="608"/>
      <c r="AE299" s="600" t="str">
        <f t="shared" si="99"/>
        <v/>
      </c>
      <c r="AF299" s="600"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00"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00" t="str">
        <f t="shared" ca="1" si="100"/>
        <v/>
      </c>
      <c r="AI299" s="600" t="str" cm="1">
        <f t="array" ref="AI299">IFERROR(INDEX(始値!$E$6:$BT$305,MATCH(TEXT($B299,"0"),TEXT(銘柄管理!$B$6:$B$305,"0"),0),MATCH($AE299,始値!$E$3:$BT$3,0)),"")</f>
        <v/>
      </c>
      <c r="AJ299" s="608" t="str">
        <f t="shared" ca="1" si="101"/>
        <v/>
      </c>
      <c r="AK299" s="600" t="str">
        <f t="shared" ca="1" si="102"/>
        <v/>
      </c>
    </row>
    <row r="300" spans="1:37" ht="37.799999999999997" customHeight="1">
      <c r="A300" s="621" t="str">
        <f t="shared" si="91"/>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BT$3,0)=1,1,MATCH($E300,始値!$E$3:$BT$3,0)+1)),_xlpm.v,INDEX(始値!$C$6:$B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 t="shared" ca="1" si="103"/>
        <v/>
      </c>
      <c r="L300" s="708" t="str">
        <f t="shared" ca="1" si="104"/>
        <v/>
      </c>
      <c r="M300" s="598">
        <f>IF($F300="","",IF($C300="売",CEILING($F300*IF($C300="売",1-$AG$3,1+$AG$3),IF($F300*IF($C300="売",1-$AG$3,1+$AG$3)&lt;=3000,1,IF($F300*IF($C300="売",1-$AG$3,1+$AG$3)&lt;=5000,5,IF($F300*IF($C300="売",1-$AG$3,1+$AG$3)&lt;=30000,10,IF($F300*IF($C300="売",1-$AG$3,1+$AG$3)&lt;=50000,50,IF($F300*IF($C300="売",1-$AG$3,1+$AG$3)&lt;=300000,100,500)))))),FLOOR($F300*IF($C300="売",1-$AG$3,1+$AG$3),IF($F300*IF($C300="売",1-$AG$3,1+$AG$3)&lt;=3000,1,IF($F300*IF($C300="売",1-$AG$3,1+$AG$3)&lt;=5000,5,IF($F300*IF($C300="売",1-$AG$3,1+$AG$3)&lt;=30000,10,IF($F300*IF($C300="売",1-$AG$3,1+$AG$3)&lt;=50000,50,IF($F300*IF($C300="売",1-$AG$3,1+$AG$3)&lt;=300000,100,500))))))))</f>
      </c>
      <c r="N300" s="598">
        <f>IF($F300="","",IF($C300="売",CEILING($F300*IF($C300="売",1+$AG$2,1-$AG$2),IF($F300*IF($C300="売",1+$AG$2,1-$AG$2)&lt;=3000,1,IF($F300*IF($C300="売",1+$AG$2,1-$AG$2)&lt;=5000,5,IF($F300*IF($C300="売",1+$AG$2,1-$AG$2)&lt;=30000,10,IF($F300*IF($C300="売",1+$AG$2,1-$AG$2)&lt;=50000,50,IF($F300*IF($C300="売",1+$AG$2,1-$AG$2)&lt;=300000,100,500)))))),FLOOR($F300*IF($C300="売",1+$AG$2,1-$AG$2),IF($F300*IF($C300="売",1+$AG$2,1-$AG$2)&lt;=3000,1,IF($F300*IF($C300="売",1+$AG$2,1-$AG$2)&lt;=5000,5,IF($F300*IF($C300="売",1+$AG$2,1-$AG$2)&lt;=30000,10,IF($F300*IF($C300="売",1+$AG$2,1-$AG$2)&lt;=50000,50,IF($F300*IF($C300="売",1+$AG$2,1-$AG$2)&lt;=300000,100,500))))))))</f>
      </c>
      <c r="O300" s="478">
        <f>IF(OR($B300="",$F300="",$H300=""),"",IF($S300="✅売却済","―決済済―",IF($C300="売",  IF($H300&lt;=$M300,"🟢利確",  IF(AND($R300&lt;&gt;"",$H300&gt;=$R300),"🟠TRAIL決済",  IF($H300&gt;=$N300,"🔴損切",  IF($W300&gt;=$AG$5,"⏱時間決済",  IF($H300&gt;=$F300*(1+$AG$2*0.7),"⚠️損切接近","保持継続"))))),  IF($H300&gt;=$M300,"🟢利確",  IF(AND($R300&lt;&gt;"",$H300&lt;=$R300),"🟠TRAIL決済",  IF($H300&lt;=$N300,"🔴損切",  IF($W300&gt;=$AG$5,"⏱時間決済",  IF($H300&lt;=$F300*(1-$AG$2*0.7),"⚠️損切接近","保持継続")))))))</f>
      </c>
      <c r="P300" s="445"/>
      <c r="Q300" s="445"/>
      <c r="R300" s="480">
        <f>IF(OR($F300="",$H300="",$N300=""),"",IF($S300="✅売却済","",IF($C300="売",  IF($H300&gt;$F300*(1-$AG$2),$N300,CEILING(MIN($N300,IF($Q300="",$N300,$Q300*1.03)),IF($N300&lt;=3000,1,IF($N300&lt;=5000,5,IF($N300&lt;=30000,10,IF($N300&lt;=50000,50,IF($N300&lt;=300000,100,500))))))),  IF($H300&lt;$F300*(1+$AG$2),$N300,FLOOR(MAX($N300,IF($P300="",$N300,$P300*0.97)),IF($N300&lt;=3000,1,IF($N300&lt;=5000,5,IF($N300&lt;=30000,10,IF($N300&lt;=50000,50,IF($N300&lt;=300000,100,500))))))))))</f>
      </c>
      <c r="S300" s="480" t="str">
        <f t="shared" si="106"/>
        <v/>
      </c>
      <c r="T300" s="596" t="str">
        <f t="shared" ca="1" si="95"/>
        <v/>
      </c>
      <c r="U300" s="598" t="str">
        <f t="shared" ca="1" si="96"/>
        <v/>
      </c>
      <c r="V300" s="703" t="str">
        <f t="shared" ca="1" si="107"/>
        <v/>
      </c>
      <c r="W300" s="480" t="str">
        <f t="shared" ca="1" si="97"/>
        <v/>
      </c>
      <c r="X300" s="480" t="str">
        <f t="shared" ca="1" si="98"/>
        <v/>
      </c>
      <c r="Y300" s="488">
        <f>IF($B300="","",IF(COUNTIFS($B$4:$B300,$B300,$C$4:$C300,$C300)&gt;1,"⛔重複"&amp;COUNTIFS($B$4:$B300,$B300,$C$4:$C300,$C300)&amp;"回目",""))</f>
      </c>
      <c r="Z300" s="710"/>
      <c r="AB300">
        <f>IF($F300="","",MAX(100,ROUNDDOWN($AG$4/($F300*$AG$2)/100,0)*100))</f>
      </c>
      <c r="AC300">
        <f>IF(OR($F300="",$G300="",$U300=""),"",ROUND($V300-($F300+$U300)*$G300*$AG$6-IF($C300="売",$F300*$G300*$AG$7*$W300/365,0),0))</f>
      </c>
      <c r="AD300" s="608"/>
      <c r="AE300" s="600" t="str">
        <f t="shared" si="99"/>
        <v/>
      </c>
      <c r="AF300" s="600"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00"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00" t="str">
        <f t="shared" ca="1" si="100"/>
        <v/>
      </c>
      <c r="AI300" s="600" t="str" cm="1">
        <f t="array" ref="AI300">IFERROR(INDEX(始値!$E$6:$BT$305,MATCH(TEXT($B300,"0"),TEXT(銘柄管理!$B$6:$B$305,"0"),0),MATCH($AE300,始値!$E$3:$BT$3,0)),"")</f>
        <v/>
      </c>
      <c r="AJ300" s="608" t="str">
        <f t="shared" ca="1" si="101"/>
        <v/>
      </c>
      <c r="AK300" s="600" t="str">
        <f t="shared" ca="1" si="102"/>
        <v/>
      </c>
    </row>
    <row r="301" spans="1:37" ht="17.25" customHeight="1">
      <c r="A301" s="621" t="str">
        <f t="shared" si="91"/>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BT$3,0)=1,1,MATCH($E301,始値!$E$3:$BT$3,0)+1)),_xlpm.v,INDEX(始値!$C$6:$B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 t="shared" ca="1" si="103"/>
        <v/>
      </c>
      <c r="L301" s="708" t="str">
        <f t="shared" ca="1" si="104"/>
        <v/>
      </c>
      <c r="M301" s="598">
        <f>IF($F301="","",IF($C301="売",CEILING($F301*IF($C301="売",1-$AG$3,1+$AG$3),IF($F301*IF($C301="売",1-$AG$3,1+$AG$3)&lt;=3000,1,IF($F301*IF($C301="売",1-$AG$3,1+$AG$3)&lt;=5000,5,IF($F301*IF($C301="売",1-$AG$3,1+$AG$3)&lt;=30000,10,IF($F301*IF($C301="売",1-$AG$3,1+$AG$3)&lt;=50000,50,IF($F301*IF($C301="売",1-$AG$3,1+$AG$3)&lt;=300000,100,500)))))),FLOOR($F301*IF($C301="売",1-$AG$3,1+$AG$3),IF($F301*IF($C301="売",1-$AG$3,1+$AG$3)&lt;=3000,1,IF($F301*IF($C301="売",1-$AG$3,1+$AG$3)&lt;=5000,5,IF($F301*IF($C301="売",1-$AG$3,1+$AG$3)&lt;=30000,10,IF($F301*IF($C301="売",1-$AG$3,1+$AG$3)&lt;=50000,50,IF($F301*IF($C301="売",1-$AG$3,1+$AG$3)&lt;=300000,100,500))))))))</f>
      </c>
      <c r="N301" s="598">
        <f>IF($F301="","",IF($C301="売",CEILING($F301*IF($C301="売",1+$AG$2,1-$AG$2),IF($F301*IF($C301="売",1+$AG$2,1-$AG$2)&lt;=3000,1,IF($F301*IF($C301="売",1+$AG$2,1-$AG$2)&lt;=5000,5,IF($F301*IF($C301="売",1+$AG$2,1-$AG$2)&lt;=30000,10,IF($F301*IF($C301="売",1+$AG$2,1-$AG$2)&lt;=50000,50,IF($F301*IF($C301="売",1+$AG$2,1-$AG$2)&lt;=300000,100,500)))))),FLOOR($F301*IF($C301="売",1+$AG$2,1-$AG$2),IF($F301*IF($C301="売",1+$AG$2,1-$AG$2)&lt;=3000,1,IF($F301*IF($C301="売",1+$AG$2,1-$AG$2)&lt;=5000,5,IF($F301*IF($C301="売",1+$AG$2,1-$AG$2)&lt;=30000,10,IF($F301*IF($C301="売",1+$AG$2,1-$AG$2)&lt;=50000,50,IF($F301*IF($C301="売",1+$AG$2,1-$AG$2)&lt;=300000,100,500))))))))</f>
      </c>
      <c r="O301" s="478">
        <f>IF(OR($B301="",$F301="",$H301=""),"",IF($S301="✅売却済","―決済済―",IF($C301="売",  IF($H301&lt;=$M301,"🟢利確",  IF(AND($R301&lt;&gt;"",$H301&gt;=$R301),"🟠TRAIL決済",  IF($H301&gt;=$N301,"🔴損切",  IF($W301&gt;=$AG$5,"⏱時間決済",  IF($H301&gt;=$F301*(1+$AG$2*0.7),"⚠️損切接近","保持継続"))))),  IF($H301&gt;=$M301,"🟢利確",  IF(AND($R301&lt;&gt;"",$H301&lt;=$R301),"🟠TRAIL決済",  IF($H301&lt;=$N301,"🔴損切",  IF($W301&gt;=$AG$5,"⏱時間決済",  IF($H301&lt;=$F301*(1-$AG$2*0.7),"⚠️損切接近","保持継続")))))))</f>
      </c>
      <c r="P301" s="445"/>
      <c r="Q301" s="445"/>
      <c r="R301" s="480">
        <f>IF(OR($F301="",$H301="",$N301=""),"",IF($S301="✅売却済","",IF($C301="売",  IF($H301&gt;$F301*(1-$AG$2),$N301,CEILING(MIN($N301,IF($Q301="",$N301,$Q301*1.03)),IF($N301&lt;=3000,1,IF($N301&lt;=5000,5,IF($N301&lt;=30000,10,IF($N301&lt;=50000,50,IF($N301&lt;=300000,100,500))))))),  IF($H301&lt;$F301*(1+$AG$2),$N301,FLOOR(MAX($N301,IF($P301="",$N301,$P301*0.97)),IF($N301&lt;=3000,1,IF($N301&lt;=5000,5,IF($N301&lt;=30000,10,IF($N301&lt;=50000,50,IF($N301&lt;=300000,100,500))))))))))</f>
      </c>
      <c r="S301" s="480" t="str">
        <f t="shared" si="106"/>
        <v/>
      </c>
      <c r="T301" s="596" t="str">
        <f t="shared" ca="1" si="95"/>
        <v/>
      </c>
      <c r="U301" s="598" t="str">
        <f t="shared" ca="1" si="96"/>
        <v/>
      </c>
      <c r="V301" s="703" t="str">
        <f t="shared" ca="1" si="107"/>
        <v/>
      </c>
      <c r="W301" s="480" t="str">
        <f t="shared" ca="1" si="97"/>
        <v/>
      </c>
      <c r="X301" s="480" t="str">
        <f t="shared" ca="1" si="98"/>
        <v/>
      </c>
      <c r="Y301" s="488">
        <f>IF($B301="","",IF(COUNTIFS($B$4:$B301,$B301,$C$4:$C301,$C301)&gt;1,"⛔重複"&amp;COUNTIFS($B$4:$B301,$B301,$C$4:$C301,$C301)&amp;"回目",""))</f>
      </c>
      <c r="Z301" s="710"/>
      <c r="AB301">
        <f>IF($F301="","",MAX(100,ROUNDDOWN($AG$4/($F301*$AG$2)/100,0)*100))</f>
      </c>
      <c r="AC301">
        <f>IF(OR($F301="",$G301="",$U301=""),"",ROUND($V301-($F301+$U301)*$G301*$AG$6-IF($C301="売",$F301*$G301*$AG$7*$W301/365,0),0))</f>
      </c>
      <c r="AD301" s="608"/>
      <c r="AE301" s="600" t="str">
        <f t="shared" si="99"/>
        <v/>
      </c>
      <c r="AF301" s="600"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00"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00" t="str">
        <f t="shared" ca="1" si="100"/>
        <v/>
      </c>
      <c r="AI301" s="600" t="str" cm="1">
        <f t="array" ref="AI301">IFERROR(INDEX(始値!$E$6:$BT$305,MATCH(TEXT($B301,"0"),TEXT(銘柄管理!$B$6:$B$305,"0"),0),MATCH($AE301,始値!$E$3:$BT$3,0)),"")</f>
        <v/>
      </c>
      <c r="AJ301" s="608" t="str">
        <f t="shared" ca="1" si="101"/>
        <v/>
      </c>
      <c r="AK301" s="600" t="str">
        <f t="shared" ca="1" si="102"/>
        <v/>
      </c>
    </row>
    <row r="302" spans="1:37" ht="17.25" customHeight="1">
      <c r="A302" s="621" t="str">
        <f t="shared" si="91"/>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BT$3,0)=1,1,MATCH($E302,始値!$E$3:$BT$3,0)+1)),_xlpm.v,INDEX(始値!$C$6:$B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 t="shared" ca="1" si="103"/>
        <v/>
      </c>
      <c r="L302" s="708" t="str">
        <f t="shared" ca="1" si="104"/>
        <v/>
      </c>
      <c r="M302" s="598">
        <f>IF($F302="","",IF($C302="売",CEILING($F302*IF($C302="売",1-$AG$3,1+$AG$3),IF($F302*IF($C302="売",1-$AG$3,1+$AG$3)&lt;=3000,1,IF($F302*IF($C302="売",1-$AG$3,1+$AG$3)&lt;=5000,5,IF($F302*IF($C302="売",1-$AG$3,1+$AG$3)&lt;=30000,10,IF($F302*IF($C302="売",1-$AG$3,1+$AG$3)&lt;=50000,50,IF($F302*IF($C302="売",1-$AG$3,1+$AG$3)&lt;=300000,100,500)))))),FLOOR($F302*IF($C302="売",1-$AG$3,1+$AG$3),IF($F302*IF($C302="売",1-$AG$3,1+$AG$3)&lt;=3000,1,IF($F302*IF($C302="売",1-$AG$3,1+$AG$3)&lt;=5000,5,IF($F302*IF($C302="売",1-$AG$3,1+$AG$3)&lt;=30000,10,IF($F302*IF($C302="売",1-$AG$3,1+$AG$3)&lt;=50000,50,IF($F302*IF($C302="売",1-$AG$3,1+$AG$3)&lt;=300000,100,500))))))))</f>
      </c>
      <c r="N302" s="598">
        <f>IF($F302="","",IF($C302="売",CEILING($F302*IF($C302="売",1+$AG$2,1-$AG$2),IF($F302*IF($C302="売",1+$AG$2,1-$AG$2)&lt;=3000,1,IF($F302*IF($C302="売",1+$AG$2,1-$AG$2)&lt;=5000,5,IF($F302*IF($C302="売",1+$AG$2,1-$AG$2)&lt;=30000,10,IF($F302*IF($C302="売",1+$AG$2,1-$AG$2)&lt;=50000,50,IF($F302*IF($C302="売",1+$AG$2,1-$AG$2)&lt;=300000,100,500)))))),FLOOR($F302*IF($C302="売",1+$AG$2,1-$AG$2),IF($F302*IF($C302="売",1+$AG$2,1-$AG$2)&lt;=3000,1,IF($F302*IF($C302="売",1+$AG$2,1-$AG$2)&lt;=5000,5,IF($F302*IF($C302="売",1+$AG$2,1-$AG$2)&lt;=30000,10,IF($F302*IF($C302="売",1+$AG$2,1-$AG$2)&lt;=50000,50,IF($F302*IF($C302="売",1+$AG$2,1-$AG$2)&lt;=300000,100,500))))))))</f>
      </c>
      <c r="O302" s="478">
        <f>IF(OR($B302="",$F302="",$H302=""),"",IF($S302="✅売却済","―決済済―",IF($C302="売",  IF($H302&lt;=$M302,"🟢利確",  IF(AND($R302&lt;&gt;"",$H302&gt;=$R302),"🟠TRAIL決済",  IF($H302&gt;=$N302,"🔴損切",  IF($W302&gt;=$AG$5,"⏱時間決済",  IF($H302&gt;=$F302*(1+$AG$2*0.7),"⚠️損切接近","保持継続"))))),  IF($H302&gt;=$M302,"🟢利確",  IF(AND($R302&lt;&gt;"",$H302&lt;=$R302),"🟠TRAIL決済",  IF($H302&lt;=$N302,"🔴損切",  IF($W302&gt;=$AG$5,"⏱時間決済",  IF($H302&lt;=$F302*(1-$AG$2*0.7),"⚠️損切接近","保持継続")))))))</f>
      </c>
      <c r="P302" s="445"/>
      <c r="Q302" s="445"/>
      <c r="R302" s="480">
        <f>IF(OR($F302="",$H302="",$N302=""),"",IF($S302="✅売却済","",IF($C302="売",  IF($H302&gt;$F302*(1-$AG$2),$N302,CEILING(MIN($N302,IF($Q302="",$N302,$Q302*1.03)),IF($N302&lt;=3000,1,IF($N302&lt;=5000,5,IF($N302&lt;=30000,10,IF($N302&lt;=50000,50,IF($N302&lt;=300000,100,500))))))),  IF($H302&lt;$F302*(1+$AG$2),$N302,FLOOR(MAX($N302,IF($P302="",$N302,$P302*0.97)),IF($N302&lt;=3000,1,IF($N302&lt;=5000,5,IF($N302&lt;=30000,10,IF($N302&lt;=50000,50,IF($N302&lt;=300000,100,500))))))))))</f>
      </c>
      <c r="S302" s="480" t="str">
        <f t="shared" si="106"/>
        <v/>
      </c>
      <c r="T302" s="596" t="str">
        <f t="shared" ca="1" si="95"/>
        <v/>
      </c>
      <c r="U302" s="598" t="str">
        <f t="shared" ca="1" si="96"/>
        <v/>
      </c>
      <c r="V302" s="703" t="str">
        <f t="shared" ca="1" si="107"/>
        <v/>
      </c>
      <c r="W302" s="480" t="str">
        <f t="shared" ca="1" si="97"/>
        <v/>
      </c>
      <c r="X302" s="480" t="str">
        <f t="shared" ca="1" si="98"/>
        <v/>
      </c>
      <c r="Y302" s="488">
        <f>IF($B302="","",IF(COUNTIFS($B$4:$B302,$B302,$C$4:$C302,$C302)&gt;1,"⛔重複"&amp;COUNTIFS($B$4:$B302,$B302,$C$4:$C302,$C302)&amp;"回目",""))</f>
      </c>
      <c r="Z302" s="710"/>
      <c r="AB302">
        <f>IF($F302="","",MAX(100,ROUNDDOWN($AG$4/($F302*$AG$2)/100,0)*100))</f>
      </c>
      <c r="AC302">
        <f>IF(OR($F302="",$G302="",$U302=""),"",ROUND($V302-($F302+$U302)*$G302*$AG$6-IF($C302="売",$F302*$G302*$AG$7*$W302/365,0),0))</f>
      </c>
      <c r="AD302" s="608"/>
      <c r="AE302" s="600" t="str">
        <f t="shared" si="99"/>
        <v/>
      </c>
      <c r="AF302" s="600"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00"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00" t="str">
        <f t="shared" ca="1" si="100"/>
        <v/>
      </c>
      <c r="AI302" s="600" t="str" cm="1">
        <f t="array" ref="AI302">IFERROR(INDEX(始値!$E$6:$BT$305,MATCH(TEXT($B302,"0"),TEXT(銘柄管理!$B$6:$B$305,"0"),0),MATCH($AE302,始値!$E$3:$BT$3,0)),"")</f>
        <v/>
      </c>
      <c r="AJ302" s="608" t="str">
        <f t="shared" ca="1" si="101"/>
        <v/>
      </c>
      <c r="AK302" s="600" t="str">
        <f t="shared" ca="1" si="102"/>
        <v/>
      </c>
    </row>
    <row r="303" spans="1:37" ht="17.25" customHeight="1">
      <c r="A303" s="621" t="str">
        <f t="shared" si="91"/>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BT$3,0)=1,1,MATCH($E303,始値!$E$3:$BT$3,0)+1)),_xlpm.v,INDEX(始値!$C$6:$B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 t="shared" ca="1" si="103"/>
        <v/>
      </c>
      <c r="L303" s="708" t="str">
        <f t="shared" ca="1" si="104"/>
        <v/>
      </c>
      <c r="M303" s="598">
        <f>IF($F303="","",IF($C303="売",CEILING($F303*IF($C303="売",1-$AG$3,1+$AG$3),IF($F303*IF($C303="売",1-$AG$3,1+$AG$3)&lt;=3000,1,IF($F303*IF($C303="売",1-$AG$3,1+$AG$3)&lt;=5000,5,IF($F303*IF($C303="売",1-$AG$3,1+$AG$3)&lt;=30000,10,IF($F303*IF($C303="売",1-$AG$3,1+$AG$3)&lt;=50000,50,IF($F303*IF($C303="売",1-$AG$3,1+$AG$3)&lt;=300000,100,500)))))),FLOOR($F303*IF($C303="売",1-$AG$3,1+$AG$3),IF($F303*IF($C303="売",1-$AG$3,1+$AG$3)&lt;=3000,1,IF($F303*IF($C303="売",1-$AG$3,1+$AG$3)&lt;=5000,5,IF($F303*IF($C303="売",1-$AG$3,1+$AG$3)&lt;=30000,10,IF($F303*IF($C303="売",1-$AG$3,1+$AG$3)&lt;=50000,50,IF($F303*IF($C303="売",1-$AG$3,1+$AG$3)&lt;=300000,100,500))))))))</f>
      </c>
      <c r="N303" s="598">
        <f>IF($F303="","",IF($C303="売",CEILING($F303*IF($C303="売",1+$AG$2,1-$AG$2),IF($F303*IF($C303="売",1+$AG$2,1-$AG$2)&lt;=3000,1,IF($F303*IF($C303="売",1+$AG$2,1-$AG$2)&lt;=5000,5,IF($F303*IF($C303="売",1+$AG$2,1-$AG$2)&lt;=30000,10,IF($F303*IF($C303="売",1+$AG$2,1-$AG$2)&lt;=50000,50,IF($F303*IF($C303="売",1+$AG$2,1-$AG$2)&lt;=300000,100,500)))))),FLOOR($F303*IF($C303="売",1+$AG$2,1-$AG$2),IF($F303*IF($C303="売",1+$AG$2,1-$AG$2)&lt;=3000,1,IF($F303*IF($C303="売",1+$AG$2,1-$AG$2)&lt;=5000,5,IF($F303*IF($C303="売",1+$AG$2,1-$AG$2)&lt;=30000,10,IF($F303*IF($C303="売",1+$AG$2,1-$AG$2)&lt;=50000,50,IF($F303*IF($C303="売",1+$AG$2,1-$AG$2)&lt;=300000,100,500))))))))</f>
      </c>
      <c r="O303" s="478">
        <f>IF(OR($B303="",$F303="",$H303=""),"",IF($S303="✅売却済","―決済済―",IF($C303="売",  IF($H303&lt;=$M303,"🟢利確",  IF(AND($R303&lt;&gt;"",$H303&gt;=$R303),"🟠TRAIL決済",  IF($H303&gt;=$N303,"🔴損切",  IF($W303&gt;=$AG$5,"⏱時間決済",  IF($H303&gt;=$F303*(1+$AG$2*0.7),"⚠️損切接近","保持継続"))))),  IF($H303&gt;=$M303,"🟢利確",  IF(AND($R303&lt;&gt;"",$H303&lt;=$R303),"🟠TRAIL決済",  IF($H303&lt;=$N303,"🔴損切",  IF($W303&gt;=$AG$5,"⏱時間決済",  IF($H303&lt;=$F303*(1-$AG$2*0.7),"⚠️損切接近","保持継続")))))))</f>
      </c>
      <c r="P303" s="445"/>
      <c r="Q303" s="445"/>
      <c r="R303" s="480">
        <f>IF(OR($F303="",$H303="",$N303=""),"",IF($S303="✅売却済","",IF($C303="売",  IF($H303&gt;$F303*(1-$AG$2),$N303,CEILING(MIN($N303,IF($Q303="",$N303,$Q303*1.03)),IF($N303&lt;=3000,1,IF($N303&lt;=5000,5,IF($N303&lt;=30000,10,IF($N303&lt;=50000,50,IF($N303&lt;=300000,100,500))))))),  IF($H303&lt;$F303*(1+$AG$2),$N303,FLOOR(MAX($N303,IF($P303="",$N303,$P303*0.97)),IF($N303&lt;=3000,1,IF($N303&lt;=5000,5,IF($N303&lt;=30000,10,IF($N303&lt;=50000,50,IF($N303&lt;=300000,100,500))))))))))</f>
      </c>
      <c r="S303" s="480" t="str">
        <f t="shared" si="106"/>
        <v/>
      </c>
      <c r="T303" s="596" t="str">
        <f t="shared" ca="1" si="95"/>
        <v/>
      </c>
      <c r="U303" s="598" t="str">
        <f t="shared" ca="1" si="96"/>
        <v/>
      </c>
      <c r="V303" s="703" t="str">
        <f t="shared" ca="1" si="107"/>
        <v/>
      </c>
      <c r="W303" s="480" t="str">
        <f t="shared" ca="1" si="97"/>
        <v/>
      </c>
      <c r="X303" s="480" t="str">
        <f t="shared" ca="1" si="98"/>
        <v/>
      </c>
      <c r="Y303" s="488">
        <f>IF($B303="","",IF(COUNTIFS($B$4:$B303,$B303,$C$4:$C303,$C303)&gt;1,"⛔重複"&amp;COUNTIFS($B$4:$B303,$B303,$C$4:$C303,$C303)&amp;"回目",""))</f>
      </c>
      <c r="Z303" s="710"/>
      <c r="AB303">
        <f>IF($F303="","",MAX(100,ROUNDDOWN($AG$4/($F303*$AG$2)/100,0)*100))</f>
      </c>
      <c r="AC303">
        <f>IF(OR($F303="",$G303="",$U303=""),"",ROUND($V303-($F303+$U303)*$G303*$AG$6-IF($C303="売",$F303*$G303*$AG$7*$W303/365,0),0))</f>
      </c>
      <c r="AD303" s="608"/>
      <c r="AE303" s="600" t="str">
        <f t="shared" si="99"/>
        <v/>
      </c>
      <c r="AF303" s="600"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00"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00" t="str">
        <f t="shared" ca="1" si="100"/>
        <v/>
      </c>
      <c r="AI303" s="600" t="str" cm="1">
        <f t="array" ref="AI303">IFERROR(INDEX(始値!$E$6:$BT$305,MATCH(TEXT($B303,"0"),TEXT(銘柄管理!$B$6:$B$305,"0"),0),MATCH($AE303,始値!$E$3:$BT$3,0)),"")</f>
        <v/>
      </c>
      <c r="AJ303" s="608" t="str">
        <f t="shared" ca="1" si="101"/>
        <v/>
      </c>
      <c r="AK303" s="600" t="str">
        <f t="shared" ca="1" si="102"/>
        <v/>
      </c>
    </row>
    <row r="304" spans="1:37" ht="17.25" customHeight="1">
      <c r="A304" s="621" t="str">
        <f t="shared" si="91"/>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BT$3,0)=1,1,MATCH($E304,始値!$E$3:$BT$3,0)+1)),_xlpm.v,INDEX(始値!$C$6:$B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 t="shared" ca="1" si="103"/>
        <v/>
      </c>
      <c r="L304" s="708" t="str">
        <f t="shared" ca="1" si="104"/>
        <v/>
      </c>
      <c r="M304" s="598">
        <f>IF($F304="","",IF($C304="売",CEILING($F304*IF($C304="売",1-$AG$3,1+$AG$3),IF($F304*IF($C304="売",1-$AG$3,1+$AG$3)&lt;=3000,1,IF($F304*IF($C304="売",1-$AG$3,1+$AG$3)&lt;=5000,5,IF($F304*IF($C304="売",1-$AG$3,1+$AG$3)&lt;=30000,10,IF($F304*IF($C304="売",1-$AG$3,1+$AG$3)&lt;=50000,50,IF($F304*IF($C304="売",1-$AG$3,1+$AG$3)&lt;=300000,100,500)))))),FLOOR($F304*IF($C304="売",1-$AG$3,1+$AG$3),IF($F304*IF($C304="売",1-$AG$3,1+$AG$3)&lt;=3000,1,IF($F304*IF($C304="売",1-$AG$3,1+$AG$3)&lt;=5000,5,IF($F304*IF($C304="売",1-$AG$3,1+$AG$3)&lt;=30000,10,IF($F304*IF($C304="売",1-$AG$3,1+$AG$3)&lt;=50000,50,IF($F304*IF($C304="売",1-$AG$3,1+$AG$3)&lt;=300000,100,500))))))))</f>
      </c>
      <c r="N304" s="598">
        <f>IF($F304="","",IF($C304="売",CEILING($F304*IF($C304="売",1+$AG$2,1-$AG$2),IF($F304*IF($C304="売",1+$AG$2,1-$AG$2)&lt;=3000,1,IF($F304*IF($C304="売",1+$AG$2,1-$AG$2)&lt;=5000,5,IF($F304*IF($C304="売",1+$AG$2,1-$AG$2)&lt;=30000,10,IF($F304*IF($C304="売",1+$AG$2,1-$AG$2)&lt;=50000,50,IF($F304*IF($C304="売",1+$AG$2,1-$AG$2)&lt;=300000,100,500)))))),FLOOR($F304*IF($C304="売",1+$AG$2,1-$AG$2),IF($F304*IF($C304="売",1+$AG$2,1-$AG$2)&lt;=3000,1,IF($F304*IF($C304="売",1+$AG$2,1-$AG$2)&lt;=5000,5,IF($F304*IF($C304="売",1+$AG$2,1-$AG$2)&lt;=30000,10,IF($F304*IF($C304="売",1+$AG$2,1-$AG$2)&lt;=50000,50,IF($F304*IF($C304="売",1+$AG$2,1-$AG$2)&lt;=300000,100,500))))))))</f>
      </c>
      <c r="O304" s="478">
        <f>IF(OR($B304="",$F304="",$H304=""),"",IF($S304="✅売却済","―決済済―",IF($C304="売",  IF($H304&lt;=$M304,"🟢利確",  IF(AND($R304&lt;&gt;"",$H304&gt;=$R304),"🟠TRAIL決済",  IF($H304&gt;=$N304,"🔴損切",  IF($W304&gt;=$AG$5,"⏱時間決済",  IF($H304&gt;=$F304*(1+$AG$2*0.7),"⚠️損切接近","保持継続"))))),  IF($H304&gt;=$M304,"🟢利確",  IF(AND($R304&lt;&gt;"",$H304&lt;=$R304),"🟠TRAIL決済",  IF($H304&lt;=$N304,"🔴損切",  IF($W304&gt;=$AG$5,"⏱時間決済",  IF($H304&lt;=$F304*(1-$AG$2*0.7),"⚠️損切接近","保持継続")))))))</f>
      </c>
      <c r="P304" s="445"/>
      <c r="Q304" s="445"/>
      <c r="R304" s="480">
        <f>IF(OR($F304="",$H304="",$N304=""),"",IF($S304="✅売却済","",IF($C304="売",  IF($H304&gt;$F304*(1-$AG$2),$N304,CEILING(MIN($N304,IF($Q304="",$N304,$Q304*1.03)),IF($N304&lt;=3000,1,IF($N304&lt;=5000,5,IF($N304&lt;=30000,10,IF($N304&lt;=50000,50,IF($N304&lt;=300000,100,500))))))),  IF($H304&lt;$F304*(1+$AG$2),$N304,FLOOR(MAX($N304,IF($P304="",$N304,$P304*0.97)),IF($N304&lt;=3000,1,IF($N304&lt;=5000,5,IF($N304&lt;=30000,10,IF($N304&lt;=50000,50,IF($N304&lt;=300000,100,500))))))))))</f>
      </c>
      <c r="S304" s="480" t="str">
        <f t="shared" si="106"/>
        <v/>
      </c>
      <c r="T304" s="596" t="str">
        <f t="shared" ca="1" si="95"/>
        <v/>
      </c>
      <c r="U304" s="598" t="str">
        <f t="shared" ca="1" si="96"/>
        <v/>
      </c>
      <c r="V304" s="703" t="str">
        <f t="shared" ca="1" si="107"/>
        <v/>
      </c>
      <c r="W304" s="480" t="str">
        <f t="shared" ca="1" si="97"/>
        <v/>
      </c>
      <c r="X304" s="480" t="str">
        <f t="shared" ca="1" si="98"/>
        <v/>
      </c>
      <c r="Y304" s="488">
        <f>IF($B304="","",IF(COUNTIFS($B$4:$B304,$B304,$C$4:$C304,$C304)&gt;1,"⛔重複"&amp;COUNTIFS($B$4:$B304,$B304,$C$4:$C304,$C304)&amp;"回目",""))</f>
      </c>
      <c r="Z304" s="710"/>
      <c r="AB304">
        <f>IF($F304="","",MAX(100,ROUNDDOWN($AG$4/($F304*$AG$2)/100,0)*100))</f>
      </c>
      <c r="AC304">
        <f>IF(OR($F304="",$G304="",$U304=""),"",ROUND($V304-($F304+$U304)*$G304*$AG$6-IF($C304="売",$F304*$G304*$AG$7*$W304/365,0),0))</f>
      </c>
      <c r="AD304" s="608"/>
      <c r="AE304" s="600" t="str">
        <f t="shared" si="99"/>
        <v/>
      </c>
      <c r="AF304" s="600"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00"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00" t="str">
        <f t="shared" ca="1" si="100"/>
        <v/>
      </c>
      <c r="AI304" s="600" t="str" cm="1">
        <f t="array" ref="AI304">IFERROR(INDEX(始値!$E$6:$BT$305,MATCH(TEXT($B304,"0"),TEXT(銘柄管理!$B$6:$B$305,"0"),0),MATCH($AE304,始値!$E$3:$BT$3,0)),"")</f>
        <v/>
      </c>
      <c r="AJ304" s="608" t="str">
        <f t="shared" ca="1" si="101"/>
        <v/>
      </c>
      <c r="AK304" s="600" t="str">
        <f t="shared" ca="1" si="102"/>
        <v/>
      </c>
    </row>
    <row r="305" spans="1:37" ht="17.25" customHeight="1">
      <c r="A305" s="621" t="str">
        <f t="shared" si="91"/>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BT$3,0)=1,1,MATCH($E305,始値!$E$3:$BT$3,0)+1)),_xlpm.v,INDEX(始値!$C$6:$B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 t="shared" ca="1" si="103"/>
        <v/>
      </c>
      <c r="L305" s="708" t="str">
        <f t="shared" ca="1" si="104"/>
        <v/>
      </c>
      <c r="M305" s="598">
        <f>IF($F305="","",IF($C305="売",CEILING($F305*IF($C305="売",1-$AG$3,1+$AG$3),IF($F305*IF($C305="売",1-$AG$3,1+$AG$3)&lt;=3000,1,IF($F305*IF($C305="売",1-$AG$3,1+$AG$3)&lt;=5000,5,IF($F305*IF($C305="売",1-$AG$3,1+$AG$3)&lt;=30000,10,IF($F305*IF($C305="売",1-$AG$3,1+$AG$3)&lt;=50000,50,IF($F305*IF($C305="売",1-$AG$3,1+$AG$3)&lt;=300000,100,500)))))),FLOOR($F305*IF($C305="売",1-$AG$3,1+$AG$3),IF($F305*IF($C305="売",1-$AG$3,1+$AG$3)&lt;=3000,1,IF($F305*IF($C305="売",1-$AG$3,1+$AG$3)&lt;=5000,5,IF($F305*IF($C305="売",1-$AG$3,1+$AG$3)&lt;=30000,10,IF($F305*IF($C305="売",1-$AG$3,1+$AG$3)&lt;=50000,50,IF($F305*IF($C305="売",1-$AG$3,1+$AG$3)&lt;=300000,100,500))))))))</f>
      </c>
      <c r="N305" s="598">
        <f>IF($F305="","",IF($C305="売",CEILING($F305*IF($C305="売",1+$AG$2,1-$AG$2),IF($F305*IF($C305="売",1+$AG$2,1-$AG$2)&lt;=3000,1,IF($F305*IF($C305="売",1+$AG$2,1-$AG$2)&lt;=5000,5,IF($F305*IF($C305="売",1+$AG$2,1-$AG$2)&lt;=30000,10,IF($F305*IF($C305="売",1+$AG$2,1-$AG$2)&lt;=50000,50,IF($F305*IF($C305="売",1+$AG$2,1-$AG$2)&lt;=300000,100,500)))))),FLOOR($F305*IF($C305="売",1+$AG$2,1-$AG$2),IF($F305*IF($C305="売",1+$AG$2,1-$AG$2)&lt;=3000,1,IF($F305*IF($C305="売",1+$AG$2,1-$AG$2)&lt;=5000,5,IF($F305*IF($C305="売",1+$AG$2,1-$AG$2)&lt;=30000,10,IF($F305*IF($C305="売",1+$AG$2,1-$AG$2)&lt;=50000,50,IF($F305*IF($C305="売",1+$AG$2,1-$AG$2)&lt;=300000,100,500))))))))</f>
      </c>
      <c r="O305" s="478">
        <f>IF(OR($B305="",$F305="",$H305=""),"",IF($S305="✅売却済","―決済済―",IF($C305="売",  IF($H305&lt;=$M305,"🟢利確",  IF(AND($R305&lt;&gt;"",$H305&gt;=$R305),"🟠TRAIL決済",  IF($H305&gt;=$N305,"🔴損切",  IF($W305&gt;=$AG$5,"⏱時間決済",  IF($H305&gt;=$F305*(1+$AG$2*0.7),"⚠️損切接近","保持継続"))))),  IF($H305&gt;=$M305,"🟢利確",  IF(AND($R305&lt;&gt;"",$H305&lt;=$R305),"🟠TRAIL決済",  IF($H305&lt;=$N305,"🔴損切",  IF($W305&gt;=$AG$5,"⏱時間決済",  IF($H305&lt;=$F305*(1-$AG$2*0.7),"⚠️損切接近","保持継続")))))))</f>
      </c>
      <c r="P305" s="445"/>
      <c r="Q305" s="445"/>
      <c r="R305" s="480">
        <f>IF(OR($F305="",$H305="",$N305=""),"",IF($S305="✅売却済","",IF($C305="売",  IF($H305&gt;$F305*(1-$AG$2),$N305,CEILING(MIN($N305,IF($Q305="",$N305,$Q305*1.03)),IF($N305&lt;=3000,1,IF($N305&lt;=5000,5,IF($N305&lt;=30000,10,IF($N305&lt;=50000,50,IF($N305&lt;=300000,100,500))))))),  IF($H305&lt;$F305*(1+$AG$2),$N305,FLOOR(MAX($N305,IF($P305="",$N305,$P305*0.97)),IF($N305&lt;=3000,1,IF($N305&lt;=5000,5,IF($N305&lt;=30000,10,IF($N305&lt;=50000,50,IF($N305&lt;=300000,100,500))))))))))</f>
      </c>
      <c r="S305" s="480" t="str">
        <f t="shared" si="106"/>
        <v/>
      </c>
      <c r="T305" s="596" t="str">
        <f t="shared" ca="1" si="95"/>
        <v/>
      </c>
      <c r="U305" s="598" t="str">
        <f t="shared" ca="1" si="96"/>
        <v/>
      </c>
      <c r="V305" s="703" t="str">
        <f t="shared" ca="1" si="107"/>
        <v/>
      </c>
      <c r="W305" s="480" t="str">
        <f t="shared" ca="1" si="97"/>
        <v/>
      </c>
      <c r="X305" s="480" t="str">
        <f t="shared" ca="1" si="98"/>
        <v/>
      </c>
      <c r="Y305" s="488">
        <f>IF($B305="","",IF(COUNTIFS($B$4:$B305,$B305,$C$4:$C305,$C305)&gt;1,"⛔重複"&amp;COUNTIFS($B$4:$B305,$B305,$C$4:$C305,$C305)&amp;"回目",""))</f>
      </c>
      <c r="Z305" s="710"/>
      <c r="AB305">
        <f>IF($F305="","",MAX(100,ROUNDDOWN($AG$4/($F305*$AG$2)/100,0)*100))</f>
      </c>
      <c r="AC305">
        <f>IF(OR($F305="",$G305="",$U305=""),"",ROUND($V305-($F305+$U305)*$G305*$AG$6-IF($C305="売",$F305*$G305*$AG$7*$W305/365,0),0))</f>
      </c>
      <c r="AD305" s="608"/>
      <c r="AE305" s="600" t="str">
        <f t="shared" si="99"/>
        <v/>
      </c>
      <c r="AF305" s="600"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00"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00" t="str">
        <f t="shared" ca="1" si="100"/>
        <v/>
      </c>
      <c r="AI305" s="600" t="str" cm="1">
        <f t="array" ref="AI305">IFERROR(INDEX(始値!$E$6:$BT$305,MATCH(TEXT($B305,"0"),TEXT(銘柄管理!$B$6:$B$305,"0"),0),MATCH($AE305,始値!$E$3:$BT$3,0)),"")</f>
        <v/>
      </c>
      <c r="AJ305" s="608" t="str">
        <f t="shared" ca="1" si="101"/>
        <v/>
      </c>
      <c r="AK305" s="600" t="str">
        <f t="shared" ca="1" si="102"/>
        <v/>
      </c>
    </row>
    <row r="306" spans="1:37" ht="17.25" customHeight="1">
      <c r="A306" s="621" t="str">
        <f t="shared" si="91"/>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BT$3,0)=1,1,MATCH($E306,始値!$E$3:$BT$3,0)+1)),_xlpm.v,INDEX(始値!$C$6:$B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 t="shared" ca="1" si="103"/>
        <v/>
      </c>
      <c r="L306" s="708" t="str">
        <f t="shared" ca="1" si="104"/>
        <v/>
      </c>
      <c r="M306" s="598">
        <f>IF($F306="","",IF($C306="売",CEILING($F306*IF($C306="売",1-$AG$3,1+$AG$3),IF($F306*IF($C306="売",1-$AG$3,1+$AG$3)&lt;=3000,1,IF($F306*IF($C306="売",1-$AG$3,1+$AG$3)&lt;=5000,5,IF($F306*IF($C306="売",1-$AG$3,1+$AG$3)&lt;=30000,10,IF($F306*IF($C306="売",1-$AG$3,1+$AG$3)&lt;=50000,50,IF($F306*IF($C306="売",1-$AG$3,1+$AG$3)&lt;=300000,100,500)))))),FLOOR($F306*IF($C306="売",1-$AG$3,1+$AG$3),IF($F306*IF($C306="売",1-$AG$3,1+$AG$3)&lt;=3000,1,IF($F306*IF($C306="売",1-$AG$3,1+$AG$3)&lt;=5000,5,IF($F306*IF($C306="売",1-$AG$3,1+$AG$3)&lt;=30000,10,IF($F306*IF($C306="売",1-$AG$3,1+$AG$3)&lt;=50000,50,IF($F306*IF($C306="売",1-$AG$3,1+$AG$3)&lt;=300000,100,500))))))))</f>
      </c>
      <c r="N306" s="598">
        <f>IF($F306="","",IF($C306="売",CEILING($F306*IF($C306="売",1+$AG$2,1-$AG$2),IF($F306*IF($C306="売",1+$AG$2,1-$AG$2)&lt;=3000,1,IF($F306*IF($C306="売",1+$AG$2,1-$AG$2)&lt;=5000,5,IF($F306*IF($C306="売",1+$AG$2,1-$AG$2)&lt;=30000,10,IF($F306*IF($C306="売",1+$AG$2,1-$AG$2)&lt;=50000,50,IF($F306*IF($C306="売",1+$AG$2,1-$AG$2)&lt;=300000,100,500)))))),FLOOR($F306*IF($C306="売",1+$AG$2,1-$AG$2),IF($F306*IF($C306="売",1+$AG$2,1-$AG$2)&lt;=3000,1,IF($F306*IF($C306="売",1+$AG$2,1-$AG$2)&lt;=5000,5,IF($F306*IF($C306="売",1+$AG$2,1-$AG$2)&lt;=30000,10,IF($F306*IF($C306="売",1+$AG$2,1-$AG$2)&lt;=50000,50,IF($F306*IF($C306="売",1+$AG$2,1-$AG$2)&lt;=300000,100,500))))))))</f>
      </c>
      <c r="O306" s="478">
        <f>IF(OR($B306="",$F306="",$H306=""),"",IF($S306="✅売却済","―決済済―",IF($C306="売",  IF($H306&lt;=$M306,"🟢利確",  IF(AND($R306&lt;&gt;"",$H306&gt;=$R306),"🟠TRAIL決済",  IF($H306&gt;=$N306,"🔴損切",  IF($W306&gt;=$AG$5,"⏱時間決済",  IF($H306&gt;=$F306*(1+$AG$2*0.7),"⚠️損切接近","保持継続"))))),  IF($H306&gt;=$M306,"🟢利確",  IF(AND($R306&lt;&gt;"",$H306&lt;=$R306),"🟠TRAIL決済",  IF($H306&lt;=$N306,"🔴損切",  IF($W306&gt;=$AG$5,"⏱時間決済",  IF($H306&lt;=$F306*(1-$AG$2*0.7),"⚠️損切接近","保持継続")))))))</f>
      </c>
      <c r="P306" s="445"/>
      <c r="Q306" s="445"/>
      <c r="R306" s="480">
        <f>IF(OR($F306="",$H306="",$N306=""),"",IF($S306="✅売却済","",IF($C306="売",  IF($H306&gt;$F306*(1-$AG$2),$N306,CEILING(MIN($N306,IF($Q306="",$N306,$Q306*1.03)),IF($N306&lt;=3000,1,IF($N306&lt;=5000,5,IF($N306&lt;=30000,10,IF($N306&lt;=50000,50,IF($N306&lt;=300000,100,500))))))),  IF($H306&lt;$F306*(1+$AG$2),$N306,FLOOR(MAX($N306,IF($P306="",$N306,$P306*0.97)),IF($N306&lt;=3000,1,IF($N306&lt;=5000,5,IF($N306&lt;=30000,10,IF($N306&lt;=50000,50,IF($N306&lt;=300000,100,500))))))))))</f>
      </c>
      <c r="S306" s="480" t="str">
        <f t="shared" si="106"/>
        <v/>
      </c>
      <c r="T306" s="596" t="str">
        <f t="shared" ca="1" si="95"/>
        <v/>
      </c>
      <c r="U306" s="598" t="str">
        <f t="shared" ca="1" si="96"/>
        <v/>
      </c>
      <c r="V306" s="703" t="str">
        <f t="shared" ca="1" si="107"/>
        <v/>
      </c>
      <c r="W306" s="480" t="str">
        <f t="shared" ca="1" si="97"/>
        <v/>
      </c>
      <c r="X306" s="480" t="str">
        <f t="shared" ca="1" si="98"/>
        <v/>
      </c>
      <c r="Y306" s="488">
        <f>IF($B306="","",IF(COUNTIFS($B$4:$B306,$B306,$C$4:$C306,$C306)&gt;1,"⛔重複"&amp;COUNTIFS($B$4:$B306,$B306,$C$4:$C306,$C306)&amp;"回目",""))</f>
      </c>
      <c r="Z306" s="710"/>
      <c r="AB306">
        <f>IF($F306="","",MAX(100,ROUNDDOWN($AG$4/($F306*$AG$2)/100,0)*100))</f>
      </c>
      <c r="AC306">
        <f>IF(OR($F306="",$G306="",$U306=""),"",ROUND($V306-($F306+$U306)*$G306*$AG$6-IF($C306="売",$F306*$G306*$AG$7*$W306/365,0),0))</f>
      </c>
      <c r="AD306" s="608"/>
      <c r="AE306" s="600" t="str">
        <f t="shared" si="99"/>
        <v/>
      </c>
      <c r="AF306" s="600"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00"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00" t="str">
        <f t="shared" ca="1" si="100"/>
        <v/>
      </c>
      <c r="AI306" s="600" t="str" cm="1">
        <f t="array" ref="AI306">IFERROR(INDEX(始値!$E$6:$BT$305,MATCH(TEXT($B306,"0"),TEXT(銘柄管理!$B$6:$B$305,"0"),0),MATCH($AE306,始値!$E$3:$BT$3,0)),"")</f>
        <v/>
      </c>
      <c r="AJ306" s="608" t="str">
        <f t="shared" ca="1" si="101"/>
        <v/>
      </c>
      <c r="AK306" s="600" t="str">
        <f t="shared" ca="1" si="102"/>
        <v/>
      </c>
    </row>
    <row r="307" spans="1:37" ht="17.25" customHeight="1">
      <c r="A307" s="621" t="str">
        <f t="shared" si="91"/>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BT$3,0)=1,1,MATCH($E307,始値!$E$3:$BT$3,0)+1)),_xlpm.v,INDEX(始値!$C$6:$B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 t="shared" ca="1" si="103"/>
        <v/>
      </c>
      <c r="L307" s="708" t="str">
        <f t="shared" ca="1" si="104"/>
        <v/>
      </c>
      <c r="M307" s="598">
        <f>IF($F307="","",IF($C307="売",CEILING($F307*IF($C307="売",1-$AG$3,1+$AG$3),IF($F307*IF($C307="売",1-$AG$3,1+$AG$3)&lt;=3000,1,IF($F307*IF($C307="売",1-$AG$3,1+$AG$3)&lt;=5000,5,IF($F307*IF($C307="売",1-$AG$3,1+$AG$3)&lt;=30000,10,IF($F307*IF($C307="売",1-$AG$3,1+$AG$3)&lt;=50000,50,IF($F307*IF($C307="売",1-$AG$3,1+$AG$3)&lt;=300000,100,500)))))),FLOOR($F307*IF($C307="売",1-$AG$3,1+$AG$3),IF($F307*IF($C307="売",1-$AG$3,1+$AG$3)&lt;=3000,1,IF($F307*IF($C307="売",1-$AG$3,1+$AG$3)&lt;=5000,5,IF($F307*IF($C307="売",1-$AG$3,1+$AG$3)&lt;=30000,10,IF($F307*IF($C307="売",1-$AG$3,1+$AG$3)&lt;=50000,50,IF($F307*IF($C307="売",1-$AG$3,1+$AG$3)&lt;=300000,100,500))))))))</f>
      </c>
      <c r="N307" s="598">
        <f>IF($F307="","",IF($C307="売",CEILING($F307*IF($C307="売",1+$AG$2,1-$AG$2),IF($F307*IF($C307="売",1+$AG$2,1-$AG$2)&lt;=3000,1,IF($F307*IF($C307="売",1+$AG$2,1-$AG$2)&lt;=5000,5,IF($F307*IF($C307="売",1+$AG$2,1-$AG$2)&lt;=30000,10,IF($F307*IF($C307="売",1+$AG$2,1-$AG$2)&lt;=50000,50,IF($F307*IF($C307="売",1+$AG$2,1-$AG$2)&lt;=300000,100,500)))))),FLOOR($F307*IF($C307="売",1+$AG$2,1-$AG$2),IF($F307*IF($C307="売",1+$AG$2,1-$AG$2)&lt;=3000,1,IF($F307*IF($C307="売",1+$AG$2,1-$AG$2)&lt;=5000,5,IF($F307*IF($C307="売",1+$AG$2,1-$AG$2)&lt;=30000,10,IF($F307*IF($C307="売",1+$AG$2,1-$AG$2)&lt;=50000,50,IF($F307*IF($C307="売",1+$AG$2,1-$AG$2)&lt;=300000,100,500))))))))</f>
      </c>
      <c r="O307" s="478">
        <f>IF(OR($B307="",$F307="",$H307=""),"",IF($S307="✅売却済","―決済済―",IF($C307="売",  IF($H307&lt;=$M307,"🟢利確",  IF(AND($R307&lt;&gt;"",$H307&gt;=$R307),"🟠TRAIL決済",  IF($H307&gt;=$N307,"🔴損切",  IF($W307&gt;=$AG$5,"⏱時間決済",  IF($H307&gt;=$F307*(1+$AG$2*0.7),"⚠️損切接近","保持継続"))))),  IF($H307&gt;=$M307,"🟢利確",  IF(AND($R307&lt;&gt;"",$H307&lt;=$R307),"🟠TRAIL決済",  IF($H307&lt;=$N307,"🔴損切",  IF($W307&gt;=$AG$5,"⏱時間決済",  IF($H307&lt;=$F307*(1-$AG$2*0.7),"⚠️損切接近","保持継続")))))))</f>
      </c>
      <c r="P307" s="445"/>
      <c r="Q307" s="445"/>
      <c r="R307" s="480">
        <f>IF(OR($F307="",$H307="",$N307=""),"",IF($S307="✅売却済","",IF($C307="売",  IF($H307&gt;$F307*(1-$AG$2),$N307,CEILING(MIN($N307,IF($Q307="",$N307,$Q307*1.03)),IF($N307&lt;=3000,1,IF($N307&lt;=5000,5,IF($N307&lt;=30000,10,IF($N307&lt;=50000,50,IF($N307&lt;=300000,100,500))))))),  IF($H307&lt;$F307*(1+$AG$2),$N307,FLOOR(MAX($N307,IF($P307="",$N307,$P307*0.97)),IF($N307&lt;=3000,1,IF($N307&lt;=5000,5,IF($N307&lt;=30000,10,IF($N307&lt;=50000,50,IF($N307&lt;=300000,100,500))))))))))</f>
      </c>
      <c r="S307" s="480" t="str">
        <f t="shared" si="106"/>
        <v/>
      </c>
      <c r="T307" s="596" t="str">
        <f t="shared" ca="1" si="95"/>
        <v/>
      </c>
      <c r="U307" s="598" t="str">
        <f t="shared" ca="1" si="96"/>
        <v/>
      </c>
      <c r="V307" s="703" t="str">
        <f t="shared" ca="1" si="107"/>
        <v/>
      </c>
      <c r="W307" s="480" t="str">
        <f t="shared" ca="1" si="97"/>
        <v/>
      </c>
      <c r="X307" s="480" t="str">
        <f t="shared" ca="1" si="98"/>
        <v/>
      </c>
      <c r="Y307" s="488">
        <f>IF($B307="","",IF(COUNTIFS($B$4:$B307,$B307,$C$4:$C307,$C307)&gt;1,"⛔重複"&amp;COUNTIFS($B$4:$B307,$B307,$C$4:$C307,$C307)&amp;"回目",""))</f>
      </c>
      <c r="Z307" s="710"/>
      <c r="AB307">
        <f>IF($F307="","",MAX(100,ROUNDDOWN($AG$4/($F307*$AG$2)/100,0)*100))</f>
      </c>
      <c r="AC307">
        <f>IF(OR($F307="",$G307="",$U307=""),"",ROUND($V307-($F307+$U307)*$G307*$AG$6-IF($C307="売",$F307*$G307*$AG$7*$W307/365,0),0))</f>
      </c>
      <c r="AD307" s="608"/>
      <c r="AE307" s="600" t="str">
        <f t="shared" si="99"/>
        <v/>
      </c>
      <c r="AF307" s="600"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00"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00" t="str">
        <f t="shared" ca="1" si="100"/>
        <v/>
      </c>
      <c r="AI307" s="600" t="str" cm="1">
        <f t="array" ref="AI307">IFERROR(INDEX(始値!$E$6:$BT$305,MATCH(TEXT($B307,"0"),TEXT(銘柄管理!$B$6:$B$305,"0"),0),MATCH($AE307,始値!$E$3:$BT$3,0)),"")</f>
        <v/>
      </c>
      <c r="AJ307" s="608" t="str">
        <f t="shared" ca="1" si="101"/>
        <v/>
      </c>
      <c r="AK307" s="600" t="str">
        <f t="shared" ca="1" si="102"/>
        <v/>
      </c>
    </row>
    <row r="308" spans="1:37" ht="17.25" customHeight="1">
      <c r="A308" s="621" t="str">
        <f t="shared" si="91"/>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BT$3,0)=1,1,MATCH($E308,始値!$E$3:$BT$3,0)+1)),_xlpm.v,INDEX(始値!$C$6:$B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 t="shared" ca="1" si="103"/>
        <v/>
      </c>
      <c r="L308" s="708" t="str">
        <f t="shared" ca="1" si="104"/>
        <v/>
      </c>
      <c r="M308" s="598">
        <f>IF($F308="","",IF($C308="売",CEILING($F308*IF($C308="売",1-$AG$3,1+$AG$3),IF($F308*IF($C308="売",1-$AG$3,1+$AG$3)&lt;=3000,1,IF($F308*IF($C308="売",1-$AG$3,1+$AG$3)&lt;=5000,5,IF($F308*IF($C308="売",1-$AG$3,1+$AG$3)&lt;=30000,10,IF($F308*IF($C308="売",1-$AG$3,1+$AG$3)&lt;=50000,50,IF($F308*IF($C308="売",1-$AG$3,1+$AG$3)&lt;=300000,100,500)))))),FLOOR($F308*IF($C308="売",1-$AG$3,1+$AG$3),IF($F308*IF($C308="売",1-$AG$3,1+$AG$3)&lt;=3000,1,IF($F308*IF($C308="売",1-$AG$3,1+$AG$3)&lt;=5000,5,IF($F308*IF($C308="売",1-$AG$3,1+$AG$3)&lt;=30000,10,IF($F308*IF($C308="売",1-$AG$3,1+$AG$3)&lt;=50000,50,IF($F308*IF($C308="売",1-$AG$3,1+$AG$3)&lt;=300000,100,500))))))))</f>
      </c>
      <c r="N308" s="598">
        <f>IF($F308="","",IF($C308="売",CEILING($F308*IF($C308="売",1+$AG$2,1-$AG$2),IF($F308*IF($C308="売",1+$AG$2,1-$AG$2)&lt;=3000,1,IF($F308*IF($C308="売",1+$AG$2,1-$AG$2)&lt;=5000,5,IF($F308*IF($C308="売",1+$AG$2,1-$AG$2)&lt;=30000,10,IF($F308*IF($C308="売",1+$AG$2,1-$AG$2)&lt;=50000,50,IF($F308*IF($C308="売",1+$AG$2,1-$AG$2)&lt;=300000,100,500)))))),FLOOR($F308*IF($C308="売",1+$AG$2,1-$AG$2),IF($F308*IF($C308="売",1+$AG$2,1-$AG$2)&lt;=3000,1,IF($F308*IF($C308="売",1+$AG$2,1-$AG$2)&lt;=5000,5,IF($F308*IF($C308="売",1+$AG$2,1-$AG$2)&lt;=30000,10,IF($F308*IF($C308="売",1+$AG$2,1-$AG$2)&lt;=50000,50,IF($F308*IF($C308="売",1+$AG$2,1-$AG$2)&lt;=300000,100,500))))))))</f>
      </c>
      <c r="O308" s="478">
        <f>IF(OR($B308="",$F308="",$H308=""),"",IF($S308="✅売却済","―決済済―",IF($C308="売",  IF($H308&lt;=$M308,"🟢利確",  IF(AND($R308&lt;&gt;"",$H308&gt;=$R308),"🟠TRAIL決済",  IF($H308&gt;=$N308,"🔴損切",  IF($W308&gt;=$AG$5,"⏱時間決済",  IF($H308&gt;=$F308*(1+$AG$2*0.7),"⚠️損切接近","保持継続"))))),  IF($H308&gt;=$M308,"🟢利確",  IF(AND($R308&lt;&gt;"",$H308&lt;=$R308),"🟠TRAIL決済",  IF($H308&lt;=$N308,"🔴損切",  IF($W308&gt;=$AG$5,"⏱時間決済",  IF($H308&lt;=$F308*(1-$AG$2*0.7),"⚠️損切接近","保持継続")))))))</f>
      </c>
      <c r="P308" s="445"/>
      <c r="Q308" s="445"/>
      <c r="R308" s="480">
        <f>IF(OR($F308="",$H308="",$N308=""),"",IF($S308="✅売却済","",IF($C308="売",  IF($H308&gt;$F308*(1-$AG$2),$N308,CEILING(MIN($N308,IF($Q308="",$N308,$Q308*1.03)),IF($N308&lt;=3000,1,IF($N308&lt;=5000,5,IF($N308&lt;=30000,10,IF($N308&lt;=50000,50,IF($N308&lt;=300000,100,500))))))),  IF($H308&lt;$F308*(1+$AG$2),$N308,FLOOR(MAX($N308,IF($P308="",$N308,$P308*0.97)),IF($N308&lt;=3000,1,IF($N308&lt;=5000,5,IF($N308&lt;=30000,10,IF($N308&lt;=50000,50,IF($N308&lt;=300000,100,500))))))))))</f>
      </c>
      <c r="S308" s="480" t="str">
        <f t="shared" si="106"/>
        <v/>
      </c>
      <c r="T308" s="596" t="str">
        <f t="shared" ca="1" si="95"/>
        <v/>
      </c>
      <c r="U308" s="598" t="str">
        <f t="shared" ca="1" si="96"/>
        <v/>
      </c>
      <c r="V308" s="703" t="str">
        <f t="shared" ca="1" si="107"/>
        <v/>
      </c>
      <c r="W308" s="480" t="str">
        <f t="shared" ca="1" si="97"/>
        <v/>
      </c>
      <c r="X308" s="480" t="str">
        <f t="shared" ca="1" si="98"/>
        <v/>
      </c>
      <c r="Y308" s="488">
        <f>IF($B308="","",IF(COUNTIFS($B$4:$B308,$B308,$C$4:$C308,$C308)&gt;1,"⛔重複"&amp;COUNTIFS($B$4:$B308,$B308,$C$4:$C308,$C308)&amp;"回目",""))</f>
      </c>
      <c r="Z308" s="710"/>
      <c r="AB308">
        <f>IF($F308="","",MAX(100,ROUNDDOWN($AG$4/($F308*$AG$2)/100,0)*100))</f>
      </c>
      <c r="AC308">
        <f>IF(OR($F308="",$G308="",$U308=""),"",ROUND($V308-($F308+$U308)*$G308*$AG$6-IF($C308="売",$F308*$G308*$AG$7*$W308/365,0),0))</f>
      </c>
      <c r="AD308" s="608"/>
      <c r="AE308" s="600" t="str">
        <f t="shared" si="99"/>
        <v/>
      </c>
      <c r="AF308" s="600"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00"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00" t="str">
        <f t="shared" ca="1" si="100"/>
        <v/>
      </c>
      <c r="AI308" s="600" t="str" cm="1">
        <f t="array" ref="AI308">IFERROR(INDEX(始値!$E$6:$BT$305,MATCH(TEXT($B308,"0"),TEXT(銘柄管理!$B$6:$B$305,"0"),0),MATCH($AE308,始値!$E$3:$BT$3,0)),"")</f>
        <v/>
      </c>
      <c r="AJ308" s="608" t="str">
        <f t="shared" ca="1" si="101"/>
        <v/>
      </c>
      <c r="AK308" s="600" t="str">
        <f t="shared" ca="1" si="102"/>
        <v/>
      </c>
    </row>
    <row r="309" spans="1:37" ht="17.25" customHeight="1">
      <c r="A309" s="621" t="str">
        <f t="shared" si="91"/>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BT$3,0)=1,1,MATCH($E309,始値!$E$3:$BT$3,0)+1)),_xlpm.v,INDEX(始値!$C$6:$B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 t="shared" ca="1" si="103"/>
        <v/>
      </c>
      <c r="L309" s="708" t="str">
        <f t="shared" ca="1" si="104"/>
        <v/>
      </c>
      <c r="M309" s="598">
        <f>IF($F309="","",IF($C309="売",CEILING($F309*IF($C309="売",1-$AG$3,1+$AG$3),IF($F309*IF($C309="売",1-$AG$3,1+$AG$3)&lt;=3000,1,IF($F309*IF($C309="売",1-$AG$3,1+$AG$3)&lt;=5000,5,IF($F309*IF($C309="売",1-$AG$3,1+$AG$3)&lt;=30000,10,IF($F309*IF($C309="売",1-$AG$3,1+$AG$3)&lt;=50000,50,IF($F309*IF($C309="売",1-$AG$3,1+$AG$3)&lt;=300000,100,500)))))),FLOOR($F309*IF($C309="売",1-$AG$3,1+$AG$3),IF($F309*IF($C309="売",1-$AG$3,1+$AG$3)&lt;=3000,1,IF($F309*IF($C309="売",1-$AG$3,1+$AG$3)&lt;=5000,5,IF($F309*IF($C309="売",1-$AG$3,1+$AG$3)&lt;=30000,10,IF($F309*IF($C309="売",1-$AG$3,1+$AG$3)&lt;=50000,50,IF($F309*IF($C309="売",1-$AG$3,1+$AG$3)&lt;=300000,100,500))))))))</f>
      </c>
      <c r="N309" s="598">
        <f>IF($F309="","",IF($C309="売",CEILING($F309*IF($C309="売",1+$AG$2,1-$AG$2),IF($F309*IF($C309="売",1+$AG$2,1-$AG$2)&lt;=3000,1,IF($F309*IF($C309="売",1+$AG$2,1-$AG$2)&lt;=5000,5,IF($F309*IF($C309="売",1+$AG$2,1-$AG$2)&lt;=30000,10,IF($F309*IF($C309="売",1+$AG$2,1-$AG$2)&lt;=50000,50,IF($F309*IF($C309="売",1+$AG$2,1-$AG$2)&lt;=300000,100,500)))))),FLOOR($F309*IF($C309="売",1+$AG$2,1-$AG$2),IF($F309*IF($C309="売",1+$AG$2,1-$AG$2)&lt;=3000,1,IF($F309*IF($C309="売",1+$AG$2,1-$AG$2)&lt;=5000,5,IF($F309*IF($C309="売",1+$AG$2,1-$AG$2)&lt;=30000,10,IF($F309*IF($C309="売",1+$AG$2,1-$AG$2)&lt;=50000,50,IF($F309*IF($C309="売",1+$AG$2,1-$AG$2)&lt;=300000,100,500))))))))</f>
      </c>
      <c r="O309" s="478">
        <f>IF(OR($B309="",$F309="",$H309=""),"",IF($S309="✅売却済","―決済済―",IF($C309="売",  IF($H309&lt;=$M309,"🟢利確",  IF(AND($R309&lt;&gt;"",$H309&gt;=$R309),"🟠TRAIL決済",  IF($H309&gt;=$N309,"🔴損切",  IF($W309&gt;=$AG$5,"⏱時間決済",  IF($H309&gt;=$F309*(1+$AG$2*0.7),"⚠️損切接近","保持継続"))))),  IF($H309&gt;=$M309,"🟢利確",  IF(AND($R309&lt;&gt;"",$H309&lt;=$R309),"🟠TRAIL決済",  IF($H309&lt;=$N309,"🔴損切",  IF($W309&gt;=$AG$5,"⏱時間決済",  IF($H309&lt;=$F309*(1-$AG$2*0.7),"⚠️損切接近","保持継続")))))))</f>
      </c>
      <c r="P309" s="445"/>
      <c r="Q309" s="445"/>
      <c r="R309" s="480">
        <f>IF(OR($F309="",$H309="",$N309=""),"",IF($S309="✅売却済","",IF($C309="売",  IF($H309&gt;$F309*(1-$AG$2),$N309,CEILING(MIN($N309,IF($Q309="",$N309,$Q309*1.03)),IF($N309&lt;=3000,1,IF($N309&lt;=5000,5,IF($N309&lt;=30000,10,IF($N309&lt;=50000,50,IF($N309&lt;=300000,100,500))))))),  IF($H309&lt;$F309*(1+$AG$2),$N309,FLOOR(MAX($N309,IF($P309="",$N309,$P309*0.97)),IF($N309&lt;=3000,1,IF($N309&lt;=5000,5,IF($N309&lt;=30000,10,IF($N309&lt;=50000,50,IF($N309&lt;=300000,100,500))))))))))</f>
      </c>
      <c r="S309" s="480" t="str">
        <f t="shared" si="106"/>
        <v/>
      </c>
      <c r="T309" s="596" t="str">
        <f t="shared" ca="1" si="95"/>
        <v/>
      </c>
      <c r="U309" s="598" t="str">
        <f t="shared" ca="1" si="96"/>
        <v/>
      </c>
      <c r="V309" s="703" t="str">
        <f t="shared" ca="1" si="107"/>
        <v/>
      </c>
      <c r="W309" s="480" t="str">
        <f t="shared" ca="1" si="97"/>
        <v/>
      </c>
      <c r="X309" s="480" t="str">
        <f t="shared" ca="1" si="98"/>
        <v/>
      </c>
      <c r="Y309" s="488">
        <f>IF($B309="","",IF(COUNTIFS($B$4:$B309,$B309,$C$4:$C309,$C309)&gt;1,"⛔重複"&amp;COUNTIFS($B$4:$B309,$B309,$C$4:$C309,$C309)&amp;"回目",""))</f>
      </c>
      <c r="Z309" s="710"/>
      <c r="AB309">
        <f>IF($F309="","",MAX(100,ROUNDDOWN($AG$4/($F309*$AG$2)/100,0)*100))</f>
      </c>
      <c r="AC309">
        <f>IF(OR($F309="",$G309="",$U309=""),"",ROUND($V309-($F309+$U309)*$G309*$AG$6-IF($C309="売",$F309*$G309*$AG$7*$W309/365,0),0))</f>
      </c>
      <c r="AD309" s="608"/>
      <c r="AE309" s="600" t="str">
        <f t="shared" si="99"/>
        <v/>
      </c>
      <c r="AF309" s="600"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00"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00" t="str">
        <f t="shared" ca="1" si="100"/>
        <v/>
      </c>
      <c r="AI309" s="600" t="str" cm="1">
        <f t="array" ref="AI309">IFERROR(INDEX(始値!$E$6:$BT$305,MATCH(TEXT($B309,"0"),TEXT(銘柄管理!$B$6:$B$305,"0"),0),MATCH($AE309,始値!$E$3:$BT$3,0)),"")</f>
        <v/>
      </c>
      <c r="AJ309" s="608" t="str">
        <f t="shared" ca="1" si="101"/>
        <v/>
      </c>
      <c r="AK309" s="600" t="str">
        <f t="shared" ca="1" si="102"/>
        <v/>
      </c>
    </row>
    <row r="310" spans="1:37" ht="17.25" customHeight="1">
      <c r="A310" s="621" t="str">
        <f t="shared" si="91"/>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BT$3,0)=1,1,MATCH($E310,始値!$E$3:$BT$3,0)+1)),_xlpm.v,INDEX(始値!$C$6:$B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 t="shared" ca="1" si="103"/>
        <v/>
      </c>
      <c r="L310" s="708" t="str">
        <f t="shared" ca="1" si="104"/>
        <v/>
      </c>
      <c r="M310" s="598">
        <f>IF($F310="","",IF($C310="売",CEILING($F310*IF($C310="売",1-$AG$3,1+$AG$3),IF($F310*IF($C310="売",1-$AG$3,1+$AG$3)&lt;=3000,1,IF($F310*IF($C310="売",1-$AG$3,1+$AG$3)&lt;=5000,5,IF($F310*IF($C310="売",1-$AG$3,1+$AG$3)&lt;=30000,10,IF($F310*IF($C310="売",1-$AG$3,1+$AG$3)&lt;=50000,50,IF($F310*IF($C310="売",1-$AG$3,1+$AG$3)&lt;=300000,100,500)))))),FLOOR($F310*IF($C310="売",1-$AG$3,1+$AG$3),IF($F310*IF($C310="売",1-$AG$3,1+$AG$3)&lt;=3000,1,IF($F310*IF($C310="売",1-$AG$3,1+$AG$3)&lt;=5000,5,IF($F310*IF($C310="売",1-$AG$3,1+$AG$3)&lt;=30000,10,IF($F310*IF($C310="売",1-$AG$3,1+$AG$3)&lt;=50000,50,IF($F310*IF($C310="売",1-$AG$3,1+$AG$3)&lt;=300000,100,500))))))))</f>
      </c>
      <c r="N310" s="598">
        <f>IF($F310="","",IF($C310="売",CEILING($F310*IF($C310="売",1+$AG$2,1-$AG$2),IF($F310*IF($C310="売",1+$AG$2,1-$AG$2)&lt;=3000,1,IF($F310*IF($C310="売",1+$AG$2,1-$AG$2)&lt;=5000,5,IF($F310*IF($C310="売",1+$AG$2,1-$AG$2)&lt;=30000,10,IF($F310*IF($C310="売",1+$AG$2,1-$AG$2)&lt;=50000,50,IF($F310*IF($C310="売",1+$AG$2,1-$AG$2)&lt;=300000,100,500)))))),FLOOR($F310*IF($C310="売",1+$AG$2,1-$AG$2),IF($F310*IF($C310="売",1+$AG$2,1-$AG$2)&lt;=3000,1,IF($F310*IF($C310="売",1+$AG$2,1-$AG$2)&lt;=5000,5,IF($F310*IF($C310="売",1+$AG$2,1-$AG$2)&lt;=30000,10,IF($F310*IF($C310="売",1+$AG$2,1-$AG$2)&lt;=50000,50,IF($F310*IF($C310="売",1+$AG$2,1-$AG$2)&lt;=300000,100,500))))))))</f>
      </c>
      <c r="O310" s="478">
        <f>IF(OR($B310="",$F310="",$H310=""),"",IF($S310="✅売却済","―決済済―",IF($C310="売",  IF($H310&lt;=$M310,"🟢利確",  IF(AND($R310&lt;&gt;"",$H310&gt;=$R310),"🟠TRAIL決済",  IF($H310&gt;=$N310,"🔴損切",  IF($W310&gt;=$AG$5,"⏱時間決済",  IF($H310&gt;=$F310*(1+$AG$2*0.7),"⚠️損切接近","保持継続"))))),  IF($H310&gt;=$M310,"🟢利確",  IF(AND($R310&lt;&gt;"",$H310&lt;=$R310),"🟠TRAIL決済",  IF($H310&lt;=$N310,"🔴損切",  IF($W310&gt;=$AG$5,"⏱時間決済",  IF($H310&lt;=$F310*(1-$AG$2*0.7),"⚠️損切接近","保持継続")))))))</f>
      </c>
      <c r="P310" s="445"/>
      <c r="Q310" s="445"/>
      <c r="R310" s="480">
        <f>IF(OR($F310="",$H310="",$N310=""),"",IF($S310="✅売却済","",IF($C310="売",  IF($H310&gt;$F310*(1-$AG$2),$N310,CEILING(MIN($N310,IF($Q310="",$N310,$Q310*1.03)),IF($N310&lt;=3000,1,IF($N310&lt;=5000,5,IF($N310&lt;=30000,10,IF($N310&lt;=50000,50,IF($N310&lt;=300000,100,500))))))),  IF($H310&lt;$F310*(1+$AG$2),$N310,FLOOR(MAX($N310,IF($P310="",$N310,$P310*0.97)),IF($N310&lt;=3000,1,IF($N310&lt;=5000,5,IF($N310&lt;=30000,10,IF($N310&lt;=50000,50,IF($N310&lt;=300000,100,500))))))))))</f>
      </c>
      <c r="S310" s="480" t="str">
        <f t="shared" si="106"/>
        <v/>
      </c>
      <c r="T310" s="596" t="str">
        <f t="shared" ca="1" si="95"/>
        <v/>
      </c>
      <c r="U310" s="598" t="str">
        <f t="shared" ca="1" si="96"/>
        <v/>
      </c>
      <c r="V310" s="703" t="str">
        <f t="shared" ca="1" si="107"/>
        <v/>
      </c>
      <c r="W310" s="480" t="str">
        <f t="shared" ca="1" si="97"/>
        <v/>
      </c>
      <c r="X310" s="480" t="str">
        <f t="shared" ca="1" si="98"/>
        <v/>
      </c>
      <c r="Y310" s="488">
        <f>IF($B310="","",IF(COUNTIFS($B$4:$B310,$B310,$C$4:$C310,$C310)&gt;1,"⛔重複"&amp;COUNTIFS($B$4:$B310,$B310,$C$4:$C310,$C310)&amp;"回目",""))</f>
      </c>
      <c r="Z310" s="710"/>
      <c r="AB310">
        <f>IF($F310="","",MAX(100,ROUNDDOWN($AG$4/($F310*$AG$2)/100,0)*100))</f>
      </c>
      <c r="AC310">
        <f>IF(OR($F310="",$G310="",$U310=""),"",ROUND($V310-($F310+$U310)*$G310*$AG$6-IF($C310="売",$F310*$G310*$AG$7*$W310/365,0),0))</f>
      </c>
      <c r="AD310" s="608"/>
      <c r="AE310" s="600" t="str">
        <f t="shared" si="99"/>
        <v/>
      </c>
      <c r="AF310" s="600"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00"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00" t="str">
        <f t="shared" ca="1" si="100"/>
        <v/>
      </c>
      <c r="AI310" s="600" t="str" cm="1">
        <f t="array" ref="AI310">IFERROR(INDEX(始値!$E$6:$BT$305,MATCH(TEXT($B310,"0"),TEXT(銘柄管理!$B$6:$B$305,"0"),0),MATCH($AE310,始値!$E$3:$BT$3,0)),"")</f>
        <v/>
      </c>
      <c r="AJ310" s="608" t="str">
        <f t="shared" ca="1" si="101"/>
        <v/>
      </c>
      <c r="AK310" s="600" t="str">
        <f t="shared" ca="1" si="102"/>
        <v/>
      </c>
    </row>
    <row r="311" spans="1:37" ht="17.25" customHeight="1">
      <c r="A311" s="621" t="str">
        <f t="shared" si="91"/>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BT$3,0)=1,1,MATCH($E311,始値!$E$3:$BT$3,0)+1)),_xlpm.v,INDEX(始値!$C$6:$B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 t="shared" ca="1" si="103"/>
        <v/>
      </c>
      <c r="L311" s="708" t="str">
        <f t="shared" ca="1" si="104"/>
        <v/>
      </c>
      <c r="M311" s="598">
        <f>IF($F311="","",IF($C311="売",CEILING($F311*IF($C311="売",1-$AG$3,1+$AG$3),IF($F311*IF($C311="売",1-$AG$3,1+$AG$3)&lt;=3000,1,IF($F311*IF($C311="売",1-$AG$3,1+$AG$3)&lt;=5000,5,IF($F311*IF($C311="売",1-$AG$3,1+$AG$3)&lt;=30000,10,IF($F311*IF($C311="売",1-$AG$3,1+$AG$3)&lt;=50000,50,IF($F311*IF($C311="売",1-$AG$3,1+$AG$3)&lt;=300000,100,500)))))),FLOOR($F311*IF($C311="売",1-$AG$3,1+$AG$3),IF($F311*IF($C311="売",1-$AG$3,1+$AG$3)&lt;=3000,1,IF($F311*IF($C311="売",1-$AG$3,1+$AG$3)&lt;=5000,5,IF($F311*IF($C311="売",1-$AG$3,1+$AG$3)&lt;=30000,10,IF($F311*IF($C311="売",1-$AG$3,1+$AG$3)&lt;=50000,50,IF($F311*IF($C311="売",1-$AG$3,1+$AG$3)&lt;=300000,100,500))))))))</f>
      </c>
      <c r="N311" s="598">
        <f>IF($F311="","",IF($C311="売",CEILING($F311*IF($C311="売",1+$AG$2,1-$AG$2),IF($F311*IF($C311="売",1+$AG$2,1-$AG$2)&lt;=3000,1,IF($F311*IF($C311="売",1+$AG$2,1-$AG$2)&lt;=5000,5,IF($F311*IF($C311="売",1+$AG$2,1-$AG$2)&lt;=30000,10,IF($F311*IF($C311="売",1+$AG$2,1-$AG$2)&lt;=50000,50,IF($F311*IF($C311="売",1+$AG$2,1-$AG$2)&lt;=300000,100,500)))))),FLOOR($F311*IF($C311="売",1+$AG$2,1-$AG$2),IF($F311*IF($C311="売",1+$AG$2,1-$AG$2)&lt;=3000,1,IF($F311*IF($C311="売",1+$AG$2,1-$AG$2)&lt;=5000,5,IF($F311*IF($C311="売",1+$AG$2,1-$AG$2)&lt;=30000,10,IF($F311*IF($C311="売",1+$AG$2,1-$AG$2)&lt;=50000,50,IF($F311*IF($C311="売",1+$AG$2,1-$AG$2)&lt;=300000,100,500))))))))</f>
      </c>
      <c r="O311" s="478">
        <f>IF(OR($B311="",$F311="",$H311=""),"",IF($S311="✅売却済","―決済済―",IF($C311="売",  IF($H311&lt;=$M311,"🟢利確",  IF(AND($R311&lt;&gt;"",$H311&gt;=$R311),"🟠TRAIL決済",  IF($H311&gt;=$N311,"🔴損切",  IF($W311&gt;=$AG$5,"⏱時間決済",  IF($H311&gt;=$F311*(1+$AG$2*0.7),"⚠️損切接近","保持継続"))))),  IF($H311&gt;=$M311,"🟢利確",  IF(AND($R311&lt;&gt;"",$H311&lt;=$R311),"🟠TRAIL決済",  IF($H311&lt;=$N311,"🔴損切",  IF($W311&gt;=$AG$5,"⏱時間決済",  IF($H311&lt;=$F311*(1-$AG$2*0.7),"⚠️損切接近","保持継続")))))))</f>
      </c>
      <c r="P311" s="445"/>
      <c r="Q311" s="445"/>
      <c r="R311" s="480">
        <f>IF(OR($F311="",$H311="",$N311=""),"",IF($S311="✅売却済","",IF($C311="売",  IF($H311&gt;$F311*(1-$AG$2),$N311,CEILING(MIN($N311,IF($Q311="",$N311,$Q311*1.03)),IF($N311&lt;=3000,1,IF($N311&lt;=5000,5,IF($N311&lt;=30000,10,IF($N311&lt;=50000,50,IF($N311&lt;=300000,100,500))))))),  IF($H311&lt;$F311*(1+$AG$2),$N311,FLOOR(MAX($N311,IF($P311="",$N311,$P311*0.97)),IF($N311&lt;=3000,1,IF($N311&lt;=5000,5,IF($N311&lt;=30000,10,IF($N311&lt;=50000,50,IF($N311&lt;=300000,100,500))))))))))</f>
      </c>
      <c r="S311" s="480" t="str">
        <f t="shared" si="106"/>
        <v/>
      </c>
      <c r="T311" s="596" t="str">
        <f t="shared" ca="1" si="95"/>
        <v/>
      </c>
      <c r="U311" s="598" t="str">
        <f t="shared" ca="1" si="96"/>
        <v/>
      </c>
      <c r="V311" s="703" t="str">
        <f t="shared" ca="1" si="107"/>
        <v/>
      </c>
      <c r="W311" s="480" t="str">
        <f t="shared" ca="1" si="97"/>
        <v/>
      </c>
      <c r="X311" s="480" t="str">
        <f t="shared" ca="1" si="98"/>
        <v/>
      </c>
      <c r="Y311" s="488">
        <f>IF($B311="","",IF(COUNTIFS($B$4:$B311,$B311,$C$4:$C311,$C311)&gt;1,"⛔重複"&amp;COUNTIFS($B$4:$B311,$B311,$C$4:$C311,$C311)&amp;"回目",""))</f>
      </c>
      <c r="Z311" s="710"/>
      <c r="AB311">
        <f>IF($F311="","",MAX(100,ROUNDDOWN($AG$4/($F311*$AG$2)/100,0)*100))</f>
      </c>
      <c r="AC311">
        <f>IF(OR($F311="",$G311="",$U311=""),"",ROUND($V311-($F311+$U311)*$G311*$AG$6-IF($C311="売",$F311*$G311*$AG$7*$W311/365,0),0))</f>
      </c>
      <c r="AD311" s="608"/>
      <c r="AE311" s="600" t="str">
        <f t="shared" si="99"/>
        <v/>
      </c>
      <c r="AF311" s="600"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00"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00" t="str">
        <f t="shared" ca="1" si="100"/>
        <v/>
      </c>
      <c r="AI311" s="600" t="str" cm="1">
        <f t="array" ref="AI311">IFERROR(INDEX(始値!$E$6:$BT$305,MATCH(TEXT($B311,"0"),TEXT(銘柄管理!$B$6:$B$305,"0"),0),MATCH($AE311,始値!$E$3:$BT$3,0)),"")</f>
        <v/>
      </c>
      <c r="AJ311" s="608" t="str">
        <f t="shared" ca="1" si="101"/>
        <v/>
      </c>
      <c r="AK311" s="600" t="str">
        <f t="shared" ca="1" si="102"/>
        <v/>
      </c>
    </row>
    <row r="312" spans="1:37" ht="17.25" customHeight="1">
      <c r="A312" s="621" t="str">
        <f t="shared" si="91"/>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BT$3,0)=1,1,MATCH($E312,始値!$E$3:$BT$3,0)+1)),_xlpm.v,INDEX(始値!$C$6:$B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 t="shared" ca="1" si="103"/>
        <v/>
      </c>
      <c r="L312" s="708" t="str">
        <f t="shared" ca="1" si="104"/>
        <v/>
      </c>
      <c r="M312" s="598">
        <f>IF($F312="","",IF($C312="売",CEILING($F312*IF($C312="売",1-$AG$3,1+$AG$3),IF($F312*IF($C312="売",1-$AG$3,1+$AG$3)&lt;=3000,1,IF($F312*IF($C312="売",1-$AG$3,1+$AG$3)&lt;=5000,5,IF($F312*IF($C312="売",1-$AG$3,1+$AG$3)&lt;=30000,10,IF($F312*IF($C312="売",1-$AG$3,1+$AG$3)&lt;=50000,50,IF($F312*IF($C312="売",1-$AG$3,1+$AG$3)&lt;=300000,100,500)))))),FLOOR($F312*IF($C312="売",1-$AG$3,1+$AG$3),IF($F312*IF($C312="売",1-$AG$3,1+$AG$3)&lt;=3000,1,IF($F312*IF($C312="売",1-$AG$3,1+$AG$3)&lt;=5000,5,IF($F312*IF($C312="売",1-$AG$3,1+$AG$3)&lt;=30000,10,IF($F312*IF($C312="売",1-$AG$3,1+$AG$3)&lt;=50000,50,IF($F312*IF($C312="売",1-$AG$3,1+$AG$3)&lt;=300000,100,500))))))))</f>
      </c>
      <c r="N312" s="598">
        <f>IF($F312="","",IF($C312="売",CEILING($F312*IF($C312="売",1+$AG$2,1-$AG$2),IF($F312*IF($C312="売",1+$AG$2,1-$AG$2)&lt;=3000,1,IF($F312*IF($C312="売",1+$AG$2,1-$AG$2)&lt;=5000,5,IF($F312*IF($C312="売",1+$AG$2,1-$AG$2)&lt;=30000,10,IF($F312*IF($C312="売",1+$AG$2,1-$AG$2)&lt;=50000,50,IF($F312*IF($C312="売",1+$AG$2,1-$AG$2)&lt;=300000,100,500)))))),FLOOR($F312*IF($C312="売",1+$AG$2,1-$AG$2),IF($F312*IF($C312="売",1+$AG$2,1-$AG$2)&lt;=3000,1,IF($F312*IF($C312="売",1+$AG$2,1-$AG$2)&lt;=5000,5,IF($F312*IF($C312="売",1+$AG$2,1-$AG$2)&lt;=30000,10,IF($F312*IF($C312="売",1+$AG$2,1-$AG$2)&lt;=50000,50,IF($F312*IF($C312="売",1+$AG$2,1-$AG$2)&lt;=300000,100,500))))))))</f>
      </c>
      <c r="O312" s="478">
        <f>IF(OR($B312="",$F312="",$H312=""),"",IF($S312="✅売却済","―決済済―",IF($C312="売",  IF($H312&lt;=$M312,"🟢利確",  IF(AND($R312&lt;&gt;"",$H312&gt;=$R312),"🟠TRAIL決済",  IF($H312&gt;=$N312,"🔴損切",  IF($W312&gt;=$AG$5,"⏱時間決済",  IF($H312&gt;=$F312*(1+$AG$2*0.7),"⚠️損切接近","保持継続"))))),  IF($H312&gt;=$M312,"🟢利確",  IF(AND($R312&lt;&gt;"",$H312&lt;=$R312),"🟠TRAIL決済",  IF($H312&lt;=$N312,"🔴損切",  IF($W312&gt;=$AG$5,"⏱時間決済",  IF($H312&lt;=$F312*(1-$AG$2*0.7),"⚠️損切接近","保持継続")))))))</f>
      </c>
      <c r="P312" s="445"/>
      <c r="Q312" s="445"/>
      <c r="R312" s="480">
        <f>IF(OR($F312="",$H312="",$N312=""),"",IF($S312="✅売却済","",IF($C312="売",  IF($H312&gt;$F312*(1-$AG$2),$N312,CEILING(MIN($N312,IF($Q312="",$N312,$Q312*1.03)),IF($N312&lt;=3000,1,IF($N312&lt;=5000,5,IF($N312&lt;=30000,10,IF($N312&lt;=50000,50,IF($N312&lt;=300000,100,500))))))),  IF($H312&lt;$F312*(1+$AG$2),$N312,FLOOR(MAX($N312,IF($P312="",$N312,$P312*0.97)),IF($N312&lt;=3000,1,IF($N312&lt;=5000,5,IF($N312&lt;=30000,10,IF($N312&lt;=50000,50,IF($N312&lt;=300000,100,500))))))))))</f>
      </c>
      <c r="S312" s="480" t="str">
        <f t="shared" si="106"/>
        <v/>
      </c>
      <c r="T312" s="596" t="str">
        <f t="shared" ca="1" si="95"/>
        <v/>
      </c>
      <c r="U312" s="598" t="str">
        <f t="shared" ca="1" si="96"/>
        <v/>
      </c>
      <c r="V312" s="703" t="str">
        <f t="shared" ca="1" si="107"/>
        <v/>
      </c>
      <c r="W312" s="480" t="str">
        <f t="shared" ca="1" si="97"/>
        <v/>
      </c>
      <c r="X312" s="480" t="str">
        <f t="shared" ca="1" si="98"/>
        <v/>
      </c>
      <c r="Y312" s="488">
        <f>IF($B312="","",IF(COUNTIFS($B$4:$B312,$B312,$C$4:$C312,$C312)&gt;1,"⛔重複"&amp;COUNTIFS($B$4:$B312,$B312,$C$4:$C312,$C312)&amp;"回目",""))</f>
      </c>
      <c r="Z312" s="710"/>
      <c r="AB312">
        <f>IF($F312="","",MAX(100,ROUNDDOWN($AG$4/($F312*$AG$2)/100,0)*100))</f>
      </c>
      <c r="AC312">
        <f>IF(OR($F312="",$G312="",$U312=""),"",ROUND($V312-($F312+$U312)*$G312*$AG$6-IF($C312="売",$F312*$G312*$AG$7*$W312/365,0),0))</f>
      </c>
      <c r="AD312" s="608"/>
      <c r="AE312" s="600" t="str">
        <f t="shared" si="99"/>
        <v/>
      </c>
      <c r="AF312" s="600"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00"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00" t="str">
        <f t="shared" ca="1" si="100"/>
        <v/>
      </c>
      <c r="AI312" s="600" t="str" cm="1">
        <f t="array" ref="AI312">IFERROR(INDEX(始値!$E$6:$BT$305,MATCH(TEXT($B312,"0"),TEXT(銘柄管理!$B$6:$B$305,"0"),0),MATCH($AE312,始値!$E$3:$BT$3,0)),"")</f>
        <v/>
      </c>
      <c r="AJ312" s="608" t="str">
        <f t="shared" ca="1" si="101"/>
        <v/>
      </c>
      <c r="AK312" s="600" t="str">
        <f t="shared" ca="1" si="102"/>
        <v/>
      </c>
    </row>
    <row r="313" spans="1:37" ht="17.25" customHeight="1">
      <c r="A313" s="621" t="str">
        <f t="shared" si="91"/>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BT$3,0)=1,1,MATCH($E313,始値!$E$3:$BT$3,0)+1)),_xlpm.v,INDEX(始値!$C$6:$B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 t="shared" ca="1" si="103"/>
        <v/>
      </c>
      <c r="L313" s="708" t="str">
        <f t="shared" ca="1" si="104"/>
        <v/>
      </c>
      <c r="M313" s="598">
        <f>IF($F313="","",IF($C313="売",CEILING($F313*IF($C313="売",1-$AG$3,1+$AG$3),IF($F313*IF($C313="売",1-$AG$3,1+$AG$3)&lt;=3000,1,IF($F313*IF($C313="売",1-$AG$3,1+$AG$3)&lt;=5000,5,IF($F313*IF($C313="売",1-$AG$3,1+$AG$3)&lt;=30000,10,IF($F313*IF($C313="売",1-$AG$3,1+$AG$3)&lt;=50000,50,IF($F313*IF($C313="売",1-$AG$3,1+$AG$3)&lt;=300000,100,500)))))),FLOOR($F313*IF($C313="売",1-$AG$3,1+$AG$3),IF($F313*IF($C313="売",1-$AG$3,1+$AG$3)&lt;=3000,1,IF($F313*IF($C313="売",1-$AG$3,1+$AG$3)&lt;=5000,5,IF($F313*IF($C313="売",1-$AG$3,1+$AG$3)&lt;=30000,10,IF($F313*IF($C313="売",1-$AG$3,1+$AG$3)&lt;=50000,50,IF($F313*IF($C313="売",1-$AG$3,1+$AG$3)&lt;=300000,100,500))))))))</f>
      </c>
      <c r="N313" s="598">
        <f>IF($F313="","",IF($C313="売",CEILING($F313*IF($C313="売",1+$AG$2,1-$AG$2),IF($F313*IF($C313="売",1+$AG$2,1-$AG$2)&lt;=3000,1,IF($F313*IF($C313="売",1+$AG$2,1-$AG$2)&lt;=5000,5,IF($F313*IF($C313="売",1+$AG$2,1-$AG$2)&lt;=30000,10,IF($F313*IF($C313="売",1+$AG$2,1-$AG$2)&lt;=50000,50,IF($F313*IF($C313="売",1+$AG$2,1-$AG$2)&lt;=300000,100,500)))))),FLOOR($F313*IF($C313="売",1+$AG$2,1-$AG$2),IF($F313*IF($C313="売",1+$AG$2,1-$AG$2)&lt;=3000,1,IF($F313*IF($C313="売",1+$AG$2,1-$AG$2)&lt;=5000,5,IF($F313*IF($C313="売",1+$AG$2,1-$AG$2)&lt;=30000,10,IF($F313*IF($C313="売",1+$AG$2,1-$AG$2)&lt;=50000,50,IF($F313*IF($C313="売",1+$AG$2,1-$AG$2)&lt;=300000,100,500))))))))</f>
      </c>
      <c r="O313" s="478">
        <f>IF(OR($B313="",$F313="",$H313=""),"",IF($S313="✅売却済","―決済済―",IF($C313="売",  IF($H313&lt;=$M313,"🟢利確",  IF(AND($R313&lt;&gt;"",$H313&gt;=$R313),"🟠TRAIL決済",  IF($H313&gt;=$N313,"🔴損切",  IF($W313&gt;=$AG$5,"⏱時間決済",  IF($H313&gt;=$F313*(1+$AG$2*0.7),"⚠️損切接近","保持継続"))))),  IF($H313&gt;=$M313,"🟢利確",  IF(AND($R313&lt;&gt;"",$H313&lt;=$R313),"🟠TRAIL決済",  IF($H313&lt;=$N313,"🔴損切",  IF($W313&gt;=$AG$5,"⏱時間決済",  IF($H313&lt;=$F313*(1-$AG$2*0.7),"⚠️損切接近","保持継続")))))))</f>
      </c>
      <c r="P313" s="445"/>
      <c r="Q313" s="445"/>
      <c r="R313" s="480">
        <f>IF(OR($F313="",$H313="",$N313=""),"",IF($S313="✅売却済","",IF($C313="売",  IF($H313&gt;$F313*(1-$AG$2),$N313,CEILING(MIN($N313,IF($Q313="",$N313,$Q313*1.03)),IF($N313&lt;=3000,1,IF($N313&lt;=5000,5,IF($N313&lt;=30000,10,IF($N313&lt;=50000,50,IF($N313&lt;=300000,100,500))))))),  IF($H313&lt;$F313*(1+$AG$2),$N313,FLOOR(MAX($N313,IF($P313="",$N313,$P313*0.97)),IF($N313&lt;=3000,1,IF($N313&lt;=5000,5,IF($N313&lt;=30000,10,IF($N313&lt;=50000,50,IF($N313&lt;=300000,100,500))))))))))</f>
      </c>
      <c r="S313" s="480" t="str">
        <f t="shared" si="106"/>
        <v/>
      </c>
      <c r="T313" s="596" t="str">
        <f t="shared" ca="1" si="95"/>
        <v/>
      </c>
      <c r="U313" s="598" t="str">
        <f t="shared" ca="1" si="96"/>
        <v/>
      </c>
      <c r="V313" s="703" t="str">
        <f t="shared" ca="1" si="107"/>
        <v/>
      </c>
      <c r="W313" s="480" t="str">
        <f t="shared" ca="1" si="97"/>
        <v/>
      </c>
      <c r="X313" s="480" t="str">
        <f t="shared" ca="1" si="98"/>
        <v/>
      </c>
      <c r="Y313" s="488">
        <f>IF($B313="","",IF(COUNTIFS($B$4:$B313,$B313,$C$4:$C313,$C313)&gt;1,"⛔重複"&amp;COUNTIFS($B$4:$B313,$B313,$C$4:$C313,$C313)&amp;"回目",""))</f>
      </c>
      <c r="Z313" s="710"/>
      <c r="AB313">
        <f>IF($F313="","",MAX(100,ROUNDDOWN($AG$4/($F313*$AG$2)/100,0)*100))</f>
      </c>
      <c r="AC313">
        <f>IF(OR($F313="",$G313="",$U313=""),"",ROUND($V313-($F313+$U313)*$G313*$AG$6-IF($C313="売",$F313*$G313*$AG$7*$W313/365,0),0))</f>
      </c>
      <c r="AD313" s="608"/>
      <c r="AE313" s="600" t="str">
        <f t="shared" si="99"/>
        <v/>
      </c>
      <c r="AF313" s="600"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00"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00" t="str">
        <f t="shared" ca="1" si="100"/>
        <v/>
      </c>
      <c r="AI313" s="600" t="str" cm="1">
        <f t="array" ref="AI313">IFERROR(INDEX(始値!$E$6:$BT$305,MATCH(TEXT($B313,"0"),TEXT(銘柄管理!$B$6:$B$305,"0"),0),MATCH($AE313,始値!$E$3:$BT$3,0)),"")</f>
        <v/>
      </c>
      <c r="AJ313" s="608" t="str">
        <f t="shared" ca="1" si="101"/>
        <v/>
      </c>
      <c r="AK313" s="600" t="str">
        <f t="shared" ca="1" si="102"/>
        <v/>
      </c>
    </row>
    <row r="314" spans="1:37" ht="17.25" customHeight="1">
      <c r="A314" s="621" t="str">
        <f t="shared" si="91"/>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BT$3,0)=1,1,MATCH($E314,始値!$E$3:$BT$3,0)+1)),_xlpm.v,INDEX(始値!$C$6:$B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 t="shared" ca="1" si="103"/>
        <v/>
      </c>
      <c r="L314" s="708" t="str">
        <f t="shared" ca="1" si="104"/>
        <v/>
      </c>
      <c r="M314" s="598">
        <f>IF($F314="","",IF($C314="売",CEILING($F314*IF($C314="売",1-$AG$3,1+$AG$3),IF($F314*IF($C314="売",1-$AG$3,1+$AG$3)&lt;=3000,1,IF($F314*IF($C314="売",1-$AG$3,1+$AG$3)&lt;=5000,5,IF($F314*IF($C314="売",1-$AG$3,1+$AG$3)&lt;=30000,10,IF($F314*IF($C314="売",1-$AG$3,1+$AG$3)&lt;=50000,50,IF($F314*IF($C314="売",1-$AG$3,1+$AG$3)&lt;=300000,100,500)))))),FLOOR($F314*IF($C314="売",1-$AG$3,1+$AG$3),IF($F314*IF($C314="売",1-$AG$3,1+$AG$3)&lt;=3000,1,IF($F314*IF($C314="売",1-$AG$3,1+$AG$3)&lt;=5000,5,IF($F314*IF($C314="売",1-$AG$3,1+$AG$3)&lt;=30000,10,IF($F314*IF($C314="売",1-$AG$3,1+$AG$3)&lt;=50000,50,IF($F314*IF($C314="売",1-$AG$3,1+$AG$3)&lt;=300000,100,500))))))))</f>
      </c>
      <c r="N314" s="598">
        <f>IF($F314="","",IF($C314="売",CEILING($F314*IF($C314="売",1+$AG$2,1-$AG$2),IF($F314*IF($C314="売",1+$AG$2,1-$AG$2)&lt;=3000,1,IF($F314*IF($C314="売",1+$AG$2,1-$AG$2)&lt;=5000,5,IF($F314*IF($C314="売",1+$AG$2,1-$AG$2)&lt;=30000,10,IF($F314*IF($C314="売",1+$AG$2,1-$AG$2)&lt;=50000,50,IF($F314*IF($C314="売",1+$AG$2,1-$AG$2)&lt;=300000,100,500)))))),FLOOR($F314*IF($C314="売",1+$AG$2,1-$AG$2),IF($F314*IF($C314="売",1+$AG$2,1-$AG$2)&lt;=3000,1,IF($F314*IF($C314="売",1+$AG$2,1-$AG$2)&lt;=5000,5,IF($F314*IF($C314="売",1+$AG$2,1-$AG$2)&lt;=30000,10,IF($F314*IF($C314="売",1+$AG$2,1-$AG$2)&lt;=50000,50,IF($F314*IF($C314="売",1+$AG$2,1-$AG$2)&lt;=300000,100,500))))))))</f>
      </c>
      <c r="O314" s="478">
        <f>IF(OR($B314="",$F314="",$H314=""),"",IF($S314="✅売却済","―決済済―",IF($C314="売",  IF($H314&lt;=$M314,"🟢利確",  IF(AND($R314&lt;&gt;"",$H314&gt;=$R314),"🟠TRAIL決済",  IF($H314&gt;=$N314,"🔴損切",  IF($W314&gt;=$AG$5,"⏱時間決済",  IF($H314&gt;=$F314*(1+$AG$2*0.7),"⚠️損切接近","保持継続"))))),  IF($H314&gt;=$M314,"🟢利確",  IF(AND($R314&lt;&gt;"",$H314&lt;=$R314),"🟠TRAIL決済",  IF($H314&lt;=$N314,"🔴損切",  IF($W314&gt;=$AG$5,"⏱時間決済",  IF($H314&lt;=$F314*(1-$AG$2*0.7),"⚠️損切接近","保持継続")))))))</f>
      </c>
      <c r="P314" s="445"/>
      <c r="Q314" s="445"/>
      <c r="R314" s="480">
        <f>IF(OR($F314="",$H314="",$N314=""),"",IF($S314="✅売却済","",IF($C314="売",  IF($H314&gt;$F314*(1-$AG$2),$N314,CEILING(MIN($N314,IF($Q314="",$N314,$Q314*1.03)),IF($N314&lt;=3000,1,IF($N314&lt;=5000,5,IF($N314&lt;=30000,10,IF($N314&lt;=50000,50,IF($N314&lt;=300000,100,500))))))),  IF($H314&lt;$F314*(1+$AG$2),$N314,FLOOR(MAX($N314,IF($P314="",$N314,$P314*0.97)),IF($N314&lt;=3000,1,IF($N314&lt;=5000,5,IF($N314&lt;=30000,10,IF($N314&lt;=50000,50,IF($N314&lt;=300000,100,500))))))))))</f>
      </c>
      <c r="S314" s="480" t="str">
        <f t="shared" si="106"/>
        <v/>
      </c>
      <c r="T314" s="596" t="str">
        <f t="shared" ca="1" si="95"/>
        <v/>
      </c>
      <c r="U314" s="598" t="str">
        <f t="shared" ca="1" si="96"/>
        <v/>
      </c>
      <c r="V314" s="703" t="str">
        <f t="shared" ca="1" si="107"/>
        <v/>
      </c>
      <c r="W314" s="480" t="str">
        <f t="shared" ca="1" si="97"/>
        <v/>
      </c>
      <c r="X314" s="480" t="str">
        <f t="shared" ca="1" si="98"/>
        <v/>
      </c>
      <c r="Y314" s="488">
        <f>IF($B314="","",IF(COUNTIFS($B$4:$B314,$B314,$C$4:$C314,$C314)&gt;1,"⛔重複"&amp;COUNTIFS($B$4:$B314,$B314,$C$4:$C314,$C314)&amp;"回目",""))</f>
      </c>
      <c r="Z314" s="710"/>
      <c r="AB314">
        <f>IF($F314="","",MAX(100,ROUNDDOWN($AG$4/($F314*$AG$2)/100,0)*100))</f>
      </c>
      <c r="AC314">
        <f>IF(OR($F314="",$G314="",$U314=""),"",ROUND($V314-($F314+$U314)*$G314*$AG$6-IF($C314="売",$F314*$G314*$AG$7*$W314/365,0),0))</f>
      </c>
      <c r="AD314" s="608"/>
      <c r="AE314" s="600" t="str">
        <f t="shared" si="99"/>
        <v/>
      </c>
      <c r="AF314" s="600"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00"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00" t="str">
        <f t="shared" ca="1" si="100"/>
        <v/>
      </c>
      <c r="AI314" s="600" t="str" cm="1">
        <f t="array" ref="AI314">IFERROR(INDEX(始値!$E$6:$BT$305,MATCH(TEXT($B314,"0"),TEXT(銘柄管理!$B$6:$B$305,"0"),0),MATCH($AE314,始値!$E$3:$BT$3,0)),"")</f>
        <v/>
      </c>
      <c r="AJ314" s="608" t="str">
        <f t="shared" ca="1" si="101"/>
        <v/>
      </c>
      <c r="AK314" s="600" t="str">
        <f t="shared" ca="1" si="102"/>
        <v/>
      </c>
    </row>
    <row r="315" spans="1:37" ht="17.25" customHeight="1">
      <c r="A315" s="621" t="str">
        <f t="shared" si="91"/>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BT$3,0)=1,1,MATCH($E315,始値!$E$3:$BT$3,0)+1)),_xlpm.v,INDEX(始値!$C$6:$B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 t="shared" ca="1" si="103"/>
        <v/>
      </c>
      <c r="L315" s="708" t="str">
        <f t="shared" ca="1" si="104"/>
        <v/>
      </c>
      <c r="M315" s="598">
        <f>IF($F315="","",IF($C315="売",CEILING($F315*IF($C315="売",1-$AG$3,1+$AG$3),IF($F315*IF($C315="売",1-$AG$3,1+$AG$3)&lt;=3000,1,IF($F315*IF($C315="売",1-$AG$3,1+$AG$3)&lt;=5000,5,IF($F315*IF($C315="売",1-$AG$3,1+$AG$3)&lt;=30000,10,IF($F315*IF($C315="売",1-$AG$3,1+$AG$3)&lt;=50000,50,IF($F315*IF($C315="売",1-$AG$3,1+$AG$3)&lt;=300000,100,500)))))),FLOOR($F315*IF($C315="売",1-$AG$3,1+$AG$3),IF($F315*IF($C315="売",1-$AG$3,1+$AG$3)&lt;=3000,1,IF($F315*IF($C315="売",1-$AG$3,1+$AG$3)&lt;=5000,5,IF($F315*IF($C315="売",1-$AG$3,1+$AG$3)&lt;=30000,10,IF($F315*IF($C315="売",1-$AG$3,1+$AG$3)&lt;=50000,50,IF($F315*IF($C315="売",1-$AG$3,1+$AG$3)&lt;=300000,100,500))))))))</f>
      </c>
      <c r="N315" s="598">
        <f>IF($F315="","",IF($C315="売",CEILING($F315*IF($C315="売",1+$AG$2,1-$AG$2),IF($F315*IF($C315="売",1+$AG$2,1-$AG$2)&lt;=3000,1,IF($F315*IF($C315="売",1+$AG$2,1-$AG$2)&lt;=5000,5,IF($F315*IF($C315="売",1+$AG$2,1-$AG$2)&lt;=30000,10,IF($F315*IF($C315="売",1+$AG$2,1-$AG$2)&lt;=50000,50,IF($F315*IF($C315="売",1+$AG$2,1-$AG$2)&lt;=300000,100,500)))))),FLOOR($F315*IF($C315="売",1+$AG$2,1-$AG$2),IF($F315*IF($C315="売",1+$AG$2,1-$AG$2)&lt;=3000,1,IF($F315*IF($C315="売",1+$AG$2,1-$AG$2)&lt;=5000,5,IF($F315*IF($C315="売",1+$AG$2,1-$AG$2)&lt;=30000,10,IF($F315*IF($C315="売",1+$AG$2,1-$AG$2)&lt;=50000,50,IF($F315*IF($C315="売",1+$AG$2,1-$AG$2)&lt;=300000,100,500))))))))</f>
      </c>
      <c r="O315" s="478">
        <f>IF(OR($B315="",$F315="",$H315=""),"",IF($S315="✅売却済","―決済済―",IF($C315="売",  IF($H315&lt;=$M315,"🟢利確",  IF(AND($R315&lt;&gt;"",$H315&gt;=$R315),"🟠TRAIL決済",  IF($H315&gt;=$N315,"🔴損切",  IF($W315&gt;=$AG$5,"⏱時間決済",  IF($H315&gt;=$F315*(1+$AG$2*0.7),"⚠️損切接近","保持継続"))))),  IF($H315&gt;=$M315,"🟢利確",  IF(AND($R315&lt;&gt;"",$H315&lt;=$R315),"🟠TRAIL決済",  IF($H315&lt;=$N315,"🔴損切",  IF($W315&gt;=$AG$5,"⏱時間決済",  IF($H315&lt;=$F315*(1-$AG$2*0.7),"⚠️損切接近","保持継続")))))))</f>
      </c>
      <c r="P315" s="445"/>
      <c r="Q315" s="445"/>
      <c r="R315" s="480">
        <f>IF(OR($F315="",$H315="",$N315=""),"",IF($S315="✅売却済","",IF($C315="売",  IF($H315&gt;$F315*(1-$AG$2),$N315,CEILING(MIN($N315,IF($Q315="",$N315,$Q315*1.03)),IF($N315&lt;=3000,1,IF($N315&lt;=5000,5,IF($N315&lt;=30000,10,IF($N315&lt;=50000,50,IF($N315&lt;=300000,100,500))))))),  IF($H315&lt;$F315*(1+$AG$2),$N315,FLOOR(MAX($N315,IF($P315="",$N315,$P315*0.97)),IF($N315&lt;=3000,1,IF($N315&lt;=5000,5,IF($N315&lt;=30000,10,IF($N315&lt;=50000,50,IF($N315&lt;=300000,100,500))))))))))</f>
      </c>
      <c r="S315" s="480" t="str">
        <f t="shared" si="106"/>
        <v/>
      </c>
      <c r="T315" s="596" t="str">
        <f t="shared" ca="1" si="95"/>
        <v/>
      </c>
      <c r="U315" s="598" t="str">
        <f t="shared" ca="1" si="96"/>
        <v/>
      </c>
      <c r="V315" s="703" t="str">
        <f t="shared" ca="1" si="107"/>
        <v/>
      </c>
      <c r="W315" s="480" t="str">
        <f t="shared" ca="1" si="97"/>
        <v/>
      </c>
      <c r="X315" s="480" t="str">
        <f t="shared" ca="1" si="98"/>
        <v/>
      </c>
      <c r="Y315" s="488">
        <f>IF($B315="","",IF(COUNTIFS($B$4:$B315,$B315,$C$4:$C315,$C315)&gt;1,"⛔重複"&amp;COUNTIFS($B$4:$B315,$B315,$C$4:$C315,$C315)&amp;"回目",""))</f>
      </c>
      <c r="Z315" s="710"/>
      <c r="AB315">
        <f>IF($F315="","",MAX(100,ROUNDDOWN($AG$4/($F315*$AG$2)/100,0)*100))</f>
      </c>
      <c r="AC315">
        <f>IF(OR($F315="",$G315="",$U315=""),"",ROUND($V315-($F315+$U315)*$G315*$AG$6-IF($C315="売",$F315*$G315*$AG$7*$W315/365,0),0))</f>
      </c>
      <c r="AD315" s="608"/>
      <c r="AE315" s="600" t="str">
        <f t="shared" si="99"/>
        <v/>
      </c>
      <c r="AF315" s="600"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00"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00" t="str">
        <f t="shared" ca="1" si="100"/>
        <v/>
      </c>
      <c r="AI315" s="600" t="str" cm="1">
        <f t="array" ref="AI315">IFERROR(INDEX(始値!$E$6:$BT$305,MATCH(TEXT($B315,"0"),TEXT(銘柄管理!$B$6:$B$305,"0"),0),MATCH($AE315,始値!$E$3:$BT$3,0)),"")</f>
        <v/>
      </c>
      <c r="AJ315" s="608" t="str">
        <f t="shared" ca="1" si="101"/>
        <v/>
      </c>
      <c r="AK315" s="600" t="str">
        <f t="shared" ca="1" si="102"/>
        <v/>
      </c>
    </row>
    <row r="316" spans="1:37" ht="17.25" customHeight="1">
      <c r="A316" s="621" t="str">
        <f t="shared" si="91"/>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BT$3,0)=1,1,MATCH($E316,始値!$E$3:$BT$3,0)+1)),_xlpm.v,INDEX(始値!$C$6:$B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 t="shared" ca="1" si="103"/>
        <v/>
      </c>
      <c r="L316" s="708" t="str">
        <f t="shared" ca="1" si="104"/>
        <v/>
      </c>
      <c r="M316" s="598">
        <f>IF($F316="","",IF($C316="売",CEILING($F316*IF($C316="売",1-$AG$3,1+$AG$3),IF($F316*IF($C316="売",1-$AG$3,1+$AG$3)&lt;=3000,1,IF($F316*IF($C316="売",1-$AG$3,1+$AG$3)&lt;=5000,5,IF($F316*IF($C316="売",1-$AG$3,1+$AG$3)&lt;=30000,10,IF($F316*IF($C316="売",1-$AG$3,1+$AG$3)&lt;=50000,50,IF($F316*IF($C316="売",1-$AG$3,1+$AG$3)&lt;=300000,100,500)))))),FLOOR($F316*IF($C316="売",1-$AG$3,1+$AG$3),IF($F316*IF($C316="売",1-$AG$3,1+$AG$3)&lt;=3000,1,IF($F316*IF($C316="売",1-$AG$3,1+$AG$3)&lt;=5000,5,IF($F316*IF($C316="売",1-$AG$3,1+$AG$3)&lt;=30000,10,IF($F316*IF($C316="売",1-$AG$3,1+$AG$3)&lt;=50000,50,IF($F316*IF($C316="売",1-$AG$3,1+$AG$3)&lt;=300000,100,500))))))))</f>
      </c>
      <c r="N316" s="598">
        <f>IF($F316="","",IF($C316="売",CEILING($F316*IF($C316="売",1+$AG$2,1-$AG$2),IF($F316*IF($C316="売",1+$AG$2,1-$AG$2)&lt;=3000,1,IF($F316*IF($C316="売",1+$AG$2,1-$AG$2)&lt;=5000,5,IF($F316*IF($C316="売",1+$AG$2,1-$AG$2)&lt;=30000,10,IF($F316*IF($C316="売",1+$AG$2,1-$AG$2)&lt;=50000,50,IF($F316*IF($C316="売",1+$AG$2,1-$AG$2)&lt;=300000,100,500)))))),FLOOR($F316*IF($C316="売",1+$AG$2,1-$AG$2),IF($F316*IF($C316="売",1+$AG$2,1-$AG$2)&lt;=3000,1,IF($F316*IF($C316="売",1+$AG$2,1-$AG$2)&lt;=5000,5,IF($F316*IF($C316="売",1+$AG$2,1-$AG$2)&lt;=30000,10,IF($F316*IF($C316="売",1+$AG$2,1-$AG$2)&lt;=50000,50,IF($F316*IF($C316="売",1+$AG$2,1-$AG$2)&lt;=300000,100,500))))))))</f>
      </c>
      <c r="O316" s="478">
        <f>IF(OR($B316="",$F316="",$H316=""),"",IF($S316="✅売却済","―決済済―",IF($C316="売",  IF($H316&lt;=$M316,"🟢利確",  IF(AND($R316&lt;&gt;"",$H316&gt;=$R316),"🟠TRAIL決済",  IF($H316&gt;=$N316,"🔴損切",  IF($W316&gt;=$AG$5,"⏱時間決済",  IF($H316&gt;=$F316*(1+$AG$2*0.7),"⚠️損切接近","保持継続"))))),  IF($H316&gt;=$M316,"🟢利確",  IF(AND($R316&lt;&gt;"",$H316&lt;=$R316),"🟠TRAIL決済",  IF($H316&lt;=$N316,"🔴損切",  IF($W316&gt;=$AG$5,"⏱時間決済",  IF($H316&lt;=$F316*(1-$AG$2*0.7),"⚠️損切接近","保持継続")))))))</f>
      </c>
      <c r="P316" s="445"/>
      <c r="Q316" s="445"/>
      <c r="R316" s="480">
        <f>IF(OR($F316="",$H316="",$N316=""),"",IF($S316="✅売却済","",IF($C316="売",  IF($H316&gt;$F316*(1-$AG$2),$N316,CEILING(MIN($N316,IF($Q316="",$N316,$Q316*1.03)),IF($N316&lt;=3000,1,IF($N316&lt;=5000,5,IF($N316&lt;=30000,10,IF($N316&lt;=50000,50,IF($N316&lt;=300000,100,500))))))),  IF($H316&lt;$F316*(1+$AG$2),$N316,FLOOR(MAX($N316,IF($P316="",$N316,$P316*0.97)),IF($N316&lt;=3000,1,IF($N316&lt;=5000,5,IF($N316&lt;=30000,10,IF($N316&lt;=50000,50,IF($N316&lt;=300000,100,500))))))))))</f>
      </c>
      <c r="S316" s="480" t="str">
        <f t="shared" si="106"/>
        <v/>
      </c>
      <c r="T316" s="596" t="str">
        <f t="shared" ca="1" si="95"/>
        <v/>
      </c>
      <c r="U316" s="598" t="str">
        <f t="shared" ca="1" si="96"/>
        <v/>
      </c>
      <c r="V316" s="703" t="str">
        <f t="shared" ca="1" si="107"/>
        <v/>
      </c>
      <c r="W316" s="480" t="str">
        <f t="shared" ca="1" si="97"/>
        <v/>
      </c>
      <c r="X316" s="480" t="str">
        <f t="shared" ca="1" si="98"/>
        <v/>
      </c>
      <c r="Y316" s="488">
        <f>IF($B316="","",IF(COUNTIFS($B$4:$B316,$B316,$C$4:$C316,$C316)&gt;1,"⛔重複"&amp;COUNTIFS($B$4:$B316,$B316,$C$4:$C316,$C316)&amp;"回目",""))</f>
      </c>
      <c r="Z316" s="710"/>
      <c r="AB316">
        <f>IF($F316="","",MAX(100,ROUNDDOWN($AG$4/($F316*$AG$2)/100,0)*100))</f>
      </c>
      <c r="AC316">
        <f>IF(OR($F316="",$G316="",$U316=""),"",ROUND($V316-($F316+$U316)*$G316*$AG$6-IF($C316="売",$F316*$G316*$AG$7*$W316/365,0),0))</f>
      </c>
      <c r="AD316" s="608"/>
      <c r="AE316" s="600" t="str">
        <f t="shared" si="99"/>
        <v/>
      </c>
      <c r="AF316" s="600"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00"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00" t="str">
        <f t="shared" ca="1" si="100"/>
        <v/>
      </c>
      <c r="AI316" s="600" t="str" cm="1">
        <f t="array" ref="AI316">IFERROR(INDEX(始値!$E$6:$BT$305,MATCH(TEXT($B316,"0"),TEXT(銘柄管理!$B$6:$B$305,"0"),0),MATCH($AE316,始値!$E$3:$BT$3,0)),"")</f>
        <v/>
      </c>
      <c r="AJ316" s="608" t="str">
        <f t="shared" ca="1" si="101"/>
        <v/>
      </c>
      <c r="AK316" s="600" t="str">
        <f t="shared" ca="1" si="102"/>
        <v/>
      </c>
    </row>
    <row r="317" spans="1:37" ht="17.25" customHeight="1">
      <c r="A317" s="621" t="str">
        <f t="shared" si="91"/>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BT$3,0)=1,1,MATCH($E317,始値!$E$3:$BT$3,0)+1)),_xlpm.v,INDEX(始値!$C$6:$B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 t="shared" ca="1" si="103"/>
        <v/>
      </c>
      <c r="L317" s="708" t="str">
        <f t="shared" ca="1" si="104"/>
        <v/>
      </c>
      <c r="M317" s="598">
        <f>IF($F317="","",IF($C317="売",CEILING($F317*IF($C317="売",1-$AG$3,1+$AG$3),IF($F317*IF($C317="売",1-$AG$3,1+$AG$3)&lt;=3000,1,IF($F317*IF($C317="売",1-$AG$3,1+$AG$3)&lt;=5000,5,IF($F317*IF($C317="売",1-$AG$3,1+$AG$3)&lt;=30000,10,IF($F317*IF($C317="売",1-$AG$3,1+$AG$3)&lt;=50000,50,IF($F317*IF($C317="売",1-$AG$3,1+$AG$3)&lt;=300000,100,500)))))),FLOOR($F317*IF($C317="売",1-$AG$3,1+$AG$3),IF($F317*IF($C317="売",1-$AG$3,1+$AG$3)&lt;=3000,1,IF($F317*IF($C317="売",1-$AG$3,1+$AG$3)&lt;=5000,5,IF($F317*IF($C317="売",1-$AG$3,1+$AG$3)&lt;=30000,10,IF($F317*IF($C317="売",1-$AG$3,1+$AG$3)&lt;=50000,50,IF($F317*IF($C317="売",1-$AG$3,1+$AG$3)&lt;=300000,100,500))))))))</f>
      </c>
      <c r="N317" s="598">
        <f>IF($F317="","",IF($C317="売",CEILING($F317*IF($C317="売",1+$AG$2,1-$AG$2),IF($F317*IF($C317="売",1+$AG$2,1-$AG$2)&lt;=3000,1,IF($F317*IF($C317="売",1+$AG$2,1-$AG$2)&lt;=5000,5,IF($F317*IF($C317="売",1+$AG$2,1-$AG$2)&lt;=30000,10,IF($F317*IF($C317="売",1+$AG$2,1-$AG$2)&lt;=50000,50,IF($F317*IF($C317="売",1+$AG$2,1-$AG$2)&lt;=300000,100,500)))))),FLOOR($F317*IF($C317="売",1+$AG$2,1-$AG$2),IF($F317*IF($C317="売",1+$AG$2,1-$AG$2)&lt;=3000,1,IF($F317*IF($C317="売",1+$AG$2,1-$AG$2)&lt;=5000,5,IF($F317*IF($C317="売",1+$AG$2,1-$AG$2)&lt;=30000,10,IF($F317*IF($C317="売",1+$AG$2,1-$AG$2)&lt;=50000,50,IF($F317*IF($C317="売",1+$AG$2,1-$AG$2)&lt;=300000,100,500))))))))</f>
      </c>
      <c r="O317" s="478">
        <f>IF(OR($B317="",$F317="",$H317=""),"",IF($S317="✅売却済","―決済済―",IF($C317="売",  IF($H317&lt;=$M317,"🟢利確",  IF(AND($R317&lt;&gt;"",$H317&gt;=$R317),"🟠TRAIL決済",  IF($H317&gt;=$N317,"🔴損切",  IF($W317&gt;=$AG$5,"⏱時間決済",  IF($H317&gt;=$F317*(1+$AG$2*0.7),"⚠️損切接近","保持継続"))))),  IF($H317&gt;=$M317,"🟢利確",  IF(AND($R317&lt;&gt;"",$H317&lt;=$R317),"🟠TRAIL決済",  IF($H317&lt;=$N317,"🔴損切",  IF($W317&gt;=$AG$5,"⏱時間決済",  IF($H317&lt;=$F317*(1-$AG$2*0.7),"⚠️損切接近","保持継続")))))))</f>
      </c>
      <c r="P317" s="445"/>
      <c r="Q317" s="445"/>
      <c r="R317" s="480">
        <f>IF(OR($F317="",$H317="",$N317=""),"",IF($S317="✅売却済","",IF($C317="売",  IF($H317&gt;$F317*(1-$AG$2),$N317,CEILING(MIN($N317,IF($Q317="",$N317,$Q317*1.03)),IF($N317&lt;=3000,1,IF($N317&lt;=5000,5,IF($N317&lt;=30000,10,IF($N317&lt;=50000,50,IF($N317&lt;=300000,100,500))))))),  IF($H317&lt;$F317*(1+$AG$2),$N317,FLOOR(MAX($N317,IF($P317="",$N317,$P317*0.97)),IF($N317&lt;=3000,1,IF($N317&lt;=5000,5,IF($N317&lt;=30000,10,IF($N317&lt;=50000,50,IF($N317&lt;=300000,100,500))))))))))</f>
      </c>
      <c r="S317" s="480" t="str">
        <f t="shared" si="106"/>
        <v/>
      </c>
      <c r="T317" s="596" t="str">
        <f t="shared" ca="1" si="95"/>
        <v/>
      </c>
      <c r="U317" s="598" t="str">
        <f t="shared" ca="1" si="96"/>
        <v/>
      </c>
      <c r="V317" s="703" t="str">
        <f t="shared" ca="1" si="107"/>
        <v/>
      </c>
      <c r="W317" s="480" t="str">
        <f t="shared" ca="1" si="97"/>
        <v/>
      </c>
      <c r="X317" s="480" t="str">
        <f t="shared" ca="1" si="98"/>
        <v/>
      </c>
      <c r="Y317" s="488">
        <f>IF($B317="","",IF(COUNTIFS($B$4:$B317,$B317,$C$4:$C317,$C317)&gt;1,"⛔重複"&amp;COUNTIFS($B$4:$B317,$B317,$C$4:$C317,$C317)&amp;"回目",""))</f>
      </c>
      <c r="Z317" s="710"/>
      <c r="AB317">
        <f>IF($F317="","",MAX(100,ROUNDDOWN($AG$4/($F317*$AG$2)/100,0)*100))</f>
      </c>
      <c r="AC317">
        <f>IF(OR($F317="",$G317="",$U317=""),"",ROUND($V317-($F317+$U317)*$G317*$AG$6-IF($C317="売",$F317*$G317*$AG$7*$W317/365,0),0))</f>
      </c>
      <c r="AD317" s="608"/>
      <c r="AE317" s="600" t="str">
        <f t="shared" si="99"/>
        <v/>
      </c>
      <c r="AF317" s="600"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00"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00" t="str">
        <f t="shared" ca="1" si="100"/>
        <v/>
      </c>
      <c r="AI317" s="600" t="str" cm="1">
        <f t="array" ref="AI317">IFERROR(INDEX(始値!$E$6:$BT$305,MATCH(TEXT($B317,"0"),TEXT(銘柄管理!$B$6:$B$305,"0"),0),MATCH($AE317,始値!$E$3:$BT$3,0)),"")</f>
        <v/>
      </c>
      <c r="AJ317" s="608" t="str">
        <f t="shared" ca="1" si="101"/>
        <v/>
      </c>
      <c r="AK317" s="600" t="str">
        <f t="shared" ca="1" si="102"/>
        <v/>
      </c>
    </row>
    <row r="318" spans="1:37" ht="17.25" customHeight="1">
      <c r="A318" s="621" t="str">
        <f t="shared" si="91"/>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BT$3,0)=1,1,MATCH($E318,始値!$E$3:$BT$3,0)+1)),_xlpm.v,INDEX(始値!$C$6:$B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 t="shared" ca="1" si="103"/>
        <v/>
      </c>
      <c r="L318" s="708" t="str">
        <f t="shared" ca="1" si="104"/>
        <v/>
      </c>
      <c r="M318" s="598">
        <f>IF($F318="","",IF($C318="売",CEILING($F318*IF($C318="売",1-$AG$3,1+$AG$3),IF($F318*IF($C318="売",1-$AG$3,1+$AG$3)&lt;=3000,1,IF($F318*IF($C318="売",1-$AG$3,1+$AG$3)&lt;=5000,5,IF($F318*IF($C318="売",1-$AG$3,1+$AG$3)&lt;=30000,10,IF($F318*IF($C318="売",1-$AG$3,1+$AG$3)&lt;=50000,50,IF($F318*IF($C318="売",1-$AG$3,1+$AG$3)&lt;=300000,100,500)))))),FLOOR($F318*IF($C318="売",1-$AG$3,1+$AG$3),IF($F318*IF($C318="売",1-$AG$3,1+$AG$3)&lt;=3000,1,IF($F318*IF($C318="売",1-$AG$3,1+$AG$3)&lt;=5000,5,IF($F318*IF($C318="売",1-$AG$3,1+$AG$3)&lt;=30000,10,IF($F318*IF($C318="売",1-$AG$3,1+$AG$3)&lt;=50000,50,IF($F318*IF($C318="売",1-$AG$3,1+$AG$3)&lt;=300000,100,500))))))))</f>
      </c>
      <c r="N318" s="598">
        <f>IF($F318="","",IF($C318="売",CEILING($F318*IF($C318="売",1+$AG$2,1-$AG$2),IF($F318*IF($C318="売",1+$AG$2,1-$AG$2)&lt;=3000,1,IF($F318*IF($C318="売",1+$AG$2,1-$AG$2)&lt;=5000,5,IF($F318*IF($C318="売",1+$AG$2,1-$AG$2)&lt;=30000,10,IF($F318*IF($C318="売",1+$AG$2,1-$AG$2)&lt;=50000,50,IF($F318*IF($C318="売",1+$AG$2,1-$AG$2)&lt;=300000,100,500)))))),FLOOR($F318*IF($C318="売",1+$AG$2,1-$AG$2),IF($F318*IF($C318="売",1+$AG$2,1-$AG$2)&lt;=3000,1,IF($F318*IF($C318="売",1+$AG$2,1-$AG$2)&lt;=5000,5,IF($F318*IF($C318="売",1+$AG$2,1-$AG$2)&lt;=30000,10,IF($F318*IF($C318="売",1+$AG$2,1-$AG$2)&lt;=50000,50,IF($F318*IF($C318="売",1+$AG$2,1-$AG$2)&lt;=300000,100,500))))))))</f>
      </c>
      <c r="O318" s="478">
        <f>IF(OR($B318="",$F318="",$H318=""),"",IF($S318="✅売却済","―決済済―",IF($C318="売",  IF($H318&lt;=$M318,"🟢利確",  IF(AND($R318&lt;&gt;"",$H318&gt;=$R318),"🟠TRAIL決済",  IF($H318&gt;=$N318,"🔴損切",  IF($W318&gt;=$AG$5,"⏱時間決済",  IF($H318&gt;=$F318*(1+$AG$2*0.7),"⚠️損切接近","保持継続"))))),  IF($H318&gt;=$M318,"🟢利確",  IF(AND($R318&lt;&gt;"",$H318&lt;=$R318),"🟠TRAIL決済",  IF($H318&lt;=$N318,"🔴損切",  IF($W318&gt;=$AG$5,"⏱時間決済",  IF($H318&lt;=$F318*(1-$AG$2*0.7),"⚠️損切接近","保持継続")))))))</f>
      </c>
      <c r="P318" s="445"/>
      <c r="Q318" s="445"/>
      <c r="R318" s="480">
        <f>IF(OR($F318="",$H318="",$N318=""),"",IF($S318="✅売却済","",IF($C318="売",  IF($H318&gt;$F318*(1-$AG$2),$N318,CEILING(MIN($N318,IF($Q318="",$N318,$Q318*1.03)),IF($N318&lt;=3000,1,IF($N318&lt;=5000,5,IF($N318&lt;=30000,10,IF($N318&lt;=50000,50,IF($N318&lt;=300000,100,500))))))),  IF($H318&lt;$F318*(1+$AG$2),$N318,FLOOR(MAX($N318,IF($P318="",$N318,$P318*0.97)),IF($N318&lt;=3000,1,IF($N318&lt;=5000,5,IF($N318&lt;=30000,10,IF($N318&lt;=50000,50,IF($N318&lt;=300000,100,500))))))))))</f>
      </c>
      <c r="S318" s="480" t="str">
        <f t="shared" si="106"/>
        <v/>
      </c>
      <c r="T318" s="596" t="str">
        <f t="shared" ca="1" si="95"/>
        <v/>
      </c>
      <c r="U318" s="598" t="str">
        <f t="shared" ca="1" si="96"/>
        <v/>
      </c>
      <c r="V318" s="703" t="str">
        <f t="shared" ca="1" si="107"/>
        <v/>
      </c>
      <c r="W318" s="480" t="str">
        <f t="shared" ca="1" si="97"/>
        <v/>
      </c>
      <c r="X318" s="480" t="str">
        <f t="shared" ca="1" si="98"/>
        <v/>
      </c>
      <c r="Y318" s="488">
        <f>IF($B318="","",IF(COUNTIFS($B$4:$B318,$B318,$C$4:$C318,$C318)&gt;1,"⛔重複"&amp;COUNTIFS($B$4:$B318,$B318,$C$4:$C318,$C318)&amp;"回目",""))</f>
      </c>
      <c r="Z318" s="710"/>
      <c r="AB318">
        <f>IF($F318="","",MAX(100,ROUNDDOWN($AG$4/($F318*$AG$2)/100,0)*100))</f>
      </c>
      <c r="AC318">
        <f>IF(OR($F318="",$G318="",$U318=""),"",ROUND($V318-($F318+$U318)*$G318*$AG$6-IF($C318="売",$F318*$G318*$AG$7*$W318/365,0),0))</f>
      </c>
      <c r="AD318" s="608"/>
      <c r="AE318" s="600" t="str">
        <f t="shared" si="99"/>
        <v/>
      </c>
      <c r="AF318" s="600"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00"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00" t="str">
        <f t="shared" ca="1" si="100"/>
        <v/>
      </c>
      <c r="AI318" s="600" t="str" cm="1">
        <f t="array" ref="AI318">IFERROR(INDEX(始値!$E$6:$BT$305,MATCH(TEXT($B318,"0"),TEXT(銘柄管理!$B$6:$B$305,"0"),0),MATCH($AE318,始値!$E$3:$BT$3,0)),"")</f>
        <v/>
      </c>
      <c r="AJ318" s="608" t="str">
        <f t="shared" ca="1" si="101"/>
        <v/>
      </c>
      <c r="AK318" s="600" t="str">
        <f t="shared" ca="1" si="102"/>
        <v/>
      </c>
    </row>
    <row r="319" spans="1:37" ht="17.25" customHeight="1">
      <c r="A319" s="621" t="str">
        <f t="shared" si="91"/>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BT$3,0)=1,1,MATCH($E319,始値!$E$3:$BT$3,0)+1)),_xlpm.v,INDEX(始値!$C$6:$B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 t="shared" ca="1" si="103"/>
        <v/>
      </c>
      <c r="L319" s="708" t="str">
        <f t="shared" ca="1" si="104"/>
        <v/>
      </c>
      <c r="M319" s="598">
        <f>IF($F319="","",IF($C319="売",CEILING($F319*IF($C319="売",1-$AG$3,1+$AG$3),IF($F319*IF($C319="売",1-$AG$3,1+$AG$3)&lt;=3000,1,IF($F319*IF($C319="売",1-$AG$3,1+$AG$3)&lt;=5000,5,IF($F319*IF($C319="売",1-$AG$3,1+$AG$3)&lt;=30000,10,IF($F319*IF($C319="売",1-$AG$3,1+$AG$3)&lt;=50000,50,IF($F319*IF($C319="売",1-$AG$3,1+$AG$3)&lt;=300000,100,500)))))),FLOOR($F319*IF($C319="売",1-$AG$3,1+$AG$3),IF($F319*IF($C319="売",1-$AG$3,1+$AG$3)&lt;=3000,1,IF($F319*IF($C319="売",1-$AG$3,1+$AG$3)&lt;=5000,5,IF($F319*IF($C319="売",1-$AG$3,1+$AG$3)&lt;=30000,10,IF($F319*IF($C319="売",1-$AG$3,1+$AG$3)&lt;=50000,50,IF($F319*IF($C319="売",1-$AG$3,1+$AG$3)&lt;=300000,100,500))))))))</f>
      </c>
      <c r="N319" s="598">
        <f>IF($F319="","",IF($C319="売",CEILING($F319*IF($C319="売",1+$AG$2,1-$AG$2),IF($F319*IF($C319="売",1+$AG$2,1-$AG$2)&lt;=3000,1,IF($F319*IF($C319="売",1+$AG$2,1-$AG$2)&lt;=5000,5,IF($F319*IF($C319="売",1+$AG$2,1-$AG$2)&lt;=30000,10,IF($F319*IF($C319="売",1+$AG$2,1-$AG$2)&lt;=50000,50,IF($F319*IF($C319="売",1+$AG$2,1-$AG$2)&lt;=300000,100,500)))))),FLOOR($F319*IF($C319="売",1+$AG$2,1-$AG$2),IF($F319*IF($C319="売",1+$AG$2,1-$AG$2)&lt;=3000,1,IF($F319*IF($C319="売",1+$AG$2,1-$AG$2)&lt;=5000,5,IF($F319*IF($C319="売",1+$AG$2,1-$AG$2)&lt;=30000,10,IF($F319*IF($C319="売",1+$AG$2,1-$AG$2)&lt;=50000,50,IF($F319*IF($C319="売",1+$AG$2,1-$AG$2)&lt;=300000,100,500))))))))</f>
      </c>
      <c r="O319" s="478">
        <f>IF(OR($B319="",$F319="",$H319=""),"",IF($S319="✅売却済","―決済済―",IF($C319="売",  IF($H319&lt;=$M319,"🟢利確",  IF(AND($R319&lt;&gt;"",$H319&gt;=$R319),"🟠TRAIL決済",  IF($H319&gt;=$N319,"🔴損切",  IF($W319&gt;=$AG$5,"⏱時間決済",  IF($H319&gt;=$F319*(1+$AG$2*0.7),"⚠️損切接近","保持継続"))))),  IF($H319&gt;=$M319,"🟢利確",  IF(AND($R319&lt;&gt;"",$H319&lt;=$R319),"🟠TRAIL決済",  IF($H319&lt;=$N319,"🔴損切",  IF($W319&gt;=$AG$5,"⏱時間決済",  IF($H319&lt;=$F319*(1-$AG$2*0.7),"⚠️損切接近","保持継続")))))))</f>
      </c>
      <c r="P319" s="445"/>
      <c r="Q319" s="445"/>
      <c r="R319" s="480">
        <f>IF(OR($F319="",$H319="",$N319=""),"",IF($S319="✅売却済","",IF($C319="売",  IF($H319&gt;$F319*(1-$AG$2),$N319,CEILING(MIN($N319,IF($Q319="",$N319,$Q319*1.03)),IF($N319&lt;=3000,1,IF($N319&lt;=5000,5,IF($N319&lt;=30000,10,IF($N319&lt;=50000,50,IF($N319&lt;=300000,100,500))))))),  IF($H319&lt;$F319*(1+$AG$2),$N319,FLOOR(MAX($N319,IF($P319="",$N319,$P319*0.97)),IF($N319&lt;=3000,1,IF($N319&lt;=5000,5,IF($N319&lt;=30000,10,IF($N319&lt;=50000,50,IF($N319&lt;=300000,100,500))))))))))</f>
      </c>
      <c r="S319" s="480" t="str">
        <f t="shared" si="106"/>
        <v/>
      </c>
      <c r="T319" s="596" t="str">
        <f t="shared" ca="1" si="95"/>
        <v/>
      </c>
      <c r="U319" s="598" t="str">
        <f t="shared" ca="1" si="96"/>
        <v/>
      </c>
      <c r="V319" s="703" t="str">
        <f t="shared" ca="1" si="107"/>
        <v/>
      </c>
      <c r="W319" s="480" t="str">
        <f t="shared" ca="1" si="97"/>
        <v/>
      </c>
      <c r="X319" s="480" t="str">
        <f t="shared" ca="1" si="98"/>
        <v/>
      </c>
      <c r="Y319" s="488">
        <f>IF($B319="","",IF(COUNTIFS($B$4:$B319,$B319,$C$4:$C319,$C319)&gt;1,"⛔重複"&amp;COUNTIFS($B$4:$B319,$B319,$C$4:$C319,$C319)&amp;"回目",""))</f>
      </c>
      <c r="Z319" s="710"/>
      <c r="AB319">
        <f>IF($F319="","",MAX(100,ROUNDDOWN($AG$4/($F319*$AG$2)/100,0)*100))</f>
      </c>
      <c r="AC319">
        <f>IF(OR($F319="",$G319="",$U319=""),"",ROUND($V319-($F319+$U319)*$G319*$AG$6-IF($C319="売",$F319*$G319*$AG$7*$W319/365,0),0))</f>
      </c>
      <c r="AD319" s="608"/>
      <c r="AE319" s="600" t="str">
        <f t="shared" si="99"/>
        <v/>
      </c>
      <c r="AF319" s="600"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00"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00" t="str">
        <f t="shared" ca="1" si="100"/>
        <v/>
      </c>
      <c r="AI319" s="600" t="str" cm="1">
        <f t="array" ref="AI319">IFERROR(INDEX(始値!$E$6:$BT$305,MATCH(TEXT($B319,"0"),TEXT(銘柄管理!$B$6:$B$305,"0"),0),MATCH($AE319,始値!$E$3:$BT$3,0)),"")</f>
        <v/>
      </c>
      <c r="AJ319" s="608" t="str">
        <f t="shared" ca="1" si="101"/>
        <v/>
      </c>
      <c r="AK319" s="600" t="str">
        <f t="shared" ca="1" si="102"/>
        <v/>
      </c>
    </row>
    <row r="320" spans="1:37" ht="17.25" customHeight="1">
      <c r="A320" s="621" t="str">
        <f t="shared" si="91"/>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BT$3,0)=1,1,MATCH($E320,始値!$E$3:$BT$3,0)+1)),_xlpm.v,INDEX(始値!$C$6:$B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 t="shared" ca="1" si="103"/>
        <v/>
      </c>
      <c r="L320" s="708" t="str">
        <f t="shared" ca="1" si="104"/>
        <v/>
      </c>
      <c r="M320" s="598">
        <f>IF($F320="","",IF($C320="売",CEILING($F320*IF($C320="売",1-$AG$3,1+$AG$3),IF($F320*IF($C320="売",1-$AG$3,1+$AG$3)&lt;=3000,1,IF($F320*IF($C320="売",1-$AG$3,1+$AG$3)&lt;=5000,5,IF($F320*IF($C320="売",1-$AG$3,1+$AG$3)&lt;=30000,10,IF($F320*IF($C320="売",1-$AG$3,1+$AG$3)&lt;=50000,50,IF($F320*IF($C320="売",1-$AG$3,1+$AG$3)&lt;=300000,100,500)))))),FLOOR($F320*IF($C320="売",1-$AG$3,1+$AG$3),IF($F320*IF($C320="売",1-$AG$3,1+$AG$3)&lt;=3000,1,IF($F320*IF($C320="売",1-$AG$3,1+$AG$3)&lt;=5000,5,IF($F320*IF($C320="売",1-$AG$3,1+$AG$3)&lt;=30000,10,IF($F320*IF($C320="売",1-$AG$3,1+$AG$3)&lt;=50000,50,IF($F320*IF($C320="売",1-$AG$3,1+$AG$3)&lt;=300000,100,500))))))))</f>
      </c>
      <c r="N320" s="598">
        <f>IF($F320="","",IF($C320="売",CEILING($F320*IF($C320="売",1+$AG$2,1-$AG$2),IF($F320*IF($C320="売",1+$AG$2,1-$AG$2)&lt;=3000,1,IF($F320*IF($C320="売",1+$AG$2,1-$AG$2)&lt;=5000,5,IF($F320*IF($C320="売",1+$AG$2,1-$AG$2)&lt;=30000,10,IF($F320*IF($C320="売",1+$AG$2,1-$AG$2)&lt;=50000,50,IF($F320*IF($C320="売",1+$AG$2,1-$AG$2)&lt;=300000,100,500)))))),FLOOR($F320*IF($C320="売",1+$AG$2,1-$AG$2),IF($F320*IF($C320="売",1+$AG$2,1-$AG$2)&lt;=3000,1,IF($F320*IF($C320="売",1+$AG$2,1-$AG$2)&lt;=5000,5,IF($F320*IF($C320="売",1+$AG$2,1-$AG$2)&lt;=30000,10,IF($F320*IF($C320="売",1+$AG$2,1-$AG$2)&lt;=50000,50,IF($F320*IF($C320="売",1+$AG$2,1-$AG$2)&lt;=300000,100,500))))))))</f>
      </c>
      <c r="O320" s="478">
        <f>IF(OR($B320="",$F320="",$H320=""),"",IF($S320="✅売却済","―決済済―",IF($C320="売",  IF($H320&lt;=$M320,"🟢利確",  IF(AND($R320&lt;&gt;"",$H320&gt;=$R320),"🟠TRAIL決済",  IF($H320&gt;=$N320,"🔴損切",  IF($W320&gt;=$AG$5,"⏱時間決済",  IF($H320&gt;=$F320*(1+$AG$2*0.7),"⚠️損切接近","保持継続"))))),  IF($H320&gt;=$M320,"🟢利確",  IF(AND($R320&lt;&gt;"",$H320&lt;=$R320),"🟠TRAIL決済",  IF($H320&lt;=$N320,"🔴損切",  IF($W320&gt;=$AG$5,"⏱時間決済",  IF($H320&lt;=$F320*(1-$AG$2*0.7),"⚠️損切接近","保持継続")))))))</f>
      </c>
      <c r="P320" s="445"/>
      <c r="Q320" s="445"/>
      <c r="R320" s="480">
        <f>IF(OR($F320="",$H320="",$N320=""),"",IF($S320="✅売却済","",IF($C320="売",  IF($H320&gt;$F320*(1-$AG$2),$N320,CEILING(MIN($N320,IF($Q320="",$N320,$Q320*1.03)),IF($N320&lt;=3000,1,IF($N320&lt;=5000,5,IF($N320&lt;=30000,10,IF($N320&lt;=50000,50,IF($N320&lt;=300000,100,500))))))),  IF($H320&lt;$F320*(1+$AG$2),$N320,FLOOR(MAX($N320,IF($P320="",$N320,$P320*0.97)),IF($N320&lt;=3000,1,IF($N320&lt;=5000,5,IF($N320&lt;=30000,10,IF($N320&lt;=50000,50,IF($N320&lt;=300000,100,500))))))))))</f>
      </c>
      <c r="S320" s="480" t="str">
        <f t="shared" si="106"/>
        <v/>
      </c>
      <c r="T320" s="596" t="str">
        <f t="shared" ca="1" si="95"/>
        <v/>
      </c>
      <c r="U320" s="598" t="str">
        <f t="shared" ca="1" si="96"/>
        <v/>
      </c>
      <c r="V320" s="703" t="str">
        <f t="shared" ca="1" si="107"/>
        <v/>
      </c>
      <c r="W320" s="480" t="str">
        <f t="shared" ca="1" si="97"/>
        <v/>
      </c>
      <c r="X320" s="480" t="str">
        <f t="shared" ca="1" si="98"/>
        <v/>
      </c>
      <c r="Y320" s="488">
        <f>IF($B320="","",IF(COUNTIFS($B$4:$B320,$B320,$C$4:$C320,$C320)&gt;1,"⛔重複"&amp;COUNTIFS($B$4:$B320,$B320,$C$4:$C320,$C320)&amp;"回目",""))</f>
      </c>
      <c r="Z320" s="710"/>
      <c r="AB320">
        <f>IF($F320="","",MAX(100,ROUNDDOWN($AG$4/($F320*$AG$2)/100,0)*100))</f>
      </c>
      <c r="AC320">
        <f>IF(OR($F320="",$G320="",$U320=""),"",ROUND($V320-($F320+$U320)*$G320*$AG$6-IF($C320="売",$F320*$G320*$AG$7*$W320/365,0),0))</f>
      </c>
      <c r="AD320" s="608"/>
      <c r="AE320" s="600" t="str">
        <f t="shared" si="99"/>
        <v/>
      </c>
      <c r="AF320" s="600"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00"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00" t="str">
        <f t="shared" ca="1" si="100"/>
        <v/>
      </c>
      <c r="AI320" s="600" t="str" cm="1">
        <f t="array" ref="AI320">IFERROR(INDEX(始値!$E$6:$BT$305,MATCH(TEXT($B320,"0"),TEXT(銘柄管理!$B$6:$B$305,"0"),0),MATCH($AE320,始値!$E$3:$BT$3,0)),"")</f>
        <v/>
      </c>
      <c r="AJ320" s="608" t="str">
        <f t="shared" ca="1" si="101"/>
        <v/>
      </c>
      <c r="AK320" s="600" t="str">
        <f t="shared" ca="1" si="102"/>
        <v/>
      </c>
    </row>
    <row r="321" spans="1:37" ht="17.25" customHeight="1">
      <c r="A321" s="622" t="str">
        <f t="shared" si="91"/>
        <v/>
      </c>
      <c r="D321" s="440" t="str" cm="1">
        <f t="array" ref="D321">_xll.RssMarket(B321, "銘柄名称")</f>
        <v/>
      </c>
      <c r="E321" s="717"/>
      <c r="F321" s="6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 t="shared" ca="1" si="103"/>
        <v/>
      </c>
      <c r="L321" s="709" t="str">
        <f t="shared" ca="1" si="104"/>
        <v/>
      </c>
      <c r="M321" s="599">
        <f>IF($F321="","",IF($C321="売",CEILING($F321*IF($C321="売",1-$AG$3,1+$AG$3),IF($F321*IF($C321="売",1-$AG$3,1+$AG$3)&lt;=3000,1,IF($F321*IF($C321="売",1-$AG$3,1+$AG$3)&lt;=5000,5,IF($F321*IF($C321="売",1-$AG$3,1+$AG$3)&lt;=30000,10,IF($F321*IF($C321="売",1-$AG$3,1+$AG$3)&lt;=50000,50,IF($F321*IF($C321="売",1-$AG$3,1+$AG$3)&lt;=300000,100,500)))))),FLOOR($F321*IF($C321="売",1-$AG$3,1+$AG$3),IF($F321*IF($C321="売",1-$AG$3,1+$AG$3)&lt;=3000,1,IF($F321*IF($C321="売",1-$AG$3,1+$AG$3)&lt;=5000,5,IF($F321*IF($C321="売",1-$AG$3,1+$AG$3)&lt;=30000,10,IF($F321*IF($C321="売",1-$AG$3,1+$AG$3)&lt;=50000,50,IF($F321*IF($C321="売",1-$AG$3,1+$AG$3)&lt;=300000,100,500))))))))</f>
      </c>
      <c r="N321" s="599">
        <f>IF($F321="","",IF($C321="売",CEILING($F321*IF($C321="売",1+$AG$2,1-$AG$2),IF($F321*IF($C321="売",1+$AG$2,1-$AG$2)&lt;=3000,1,IF($F321*IF($C321="売",1+$AG$2,1-$AG$2)&lt;=5000,5,IF($F321*IF($C321="売",1+$AG$2,1-$AG$2)&lt;=30000,10,IF($F321*IF($C321="売",1+$AG$2,1-$AG$2)&lt;=50000,50,IF($F321*IF($C321="売",1+$AG$2,1-$AG$2)&lt;=300000,100,500)))))),FLOOR($F321*IF($C321="売",1+$AG$2,1-$AG$2),IF($F321*IF($C321="売",1+$AG$2,1-$AG$2)&lt;=3000,1,IF($F321*IF($C321="売",1+$AG$2,1-$AG$2)&lt;=5000,5,IF($F321*IF($C321="売",1+$AG$2,1-$AG$2)&lt;=30000,10,IF($F321*IF($C321="売",1+$AG$2,1-$AG$2)&lt;=50000,50,IF($F321*IF($C321="売",1+$AG$2,1-$AG$2)&lt;=300000,100,500))))))))</f>
      </c>
      <c r="O321" s="478">
        <f>IF(OR($B321="",$F321="",$H321=""),"",IF($S321="✅売却済","―決済済―",IF($C321="売",  IF($H321&lt;=$M321,"🟢利確",  IF(AND($R321&lt;&gt;"",$H321&gt;=$R321),"🟠TRAIL決済",  IF($H321&gt;=$N321,"🔴損切",  IF($W321&gt;=$AG$5,"⏱時間決済",  IF($H321&gt;=$F321*(1+$AG$2*0.7),"⚠️損切接近","保持継続"))))),  IF($H321&gt;=$M321,"🟢利確",  IF(AND($R321&lt;&gt;"",$H321&lt;=$R321),"🟠TRAIL決済",  IF($H321&lt;=$N321,"🔴損切",  IF($W321&gt;=$AG$5,"⏱時間決済",  IF($H321&lt;=$F321*(1-$AG$2*0.7),"⚠️損切接近","保持継続")))))))</f>
      </c>
      <c r="P321" s="445"/>
      <c r="Q321" s="445"/>
      <c r="R321" s="440">
        <f>IF(OR($F321="",$H321="",$N321=""),"",IF($S321="✅売却済","",IF($C321="売",  IF($H321&gt;$F321*(1-$AG$2),$N321,CEILING(MIN($N321,IF($Q321="",$N321,$Q321*1.03)),IF($N321&lt;=3000,1,IF($N321&lt;=5000,5,IF($N321&lt;=30000,10,IF($N321&lt;=50000,50,IF($N321&lt;=300000,100,500))))))),  IF($H321&lt;$F321*(1+$AG$2),$N321,FLOOR(MAX($N321,IF($P321="",$N321,$P321*0.97)),IF($N321&lt;=3000,1,IF($N321&lt;=5000,5,IF($N321&lt;=30000,10,IF($N321&lt;=50000,50,IF($N321&lt;=300000,100,500))))))))))</f>
      </c>
      <c r="S321" s="440" t="str">
        <f t="shared" si="106"/>
        <v/>
      </c>
      <c r="T321" s="597" t="str">
        <f t="shared" ca="1" si="95"/>
        <v/>
      </c>
      <c r="U321" s="599" t="str">
        <f t="shared" ca="1" si="96"/>
        <v/>
      </c>
      <c r="V321" s="704" t="str">
        <f t="shared" ca="1" si="107"/>
        <v/>
      </c>
      <c r="W321" s="440" t="str">
        <f t="shared" ca="1" si="97"/>
        <v/>
      </c>
      <c r="X321" s="440" t="str">
        <f t="shared" ca="1" si="98"/>
        <v/>
      </c>
      <c r="Y321">
        <f>IF($B321="","",IF(COUNTIFS($B$4:$B321,$B321,$C$4:$C321,$C321)&gt;1,"⛔重複"&amp;COUNTIFS($B$4:$B321,$B321,$C$4:$C321,$C321)&amp;"回目",""))</f>
      </c>
      <c r="AB321">
        <f>IF($F321="","",MAX(100,ROUNDDOWN($AG$4/($F321*$AG$2)/100,0)*100))</f>
      </c>
      <c r="AC321">
        <f>IF(OR($F321="",$G321="",$U321=""),"",ROUND($V321-($F321+$U321)*$G321*$AG$6-IF($C321="売",$F321*$G321*$AG$7*$W321/365,0),0))</f>
      </c>
      <c r="AD321" s="608"/>
      <c r="AE321" s="600" t="str">
        <f t="shared" si="99"/>
        <v/>
      </c>
      <c r="AF321" s="600"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00"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00" t="str">
        <f t="shared" ca="1" si="100"/>
        <v/>
      </c>
      <c r="AI321" s="600" t="str" cm="1">
        <f t="array" ref="AI321">IFERROR(INDEX(始値!$E$6:$BT$305,MATCH(TEXT($B321,"0"),TEXT(銘柄管理!$B$6:$B$305,"0"),0),MATCH($AE321,始値!$E$3:$BT$3,0)),"")</f>
        <v/>
      </c>
      <c r="AJ321" s="608" t="str">
        <f t="shared" ca="1" si="101"/>
        <v/>
      </c>
      <c r="AK321" s="600" t="str">
        <f t="shared" ca="1" si="102"/>
        <v/>
      </c>
    </row>
    <row r="322" spans="1:37" ht="17.25" customHeight="1">
      <c r="A322" s="622" t="str">
        <f t="shared" si="91"/>
        <v/>
      </c>
      <c r="D322" s="440" t="str" cm="1">
        <f t="array" ref="D322">_xll.RssMarket(B322, "銘柄名称")</f>
        <v/>
      </c>
      <c r="E322" s="717"/>
      <c r="F322" s="6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 t="shared" ca="1" si="103"/>
        <v/>
      </c>
      <c r="L322" s="709" t="str">
        <f t="shared" ca="1" si="104"/>
        <v/>
      </c>
      <c r="M322" s="599">
        <f>IF($F322="","",IF($C322="売",CEILING($F322*IF($C322="売",1-$AG$3,1+$AG$3),IF($F322*IF($C322="売",1-$AG$3,1+$AG$3)&lt;=3000,1,IF($F322*IF($C322="売",1-$AG$3,1+$AG$3)&lt;=5000,5,IF($F322*IF($C322="売",1-$AG$3,1+$AG$3)&lt;=30000,10,IF($F322*IF($C322="売",1-$AG$3,1+$AG$3)&lt;=50000,50,IF($F322*IF($C322="売",1-$AG$3,1+$AG$3)&lt;=300000,100,500)))))),FLOOR($F322*IF($C322="売",1-$AG$3,1+$AG$3),IF($F322*IF($C322="売",1-$AG$3,1+$AG$3)&lt;=3000,1,IF($F322*IF($C322="売",1-$AG$3,1+$AG$3)&lt;=5000,5,IF($F322*IF($C322="売",1-$AG$3,1+$AG$3)&lt;=30000,10,IF($F322*IF($C322="売",1-$AG$3,1+$AG$3)&lt;=50000,50,IF($F322*IF($C322="売",1-$AG$3,1+$AG$3)&lt;=300000,100,500))))))))</f>
      </c>
      <c r="N322" s="599">
        <f>IF($F322="","",IF($C322="売",CEILING($F322*IF($C322="売",1+$AG$2,1-$AG$2),IF($F322*IF($C322="売",1+$AG$2,1-$AG$2)&lt;=3000,1,IF($F322*IF($C322="売",1+$AG$2,1-$AG$2)&lt;=5000,5,IF($F322*IF($C322="売",1+$AG$2,1-$AG$2)&lt;=30000,10,IF($F322*IF($C322="売",1+$AG$2,1-$AG$2)&lt;=50000,50,IF($F322*IF($C322="売",1+$AG$2,1-$AG$2)&lt;=300000,100,500)))))),FLOOR($F322*IF($C322="売",1+$AG$2,1-$AG$2),IF($F322*IF($C322="売",1+$AG$2,1-$AG$2)&lt;=3000,1,IF($F322*IF($C322="売",1+$AG$2,1-$AG$2)&lt;=5000,5,IF($F322*IF($C322="売",1+$AG$2,1-$AG$2)&lt;=30000,10,IF($F322*IF($C322="売",1+$AG$2,1-$AG$2)&lt;=50000,50,IF($F322*IF($C322="売",1+$AG$2,1-$AG$2)&lt;=300000,100,500))))))))</f>
      </c>
      <c r="O322" s="478">
        <f>IF(OR($B322="",$F322="",$H322=""),"",IF($S322="✅売却済","―決済済―",IF($C322="売",  IF($H322&lt;=$M322,"🟢利確",  IF(AND($R322&lt;&gt;"",$H322&gt;=$R322),"🟠TRAIL決済",  IF($H322&gt;=$N322,"🔴損切",  IF($W322&gt;=$AG$5,"⏱時間決済",  IF($H322&gt;=$F322*(1+$AG$2*0.7),"⚠️損切接近","保持継続"))))),  IF($H322&gt;=$M322,"🟢利確",  IF(AND($R322&lt;&gt;"",$H322&lt;=$R322),"🟠TRAIL決済",  IF($H322&lt;=$N322,"🔴損切",  IF($W322&gt;=$AG$5,"⏱時間決済",  IF($H322&lt;=$F322*(1-$AG$2*0.7),"⚠️損切接近","保持継続")))))))</f>
      </c>
      <c r="P322" s="445"/>
      <c r="Q322" s="445"/>
      <c r="R322" s="440">
        <f>IF(OR($F322="",$H322="",$N322=""),"",IF($S322="✅売却済","",IF($C322="売",  IF($H322&gt;$F322*(1-$AG$2),$N322,CEILING(MIN($N322,IF($Q322="",$N322,$Q322*1.03)),IF($N322&lt;=3000,1,IF($N322&lt;=5000,5,IF($N322&lt;=30000,10,IF($N322&lt;=50000,50,IF($N322&lt;=300000,100,500))))))),  IF($H322&lt;$F322*(1+$AG$2),$N322,FLOOR(MAX($N322,IF($P322="",$N322,$P322*0.97)),IF($N322&lt;=3000,1,IF($N322&lt;=5000,5,IF($N322&lt;=30000,10,IF($N322&lt;=50000,50,IF($N322&lt;=300000,100,500))))))))))</f>
      </c>
      <c r="S322" s="440" t="str">
        <f t="shared" si="106"/>
        <v/>
      </c>
      <c r="T322" s="597" t="str">
        <f t="shared" ca="1" si="95"/>
        <v/>
      </c>
      <c r="U322" s="599" t="str">
        <f t="shared" ca="1" si="96"/>
        <v/>
      </c>
      <c r="V322" s="704" t="str">
        <f t="shared" ca="1" si="107"/>
        <v/>
      </c>
      <c r="W322" s="440" t="str">
        <f t="shared" ca="1" si="97"/>
        <v/>
      </c>
      <c r="X322" s="440" t="str">
        <f t="shared" ca="1" si="98"/>
        <v/>
      </c>
      <c r="Y322">
        <f>IF($B322="","",IF(COUNTIFS($B$4:$B322,$B322,$C$4:$C322,$C322)&gt;1,"⛔重複"&amp;COUNTIFS($B$4:$B322,$B322,$C$4:$C322,$C322)&amp;"回目",""))</f>
      </c>
      <c r="AB322">
        <f>IF($F322="","",MAX(100,ROUNDDOWN($AG$4/($F322*$AG$2)/100,0)*100))</f>
      </c>
      <c r="AC322">
        <f>IF(OR($F322="",$G322="",$U322=""),"",ROUND($V322-($F322+$U322)*$G322*$AG$6-IF($C322="売",$F322*$G322*$AG$7*$W322/365,0),0))</f>
      </c>
      <c r="AD322" s="608"/>
      <c r="AE322" s="600" t="str">
        <f t="shared" si="99"/>
        <v/>
      </c>
      <c r="AF322" s="600"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00"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00" t="str">
        <f t="shared" ca="1" si="100"/>
        <v/>
      </c>
      <c r="AI322" s="600" t="str" cm="1">
        <f t="array" ref="AI322">IFERROR(INDEX(始値!$E$6:$BT$305,MATCH(TEXT($B322,"0"),TEXT(銘柄管理!$B$6:$B$305,"0"),0),MATCH($AE322,始値!$E$3:$BT$3,0)),"")</f>
        <v/>
      </c>
      <c r="AJ322" s="608" t="str">
        <f t="shared" ca="1" si="101"/>
        <v/>
      </c>
      <c r="AK322" s="600" t="str">
        <f t="shared" ca="1" si="102"/>
        <v/>
      </c>
    </row>
    <row r="323" spans="1:37" ht="17.25" customHeight="1">
      <c r="A323" s="622" t="str">
        <f t="shared" si="91"/>
        <v/>
      </c>
      <c r="D323" s="440" t="str" cm="1">
        <f t="array" ref="D323">_xll.RssMarket(B323, "銘柄名称")</f>
        <v/>
      </c>
      <c r="E323" s="717"/>
      <c r="F323" s="6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 t="shared" ca="1" si="103"/>
        <v/>
      </c>
      <c r="L323" s="709" t="str">
        <f t="shared" ca="1" si="104"/>
        <v/>
      </c>
      <c r="M323" s="599">
        <f>IF($F323="","",IF($C323="売",CEILING($F323*IF($C323="売",1-$AG$3,1+$AG$3),IF($F323*IF($C323="売",1-$AG$3,1+$AG$3)&lt;=3000,1,IF($F323*IF($C323="売",1-$AG$3,1+$AG$3)&lt;=5000,5,IF($F323*IF($C323="売",1-$AG$3,1+$AG$3)&lt;=30000,10,IF($F323*IF($C323="売",1-$AG$3,1+$AG$3)&lt;=50000,50,IF($F323*IF($C323="売",1-$AG$3,1+$AG$3)&lt;=300000,100,500)))))),FLOOR($F323*IF($C323="売",1-$AG$3,1+$AG$3),IF($F323*IF($C323="売",1-$AG$3,1+$AG$3)&lt;=3000,1,IF($F323*IF($C323="売",1-$AG$3,1+$AG$3)&lt;=5000,5,IF($F323*IF($C323="売",1-$AG$3,1+$AG$3)&lt;=30000,10,IF($F323*IF($C323="売",1-$AG$3,1+$AG$3)&lt;=50000,50,IF($F323*IF($C323="売",1-$AG$3,1+$AG$3)&lt;=300000,100,500))))))))</f>
      </c>
      <c r="N323" s="599">
        <f>IF($F323="","",IF($C323="売",CEILING($F323*IF($C323="売",1+$AG$2,1-$AG$2),IF($F323*IF($C323="売",1+$AG$2,1-$AG$2)&lt;=3000,1,IF($F323*IF($C323="売",1+$AG$2,1-$AG$2)&lt;=5000,5,IF($F323*IF($C323="売",1+$AG$2,1-$AG$2)&lt;=30000,10,IF($F323*IF($C323="売",1+$AG$2,1-$AG$2)&lt;=50000,50,IF($F323*IF($C323="売",1+$AG$2,1-$AG$2)&lt;=300000,100,500)))))),FLOOR($F323*IF($C323="売",1+$AG$2,1-$AG$2),IF($F323*IF($C323="売",1+$AG$2,1-$AG$2)&lt;=3000,1,IF($F323*IF($C323="売",1+$AG$2,1-$AG$2)&lt;=5000,5,IF($F323*IF($C323="売",1+$AG$2,1-$AG$2)&lt;=30000,10,IF($F323*IF($C323="売",1+$AG$2,1-$AG$2)&lt;=50000,50,IF($F323*IF($C323="売",1+$AG$2,1-$AG$2)&lt;=300000,100,500))))))))</f>
      </c>
      <c r="O323" s="478">
        <f>IF(OR($B323="",$F323="",$H323=""),"",IF($S323="✅売却済","―決済済―",IF($C323="売",  IF($H323&lt;=$M323,"🟢利確",  IF(AND($R323&lt;&gt;"",$H323&gt;=$R323),"🟠TRAIL決済",  IF($H323&gt;=$N323,"🔴損切",  IF($W323&gt;=$AG$5,"⏱時間決済",  IF($H323&gt;=$F323*(1+$AG$2*0.7),"⚠️損切接近","保持継続"))))),  IF($H323&gt;=$M323,"🟢利確",  IF(AND($R323&lt;&gt;"",$H323&lt;=$R323),"🟠TRAIL決済",  IF($H323&lt;=$N323,"🔴損切",  IF($W323&gt;=$AG$5,"⏱時間決済",  IF($H323&lt;=$F323*(1-$AG$2*0.7),"⚠️損切接近","保持継続")))))))</f>
      </c>
      <c r="P323" s="445"/>
      <c r="Q323" s="445"/>
      <c r="R323" s="440">
        <f>IF(OR($F323="",$H323="",$N323=""),"",IF($S323="✅売却済","",IF($C323="売",  IF($H323&gt;$F323*(1-$AG$2),$N323,CEILING(MIN($N323,IF($Q323="",$N323,$Q323*1.03)),IF($N323&lt;=3000,1,IF($N323&lt;=5000,5,IF($N323&lt;=30000,10,IF($N323&lt;=50000,50,IF($N323&lt;=300000,100,500))))))),  IF($H323&lt;$F323*(1+$AG$2),$N323,FLOOR(MAX($N323,IF($P323="",$N323,$P323*0.97)),IF($N323&lt;=3000,1,IF($N323&lt;=5000,5,IF($N323&lt;=30000,10,IF($N323&lt;=50000,50,IF($N323&lt;=300000,100,500))))))))))</f>
      </c>
      <c r="S323" s="440" t="str">
        <f t="shared" si="106"/>
        <v/>
      </c>
      <c r="T323" s="597" t="str">
        <f t="shared" ca="1" si="95"/>
        <v/>
      </c>
      <c r="U323" s="599" t="str">
        <f t="shared" ca="1" si="96"/>
        <v/>
      </c>
      <c r="V323" s="704" t="str">
        <f t="shared" ca="1" si="107"/>
        <v/>
      </c>
      <c r="W323" s="440" t="str">
        <f t="shared" ca="1" si="97"/>
        <v/>
      </c>
      <c r="X323" s="440" t="str">
        <f t="shared" ca="1" si="98"/>
        <v/>
      </c>
      <c r="Y323">
        <f>IF($B323="","",IF(COUNTIFS($B$4:$B323,$B323,$C$4:$C323,$C323)&gt;1,"⛔重複"&amp;COUNTIFS($B$4:$B323,$B323,$C$4:$C323,$C323)&amp;"回目",""))</f>
      </c>
      <c r="AB323">
        <f>IF($F323="","",MAX(100,ROUNDDOWN($AG$4/($F323*$AG$2)/100,0)*100))</f>
      </c>
      <c r="AC323">
        <f>IF(OR($F323="",$G323="",$U323=""),"",ROUND($V323-($F323+$U323)*$G323*$AG$6-IF($C323="売",$F323*$G323*$AG$7*$W323/365,0),0))</f>
      </c>
      <c r="AD323" s="608"/>
      <c r="AE323" s="600" t="str">
        <f t="shared" si="99"/>
        <v/>
      </c>
      <c r="AF323" s="600"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00"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00" t="str">
        <f t="shared" ca="1" si="100"/>
        <v/>
      </c>
      <c r="AI323" s="600" t="str" cm="1">
        <f t="array" ref="AI323">IFERROR(INDEX(始値!$E$6:$BT$305,MATCH(TEXT($B323,"0"),TEXT(銘柄管理!$B$6:$B$305,"0"),0),MATCH($AE323,始値!$E$3:$BT$3,0)),"")</f>
        <v/>
      </c>
      <c r="AJ323" s="608" t="str">
        <f t="shared" ca="1" si="101"/>
        <v/>
      </c>
      <c r="AK323" s="600" t="str">
        <f t="shared" ca="1" si="102"/>
        <v/>
      </c>
    </row>
    <row r="324" spans="1:37" ht="17.25" customHeight="1">
      <c r="A324" s="622" t="str">
        <f t="shared" ref="A324:A387" si="108">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 t="shared" ca="1" si="103"/>
        <v/>
      </c>
      <c r="L324" s="709" t="str">
        <f t="shared" ca="1" si="104"/>
        <v/>
      </c>
      <c r="M324" s="599">
        <f>IF($F324="","",IF($C324="売",CEILING($F324*IF($C324="売",1-$AG$3,1+$AG$3),IF($F324*IF($C324="売",1-$AG$3,1+$AG$3)&lt;=3000,1,IF($F324*IF($C324="売",1-$AG$3,1+$AG$3)&lt;=5000,5,IF($F324*IF($C324="売",1-$AG$3,1+$AG$3)&lt;=30000,10,IF($F324*IF($C324="売",1-$AG$3,1+$AG$3)&lt;=50000,50,IF($F324*IF($C324="売",1-$AG$3,1+$AG$3)&lt;=300000,100,500)))))),FLOOR($F324*IF($C324="売",1-$AG$3,1+$AG$3),IF($F324*IF($C324="売",1-$AG$3,1+$AG$3)&lt;=3000,1,IF($F324*IF($C324="売",1-$AG$3,1+$AG$3)&lt;=5000,5,IF($F324*IF($C324="売",1-$AG$3,1+$AG$3)&lt;=30000,10,IF($F324*IF($C324="売",1-$AG$3,1+$AG$3)&lt;=50000,50,IF($F324*IF($C324="売",1-$AG$3,1+$AG$3)&lt;=300000,100,500))))))))</f>
      </c>
      <c r="N324" s="599">
        <f>IF($F324="","",IF($C324="売",CEILING($F324*IF($C324="売",1+$AG$2,1-$AG$2),IF($F324*IF($C324="売",1+$AG$2,1-$AG$2)&lt;=3000,1,IF($F324*IF($C324="売",1+$AG$2,1-$AG$2)&lt;=5000,5,IF($F324*IF($C324="売",1+$AG$2,1-$AG$2)&lt;=30000,10,IF($F324*IF($C324="売",1+$AG$2,1-$AG$2)&lt;=50000,50,IF($F324*IF($C324="売",1+$AG$2,1-$AG$2)&lt;=300000,100,500)))))),FLOOR($F324*IF($C324="売",1+$AG$2,1-$AG$2),IF($F324*IF($C324="売",1+$AG$2,1-$AG$2)&lt;=3000,1,IF($F324*IF($C324="売",1+$AG$2,1-$AG$2)&lt;=5000,5,IF($F324*IF($C324="売",1+$AG$2,1-$AG$2)&lt;=30000,10,IF($F324*IF($C324="売",1+$AG$2,1-$AG$2)&lt;=50000,50,IF($F324*IF($C324="売",1+$AG$2,1-$AG$2)&lt;=300000,100,500))))))))</f>
      </c>
      <c r="O324" s="478">
        <f>IF(OR($B324="",$F324="",$H324=""),"",IF($S324="✅売却済","―決済済―",IF($C324="売",  IF($H324&lt;=$M324,"🟢利確",  IF(AND($R324&lt;&gt;"",$H324&gt;=$R324),"🟠TRAIL決済",  IF($H324&gt;=$N324,"🔴損切",  IF($W324&gt;=$AG$5,"⏱時間決済",  IF($H324&gt;=$F324*(1+$AG$2*0.7),"⚠️損切接近","保持継続"))))),  IF($H324&gt;=$M324,"🟢利確",  IF(AND($R324&lt;&gt;"",$H324&lt;=$R324),"🟠TRAIL決済",  IF($H324&lt;=$N324,"🔴損切",  IF($W324&gt;=$AG$5,"⏱時間決済",  IF($H324&lt;=$F324*(1-$AG$2*0.7),"⚠️損切接近","保持継続")))))))</f>
      </c>
      <c r="P324" s="445"/>
      <c r="Q324" s="445"/>
      <c r="R324" s="440">
        <f>IF(OR($F324="",$H324="",$N324=""),"",IF($S324="✅売却済","",IF($C324="売",  IF($H324&gt;$F324*(1-$AG$2),$N324,CEILING(MIN($N324,IF($Q324="",$N324,$Q324*1.03)),IF($N324&lt;=3000,1,IF($N324&lt;=5000,5,IF($N324&lt;=30000,10,IF($N324&lt;=50000,50,IF($N324&lt;=300000,100,500))))))),  IF($H324&lt;$F324*(1+$AG$2),$N324,FLOOR(MAX($N324,IF($P324="",$N324,$P324*0.97)),IF($N324&lt;=3000,1,IF($N324&lt;=5000,5,IF($N324&lt;=30000,10,IF($N324&lt;=50000,50,IF($N324&lt;=300000,100,500))))))))))</f>
      </c>
      <c r="S324" s="440" t="str">
        <f t="shared" si="106"/>
        <v/>
      </c>
      <c r="T324" s="597" t="str">
        <f t="shared" ca="1" si="95"/>
        <v/>
      </c>
      <c r="U324" s="599" t="str">
        <f t="shared" ca="1" si="96"/>
        <v/>
      </c>
      <c r="V324" s="704" t="str">
        <f t="shared" ca="1" si="107"/>
        <v/>
      </c>
      <c r="W324" s="440" t="str">
        <f t="shared" ca="1" si="97"/>
        <v/>
      </c>
      <c r="X324" s="440" t="str">
        <f t="shared" ca="1" si="98"/>
        <v/>
      </c>
      <c r="Y324">
        <f>IF($B324="","",IF(COUNTIFS($B$4:$B324,$B324,$C$4:$C324,$C324)&gt;1,"⛔重複"&amp;COUNTIFS($B$4:$B324,$B324,$C$4:$C324,$C324)&amp;"回目",""))</f>
      </c>
      <c r="AB324">
        <f>IF($F324="","",MAX(100,ROUNDDOWN($AG$4/($F324*$AG$2)/100,0)*100))</f>
      </c>
      <c r="AC324">
        <f>IF(OR($F324="",$G324="",$U324=""),"",ROUND($V324-($F324+$U324)*$G324*$AG$6-IF($C324="売",$F324*$G324*$AG$7*$W324/365,0),0))</f>
      </c>
      <c r="AD324" s="608"/>
      <c r="AE324" s="600" t="str">
        <f t="shared" si="99"/>
        <v/>
      </c>
      <c r="AF324" s="600"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00"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00" t="str">
        <f t="shared" ca="1" si="100"/>
        <v/>
      </c>
      <c r="AI324" s="600" t="str" cm="1">
        <f t="array" ref="AI324">IFERROR(INDEX(始値!$E$6:$BT$305,MATCH(TEXT($B324,"0"),TEXT(銘柄管理!$B$6:$B$305,"0"),0),MATCH($AE324,始値!$E$3:$BT$3,0)),"")</f>
        <v/>
      </c>
      <c r="AJ324" s="608" t="str">
        <f t="shared" ca="1" si="101"/>
        <v/>
      </c>
      <c r="AK324" s="600" t="str">
        <f t="shared" ca="1" si="102"/>
        <v/>
      </c>
    </row>
    <row r="325" spans="1:37" ht="17.25" customHeight="1">
      <c r="A325" s="622" t="str">
        <f t="shared" si="108"/>
        <v/>
      </c>
      <c r="D325" s="440" t="str" cm="1">
        <f t="array" ref="D325">_xll.RssMarket(B325, "銘柄名称")</f>
        <v/>
      </c>
      <c r="E325" s="717"/>
      <c r="F325" s="6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 t="shared" ca="1" si="103"/>
        <v/>
      </c>
      <c r="L325" s="709" t="str">
        <f t="shared" ca="1" si="104"/>
        <v/>
      </c>
      <c r="M325" s="599">
        <f>IF($F325="","",IF($C325="売",CEILING($F325*IF($C325="売",1-$AG$3,1+$AG$3),IF($F325*IF($C325="売",1-$AG$3,1+$AG$3)&lt;=3000,1,IF($F325*IF($C325="売",1-$AG$3,1+$AG$3)&lt;=5000,5,IF($F325*IF($C325="売",1-$AG$3,1+$AG$3)&lt;=30000,10,IF($F325*IF($C325="売",1-$AG$3,1+$AG$3)&lt;=50000,50,IF($F325*IF($C325="売",1-$AG$3,1+$AG$3)&lt;=300000,100,500)))))),FLOOR($F325*IF($C325="売",1-$AG$3,1+$AG$3),IF($F325*IF($C325="売",1-$AG$3,1+$AG$3)&lt;=3000,1,IF($F325*IF($C325="売",1-$AG$3,1+$AG$3)&lt;=5000,5,IF($F325*IF($C325="売",1-$AG$3,1+$AG$3)&lt;=30000,10,IF($F325*IF($C325="売",1-$AG$3,1+$AG$3)&lt;=50000,50,IF($F325*IF($C325="売",1-$AG$3,1+$AG$3)&lt;=300000,100,500))))))))</f>
      </c>
      <c r="N325" s="599">
        <f>IF($F325="","",IF($C325="売",CEILING($F325*IF($C325="売",1+$AG$2,1-$AG$2),IF($F325*IF($C325="売",1+$AG$2,1-$AG$2)&lt;=3000,1,IF($F325*IF($C325="売",1+$AG$2,1-$AG$2)&lt;=5000,5,IF($F325*IF($C325="売",1+$AG$2,1-$AG$2)&lt;=30000,10,IF($F325*IF($C325="売",1+$AG$2,1-$AG$2)&lt;=50000,50,IF($F325*IF($C325="売",1+$AG$2,1-$AG$2)&lt;=300000,100,500)))))),FLOOR($F325*IF($C325="売",1+$AG$2,1-$AG$2),IF($F325*IF($C325="売",1+$AG$2,1-$AG$2)&lt;=3000,1,IF($F325*IF($C325="売",1+$AG$2,1-$AG$2)&lt;=5000,5,IF($F325*IF($C325="売",1+$AG$2,1-$AG$2)&lt;=30000,10,IF($F325*IF($C325="売",1+$AG$2,1-$AG$2)&lt;=50000,50,IF($F325*IF($C325="売",1+$AG$2,1-$AG$2)&lt;=300000,100,500))))))))</f>
      </c>
      <c r="O325" s="478">
        <f>IF(OR($B325="",$F325="",$H325=""),"",IF($S325="✅売却済","―決済済―",IF($C325="売",  IF($H325&lt;=$M325,"🟢利確",  IF(AND($R325&lt;&gt;"",$H325&gt;=$R325),"🟠TRAIL決済",  IF($H325&gt;=$N325,"🔴損切",  IF($W325&gt;=$AG$5,"⏱時間決済",  IF($H325&gt;=$F325*(1+$AG$2*0.7),"⚠️損切接近","保持継続"))))),  IF($H325&gt;=$M325,"🟢利確",  IF(AND($R325&lt;&gt;"",$H325&lt;=$R325),"🟠TRAIL決済",  IF($H325&lt;=$N325,"🔴損切",  IF($W325&gt;=$AG$5,"⏱時間決済",  IF($H325&lt;=$F325*(1-$AG$2*0.7),"⚠️損切接近","保持継続")))))))</f>
      </c>
      <c r="P325" s="445"/>
      <c r="Q325" s="445"/>
      <c r="R325" s="440">
        <f>IF(OR($F325="",$H325="",$N325=""),"",IF($S325="✅売却済","",IF($C325="売",  IF($H325&gt;$F325*(1-$AG$2),$N325,CEILING(MIN($N325,IF($Q325="",$N325,$Q325*1.03)),IF($N325&lt;=3000,1,IF($N325&lt;=5000,5,IF($N325&lt;=30000,10,IF($N325&lt;=50000,50,IF($N325&lt;=300000,100,500))))))),  IF($H325&lt;$F325*(1+$AG$2),$N325,FLOOR(MAX($N325,IF($P325="",$N325,$P325*0.97)),IF($N325&lt;=3000,1,IF($N325&lt;=5000,5,IF($N325&lt;=30000,10,IF($N325&lt;=50000,50,IF($N325&lt;=300000,100,500))))))))))</f>
      </c>
      <c r="S325" s="440" t="str">
        <f t="shared" si="106"/>
        <v/>
      </c>
      <c r="T325" s="597" t="str">
        <f t="shared" ref="T325:T388" ca="1" si="112">IF(OR($AH325="",$AH325="保有中"),"",IF($AH325="日数制限",$AE325,IF($AH325="損切確定",IF(N($AG325)=0,TODAY(),$AG325),IF(N($AF325)=0,TODAY(),$AF325))))</f>
        <v/>
      </c>
      <c r="U325" s="599" t="str">
        <f t="shared" ref="U325:U388" ca="1" si="113">IF(OR($AH325="",$AH325="保有中"),"",ROUND(IF($AH325="日数制限",$AI325,IF($AH325="利益確定",$M325,$N325)),0))</f>
        <v/>
      </c>
      <c r="V325" s="704" t="str">
        <f t="shared" ca="1" si="107"/>
        <v/>
      </c>
      <c r="W325" s="440" t="str">
        <f t="shared" ref="W325:W388" ca="1" si="114">IF(OR($E325="",$B325=""),"",IF($T325&lt;&gt;"",$T325-$E325,TODAY()-$E325)+1)</f>
        <v/>
      </c>
      <c r="X325" s="440" t="str">
        <f t="shared" ref="X325:X388" ca="1" si="115">IF(OR($AH325="",$AH325="保有中"),"",$AH325)</f>
        <v/>
      </c>
      <c r="Y325">
        <f>IF($B325="","",IF(COUNTIFS($B$4:$B325,$B325,$C$4:$C325,$C325)&gt;1,"⛔重複"&amp;COUNTIFS($B$4:$B325,$B325,$C$4:$C325,$C325)&amp;"回目",""))</f>
      </c>
      <c r="AB325">
        <f>IF($F325="","",MAX(100,ROUNDDOWN($AG$4/($F325*$AG$2)/100,0)*100))</f>
      </c>
      <c r="AC325">
        <f>IF(OR($F325="",$G325="",$U325=""),"",ROUND($V325-($F325+$U325)*$G325*$AG$6-IF($C325="売",$F325*$G325*$AG$7*$W325/365,0),0))</f>
      </c>
      <c r="AD325" s="608"/>
      <c r="AE325" s="600" t="str">
        <f t="shared" ref="AE325:AE388" si="116">IF($E325="","",WORKDAY($E325,12))</f>
        <v/>
      </c>
      <c r="AF325" s="600"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00"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00" t="str">
        <f t="shared" ref="AH325:AH388" ca="1" si="117">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IFERROR(INDEX(始値!$E$6:$BT$305,MATCH(TEXT($B325,"0"),TEXT(銘柄管理!$B$6:$B$305,"0"),0),MATCH($AE325,始値!$E$3:$BT$3,0)),"")</f>
        <v/>
      </c>
      <c r="AJ325" s="608" t="str">
        <f t="shared" ref="AJ325:AJ388" ca="1" si="118">IF(OR($V325="",$F325="",$G325=""),"",$V325/($F325*$G325))</f>
        <v/>
      </c>
      <c r="AK325" s="600" t="str">
        <f t="shared" ref="AK325:AK388" ca="1" si="119">IF($V325="","",IF($V325&gt;0,"○勝",IF($V325&lt;0,"●負","△引分")))</f>
        <v/>
      </c>
    </row>
    <row r="326" spans="1:37" ht="17.25" customHeight="1">
      <c r="A326" s="622" t="str">
        <f t="shared" si="108"/>
        <v/>
      </c>
      <c r="D326" s="440" t="str" cm="1">
        <f t="array" ref="D326">_xll.RssMarket(B326, "銘柄名称")</f>
        <v/>
      </c>
      <c r="E326" s="717"/>
      <c r="F326" s="6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 t="shared" ca="1" si="103"/>
        <v/>
      </c>
      <c r="L326" s="709" t="str">
        <f t="shared" ca="1" si="104"/>
        <v/>
      </c>
      <c r="M326" s="599">
        <f>IF($F326="","",IF($C326="売",CEILING($F326*IF($C326="売",1-$AG$3,1+$AG$3),IF($F326*IF($C326="売",1-$AG$3,1+$AG$3)&lt;=3000,1,IF($F326*IF($C326="売",1-$AG$3,1+$AG$3)&lt;=5000,5,IF($F326*IF($C326="売",1-$AG$3,1+$AG$3)&lt;=30000,10,IF($F326*IF($C326="売",1-$AG$3,1+$AG$3)&lt;=50000,50,IF($F326*IF($C326="売",1-$AG$3,1+$AG$3)&lt;=300000,100,500)))))),FLOOR($F326*IF($C326="売",1-$AG$3,1+$AG$3),IF($F326*IF($C326="売",1-$AG$3,1+$AG$3)&lt;=3000,1,IF($F326*IF($C326="売",1-$AG$3,1+$AG$3)&lt;=5000,5,IF($F326*IF($C326="売",1-$AG$3,1+$AG$3)&lt;=30000,10,IF($F326*IF($C326="売",1-$AG$3,1+$AG$3)&lt;=50000,50,IF($F326*IF($C326="売",1-$AG$3,1+$AG$3)&lt;=300000,100,500))))))))</f>
      </c>
      <c r="N326" s="599">
        <f>IF($F326="","",IF($C326="売",CEILING($F326*IF($C326="売",1+$AG$2,1-$AG$2),IF($F326*IF($C326="売",1+$AG$2,1-$AG$2)&lt;=3000,1,IF($F326*IF($C326="売",1+$AG$2,1-$AG$2)&lt;=5000,5,IF($F326*IF($C326="売",1+$AG$2,1-$AG$2)&lt;=30000,10,IF($F326*IF($C326="売",1+$AG$2,1-$AG$2)&lt;=50000,50,IF($F326*IF($C326="売",1+$AG$2,1-$AG$2)&lt;=300000,100,500)))))),FLOOR($F326*IF($C326="売",1+$AG$2,1-$AG$2),IF($F326*IF($C326="売",1+$AG$2,1-$AG$2)&lt;=3000,1,IF($F326*IF($C326="売",1+$AG$2,1-$AG$2)&lt;=5000,5,IF($F326*IF($C326="売",1+$AG$2,1-$AG$2)&lt;=30000,10,IF($F326*IF($C326="売",1+$AG$2,1-$AG$2)&lt;=50000,50,IF($F326*IF($C326="売",1+$AG$2,1-$AG$2)&lt;=300000,100,500))))))))</f>
      </c>
      <c r="O326" s="478">
        <f>IF(OR($B326="",$F326="",$H326=""),"",IF($S326="✅売却済","―決済済―",IF($C326="売",  IF($H326&lt;=$M326,"🟢利確",  IF(AND($R326&lt;&gt;"",$H326&gt;=$R326),"🟠TRAIL決済",  IF($H326&gt;=$N326,"🔴損切",  IF($W326&gt;=$AG$5,"⏱時間決済",  IF($H326&gt;=$F326*(1+$AG$2*0.7),"⚠️損切接近","保持継続"))))),  IF($H326&gt;=$M326,"🟢利確",  IF(AND($R326&lt;&gt;"",$H326&lt;=$R326),"🟠TRAIL決済",  IF($H326&lt;=$N326,"🔴損切",  IF($W326&gt;=$AG$5,"⏱時間決済",  IF($H326&lt;=$F326*(1-$AG$2*0.7),"⚠️損切接近","保持継続")))))))</f>
      </c>
      <c r="P326" s="445"/>
      <c r="Q326" s="445"/>
      <c r="R326" s="440">
        <f>IF(OR($F326="",$H326="",$N326=""),"",IF($S326="✅売却済","",IF($C326="売",  IF($H326&gt;$F326*(1-$AG$2),$N326,CEILING(MIN($N326,IF($Q326="",$N326,$Q326*1.03)),IF($N326&lt;=3000,1,IF($N326&lt;=5000,5,IF($N326&lt;=30000,10,IF($N326&lt;=50000,50,IF($N326&lt;=300000,100,500))))))),  IF($H326&lt;$F326*(1+$AG$2),$N326,FLOOR(MAX($N326,IF($P326="",$N326,$P326*0.97)),IF($N326&lt;=3000,1,IF($N326&lt;=5000,5,IF($N326&lt;=30000,10,IF($N326&lt;=50000,50,IF($N326&lt;=300000,100,500))))))))))</f>
      </c>
      <c r="S326" s="440" t="str">
        <f t="shared" si="106"/>
        <v/>
      </c>
      <c r="T326" s="597" t="str">
        <f t="shared" ca="1" si="112"/>
        <v/>
      </c>
      <c r="U326" s="599" t="str">
        <f t="shared" ca="1" si="113"/>
        <v/>
      </c>
      <c r="V326" s="704" t="str">
        <f t="shared" ca="1" si="107"/>
        <v/>
      </c>
      <c r="W326" s="440" t="str">
        <f t="shared" ca="1" si="114"/>
        <v/>
      </c>
      <c r="X326" s="440" t="str">
        <f t="shared" ca="1" si="115"/>
        <v/>
      </c>
      <c r="Y326">
        <f>IF($B326="","",IF(COUNTIFS($B$4:$B326,$B326,$C$4:$C326,$C326)&gt;1,"⛔重複"&amp;COUNTIFS($B$4:$B326,$B326,$C$4:$C326,$C326)&amp;"回目",""))</f>
      </c>
      <c r="AB326">
        <f>IF($F326="","",MAX(100,ROUNDDOWN($AG$4/($F326*$AG$2)/100,0)*100))</f>
      </c>
      <c r="AC326">
        <f>IF(OR($F326="",$G326="",$U326=""),"",ROUND($V326-($F326+$U326)*$G326*$AG$6-IF($C326="売",$F326*$G326*$AG$7*$W326/365,0),0))</f>
      </c>
      <c r="AD326" s="608"/>
      <c r="AE326" s="600" t="str">
        <f t="shared" si="116"/>
        <v/>
      </c>
      <c r="AF326" s="600"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00"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00" t="str">
        <f t="shared" ca="1" si="117"/>
        <v/>
      </c>
      <c r="AI326" s="600" t="str" cm="1">
        <f t="array" ref="AI326">IFERROR(INDEX(始値!$E$6:$BT$305,MATCH(TEXT($B326,"0"),TEXT(銘柄管理!$B$6:$B$305,"0"),0),MATCH($AE326,始値!$E$3:$BT$3,0)),"")</f>
        <v/>
      </c>
      <c r="AJ326" s="608" t="str">
        <f t="shared" ca="1" si="118"/>
        <v/>
      </c>
      <c r="AK326" s="600" t="str">
        <f t="shared" ca="1" si="119"/>
        <v/>
      </c>
    </row>
    <row r="327" spans="1:37" ht="17.25" customHeight="1">
      <c r="A327" s="622" t="str">
        <f t="shared" si="108"/>
        <v/>
      </c>
      <c r="D327" s="440" t="str" cm="1">
        <f t="array" ref="D327">_xll.RssMarket(B327, "銘柄名称")</f>
        <v/>
      </c>
      <c r="E327" s="717"/>
      <c r="F327" s="6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 t="shared" ca="1" si="103"/>
        <v/>
      </c>
      <c r="L327" s="709" t="str">
        <f t="shared" ca="1" si="104"/>
        <v/>
      </c>
      <c r="M327" s="599">
        <f>IF($F327="","",IF($C327="売",CEILING($F327*IF($C327="売",1-$AG$3,1+$AG$3),IF($F327*IF($C327="売",1-$AG$3,1+$AG$3)&lt;=3000,1,IF($F327*IF($C327="売",1-$AG$3,1+$AG$3)&lt;=5000,5,IF($F327*IF($C327="売",1-$AG$3,1+$AG$3)&lt;=30000,10,IF($F327*IF($C327="売",1-$AG$3,1+$AG$3)&lt;=50000,50,IF($F327*IF($C327="売",1-$AG$3,1+$AG$3)&lt;=300000,100,500)))))),FLOOR($F327*IF($C327="売",1-$AG$3,1+$AG$3),IF($F327*IF($C327="売",1-$AG$3,1+$AG$3)&lt;=3000,1,IF($F327*IF($C327="売",1-$AG$3,1+$AG$3)&lt;=5000,5,IF($F327*IF($C327="売",1-$AG$3,1+$AG$3)&lt;=30000,10,IF($F327*IF($C327="売",1-$AG$3,1+$AG$3)&lt;=50000,50,IF($F327*IF($C327="売",1-$AG$3,1+$AG$3)&lt;=300000,100,500))))))))</f>
      </c>
      <c r="N327" s="599">
        <f>IF($F327="","",IF($C327="売",CEILING($F327*IF($C327="売",1+$AG$2,1-$AG$2),IF($F327*IF($C327="売",1+$AG$2,1-$AG$2)&lt;=3000,1,IF($F327*IF($C327="売",1+$AG$2,1-$AG$2)&lt;=5000,5,IF($F327*IF($C327="売",1+$AG$2,1-$AG$2)&lt;=30000,10,IF($F327*IF($C327="売",1+$AG$2,1-$AG$2)&lt;=50000,50,IF($F327*IF($C327="売",1+$AG$2,1-$AG$2)&lt;=300000,100,500)))))),FLOOR($F327*IF($C327="売",1+$AG$2,1-$AG$2),IF($F327*IF($C327="売",1+$AG$2,1-$AG$2)&lt;=3000,1,IF($F327*IF($C327="売",1+$AG$2,1-$AG$2)&lt;=5000,5,IF($F327*IF($C327="売",1+$AG$2,1-$AG$2)&lt;=30000,10,IF($F327*IF($C327="売",1+$AG$2,1-$AG$2)&lt;=50000,50,IF($F327*IF($C327="売",1+$AG$2,1-$AG$2)&lt;=300000,100,500))))))))</f>
      </c>
      <c r="O327" s="478">
        <f>IF(OR($B327="",$F327="",$H327=""),"",IF($S327="✅売却済","―決済済―",IF($C327="売",  IF($H327&lt;=$M327,"🟢利確",  IF(AND($R327&lt;&gt;"",$H327&gt;=$R327),"🟠TRAIL決済",  IF($H327&gt;=$N327,"🔴損切",  IF($W327&gt;=$AG$5,"⏱時間決済",  IF($H327&gt;=$F327*(1+$AG$2*0.7),"⚠️損切接近","保持継続"))))),  IF($H327&gt;=$M327,"🟢利確",  IF(AND($R327&lt;&gt;"",$H327&lt;=$R327),"🟠TRAIL決済",  IF($H327&lt;=$N327,"🔴損切",  IF($W327&gt;=$AG$5,"⏱時間決済",  IF($H327&lt;=$F327*(1-$AG$2*0.7),"⚠️損切接近","保持継続")))))))</f>
      </c>
      <c r="P327" s="445"/>
      <c r="Q327" s="445"/>
      <c r="R327" s="440">
        <f>IF(OR($F327="",$H327="",$N327=""),"",IF($S327="✅売却済","",IF($C327="売",  IF($H327&gt;$F327*(1-$AG$2),$N327,CEILING(MIN($N327,IF($Q327="",$N327,$Q327*1.03)),IF($N327&lt;=3000,1,IF($N327&lt;=5000,5,IF($N327&lt;=30000,10,IF($N327&lt;=50000,50,IF($N327&lt;=300000,100,500))))))),  IF($H327&lt;$F327*(1+$AG$2),$N327,FLOOR(MAX($N327,IF($P327="",$N327,$P327*0.97)),IF($N327&lt;=3000,1,IF($N327&lt;=5000,5,IF($N327&lt;=30000,10,IF($N327&lt;=50000,50,IF($N327&lt;=300000,100,500))))))))))</f>
      </c>
      <c r="S327" s="440" t="str">
        <f t="shared" si="106"/>
        <v/>
      </c>
      <c r="T327" s="597" t="str">
        <f t="shared" ca="1" si="112"/>
        <v/>
      </c>
      <c r="U327" s="599" t="str">
        <f t="shared" ca="1" si="113"/>
        <v/>
      </c>
      <c r="V327" s="704" t="str">
        <f t="shared" ca="1" si="107"/>
        <v/>
      </c>
      <c r="W327" s="440" t="str">
        <f t="shared" ca="1" si="114"/>
        <v/>
      </c>
      <c r="X327" s="440" t="str">
        <f t="shared" ca="1" si="115"/>
        <v/>
      </c>
      <c r="Y327">
        <f>IF($B327="","",IF(COUNTIFS($B$4:$B327,$B327,$C$4:$C327,$C327)&gt;1,"⛔重複"&amp;COUNTIFS($B$4:$B327,$B327,$C$4:$C327,$C327)&amp;"回目",""))</f>
      </c>
      <c r="AB327">
        <f>IF($F327="","",MAX(100,ROUNDDOWN($AG$4/($F327*$AG$2)/100,0)*100))</f>
      </c>
      <c r="AC327">
        <f>IF(OR($F327="",$G327="",$U327=""),"",ROUND($V327-($F327+$U327)*$G327*$AG$6-IF($C327="売",$F327*$G327*$AG$7*$W327/365,0),0))</f>
      </c>
      <c r="AD327" s="608"/>
      <c r="AE327" s="600" t="str">
        <f t="shared" si="116"/>
        <v/>
      </c>
      <c r="AF327" s="600"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00"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00" t="str">
        <f t="shared" ca="1" si="117"/>
        <v/>
      </c>
      <c r="AI327" s="600" t="str" cm="1">
        <f t="array" ref="AI327">IFERROR(INDEX(始値!$E$6:$BT$305,MATCH(TEXT($B327,"0"),TEXT(銘柄管理!$B$6:$B$305,"0"),0),MATCH($AE327,始値!$E$3:$BT$3,0)),"")</f>
        <v/>
      </c>
      <c r="AJ327" s="608" t="str">
        <f t="shared" ca="1" si="118"/>
        <v/>
      </c>
      <c r="AK327" s="600" t="str">
        <f t="shared" ca="1" si="119"/>
        <v/>
      </c>
    </row>
    <row r="328" spans="1:37" ht="17.25" customHeight="1">
      <c r="A328" s="622" t="str">
        <f t="shared" si="108"/>
        <v/>
      </c>
      <c r="D328" s="440" t="str" cm="1">
        <f t="array" ref="D328">_xll.RssMarket(B328, "銘柄名称")</f>
        <v/>
      </c>
      <c r="E328" s="717"/>
      <c r="F328" s="6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 t="shared" ca="1" si="103"/>
        <v/>
      </c>
      <c r="L328" s="709" t="str">
        <f t="shared" ca="1" si="104"/>
        <v/>
      </c>
      <c r="M328" s="599">
        <f>IF($F328="","",IF($C328="売",CEILING($F328*IF($C328="売",1-$AG$3,1+$AG$3),IF($F328*IF($C328="売",1-$AG$3,1+$AG$3)&lt;=3000,1,IF($F328*IF($C328="売",1-$AG$3,1+$AG$3)&lt;=5000,5,IF($F328*IF($C328="売",1-$AG$3,1+$AG$3)&lt;=30000,10,IF($F328*IF($C328="売",1-$AG$3,1+$AG$3)&lt;=50000,50,IF($F328*IF($C328="売",1-$AG$3,1+$AG$3)&lt;=300000,100,500)))))),FLOOR($F328*IF($C328="売",1-$AG$3,1+$AG$3),IF($F328*IF($C328="売",1-$AG$3,1+$AG$3)&lt;=3000,1,IF($F328*IF($C328="売",1-$AG$3,1+$AG$3)&lt;=5000,5,IF($F328*IF($C328="売",1-$AG$3,1+$AG$3)&lt;=30000,10,IF($F328*IF($C328="売",1-$AG$3,1+$AG$3)&lt;=50000,50,IF($F328*IF($C328="売",1-$AG$3,1+$AG$3)&lt;=300000,100,500))))))))</f>
      </c>
      <c r="N328" s="599">
        <f>IF($F328="","",IF($C328="売",CEILING($F328*IF($C328="売",1+$AG$2,1-$AG$2),IF($F328*IF($C328="売",1+$AG$2,1-$AG$2)&lt;=3000,1,IF($F328*IF($C328="売",1+$AG$2,1-$AG$2)&lt;=5000,5,IF($F328*IF($C328="売",1+$AG$2,1-$AG$2)&lt;=30000,10,IF($F328*IF($C328="売",1+$AG$2,1-$AG$2)&lt;=50000,50,IF($F328*IF($C328="売",1+$AG$2,1-$AG$2)&lt;=300000,100,500)))))),FLOOR($F328*IF($C328="売",1+$AG$2,1-$AG$2),IF($F328*IF($C328="売",1+$AG$2,1-$AG$2)&lt;=3000,1,IF($F328*IF($C328="売",1+$AG$2,1-$AG$2)&lt;=5000,5,IF($F328*IF($C328="売",1+$AG$2,1-$AG$2)&lt;=30000,10,IF($F328*IF($C328="売",1+$AG$2,1-$AG$2)&lt;=50000,50,IF($F328*IF($C328="売",1+$AG$2,1-$AG$2)&lt;=300000,100,500))))))))</f>
      </c>
      <c r="O328" s="478">
        <f>IF(OR($B328="",$F328="",$H328=""),"",IF($S328="✅売却済","―決済済―",IF($C328="売",  IF($H328&lt;=$M328,"🟢利確",  IF(AND($R328&lt;&gt;"",$H328&gt;=$R328),"🟠TRAIL決済",  IF($H328&gt;=$N328,"🔴損切",  IF($W328&gt;=$AG$5,"⏱時間決済",  IF($H328&gt;=$F328*(1+$AG$2*0.7),"⚠️損切接近","保持継続"))))),  IF($H328&gt;=$M328,"🟢利確",  IF(AND($R328&lt;&gt;"",$H328&lt;=$R328),"🟠TRAIL決済",  IF($H328&lt;=$N328,"🔴損切",  IF($W328&gt;=$AG$5,"⏱時間決済",  IF($H328&lt;=$F328*(1-$AG$2*0.7),"⚠️損切接近","保持継続")))))))</f>
      </c>
      <c r="P328" s="445"/>
      <c r="Q328" s="445"/>
      <c r="R328" s="440">
        <f>IF(OR($F328="",$H328="",$N328=""),"",IF($S328="✅売却済","",IF($C328="売",  IF($H328&gt;$F328*(1-$AG$2),$N328,CEILING(MIN($N328,IF($Q328="",$N328,$Q328*1.03)),IF($N328&lt;=3000,1,IF($N328&lt;=5000,5,IF($N328&lt;=30000,10,IF($N328&lt;=50000,50,IF($N328&lt;=300000,100,500))))))),  IF($H328&lt;$F328*(1+$AG$2),$N328,FLOOR(MAX($N328,IF($P328="",$N328,$P328*0.97)),IF($N328&lt;=3000,1,IF($N328&lt;=5000,5,IF($N328&lt;=30000,10,IF($N328&lt;=50000,50,IF($N328&lt;=300000,100,500))))))))))</f>
      </c>
      <c r="S328" s="440" t="str">
        <f t="shared" si="106"/>
        <v/>
      </c>
      <c r="T328" s="597" t="str">
        <f t="shared" ca="1" si="112"/>
        <v/>
      </c>
      <c r="U328" s="599" t="str">
        <f t="shared" ca="1" si="113"/>
        <v/>
      </c>
      <c r="V328" s="704" t="str">
        <f t="shared" ca="1" si="107"/>
        <v/>
      </c>
      <c r="W328" s="440" t="str">
        <f t="shared" ca="1" si="114"/>
        <v/>
      </c>
      <c r="X328" s="440" t="str">
        <f t="shared" ca="1" si="115"/>
        <v/>
      </c>
      <c r="Y328">
        <f>IF($B328="","",IF(COUNTIFS($B$4:$B328,$B328,$C$4:$C328,$C328)&gt;1,"⛔重複"&amp;COUNTIFS($B$4:$B328,$B328,$C$4:$C328,$C328)&amp;"回目",""))</f>
      </c>
      <c r="AB328">
        <f>IF($F328="","",MAX(100,ROUNDDOWN($AG$4/($F328*$AG$2)/100,0)*100))</f>
      </c>
      <c r="AC328">
        <f>IF(OR($F328="",$G328="",$U328=""),"",ROUND($V328-($F328+$U328)*$G328*$AG$6-IF($C328="売",$F328*$G328*$AG$7*$W328/365,0),0))</f>
      </c>
      <c r="AD328" s="608"/>
      <c r="AE328" s="600" t="str">
        <f t="shared" si="116"/>
        <v/>
      </c>
      <c r="AF328" s="600"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00"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00" t="str">
        <f t="shared" ca="1" si="117"/>
        <v/>
      </c>
      <c r="AI328" s="600" t="str" cm="1">
        <f t="array" ref="AI328">IFERROR(INDEX(始値!$E$6:$BT$305,MATCH(TEXT($B328,"0"),TEXT(銘柄管理!$B$6:$B$305,"0"),0),MATCH($AE328,始値!$E$3:$BT$3,0)),"")</f>
        <v/>
      </c>
      <c r="AJ328" s="608" t="str">
        <f t="shared" ca="1" si="118"/>
        <v/>
      </c>
      <c r="AK328" s="600" t="str">
        <f t="shared" ca="1" si="119"/>
        <v/>
      </c>
    </row>
    <row r="329" spans="1:37" ht="17.25" customHeight="1">
      <c r="A329" s="622" t="str">
        <f t="shared" si="108"/>
        <v/>
      </c>
      <c r="D329" s="440" t="str" cm="1">
        <f t="array" ref="D329">_xll.RssMarket(B329, "銘柄名称")</f>
        <v/>
      </c>
      <c r="E329" s="717"/>
      <c r="F329" s="6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 t="shared" ca="1" si="103"/>
        <v/>
      </c>
      <c r="L329" s="709" t="str">
        <f t="shared" ca="1" si="104"/>
        <v/>
      </c>
      <c r="M329" s="599">
        <f>IF($F329="","",IF($C329="売",CEILING($F329*IF($C329="売",1-$AG$3,1+$AG$3),IF($F329*IF($C329="売",1-$AG$3,1+$AG$3)&lt;=3000,1,IF($F329*IF($C329="売",1-$AG$3,1+$AG$3)&lt;=5000,5,IF($F329*IF($C329="売",1-$AG$3,1+$AG$3)&lt;=30000,10,IF($F329*IF($C329="売",1-$AG$3,1+$AG$3)&lt;=50000,50,IF($F329*IF($C329="売",1-$AG$3,1+$AG$3)&lt;=300000,100,500)))))),FLOOR($F329*IF($C329="売",1-$AG$3,1+$AG$3),IF($F329*IF($C329="売",1-$AG$3,1+$AG$3)&lt;=3000,1,IF($F329*IF($C329="売",1-$AG$3,1+$AG$3)&lt;=5000,5,IF($F329*IF($C329="売",1-$AG$3,1+$AG$3)&lt;=30000,10,IF($F329*IF($C329="売",1-$AG$3,1+$AG$3)&lt;=50000,50,IF($F329*IF($C329="売",1-$AG$3,1+$AG$3)&lt;=300000,100,500))))))))</f>
      </c>
      <c r="N329" s="599">
        <f>IF($F329="","",IF($C329="売",CEILING($F329*IF($C329="売",1+$AG$2,1-$AG$2),IF($F329*IF($C329="売",1+$AG$2,1-$AG$2)&lt;=3000,1,IF($F329*IF($C329="売",1+$AG$2,1-$AG$2)&lt;=5000,5,IF($F329*IF($C329="売",1+$AG$2,1-$AG$2)&lt;=30000,10,IF($F329*IF($C329="売",1+$AG$2,1-$AG$2)&lt;=50000,50,IF($F329*IF($C329="売",1+$AG$2,1-$AG$2)&lt;=300000,100,500)))))),FLOOR($F329*IF($C329="売",1+$AG$2,1-$AG$2),IF($F329*IF($C329="売",1+$AG$2,1-$AG$2)&lt;=3000,1,IF($F329*IF($C329="売",1+$AG$2,1-$AG$2)&lt;=5000,5,IF($F329*IF($C329="売",1+$AG$2,1-$AG$2)&lt;=30000,10,IF($F329*IF($C329="売",1+$AG$2,1-$AG$2)&lt;=50000,50,IF($F329*IF($C329="売",1+$AG$2,1-$AG$2)&lt;=300000,100,500))))))))</f>
      </c>
      <c r="O329" s="478">
        <f>IF(OR($B329="",$F329="",$H329=""),"",IF($S329="✅売却済","―決済済―",IF($C329="売",  IF($H329&lt;=$M329,"🟢利確",  IF(AND($R329&lt;&gt;"",$H329&gt;=$R329),"🟠TRAIL決済",  IF($H329&gt;=$N329,"🔴損切",  IF($W329&gt;=$AG$5,"⏱時間決済",  IF($H329&gt;=$F329*(1+$AG$2*0.7),"⚠️損切接近","保持継続"))))),  IF($H329&gt;=$M329,"🟢利確",  IF(AND($R329&lt;&gt;"",$H329&lt;=$R329),"🟠TRAIL決済",  IF($H329&lt;=$N329,"🔴損切",  IF($W329&gt;=$AG$5,"⏱時間決済",  IF($H329&lt;=$F329*(1-$AG$2*0.7),"⚠️損切接近","保持継続")))))))</f>
      </c>
      <c r="P329" s="445"/>
      <c r="Q329" s="445"/>
      <c r="R329" s="440">
        <f>IF(OR($F329="",$H329="",$N329=""),"",IF($S329="✅売却済","",IF($C329="売",  IF($H329&gt;$F329*(1-$AG$2),$N329,CEILING(MIN($N329,IF($Q329="",$N329,$Q329*1.03)),IF($N329&lt;=3000,1,IF($N329&lt;=5000,5,IF($N329&lt;=30000,10,IF($N329&lt;=50000,50,IF($N329&lt;=300000,100,500))))))),  IF($H329&lt;$F329*(1+$AG$2),$N329,FLOOR(MAX($N329,IF($P329="",$N329,$P329*0.97)),IF($N329&lt;=3000,1,IF($N329&lt;=5000,5,IF($N329&lt;=30000,10,IF($N329&lt;=50000,50,IF($N329&lt;=300000,100,500))))))))))</f>
      </c>
      <c r="S329" s="440" t="str">
        <f t="shared" si="106"/>
        <v/>
      </c>
      <c r="T329" s="597" t="str">
        <f t="shared" ca="1" si="112"/>
        <v/>
      </c>
      <c r="U329" s="599" t="str">
        <f t="shared" ca="1" si="113"/>
        <v/>
      </c>
      <c r="V329" s="704" t="str">
        <f t="shared" ca="1" si="107"/>
        <v/>
      </c>
      <c r="W329" s="440" t="str">
        <f t="shared" ca="1" si="114"/>
        <v/>
      </c>
      <c r="X329" s="440" t="str">
        <f t="shared" ca="1" si="115"/>
        <v/>
      </c>
      <c r="Y329">
        <f>IF($B329="","",IF(COUNTIFS($B$4:$B329,$B329,$C$4:$C329,$C329)&gt;1,"⛔重複"&amp;COUNTIFS($B$4:$B329,$B329,$C$4:$C329,$C329)&amp;"回目",""))</f>
      </c>
      <c r="AB329">
        <f>IF($F329="","",MAX(100,ROUNDDOWN($AG$4/($F329*$AG$2)/100,0)*100))</f>
      </c>
      <c r="AC329">
        <f>IF(OR($F329="",$G329="",$U329=""),"",ROUND($V329-($F329+$U329)*$G329*$AG$6-IF($C329="売",$F329*$G329*$AG$7*$W329/365,0),0))</f>
      </c>
      <c r="AD329" s="608"/>
      <c r="AE329" s="600" t="str">
        <f t="shared" si="116"/>
        <v/>
      </c>
      <c r="AF329" s="600"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00"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00" t="str">
        <f t="shared" ca="1" si="117"/>
        <v/>
      </c>
      <c r="AI329" s="600" t="str" cm="1">
        <f t="array" ref="AI329">IFERROR(INDEX(始値!$E$6:$BT$305,MATCH(TEXT($B329,"0"),TEXT(銘柄管理!$B$6:$B$305,"0"),0),MATCH($AE329,始値!$E$3:$BT$3,0)),"")</f>
        <v/>
      </c>
      <c r="AJ329" s="608" t="str">
        <f t="shared" ca="1" si="118"/>
        <v/>
      </c>
      <c r="AK329" s="600" t="str">
        <f t="shared" ca="1" si="119"/>
        <v/>
      </c>
    </row>
    <row r="330" spans="1:37" ht="17.25" customHeight="1">
      <c r="A330" s="622" t="str">
        <f t="shared" si="108"/>
        <v/>
      </c>
      <c r="D330" s="440" t="str" cm="1">
        <f t="array" ref="D330">_xll.RssMarket(B330, "銘柄名称")</f>
        <v/>
      </c>
      <c r="E330" s="717"/>
      <c r="F330" s="6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 t="shared" ref="K330:K393" ca="1" si="120">IF(OR(F330="",G330="",H330=""),"",IF(C330="売",(F330-H330)*G330,(H330-F330)*G330))</f>
        <v/>
      </c>
      <c r="L330" s="709" t="str">
        <f t="shared" ref="L330:L393" ca="1" si="121">IF(OR(F330="",H330=""),"",IF(C330="売",(F330-H330)/F330,(H330-F330)/F330))</f>
        <v/>
      </c>
      <c r="M330" s="599">
        <f>IF($F330="","",IF($C330="売",CEILING($F330*IF($C330="売",1-$AG$3,1+$AG$3),IF($F330*IF($C330="売",1-$AG$3,1+$AG$3)&lt;=3000,1,IF($F330*IF($C330="売",1-$AG$3,1+$AG$3)&lt;=5000,5,IF($F330*IF($C330="売",1-$AG$3,1+$AG$3)&lt;=30000,10,IF($F330*IF($C330="売",1-$AG$3,1+$AG$3)&lt;=50000,50,IF($F330*IF($C330="売",1-$AG$3,1+$AG$3)&lt;=300000,100,500)))))),FLOOR($F330*IF($C330="売",1-$AG$3,1+$AG$3),IF($F330*IF($C330="売",1-$AG$3,1+$AG$3)&lt;=3000,1,IF($F330*IF($C330="売",1-$AG$3,1+$AG$3)&lt;=5000,5,IF($F330*IF($C330="売",1-$AG$3,1+$AG$3)&lt;=30000,10,IF($F330*IF($C330="売",1-$AG$3,1+$AG$3)&lt;=50000,50,IF($F330*IF($C330="売",1-$AG$3,1+$AG$3)&lt;=300000,100,500))))))))</f>
      </c>
      <c r="N330" s="599">
        <f>IF($F330="","",IF($C330="売",CEILING($F330*IF($C330="売",1+$AG$2,1-$AG$2),IF($F330*IF($C330="売",1+$AG$2,1-$AG$2)&lt;=3000,1,IF($F330*IF($C330="売",1+$AG$2,1-$AG$2)&lt;=5000,5,IF($F330*IF($C330="売",1+$AG$2,1-$AG$2)&lt;=30000,10,IF($F330*IF($C330="売",1+$AG$2,1-$AG$2)&lt;=50000,50,IF($F330*IF($C330="売",1+$AG$2,1-$AG$2)&lt;=300000,100,500)))))),FLOOR($F330*IF($C330="売",1+$AG$2,1-$AG$2),IF($F330*IF($C330="売",1+$AG$2,1-$AG$2)&lt;=3000,1,IF($F330*IF($C330="売",1+$AG$2,1-$AG$2)&lt;=5000,5,IF($F330*IF($C330="売",1+$AG$2,1-$AG$2)&lt;=30000,10,IF($F330*IF($C330="売",1+$AG$2,1-$AG$2)&lt;=50000,50,IF($F330*IF($C330="売",1+$AG$2,1-$AG$2)&lt;=300000,100,500))))))))</f>
      </c>
      <c r="O330" s="478">
        <f>IF(OR($B330="",$F330="",$H330=""),"",IF($S330="✅売却済","―決済済―",IF($C330="売",  IF($H330&lt;=$M330,"🟢利確",  IF(AND($R330&lt;&gt;"",$H330&gt;=$R330),"🟠TRAIL決済",  IF($H330&gt;=$N330,"🔴損切",  IF($W330&gt;=$AG$5,"⏱時間決済",  IF($H330&gt;=$F330*(1+$AG$2*0.7),"⚠️損切接近","保持継続"))))),  IF($H330&gt;=$M330,"🟢利確",  IF(AND($R330&lt;&gt;"",$H330&lt;=$R330),"🟠TRAIL決済",  IF($H330&lt;=$N330,"🔴損切",  IF($W330&gt;=$AG$5,"⏱時間決済",  IF($H330&lt;=$F330*(1-$AG$2*0.7),"⚠️損切接近","保持継続")))))))</f>
      </c>
      <c r="P330" s="445"/>
      <c r="Q330" s="445"/>
      <c r="R330" s="440">
        <f>IF(OR($F330="",$H330="",$N330=""),"",IF($S330="✅売却済","",IF($C330="売",  IF($H330&gt;$F330*(1-$AG$2),$N330,CEILING(MIN($N330,IF($Q330="",$N330,$Q330*1.03)),IF($N330&lt;=3000,1,IF($N330&lt;=5000,5,IF($N330&lt;=30000,10,IF($N330&lt;=50000,50,IF($N330&lt;=300000,100,500))))))),  IF($H330&lt;$F330*(1+$AG$2),$N330,FLOOR(MAX($N330,IF($P330="",$N330,$P330*0.97)),IF($N330&lt;=3000,1,IF($N330&lt;=5000,5,IF($N330&lt;=30000,10,IF($N330&lt;=50000,50,IF($N330&lt;=300000,100,500))))))))))</f>
      </c>
      <c r="S330" s="440" t="str">
        <f t="shared" ref="S330:S393" si="123">IF(B330="","",IF(T330&lt;&gt;"","✅売却済",IF(OR(H330="",L330=""),"📌保有中",IF(L330&gt;=0.06,"🟢利確推奨",IF(L330&gt;=0.05,"🟡利確直近",IF(L330&gt;=0.045,"🔵トレーリング検討",IF(L330&gt;-0.03,"📌保有中",IF(L330&gt;-0.04,"⚠️損切注意","🔴損切り"))))))))</f>
        <v/>
      </c>
      <c r="T330" s="597" t="str">
        <f t="shared" ca="1" si="112"/>
        <v/>
      </c>
      <c r="U330" s="599" t="str">
        <f t="shared" ca="1" si="113"/>
        <v/>
      </c>
      <c r="V330" s="704" t="str">
        <f t="shared" ref="V330:V393" ca="1" si="124">IF(OR(F330="",G330="",U330=""),"",IF(C330="売",(F330-U330)*G330,(U330-F330)*G330))</f>
        <v/>
      </c>
      <c r="W330" s="440" t="str">
        <f t="shared" ca="1" si="114"/>
        <v/>
      </c>
      <c r="X330" s="440" t="str">
        <f t="shared" ca="1" si="115"/>
        <v/>
      </c>
      <c r="Y330">
        <f>IF($B330="","",IF(COUNTIFS($B$4:$B330,$B330,$C$4:$C330,$C330)&gt;1,"⛔重複"&amp;COUNTIFS($B$4:$B330,$B330,$C$4:$C330,$C330)&amp;"回目",""))</f>
      </c>
      <c r="AB330">
        <f>IF($F330="","",MAX(100,ROUNDDOWN($AG$4/($F330*$AG$2)/100,0)*100))</f>
      </c>
      <c r="AC330">
        <f>IF(OR($F330="",$G330="",$U330=""),"",ROUND($V330-($F330+$U330)*$G330*$AG$6-IF($C330="売",$F330*$G330*$AG$7*$W330/365,0),0))</f>
      </c>
      <c r="AD330" s="608"/>
      <c r="AE330" s="600" t="str">
        <f t="shared" si="116"/>
        <v/>
      </c>
      <c r="AF330" s="600"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00"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00" t="str">
        <f t="shared" ca="1" si="117"/>
        <v/>
      </c>
      <c r="AI330" s="600" t="str" cm="1">
        <f t="array" ref="AI330">IFERROR(INDEX(始値!$E$6:$BT$305,MATCH(TEXT($B330,"0"),TEXT(銘柄管理!$B$6:$B$305,"0"),0),MATCH($AE330,始値!$E$3:$BT$3,0)),"")</f>
        <v/>
      </c>
      <c r="AJ330" s="608" t="str">
        <f t="shared" ca="1" si="118"/>
        <v/>
      </c>
      <c r="AK330" s="600" t="str">
        <f t="shared" ca="1" si="119"/>
        <v/>
      </c>
    </row>
    <row r="331" spans="1:37" ht="17.25" customHeight="1">
      <c r="A331" s="622" t="str">
        <f t="shared" si="108"/>
        <v/>
      </c>
      <c r="D331" s="440" t="str" cm="1">
        <f t="array" ref="D331">_xll.RssMarket(B331, "銘柄名称")</f>
        <v/>
      </c>
      <c r="E331" s="717"/>
      <c r="F331" s="6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 t="shared" ca="1" si="120"/>
        <v/>
      </c>
      <c r="L331" s="709" t="str">
        <f t="shared" ca="1" si="121"/>
        <v/>
      </c>
      <c r="M331" s="599">
        <f>IF($F331="","",IF($C331="売",CEILING($F331*IF($C331="売",1-$AG$3,1+$AG$3),IF($F331*IF($C331="売",1-$AG$3,1+$AG$3)&lt;=3000,1,IF($F331*IF($C331="売",1-$AG$3,1+$AG$3)&lt;=5000,5,IF($F331*IF($C331="売",1-$AG$3,1+$AG$3)&lt;=30000,10,IF($F331*IF($C331="売",1-$AG$3,1+$AG$3)&lt;=50000,50,IF($F331*IF($C331="売",1-$AG$3,1+$AG$3)&lt;=300000,100,500)))))),FLOOR($F331*IF($C331="売",1-$AG$3,1+$AG$3),IF($F331*IF($C331="売",1-$AG$3,1+$AG$3)&lt;=3000,1,IF($F331*IF($C331="売",1-$AG$3,1+$AG$3)&lt;=5000,5,IF($F331*IF($C331="売",1-$AG$3,1+$AG$3)&lt;=30000,10,IF($F331*IF($C331="売",1-$AG$3,1+$AG$3)&lt;=50000,50,IF($F331*IF($C331="売",1-$AG$3,1+$AG$3)&lt;=300000,100,500))))))))</f>
      </c>
      <c r="N331" s="599">
        <f>IF($F331="","",IF($C331="売",CEILING($F331*IF($C331="売",1+$AG$2,1-$AG$2),IF($F331*IF($C331="売",1+$AG$2,1-$AG$2)&lt;=3000,1,IF($F331*IF($C331="売",1+$AG$2,1-$AG$2)&lt;=5000,5,IF($F331*IF($C331="売",1+$AG$2,1-$AG$2)&lt;=30000,10,IF($F331*IF($C331="売",1+$AG$2,1-$AG$2)&lt;=50000,50,IF($F331*IF($C331="売",1+$AG$2,1-$AG$2)&lt;=300000,100,500)))))),FLOOR($F331*IF($C331="売",1+$AG$2,1-$AG$2),IF($F331*IF($C331="売",1+$AG$2,1-$AG$2)&lt;=3000,1,IF($F331*IF($C331="売",1+$AG$2,1-$AG$2)&lt;=5000,5,IF($F331*IF($C331="売",1+$AG$2,1-$AG$2)&lt;=30000,10,IF($F331*IF($C331="売",1+$AG$2,1-$AG$2)&lt;=50000,50,IF($F331*IF($C331="売",1+$AG$2,1-$AG$2)&lt;=300000,100,500))))))))</f>
      </c>
      <c r="O331" s="478">
        <f>IF(OR($B331="",$F331="",$H331=""),"",IF($S331="✅売却済","―決済済―",IF($C331="売",  IF($H331&lt;=$M331,"🟢利確",  IF(AND($R331&lt;&gt;"",$H331&gt;=$R331),"🟠TRAIL決済",  IF($H331&gt;=$N331,"🔴損切",  IF($W331&gt;=$AG$5,"⏱時間決済",  IF($H331&gt;=$F331*(1+$AG$2*0.7),"⚠️損切接近","保持継続"))))),  IF($H331&gt;=$M331,"🟢利確",  IF(AND($R331&lt;&gt;"",$H331&lt;=$R331),"🟠TRAIL決済",  IF($H331&lt;=$N331,"🔴損切",  IF($W331&gt;=$AG$5,"⏱時間決済",  IF($H331&lt;=$F331*(1-$AG$2*0.7),"⚠️損切接近","保持継続")))))))</f>
      </c>
      <c r="P331" s="445"/>
      <c r="Q331" s="445"/>
      <c r="R331" s="440">
        <f>IF(OR($F331="",$H331="",$N331=""),"",IF($S331="✅売却済","",IF($C331="売",  IF($H331&gt;$F331*(1-$AG$2),$N331,CEILING(MIN($N331,IF($Q331="",$N331,$Q331*1.03)),IF($N331&lt;=3000,1,IF($N331&lt;=5000,5,IF($N331&lt;=30000,10,IF($N331&lt;=50000,50,IF($N331&lt;=300000,100,500))))))),  IF($H331&lt;$F331*(1+$AG$2),$N331,FLOOR(MAX($N331,IF($P331="",$N331,$P331*0.97)),IF($N331&lt;=3000,1,IF($N331&lt;=5000,5,IF($N331&lt;=30000,10,IF($N331&lt;=50000,50,IF($N331&lt;=300000,100,500))))))))))</f>
      </c>
      <c r="S331" s="440" t="str">
        <f t="shared" si="123"/>
        <v/>
      </c>
      <c r="T331" s="597" t="str">
        <f t="shared" ca="1" si="112"/>
        <v/>
      </c>
      <c r="U331" s="599" t="str">
        <f t="shared" ca="1" si="113"/>
        <v/>
      </c>
      <c r="V331" s="704" t="str">
        <f t="shared" ca="1" si="124"/>
        <v/>
      </c>
      <c r="W331" s="440" t="str">
        <f t="shared" ca="1" si="114"/>
        <v/>
      </c>
      <c r="X331" s="440" t="str">
        <f t="shared" ca="1" si="115"/>
        <v/>
      </c>
      <c r="Y331">
        <f>IF($B331="","",IF(COUNTIFS($B$4:$B331,$B331,$C$4:$C331,$C331)&gt;1,"⛔重複"&amp;COUNTIFS($B$4:$B331,$B331,$C$4:$C331,$C331)&amp;"回目",""))</f>
      </c>
      <c r="AB331">
        <f>IF($F331="","",MAX(100,ROUNDDOWN($AG$4/($F331*$AG$2)/100,0)*100))</f>
      </c>
      <c r="AC331">
        <f>IF(OR($F331="",$G331="",$U331=""),"",ROUND($V331-($F331+$U331)*$G331*$AG$6-IF($C331="売",$F331*$G331*$AG$7*$W331/365,0),0))</f>
      </c>
      <c r="AD331" s="608"/>
      <c r="AE331" s="600" t="str">
        <f t="shared" si="116"/>
        <v/>
      </c>
      <c r="AF331" s="600"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00"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00" t="str">
        <f t="shared" ca="1" si="117"/>
        <v/>
      </c>
      <c r="AI331" s="600" t="str" cm="1">
        <f t="array" ref="AI331">IFERROR(INDEX(始値!$E$6:$BT$305,MATCH(TEXT($B331,"0"),TEXT(銘柄管理!$B$6:$B$305,"0"),0),MATCH($AE331,始値!$E$3:$BT$3,0)),"")</f>
        <v/>
      </c>
      <c r="AJ331" s="608" t="str">
        <f t="shared" ca="1" si="118"/>
        <v/>
      </c>
      <c r="AK331" s="600" t="str">
        <f t="shared" ca="1" si="119"/>
        <v/>
      </c>
    </row>
    <row r="332" spans="1:37" ht="17.25" customHeight="1">
      <c r="A332" s="622" t="str">
        <f t="shared" si="108"/>
        <v/>
      </c>
      <c r="D332" s="440" t="str" cm="1">
        <f t="array" ref="D332">_xll.RssMarket(B332, "銘柄名称")</f>
        <v/>
      </c>
      <c r="E332" s="717"/>
      <c r="F332" s="6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 t="shared" ca="1" si="120"/>
        <v/>
      </c>
      <c r="L332" s="709" t="str">
        <f t="shared" ca="1" si="121"/>
        <v/>
      </c>
      <c r="M332" s="599">
        <f>IF($F332="","",IF($C332="売",CEILING($F332*IF($C332="売",1-$AG$3,1+$AG$3),IF($F332*IF($C332="売",1-$AG$3,1+$AG$3)&lt;=3000,1,IF($F332*IF($C332="売",1-$AG$3,1+$AG$3)&lt;=5000,5,IF($F332*IF($C332="売",1-$AG$3,1+$AG$3)&lt;=30000,10,IF($F332*IF($C332="売",1-$AG$3,1+$AG$3)&lt;=50000,50,IF($F332*IF($C332="売",1-$AG$3,1+$AG$3)&lt;=300000,100,500)))))),FLOOR($F332*IF($C332="売",1-$AG$3,1+$AG$3),IF($F332*IF($C332="売",1-$AG$3,1+$AG$3)&lt;=3000,1,IF($F332*IF($C332="売",1-$AG$3,1+$AG$3)&lt;=5000,5,IF($F332*IF($C332="売",1-$AG$3,1+$AG$3)&lt;=30000,10,IF($F332*IF($C332="売",1-$AG$3,1+$AG$3)&lt;=50000,50,IF($F332*IF($C332="売",1-$AG$3,1+$AG$3)&lt;=300000,100,500))))))))</f>
      </c>
      <c r="N332" s="599">
        <f>IF($F332="","",IF($C332="売",CEILING($F332*IF($C332="売",1+$AG$2,1-$AG$2),IF($F332*IF($C332="売",1+$AG$2,1-$AG$2)&lt;=3000,1,IF($F332*IF($C332="売",1+$AG$2,1-$AG$2)&lt;=5000,5,IF($F332*IF($C332="売",1+$AG$2,1-$AG$2)&lt;=30000,10,IF($F332*IF($C332="売",1+$AG$2,1-$AG$2)&lt;=50000,50,IF($F332*IF($C332="売",1+$AG$2,1-$AG$2)&lt;=300000,100,500)))))),FLOOR($F332*IF($C332="売",1+$AG$2,1-$AG$2),IF($F332*IF($C332="売",1+$AG$2,1-$AG$2)&lt;=3000,1,IF($F332*IF($C332="売",1+$AG$2,1-$AG$2)&lt;=5000,5,IF($F332*IF($C332="売",1+$AG$2,1-$AG$2)&lt;=30000,10,IF($F332*IF($C332="売",1+$AG$2,1-$AG$2)&lt;=50000,50,IF($F332*IF($C332="売",1+$AG$2,1-$AG$2)&lt;=300000,100,500))))))))</f>
      </c>
      <c r="O332" s="478">
        <f>IF(OR($B332="",$F332="",$H332=""),"",IF($S332="✅売却済","―決済済―",IF($C332="売",  IF($H332&lt;=$M332,"🟢利確",  IF(AND($R332&lt;&gt;"",$H332&gt;=$R332),"🟠TRAIL決済",  IF($H332&gt;=$N332,"🔴損切",  IF($W332&gt;=$AG$5,"⏱時間決済",  IF($H332&gt;=$F332*(1+$AG$2*0.7),"⚠️損切接近","保持継続"))))),  IF($H332&gt;=$M332,"🟢利確",  IF(AND($R332&lt;&gt;"",$H332&lt;=$R332),"🟠TRAIL決済",  IF($H332&lt;=$N332,"🔴損切",  IF($W332&gt;=$AG$5,"⏱時間決済",  IF($H332&lt;=$F332*(1-$AG$2*0.7),"⚠️損切接近","保持継続")))))))</f>
      </c>
      <c r="P332" s="445"/>
      <c r="Q332" s="445"/>
      <c r="R332" s="440">
        <f>IF(OR($F332="",$H332="",$N332=""),"",IF($S332="✅売却済","",IF($C332="売",  IF($H332&gt;$F332*(1-$AG$2),$N332,CEILING(MIN($N332,IF($Q332="",$N332,$Q332*1.03)),IF($N332&lt;=3000,1,IF($N332&lt;=5000,5,IF($N332&lt;=30000,10,IF($N332&lt;=50000,50,IF($N332&lt;=300000,100,500))))))),  IF($H332&lt;$F332*(1+$AG$2),$N332,FLOOR(MAX($N332,IF($P332="",$N332,$P332*0.97)),IF($N332&lt;=3000,1,IF($N332&lt;=5000,5,IF($N332&lt;=30000,10,IF($N332&lt;=50000,50,IF($N332&lt;=300000,100,500))))))))))</f>
      </c>
      <c r="S332" s="440" t="str">
        <f t="shared" si="123"/>
        <v/>
      </c>
      <c r="T332" s="597" t="str">
        <f t="shared" ca="1" si="112"/>
        <v/>
      </c>
      <c r="U332" s="599" t="str">
        <f t="shared" ca="1" si="113"/>
        <v/>
      </c>
      <c r="V332" s="704" t="str">
        <f t="shared" ca="1" si="124"/>
        <v/>
      </c>
      <c r="W332" s="440" t="str">
        <f t="shared" ca="1" si="114"/>
        <v/>
      </c>
      <c r="X332" s="440" t="str">
        <f t="shared" ca="1" si="115"/>
        <v/>
      </c>
      <c r="Y332">
        <f>IF($B332="","",IF(COUNTIFS($B$4:$B332,$B332,$C$4:$C332,$C332)&gt;1,"⛔重複"&amp;COUNTIFS($B$4:$B332,$B332,$C$4:$C332,$C332)&amp;"回目",""))</f>
      </c>
      <c r="AB332">
        <f>IF($F332="","",MAX(100,ROUNDDOWN($AG$4/($F332*$AG$2)/100,0)*100))</f>
      </c>
      <c r="AC332">
        <f>IF(OR($F332="",$G332="",$U332=""),"",ROUND($V332-($F332+$U332)*$G332*$AG$6-IF($C332="売",$F332*$G332*$AG$7*$W332/365,0),0))</f>
      </c>
      <c r="AD332" s="608"/>
      <c r="AE332" s="600" t="str">
        <f t="shared" si="116"/>
        <v/>
      </c>
      <c r="AF332" s="600"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00"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00" t="str">
        <f t="shared" ca="1" si="117"/>
        <v/>
      </c>
      <c r="AI332" s="600" t="str" cm="1">
        <f t="array" ref="AI332">IFERROR(INDEX(始値!$E$6:$BT$305,MATCH(TEXT($B332,"0"),TEXT(銘柄管理!$B$6:$B$305,"0"),0),MATCH($AE332,始値!$E$3:$BT$3,0)),"")</f>
        <v/>
      </c>
      <c r="AJ332" s="608" t="str">
        <f t="shared" ca="1" si="118"/>
        <v/>
      </c>
      <c r="AK332" s="600" t="str">
        <f t="shared" ca="1" si="119"/>
        <v/>
      </c>
    </row>
    <row r="333" spans="1:37" ht="17.25" customHeight="1">
      <c r="A333" s="622" t="str">
        <f t="shared" si="108"/>
        <v/>
      </c>
      <c r="D333" s="440" t="str" cm="1">
        <f t="array" ref="D333">_xll.RssMarket(B333, "銘柄名称")</f>
        <v/>
      </c>
      <c r="E333" s="717"/>
      <c r="F333" s="6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 t="shared" ca="1" si="120"/>
        <v/>
      </c>
      <c r="L333" s="709" t="str">
        <f t="shared" ca="1" si="121"/>
        <v/>
      </c>
      <c r="M333" s="599">
        <f>IF($F333="","",IF($C333="売",CEILING($F333*IF($C333="売",1-$AG$3,1+$AG$3),IF($F333*IF($C333="売",1-$AG$3,1+$AG$3)&lt;=3000,1,IF($F333*IF($C333="売",1-$AG$3,1+$AG$3)&lt;=5000,5,IF($F333*IF($C333="売",1-$AG$3,1+$AG$3)&lt;=30000,10,IF($F333*IF($C333="売",1-$AG$3,1+$AG$3)&lt;=50000,50,IF($F333*IF($C333="売",1-$AG$3,1+$AG$3)&lt;=300000,100,500)))))),FLOOR($F333*IF($C333="売",1-$AG$3,1+$AG$3),IF($F333*IF($C333="売",1-$AG$3,1+$AG$3)&lt;=3000,1,IF($F333*IF($C333="売",1-$AG$3,1+$AG$3)&lt;=5000,5,IF($F333*IF($C333="売",1-$AG$3,1+$AG$3)&lt;=30000,10,IF($F333*IF($C333="売",1-$AG$3,1+$AG$3)&lt;=50000,50,IF($F333*IF($C333="売",1-$AG$3,1+$AG$3)&lt;=300000,100,500))))))))</f>
      </c>
      <c r="N333" s="599">
        <f>IF($F333="","",IF($C333="売",CEILING($F333*IF($C333="売",1+$AG$2,1-$AG$2),IF($F333*IF($C333="売",1+$AG$2,1-$AG$2)&lt;=3000,1,IF($F333*IF($C333="売",1+$AG$2,1-$AG$2)&lt;=5000,5,IF($F333*IF($C333="売",1+$AG$2,1-$AG$2)&lt;=30000,10,IF($F333*IF($C333="売",1+$AG$2,1-$AG$2)&lt;=50000,50,IF($F333*IF($C333="売",1+$AG$2,1-$AG$2)&lt;=300000,100,500)))))),FLOOR($F333*IF($C333="売",1+$AG$2,1-$AG$2),IF($F333*IF($C333="売",1+$AG$2,1-$AG$2)&lt;=3000,1,IF($F333*IF($C333="売",1+$AG$2,1-$AG$2)&lt;=5000,5,IF($F333*IF($C333="売",1+$AG$2,1-$AG$2)&lt;=30000,10,IF($F333*IF($C333="売",1+$AG$2,1-$AG$2)&lt;=50000,50,IF($F333*IF($C333="売",1+$AG$2,1-$AG$2)&lt;=300000,100,500))))))))</f>
      </c>
      <c r="O333" s="478">
        <f>IF(OR($B333="",$F333="",$H333=""),"",IF($S333="✅売却済","―決済済―",IF($C333="売",  IF($H333&lt;=$M333,"🟢利確",  IF(AND($R333&lt;&gt;"",$H333&gt;=$R333),"🟠TRAIL決済",  IF($H333&gt;=$N333,"🔴損切",  IF($W333&gt;=$AG$5,"⏱時間決済",  IF($H333&gt;=$F333*(1+$AG$2*0.7),"⚠️損切接近","保持継続"))))),  IF($H333&gt;=$M333,"🟢利確",  IF(AND($R333&lt;&gt;"",$H333&lt;=$R333),"🟠TRAIL決済",  IF($H333&lt;=$N333,"🔴損切",  IF($W333&gt;=$AG$5,"⏱時間決済",  IF($H333&lt;=$F333*(1-$AG$2*0.7),"⚠️損切接近","保持継続")))))))</f>
      </c>
      <c r="P333" s="445"/>
      <c r="Q333" s="445"/>
      <c r="R333" s="440">
        <f>IF(OR($F333="",$H333="",$N333=""),"",IF($S333="✅売却済","",IF($C333="売",  IF($H333&gt;$F333*(1-$AG$2),$N333,CEILING(MIN($N333,IF($Q333="",$N333,$Q333*1.03)),IF($N333&lt;=3000,1,IF($N333&lt;=5000,5,IF($N333&lt;=30000,10,IF($N333&lt;=50000,50,IF($N333&lt;=300000,100,500))))))),  IF($H333&lt;$F333*(1+$AG$2),$N333,FLOOR(MAX($N333,IF($P333="",$N333,$P333*0.97)),IF($N333&lt;=3000,1,IF($N333&lt;=5000,5,IF($N333&lt;=30000,10,IF($N333&lt;=50000,50,IF($N333&lt;=300000,100,500))))))))))</f>
      </c>
      <c r="S333" s="440" t="str">
        <f t="shared" si="123"/>
        <v/>
      </c>
      <c r="T333" s="597" t="str">
        <f t="shared" ca="1" si="112"/>
        <v/>
      </c>
      <c r="U333" s="599" t="str">
        <f t="shared" ca="1" si="113"/>
        <v/>
      </c>
      <c r="V333" s="704" t="str">
        <f t="shared" ca="1" si="124"/>
        <v/>
      </c>
      <c r="W333" s="440" t="str">
        <f t="shared" ca="1" si="114"/>
        <v/>
      </c>
      <c r="X333" s="440" t="str">
        <f t="shared" ca="1" si="115"/>
        <v/>
      </c>
      <c r="Y333">
        <f>IF($B333="","",IF(COUNTIFS($B$4:$B333,$B333,$C$4:$C333,$C333)&gt;1,"⛔重複"&amp;COUNTIFS($B$4:$B333,$B333,$C$4:$C333,$C333)&amp;"回目",""))</f>
      </c>
      <c r="AB333">
        <f>IF($F333="","",MAX(100,ROUNDDOWN($AG$4/($F333*$AG$2)/100,0)*100))</f>
      </c>
      <c r="AC333">
        <f>IF(OR($F333="",$G333="",$U333=""),"",ROUND($V333-($F333+$U333)*$G333*$AG$6-IF($C333="売",$F333*$G333*$AG$7*$W333/365,0),0))</f>
      </c>
      <c r="AD333" s="608"/>
      <c r="AE333" s="600" t="str">
        <f t="shared" si="116"/>
        <v/>
      </c>
      <c r="AF333" s="600"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00"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00" t="str">
        <f t="shared" ca="1" si="117"/>
        <v/>
      </c>
      <c r="AI333" s="600" t="str" cm="1">
        <f t="array" ref="AI333">IFERROR(INDEX(始値!$E$6:$BT$305,MATCH(TEXT($B333,"0"),TEXT(銘柄管理!$B$6:$B$305,"0"),0),MATCH($AE333,始値!$E$3:$BT$3,0)),"")</f>
        <v/>
      </c>
      <c r="AJ333" s="608" t="str">
        <f t="shared" ca="1" si="118"/>
        <v/>
      </c>
      <c r="AK333" s="600" t="str">
        <f t="shared" ca="1" si="119"/>
        <v/>
      </c>
    </row>
    <row r="334" spans="1:37" ht="17.25" customHeight="1">
      <c r="A334" s="622" t="str">
        <f t="shared" si="108"/>
        <v/>
      </c>
      <c r="D334" s="440" t="str" cm="1">
        <f t="array" ref="D334">_xll.RssMarket(B334, "銘柄名称")</f>
        <v/>
      </c>
      <c r="E334" s="717"/>
      <c r="F334" s="6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 t="shared" ca="1" si="120"/>
        <v/>
      </c>
      <c r="L334" s="709" t="str">
        <f t="shared" ca="1" si="121"/>
        <v/>
      </c>
      <c r="M334" s="599">
        <f>IF($F334="","",IF($C334="売",CEILING($F334*IF($C334="売",1-$AG$3,1+$AG$3),IF($F334*IF($C334="売",1-$AG$3,1+$AG$3)&lt;=3000,1,IF($F334*IF($C334="売",1-$AG$3,1+$AG$3)&lt;=5000,5,IF($F334*IF($C334="売",1-$AG$3,1+$AG$3)&lt;=30000,10,IF($F334*IF($C334="売",1-$AG$3,1+$AG$3)&lt;=50000,50,IF($F334*IF($C334="売",1-$AG$3,1+$AG$3)&lt;=300000,100,500)))))),FLOOR($F334*IF($C334="売",1-$AG$3,1+$AG$3),IF($F334*IF($C334="売",1-$AG$3,1+$AG$3)&lt;=3000,1,IF($F334*IF($C334="売",1-$AG$3,1+$AG$3)&lt;=5000,5,IF($F334*IF($C334="売",1-$AG$3,1+$AG$3)&lt;=30000,10,IF($F334*IF($C334="売",1-$AG$3,1+$AG$3)&lt;=50000,50,IF($F334*IF($C334="売",1-$AG$3,1+$AG$3)&lt;=300000,100,500))))))))</f>
      </c>
      <c r="N334" s="599">
        <f>IF($F334="","",IF($C334="売",CEILING($F334*IF($C334="売",1+$AG$2,1-$AG$2),IF($F334*IF($C334="売",1+$AG$2,1-$AG$2)&lt;=3000,1,IF($F334*IF($C334="売",1+$AG$2,1-$AG$2)&lt;=5000,5,IF($F334*IF($C334="売",1+$AG$2,1-$AG$2)&lt;=30000,10,IF($F334*IF($C334="売",1+$AG$2,1-$AG$2)&lt;=50000,50,IF($F334*IF($C334="売",1+$AG$2,1-$AG$2)&lt;=300000,100,500)))))),FLOOR($F334*IF($C334="売",1+$AG$2,1-$AG$2),IF($F334*IF($C334="売",1+$AG$2,1-$AG$2)&lt;=3000,1,IF($F334*IF($C334="売",1+$AG$2,1-$AG$2)&lt;=5000,5,IF($F334*IF($C334="売",1+$AG$2,1-$AG$2)&lt;=30000,10,IF($F334*IF($C334="売",1+$AG$2,1-$AG$2)&lt;=50000,50,IF($F334*IF($C334="売",1+$AG$2,1-$AG$2)&lt;=300000,100,500))))))))</f>
      </c>
      <c r="O334" s="478">
        <f>IF(OR($B334="",$F334="",$H334=""),"",IF($S334="✅売却済","―決済済―",IF($C334="売",  IF($H334&lt;=$M334,"🟢利確",  IF(AND($R334&lt;&gt;"",$H334&gt;=$R334),"🟠TRAIL決済",  IF($H334&gt;=$N334,"🔴損切",  IF($W334&gt;=$AG$5,"⏱時間決済",  IF($H334&gt;=$F334*(1+$AG$2*0.7),"⚠️損切接近","保持継続"))))),  IF($H334&gt;=$M334,"🟢利確",  IF(AND($R334&lt;&gt;"",$H334&lt;=$R334),"🟠TRAIL決済",  IF($H334&lt;=$N334,"🔴損切",  IF($W334&gt;=$AG$5,"⏱時間決済",  IF($H334&lt;=$F334*(1-$AG$2*0.7),"⚠️損切接近","保持継続")))))))</f>
      </c>
      <c r="P334" s="445"/>
      <c r="Q334" s="445"/>
      <c r="R334" s="440">
        <f>IF(OR($F334="",$H334="",$N334=""),"",IF($S334="✅売却済","",IF($C334="売",  IF($H334&gt;$F334*(1-$AG$2),$N334,CEILING(MIN($N334,IF($Q334="",$N334,$Q334*1.03)),IF($N334&lt;=3000,1,IF($N334&lt;=5000,5,IF($N334&lt;=30000,10,IF($N334&lt;=50000,50,IF($N334&lt;=300000,100,500))))))),  IF($H334&lt;$F334*(1+$AG$2),$N334,FLOOR(MAX($N334,IF($P334="",$N334,$P334*0.97)),IF($N334&lt;=3000,1,IF($N334&lt;=5000,5,IF($N334&lt;=30000,10,IF($N334&lt;=50000,50,IF($N334&lt;=300000,100,500))))))))))</f>
      </c>
      <c r="S334" s="440" t="str">
        <f t="shared" si="123"/>
        <v/>
      </c>
      <c r="T334" s="597" t="str">
        <f t="shared" ca="1" si="112"/>
        <v/>
      </c>
      <c r="U334" s="599" t="str">
        <f t="shared" ca="1" si="113"/>
        <v/>
      </c>
      <c r="V334" s="704" t="str">
        <f t="shared" ca="1" si="124"/>
        <v/>
      </c>
      <c r="W334" s="440" t="str">
        <f t="shared" ca="1" si="114"/>
        <v/>
      </c>
      <c r="X334" s="440" t="str">
        <f t="shared" ca="1" si="115"/>
        <v/>
      </c>
      <c r="Y334">
        <f>IF($B334="","",IF(COUNTIFS($B$4:$B334,$B334,$C$4:$C334,$C334)&gt;1,"⛔重複"&amp;COUNTIFS($B$4:$B334,$B334,$C$4:$C334,$C334)&amp;"回目",""))</f>
      </c>
      <c r="AB334">
        <f>IF($F334="","",MAX(100,ROUNDDOWN($AG$4/($F334*$AG$2)/100,0)*100))</f>
      </c>
      <c r="AC334">
        <f>IF(OR($F334="",$G334="",$U334=""),"",ROUND($V334-($F334+$U334)*$G334*$AG$6-IF($C334="売",$F334*$G334*$AG$7*$W334/365,0),0))</f>
      </c>
      <c r="AD334" s="608"/>
      <c r="AE334" s="600" t="str">
        <f t="shared" si="116"/>
        <v/>
      </c>
      <c r="AF334" s="600"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00"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00" t="str">
        <f t="shared" ca="1" si="117"/>
        <v/>
      </c>
      <c r="AI334" s="600" t="str" cm="1">
        <f t="array" ref="AI334">IFERROR(INDEX(始値!$E$6:$BT$305,MATCH(TEXT($B334,"0"),TEXT(銘柄管理!$B$6:$B$305,"0"),0),MATCH($AE334,始値!$E$3:$BT$3,0)),"")</f>
        <v/>
      </c>
      <c r="AJ334" s="608" t="str">
        <f t="shared" ca="1" si="118"/>
        <v/>
      </c>
      <c r="AK334" s="600" t="str">
        <f t="shared" ca="1" si="119"/>
        <v/>
      </c>
    </row>
    <row r="335" spans="1:37" ht="17.25" customHeight="1">
      <c r="A335" s="622" t="str">
        <f t="shared" si="108"/>
        <v/>
      </c>
      <c r="D335" s="440" t="str" cm="1">
        <f t="array" ref="D335">_xll.RssMarket(B335, "銘柄名称")</f>
        <v/>
      </c>
      <c r="E335" s="717"/>
      <c r="F335" s="6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 t="shared" ca="1" si="120"/>
        <v/>
      </c>
      <c r="L335" s="709" t="str">
        <f t="shared" ca="1" si="121"/>
        <v/>
      </c>
      <c r="M335" s="599">
        <f>IF($F335="","",IF($C335="売",CEILING($F335*IF($C335="売",1-$AG$3,1+$AG$3),IF($F335*IF($C335="売",1-$AG$3,1+$AG$3)&lt;=3000,1,IF($F335*IF($C335="売",1-$AG$3,1+$AG$3)&lt;=5000,5,IF($F335*IF($C335="売",1-$AG$3,1+$AG$3)&lt;=30000,10,IF($F335*IF($C335="売",1-$AG$3,1+$AG$3)&lt;=50000,50,IF($F335*IF($C335="売",1-$AG$3,1+$AG$3)&lt;=300000,100,500)))))),FLOOR($F335*IF($C335="売",1-$AG$3,1+$AG$3),IF($F335*IF($C335="売",1-$AG$3,1+$AG$3)&lt;=3000,1,IF($F335*IF($C335="売",1-$AG$3,1+$AG$3)&lt;=5000,5,IF($F335*IF($C335="売",1-$AG$3,1+$AG$3)&lt;=30000,10,IF($F335*IF($C335="売",1-$AG$3,1+$AG$3)&lt;=50000,50,IF($F335*IF($C335="売",1-$AG$3,1+$AG$3)&lt;=300000,100,500))))))))</f>
      </c>
      <c r="N335" s="599">
        <f>IF($F335="","",IF($C335="売",CEILING($F335*IF($C335="売",1+$AG$2,1-$AG$2),IF($F335*IF($C335="売",1+$AG$2,1-$AG$2)&lt;=3000,1,IF($F335*IF($C335="売",1+$AG$2,1-$AG$2)&lt;=5000,5,IF($F335*IF($C335="売",1+$AG$2,1-$AG$2)&lt;=30000,10,IF($F335*IF($C335="売",1+$AG$2,1-$AG$2)&lt;=50000,50,IF($F335*IF($C335="売",1+$AG$2,1-$AG$2)&lt;=300000,100,500)))))),FLOOR($F335*IF($C335="売",1+$AG$2,1-$AG$2),IF($F335*IF($C335="売",1+$AG$2,1-$AG$2)&lt;=3000,1,IF($F335*IF($C335="売",1+$AG$2,1-$AG$2)&lt;=5000,5,IF($F335*IF($C335="売",1+$AG$2,1-$AG$2)&lt;=30000,10,IF($F335*IF($C335="売",1+$AG$2,1-$AG$2)&lt;=50000,50,IF($F335*IF($C335="売",1+$AG$2,1-$AG$2)&lt;=300000,100,500))))))))</f>
      </c>
      <c r="O335" s="478">
        <f>IF(OR($B335="",$F335="",$H335=""),"",IF($S335="✅売却済","―決済済―",IF($C335="売",  IF($H335&lt;=$M335,"🟢利確",  IF(AND($R335&lt;&gt;"",$H335&gt;=$R335),"🟠TRAIL決済",  IF($H335&gt;=$N335,"🔴損切",  IF($W335&gt;=$AG$5,"⏱時間決済",  IF($H335&gt;=$F335*(1+$AG$2*0.7),"⚠️損切接近","保持継続"))))),  IF($H335&gt;=$M335,"🟢利確",  IF(AND($R335&lt;&gt;"",$H335&lt;=$R335),"🟠TRAIL決済",  IF($H335&lt;=$N335,"🔴損切",  IF($W335&gt;=$AG$5,"⏱時間決済",  IF($H335&lt;=$F335*(1-$AG$2*0.7),"⚠️損切接近","保持継続")))))))</f>
      </c>
      <c r="P335" s="445"/>
      <c r="Q335" s="445"/>
      <c r="R335" s="440">
        <f>IF(OR($F335="",$H335="",$N335=""),"",IF($S335="✅売却済","",IF($C335="売",  IF($H335&gt;$F335*(1-$AG$2),$N335,CEILING(MIN($N335,IF($Q335="",$N335,$Q335*1.03)),IF($N335&lt;=3000,1,IF($N335&lt;=5000,5,IF($N335&lt;=30000,10,IF($N335&lt;=50000,50,IF($N335&lt;=300000,100,500))))))),  IF($H335&lt;$F335*(1+$AG$2),$N335,FLOOR(MAX($N335,IF($P335="",$N335,$P335*0.97)),IF($N335&lt;=3000,1,IF($N335&lt;=5000,5,IF($N335&lt;=30000,10,IF($N335&lt;=50000,50,IF($N335&lt;=300000,100,500))))))))))</f>
      </c>
      <c r="S335" s="440" t="str">
        <f t="shared" si="123"/>
        <v/>
      </c>
      <c r="T335" s="597" t="str">
        <f t="shared" ca="1" si="112"/>
        <v/>
      </c>
      <c r="U335" s="599" t="str">
        <f t="shared" ca="1" si="113"/>
        <v/>
      </c>
      <c r="V335" s="704" t="str">
        <f t="shared" ca="1" si="124"/>
        <v/>
      </c>
      <c r="W335" s="440" t="str">
        <f t="shared" ca="1" si="114"/>
        <v/>
      </c>
      <c r="X335" s="440" t="str">
        <f t="shared" ca="1" si="115"/>
        <v/>
      </c>
      <c r="Y335">
        <f>IF($B335="","",IF(COUNTIFS($B$4:$B335,$B335,$C$4:$C335,$C335)&gt;1,"⛔重複"&amp;COUNTIFS($B$4:$B335,$B335,$C$4:$C335,$C335)&amp;"回目",""))</f>
      </c>
      <c r="AB335">
        <f>IF($F335="","",MAX(100,ROUNDDOWN($AG$4/($F335*$AG$2)/100,0)*100))</f>
      </c>
      <c r="AC335">
        <f>IF(OR($F335="",$G335="",$U335=""),"",ROUND($V335-($F335+$U335)*$G335*$AG$6-IF($C335="売",$F335*$G335*$AG$7*$W335/365,0),0))</f>
      </c>
      <c r="AD335" s="608"/>
      <c r="AE335" s="600" t="str">
        <f t="shared" si="116"/>
        <v/>
      </c>
      <c r="AF335" s="600"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00"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00" t="str">
        <f t="shared" ca="1" si="117"/>
        <v/>
      </c>
      <c r="AI335" s="600" t="str" cm="1">
        <f t="array" ref="AI335">IFERROR(INDEX(始値!$E$6:$BT$305,MATCH(TEXT($B335,"0"),TEXT(銘柄管理!$B$6:$B$305,"0"),0),MATCH($AE335,始値!$E$3:$BT$3,0)),"")</f>
        <v/>
      </c>
      <c r="AJ335" s="608" t="str">
        <f t="shared" ca="1" si="118"/>
        <v/>
      </c>
      <c r="AK335" s="600" t="str">
        <f t="shared" ca="1" si="119"/>
        <v/>
      </c>
    </row>
    <row r="336" spans="1:37" ht="17.25" customHeight="1">
      <c r="A336" s="622" t="str">
        <f t="shared" si="108"/>
        <v/>
      </c>
      <c r="D336" s="440" t="str" cm="1">
        <f t="array" ref="D336">_xll.RssMarket(B336, "銘柄名称")</f>
        <v/>
      </c>
      <c r="E336" s="717"/>
      <c r="F336" s="6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 t="shared" ca="1" si="120"/>
        <v/>
      </c>
      <c r="L336" s="709" t="str">
        <f t="shared" ca="1" si="121"/>
        <v/>
      </c>
      <c r="M336" s="599">
        <f>IF($F336="","",IF($C336="売",CEILING($F336*IF($C336="売",1-$AG$3,1+$AG$3),IF($F336*IF($C336="売",1-$AG$3,1+$AG$3)&lt;=3000,1,IF($F336*IF($C336="売",1-$AG$3,1+$AG$3)&lt;=5000,5,IF($F336*IF($C336="売",1-$AG$3,1+$AG$3)&lt;=30000,10,IF($F336*IF($C336="売",1-$AG$3,1+$AG$3)&lt;=50000,50,IF($F336*IF($C336="売",1-$AG$3,1+$AG$3)&lt;=300000,100,500)))))),FLOOR($F336*IF($C336="売",1-$AG$3,1+$AG$3),IF($F336*IF($C336="売",1-$AG$3,1+$AG$3)&lt;=3000,1,IF($F336*IF($C336="売",1-$AG$3,1+$AG$3)&lt;=5000,5,IF($F336*IF($C336="売",1-$AG$3,1+$AG$3)&lt;=30000,10,IF($F336*IF($C336="売",1-$AG$3,1+$AG$3)&lt;=50000,50,IF($F336*IF($C336="売",1-$AG$3,1+$AG$3)&lt;=300000,100,500))))))))</f>
      </c>
      <c r="N336" s="599">
        <f>IF($F336="","",IF($C336="売",CEILING($F336*IF($C336="売",1+$AG$2,1-$AG$2),IF($F336*IF($C336="売",1+$AG$2,1-$AG$2)&lt;=3000,1,IF($F336*IF($C336="売",1+$AG$2,1-$AG$2)&lt;=5000,5,IF($F336*IF($C336="売",1+$AG$2,1-$AG$2)&lt;=30000,10,IF($F336*IF($C336="売",1+$AG$2,1-$AG$2)&lt;=50000,50,IF($F336*IF($C336="売",1+$AG$2,1-$AG$2)&lt;=300000,100,500)))))),FLOOR($F336*IF($C336="売",1+$AG$2,1-$AG$2),IF($F336*IF($C336="売",1+$AG$2,1-$AG$2)&lt;=3000,1,IF($F336*IF($C336="売",1+$AG$2,1-$AG$2)&lt;=5000,5,IF($F336*IF($C336="売",1+$AG$2,1-$AG$2)&lt;=30000,10,IF($F336*IF($C336="売",1+$AG$2,1-$AG$2)&lt;=50000,50,IF($F336*IF($C336="売",1+$AG$2,1-$AG$2)&lt;=300000,100,500))))))))</f>
      </c>
      <c r="O336" s="478">
        <f>IF(OR($B336="",$F336="",$H336=""),"",IF($S336="✅売却済","―決済済―",IF($C336="売",  IF($H336&lt;=$M336,"🟢利確",  IF(AND($R336&lt;&gt;"",$H336&gt;=$R336),"🟠TRAIL決済",  IF($H336&gt;=$N336,"🔴損切",  IF($W336&gt;=$AG$5,"⏱時間決済",  IF($H336&gt;=$F336*(1+$AG$2*0.7),"⚠️損切接近","保持継続"))))),  IF($H336&gt;=$M336,"🟢利確",  IF(AND($R336&lt;&gt;"",$H336&lt;=$R336),"🟠TRAIL決済",  IF($H336&lt;=$N336,"🔴損切",  IF($W336&gt;=$AG$5,"⏱時間決済",  IF($H336&lt;=$F336*(1-$AG$2*0.7),"⚠️損切接近","保持継続")))))))</f>
      </c>
      <c r="P336" s="445"/>
      <c r="Q336" s="445"/>
      <c r="R336" s="440">
        <f>IF(OR($F336="",$H336="",$N336=""),"",IF($S336="✅売却済","",IF($C336="売",  IF($H336&gt;$F336*(1-$AG$2),$N336,CEILING(MIN($N336,IF($Q336="",$N336,$Q336*1.03)),IF($N336&lt;=3000,1,IF($N336&lt;=5000,5,IF($N336&lt;=30000,10,IF($N336&lt;=50000,50,IF($N336&lt;=300000,100,500))))))),  IF($H336&lt;$F336*(1+$AG$2),$N336,FLOOR(MAX($N336,IF($P336="",$N336,$P336*0.97)),IF($N336&lt;=3000,1,IF($N336&lt;=5000,5,IF($N336&lt;=30000,10,IF($N336&lt;=50000,50,IF($N336&lt;=300000,100,500))))))))))</f>
      </c>
      <c r="S336" s="440" t="str">
        <f t="shared" si="123"/>
        <v/>
      </c>
      <c r="T336" s="597" t="str">
        <f t="shared" ca="1" si="112"/>
        <v/>
      </c>
      <c r="U336" s="599" t="str">
        <f t="shared" ca="1" si="113"/>
        <v/>
      </c>
      <c r="V336" s="704" t="str">
        <f t="shared" ca="1" si="124"/>
        <v/>
      </c>
      <c r="W336" s="440" t="str">
        <f t="shared" ca="1" si="114"/>
        <v/>
      </c>
      <c r="X336" s="440" t="str">
        <f t="shared" ca="1" si="115"/>
        <v/>
      </c>
      <c r="Y336">
        <f>IF($B336="","",IF(COUNTIFS($B$4:$B336,$B336,$C$4:$C336,$C336)&gt;1,"⛔重複"&amp;COUNTIFS($B$4:$B336,$B336,$C$4:$C336,$C336)&amp;"回目",""))</f>
      </c>
      <c r="AB336">
        <f>IF($F336="","",MAX(100,ROUNDDOWN($AG$4/($F336*$AG$2)/100,0)*100))</f>
      </c>
      <c r="AC336">
        <f>IF(OR($F336="",$G336="",$U336=""),"",ROUND($V336-($F336+$U336)*$G336*$AG$6-IF($C336="売",$F336*$G336*$AG$7*$W336/365,0),0))</f>
      </c>
      <c r="AD336" s="608"/>
      <c r="AE336" s="600" t="str">
        <f t="shared" si="116"/>
        <v/>
      </c>
      <c r="AF336" s="600"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00"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00" t="str">
        <f t="shared" ca="1" si="117"/>
        <v/>
      </c>
      <c r="AI336" s="600" t="str" cm="1">
        <f t="array" ref="AI336">IFERROR(INDEX(始値!$E$6:$BT$305,MATCH(TEXT($B336,"0"),TEXT(銘柄管理!$B$6:$B$305,"0"),0),MATCH($AE336,始値!$E$3:$BT$3,0)),"")</f>
        <v/>
      </c>
      <c r="AJ336" s="608" t="str">
        <f t="shared" ca="1" si="118"/>
        <v/>
      </c>
      <c r="AK336" s="600" t="str">
        <f t="shared" ca="1" si="119"/>
        <v/>
      </c>
    </row>
    <row r="337" spans="1:37" ht="17.25" customHeight="1">
      <c r="A337" s="622" t="str">
        <f t="shared" si="108"/>
        <v/>
      </c>
      <c r="D337" s="440" t="str" cm="1">
        <f t="array" ref="D337">_xll.RssMarket(B337, "銘柄名称")</f>
        <v/>
      </c>
      <c r="E337" s="717"/>
      <c r="F337" s="6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 t="shared" ca="1" si="120"/>
        <v/>
      </c>
      <c r="L337" s="709" t="str">
        <f t="shared" ca="1" si="121"/>
        <v/>
      </c>
      <c r="M337" s="599">
        <f>IF($F337="","",IF($C337="売",CEILING($F337*IF($C337="売",1-$AG$3,1+$AG$3),IF($F337*IF($C337="売",1-$AG$3,1+$AG$3)&lt;=3000,1,IF($F337*IF($C337="売",1-$AG$3,1+$AG$3)&lt;=5000,5,IF($F337*IF($C337="売",1-$AG$3,1+$AG$3)&lt;=30000,10,IF($F337*IF($C337="売",1-$AG$3,1+$AG$3)&lt;=50000,50,IF($F337*IF($C337="売",1-$AG$3,1+$AG$3)&lt;=300000,100,500)))))),FLOOR($F337*IF($C337="売",1-$AG$3,1+$AG$3),IF($F337*IF($C337="売",1-$AG$3,1+$AG$3)&lt;=3000,1,IF($F337*IF($C337="売",1-$AG$3,1+$AG$3)&lt;=5000,5,IF($F337*IF($C337="売",1-$AG$3,1+$AG$3)&lt;=30000,10,IF($F337*IF($C337="売",1-$AG$3,1+$AG$3)&lt;=50000,50,IF($F337*IF($C337="売",1-$AG$3,1+$AG$3)&lt;=300000,100,500))))))))</f>
      </c>
      <c r="N337" s="599">
        <f>IF($F337="","",IF($C337="売",CEILING($F337*IF($C337="売",1+$AG$2,1-$AG$2),IF($F337*IF($C337="売",1+$AG$2,1-$AG$2)&lt;=3000,1,IF($F337*IF($C337="売",1+$AG$2,1-$AG$2)&lt;=5000,5,IF($F337*IF($C337="売",1+$AG$2,1-$AG$2)&lt;=30000,10,IF($F337*IF($C337="売",1+$AG$2,1-$AG$2)&lt;=50000,50,IF($F337*IF($C337="売",1+$AG$2,1-$AG$2)&lt;=300000,100,500)))))),FLOOR($F337*IF($C337="売",1+$AG$2,1-$AG$2),IF($F337*IF($C337="売",1+$AG$2,1-$AG$2)&lt;=3000,1,IF($F337*IF($C337="売",1+$AG$2,1-$AG$2)&lt;=5000,5,IF($F337*IF($C337="売",1+$AG$2,1-$AG$2)&lt;=30000,10,IF($F337*IF($C337="売",1+$AG$2,1-$AG$2)&lt;=50000,50,IF($F337*IF($C337="売",1+$AG$2,1-$AG$2)&lt;=300000,100,500))))))))</f>
      </c>
      <c r="O337" s="478">
        <f>IF(OR($B337="",$F337="",$H337=""),"",IF($S337="✅売却済","―決済済―",IF($C337="売",  IF($H337&lt;=$M337,"🟢利確",  IF(AND($R337&lt;&gt;"",$H337&gt;=$R337),"🟠TRAIL決済",  IF($H337&gt;=$N337,"🔴損切",  IF($W337&gt;=$AG$5,"⏱時間決済",  IF($H337&gt;=$F337*(1+$AG$2*0.7),"⚠️損切接近","保持継続"))))),  IF($H337&gt;=$M337,"🟢利確",  IF(AND($R337&lt;&gt;"",$H337&lt;=$R337),"🟠TRAIL決済",  IF($H337&lt;=$N337,"🔴損切",  IF($W337&gt;=$AG$5,"⏱時間決済",  IF($H337&lt;=$F337*(1-$AG$2*0.7),"⚠️損切接近","保持継続")))))))</f>
      </c>
      <c r="P337" s="445"/>
      <c r="Q337" s="445"/>
      <c r="R337" s="440">
        <f>IF(OR($F337="",$H337="",$N337=""),"",IF($S337="✅売却済","",IF($C337="売",  IF($H337&gt;$F337*(1-$AG$2),$N337,CEILING(MIN($N337,IF($Q337="",$N337,$Q337*1.03)),IF($N337&lt;=3000,1,IF($N337&lt;=5000,5,IF($N337&lt;=30000,10,IF($N337&lt;=50000,50,IF($N337&lt;=300000,100,500))))))),  IF($H337&lt;$F337*(1+$AG$2),$N337,FLOOR(MAX($N337,IF($P337="",$N337,$P337*0.97)),IF($N337&lt;=3000,1,IF($N337&lt;=5000,5,IF($N337&lt;=30000,10,IF($N337&lt;=50000,50,IF($N337&lt;=300000,100,500))))))))))</f>
      </c>
      <c r="S337" s="440" t="str">
        <f t="shared" si="123"/>
        <v/>
      </c>
      <c r="T337" s="597" t="str">
        <f t="shared" ca="1" si="112"/>
        <v/>
      </c>
      <c r="U337" s="599" t="str">
        <f t="shared" ca="1" si="113"/>
        <v/>
      </c>
      <c r="V337" s="704" t="str">
        <f t="shared" ca="1" si="124"/>
        <v/>
      </c>
      <c r="W337" s="440" t="str">
        <f t="shared" ca="1" si="114"/>
        <v/>
      </c>
      <c r="X337" s="440" t="str">
        <f t="shared" ca="1" si="115"/>
        <v/>
      </c>
      <c r="Y337">
        <f>IF($B337="","",IF(COUNTIFS($B$4:$B337,$B337,$C$4:$C337,$C337)&gt;1,"⛔重複"&amp;COUNTIFS($B$4:$B337,$B337,$C$4:$C337,$C337)&amp;"回目",""))</f>
      </c>
      <c r="AB337">
        <f>IF($F337="","",MAX(100,ROUNDDOWN($AG$4/($F337*$AG$2)/100,0)*100))</f>
      </c>
      <c r="AC337">
        <f>IF(OR($F337="",$G337="",$U337=""),"",ROUND($V337-($F337+$U337)*$G337*$AG$6-IF($C337="売",$F337*$G337*$AG$7*$W337/365,0),0))</f>
      </c>
      <c r="AD337" s="608"/>
      <c r="AE337" s="600" t="str">
        <f t="shared" si="116"/>
        <v/>
      </c>
      <c r="AF337" s="600"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00"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00" t="str">
        <f t="shared" ca="1" si="117"/>
        <v/>
      </c>
      <c r="AI337" s="600" t="str" cm="1">
        <f t="array" ref="AI337">IFERROR(INDEX(始値!$E$6:$BT$305,MATCH(TEXT($B337,"0"),TEXT(銘柄管理!$B$6:$B$305,"0"),0),MATCH($AE337,始値!$E$3:$BT$3,0)),"")</f>
        <v/>
      </c>
      <c r="AJ337" s="608" t="str">
        <f t="shared" ca="1" si="118"/>
        <v/>
      </c>
      <c r="AK337" s="600" t="str">
        <f t="shared" ca="1" si="119"/>
        <v/>
      </c>
    </row>
    <row r="338" spans="1:37" ht="17.25" customHeight="1">
      <c r="A338" s="622" t="str">
        <f t="shared" si="108"/>
        <v/>
      </c>
      <c r="D338" s="440" t="str" cm="1">
        <f t="array" ref="D338">_xll.RssMarket(B338, "銘柄名称")</f>
        <v/>
      </c>
      <c r="E338" s="717"/>
      <c r="F338" s="6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 t="shared" ca="1" si="120"/>
        <v/>
      </c>
      <c r="L338" s="709" t="str">
        <f t="shared" ca="1" si="121"/>
        <v/>
      </c>
      <c r="M338" s="599">
        <f>IF($F338="","",IF($C338="売",CEILING($F338*IF($C338="売",1-$AG$3,1+$AG$3),IF($F338*IF($C338="売",1-$AG$3,1+$AG$3)&lt;=3000,1,IF($F338*IF($C338="売",1-$AG$3,1+$AG$3)&lt;=5000,5,IF($F338*IF($C338="売",1-$AG$3,1+$AG$3)&lt;=30000,10,IF($F338*IF($C338="売",1-$AG$3,1+$AG$3)&lt;=50000,50,IF($F338*IF($C338="売",1-$AG$3,1+$AG$3)&lt;=300000,100,500)))))),FLOOR($F338*IF($C338="売",1-$AG$3,1+$AG$3),IF($F338*IF($C338="売",1-$AG$3,1+$AG$3)&lt;=3000,1,IF($F338*IF($C338="売",1-$AG$3,1+$AG$3)&lt;=5000,5,IF($F338*IF($C338="売",1-$AG$3,1+$AG$3)&lt;=30000,10,IF($F338*IF($C338="売",1-$AG$3,1+$AG$3)&lt;=50000,50,IF($F338*IF($C338="売",1-$AG$3,1+$AG$3)&lt;=300000,100,500))))))))</f>
      </c>
      <c r="N338" s="599">
        <f>IF($F338="","",IF($C338="売",CEILING($F338*IF($C338="売",1+$AG$2,1-$AG$2),IF($F338*IF($C338="売",1+$AG$2,1-$AG$2)&lt;=3000,1,IF($F338*IF($C338="売",1+$AG$2,1-$AG$2)&lt;=5000,5,IF($F338*IF($C338="売",1+$AG$2,1-$AG$2)&lt;=30000,10,IF($F338*IF($C338="売",1+$AG$2,1-$AG$2)&lt;=50000,50,IF($F338*IF($C338="売",1+$AG$2,1-$AG$2)&lt;=300000,100,500)))))),FLOOR($F338*IF($C338="売",1+$AG$2,1-$AG$2),IF($F338*IF($C338="売",1+$AG$2,1-$AG$2)&lt;=3000,1,IF($F338*IF($C338="売",1+$AG$2,1-$AG$2)&lt;=5000,5,IF($F338*IF($C338="売",1+$AG$2,1-$AG$2)&lt;=30000,10,IF($F338*IF($C338="売",1+$AG$2,1-$AG$2)&lt;=50000,50,IF($F338*IF($C338="売",1+$AG$2,1-$AG$2)&lt;=300000,100,500))))))))</f>
      </c>
      <c r="O338" s="478">
        <f>IF(OR($B338="",$F338="",$H338=""),"",IF($S338="✅売却済","―決済済―",IF($C338="売",  IF($H338&lt;=$M338,"🟢利確",  IF(AND($R338&lt;&gt;"",$H338&gt;=$R338),"🟠TRAIL決済",  IF($H338&gt;=$N338,"🔴損切",  IF($W338&gt;=$AG$5,"⏱時間決済",  IF($H338&gt;=$F338*(1+$AG$2*0.7),"⚠️損切接近","保持継続"))))),  IF($H338&gt;=$M338,"🟢利確",  IF(AND($R338&lt;&gt;"",$H338&lt;=$R338),"🟠TRAIL決済",  IF($H338&lt;=$N338,"🔴損切",  IF($W338&gt;=$AG$5,"⏱時間決済",  IF($H338&lt;=$F338*(1-$AG$2*0.7),"⚠️損切接近","保持継続")))))))</f>
      </c>
      <c r="P338" s="445"/>
      <c r="Q338" s="445"/>
      <c r="R338" s="440">
        <f>IF(OR($F338="",$H338="",$N338=""),"",IF($S338="✅売却済","",IF($C338="売",  IF($H338&gt;$F338*(1-$AG$2),$N338,CEILING(MIN($N338,IF($Q338="",$N338,$Q338*1.03)),IF($N338&lt;=3000,1,IF($N338&lt;=5000,5,IF($N338&lt;=30000,10,IF($N338&lt;=50000,50,IF($N338&lt;=300000,100,500))))))),  IF($H338&lt;$F338*(1+$AG$2),$N338,FLOOR(MAX($N338,IF($P338="",$N338,$P338*0.97)),IF($N338&lt;=3000,1,IF($N338&lt;=5000,5,IF($N338&lt;=30000,10,IF($N338&lt;=50000,50,IF($N338&lt;=300000,100,500))))))))))</f>
      </c>
      <c r="S338" s="440" t="str">
        <f t="shared" si="123"/>
        <v/>
      </c>
      <c r="T338" s="597" t="str">
        <f t="shared" ca="1" si="112"/>
        <v/>
      </c>
      <c r="U338" s="599" t="str">
        <f t="shared" ca="1" si="113"/>
        <v/>
      </c>
      <c r="V338" s="704" t="str">
        <f t="shared" ca="1" si="124"/>
        <v/>
      </c>
      <c r="W338" s="440" t="str">
        <f t="shared" ca="1" si="114"/>
        <v/>
      </c>
      <c r="X338" s="440" t="str">
        <f t="shared" ca="1" si="115"/>
        <v/>
      </c>
      <c r="Y338">
        <f>IF($B338="","",IF(COUNTIFS($B$4:$B338,$B338,$C$4:$C338,$C338)&gt;1,"⛔重複"&amp;COUNTIFS($B$4:$B338,$B338,$C$4:$C338,$C338)&amp;"回目",""))</f>
      </c>
      <c r="AB338">
        <f>IF($F338="","",MAX(100,ROUNDDOWN($AG$4/($F338*$AG$2)/100,0)*100))</f>
      </c>
      <c r="AC338">
        <f>IF(OR($F338="",$G338="",$U338=""),"",ROUND($V338-($F338+$U338)*$G338*$AG$6-IF($C338="売",$F338*$G338*$AG$7*$W338/365,0),0))</f>
      </c>
      <c r="AD338" s="608"/>
      <c r="AE338" s="600" t="str">
        <f t="shared" si="116"/>
        <v/>
      </c>
      <c r="AF338" s="600"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00"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00" t="str">
        <f t="shared" ca="1" si="117"/>
        <v/>
      </c>
      <c r="AI338" s="600" t="str" cm="1">
        <f t="array" ref="AI338">IFERROR(INDEX(始値!$E$6:$BT$305,MATCH(TEXT($B338,"0"),TEXT(銘柄管理!$B$6:$B$305,"0"),0),MATCH($AE338,始値!$E$3:$BT$3,0)),"")</f>
        <v/>
      </c>
      <c r="AJ338" s="608" t="str">
        <f t="shared" ca="1" si="118"/>
        <v/>
      </c>
      <c r="AK338" s="600" t="str">
        <f t="shared" ca="1" si="119"/>
        <v/>
      </c>
    </row>
    <row r="339" spans="1:37" ht="17.25" customHeight="1">
      <c r="A339" s="622" t="str">
        <f t="shared" si="108"/>
        <v/>
      </c>
      <c r="D339" s="440" t="str" cm="1">
        <f t="array" ref="D339">_xll.RssMarket(B339, "銘柄名称")</f>
        <v/>
      </c>
      <c r="E339" s="717"/>
      <c r="F339" s="6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 t="shared" ca="1" si="120"/>
        <v/>
      </c>
      <c r="L339" s="709" t="str">
        <f t="shared" ca="1" si="121"/>
        <v/>
      </c>
      <c r="M339" s="599">
        <f>IF($F339="","",IF($C339="売",CEILING($F339*IF($C339="売",1-$AG$3,1+$AG$3),IF($F339*IF($C339="売",1-$AG$3,1+$AG$3)&lt;=3000,1,IF($F339*IF($C339="売",1-$AG$3,1+$AG$3)&lt;=5000,5,IF($F339*IF($C339="売",1-$AG$3,1+$AG$3)&lt;=30000,10,IF($F339*IF($C339="売",1-$AG$3,1+$AG$3)&lt;=50000,50,IF($F339*IF($C339="売",1-$AG$3,1+$AG$3)&lt;=300000,100,500)))))),FLOOR($F339*IF($C339="売",1-$AG$3,1+$AG$3),IF($F339*IF($C339="売",1-$AG$3,1+$AG$3)&lt;=3000,1,IF($F339*IF($C339="売",1-$AG$3,1+$AG$3)&lt;=5000,5,IF($F339*IF($C339="売",1-$AG$3,1+$AG$3)&lt;=30000,10,IF($F339*IF($C339="売",1-$AG$3,1+$AG$3)&lt;=50000,50,IF($F339*IF($C339="売",1-$AG$3,1+$AG$3)&lt;=300000,100,500))))))))</f>
      </c>
      <c r="N339" s="599">
        <f>IF($F339="","",IF($C339="売",CEILING($F339*IF($C339="売",1+$AG$2,1-$AG$2),IF($F339*IF($C339="売",1+$AG$2,1-$AG$2)&lt;=3000,1,IF($F339*IF($C339="売",1+$AG$2,1-$AG$2)&lt;=5000,5,IF($F339*IF($C339="売",1+$AG$2,1-$AG$2)&lt;=30000,10,IF($F339*IF($C339="売",1+$AG$2,1-$AG$2)&lt;=50000,50,IF($F339*IF($C339="売",1+$AG$2,1-$AG$2)&lt;=300000,100,500)))))),FLOOR($F339*IF($C339="売",1+$AG$2,1-$AG$2),IF($F339*IF($C339="売",1+$AG$2,1-$AG$2)&lt;=3000,1,IF($F339*IF($C339="売",1+$AG$2,1-$AG$2)&lt;=5000,5,IF($F339*IF($C339="売",1+$AG$2,1-$AG$2)&lt;=30000,10,IF($F339*IF($C339="売",1+$AG$2,1-$AG$2)&lt;=50000,50,IF($F339*IF($C339="売",1+$AG$2,1-$AG$2)&lt;=300000,100,500))))))))</f>
      </c>
      <c r="O339" s="478">
        <f>IF(OR($B339="",$F339="",$H339=""),"",IF($S339="✅売却済","―決済済―",IF($C339="売",  IF($H339&lt;=$M339,"🟢利確",  IF(AND($R339&lt;&gt;"",$H339&gt;=$R339),"🟠TRAIL決済",  IF($H339&gt;=$N339,"🔴損切",  IF($W339&gt;=$AG$5,"⏱時間決済",  IF($H339&gt;=$F339*(1+$AG$2*0.7),"⚠️損切接近","保持継続"))))),  IF($H339&gt;=$M339,"🟢利確",  IF(AND($R339&lt;&gt;"",$H339&lt;=$R339),"🟠TRAIL決済",  IF($H339&lt;=$N339,"🔴損切",  IF($W339&gt;=$AG$5,"⏱時間決済",  IF($H339&lt;=$F339*(1-$AG$2*0.7),"⚠️損切接近","保持継続")))))))</f>
      </c>
      <c r="P339" s="445"/>
      <c r="Q339" s="445"/>
      <c r="R339" s="440">
        <f>IF(OR($F339="",$H339="",$N339=""),"",IF($S339="✅売却済","",IF($C339="売",  IF($H339&gt;$F339*(1-$AG$2),$N339,CEILING(MIN($N339,IF($Q339="",$N339,$Q339*1.03)),IF($N339&lt;=3000,1,IF($N339&lt;=5000,5,IF($N339&lt;=30000,10,IF($N339&lt;=50000,50,IF($N339&lt;=300000,100,500))))))),  IF($H339&lt;$F339*(1+$AG$2),$N339,FLOOR(MAX($N339,IF($P339="",$N339,$P339*0.97)),IF($N339&lt;=3000,1,IF($N339&lt;=5000,5,IF($N339&lt;=30000,10,IF($N339&lt;=50000,50,IF($N339&lt;=300000,100,500))))))))))</f>
      </c>
      <c r="S339" s="440" t="str">
        <f t="shared" si="123"/>
        <v/>
      </c>
      <c r="T339" s="597" t="str">
        <f t="shared" ca="1" si="112"/>
        <v/>
      </c>
      <c r="U339" s="599" t="str">
        <f t="shared" ca="1" si="113"/>
        <v/>
      </c>
      <c r="V339" s="704" t="str">
        <f t="shared" ca="1" si="124"/>
        <v/>
      </c>
      <c r="W339" s="440" t="str">
        <f t="shared" ca="1" si="114"/>
        <v/>
      </c>
      <c r="X339" s="440" t="str">
        <f t="shared" ca="1" si="115"/>
        <v/>
      </c>
      <c r="Y339">
        <f>IF($B339="","",IF(COUNTIFS($B$4:$B339,$B339,$C$4:$C339,$C339)&gt;1,"⛔重複"&amp;COUNTIFS($B$4:$B339,$B339,$C$4:$C339,$C339)&amp;"回目",""))</f>
      </c>
      <c r="AB339">
        <f>IF($F339="","",MAX(100,ROUNDDOWN($AG$4/($F339*$AG$2)/100,0)*100))</f>
      </c>
      <c r="AC339">
        <f>IF(OR($F339="",$G339="",$U339=""),"",ROUND($V339-($F339+$U339)*$G339*$AG$6-IF($C339="売",$F339*$G339*$AG$7*$W339/365,0),0))</f>
      </c>
      <c r="AD339" s="608"/>
      <c r="AE339" s="600" t="str">
        <f t="shared" si="116"/>
        <v/>
      </c>
      <c r="AF339" s="600"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00"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00" t="str">
        <f t="shared" ca="1" si="117"/>
        <v/>
      </c>
      <c r="AI339" s="600" t="str" cm="1">
        <f t="array" ref="AI339">IFERROR(INDEX(始値!$E$6:$BT$305,MATCH(TEXT($B339,"0"),TEXT(銘柄管理!$B$6:$B$305,"0"),0),MATCH($AE339,始値!$E$3:$BT$3,0)),"")</f>
        <v/>
      </c>
      <c r="AJ339" s="608" t="str">
        <f t="shared" ca="1" si="118"/>
        <v/>
      </c>
      <c r="AK339" s="600" t="str">
        <f t="shared" ca="1" si="119"/>
        <v/>
      </c>
    </row>
    <row r="340" spans="1:37" ht="17.25" customHeight="1">
      <c r="A340" s="622" t="str">
        <f t="shared" si="108"/>
        <v/>
      </c>
      <c r="D340" s="440" t="str" cm="1">
        <f t="array" ref="D340">_xll.RssMarket(B340, "銘柄名称")</f>
        <v/>
      </c>
      <c r="E340" s="717"/>
      <c r="F340" s="6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 t="shared" ca="1" si="120"/>
        <v/>
      </c>
      <c r="L340" s="709" t="str">
        <f t="shared" ca="1" si="121"/>
        <v/>
      </c>
      <c r="M340" s="599">
        <f>IF($F340="","",IF($C340="売",CEILING($F340*IF($C340="売",1-$AG$3,1+$AG$3),IF($F340*IF($C340="売",1-$AG$3,1+$AG$3)&lt;=3000,1,IF($F340*IF($C340="売",1-$AG$3,1+$AG$3)&lt;=5000,5,IF($F340*IF($C340="売",1-$AG$3,1+$AG$3)&lt;=30000,10,IF($F340*IF($C340="売",1-$AG$3,1+$AG$3)&lt;=50000,50,IF($F340*IF($C340="売",1-$AG$3,1+$AG$3)&lt;=300000,100,500)))))),FLOOR($F340*IF($C340="売",1-$AG$3,1+$AG$3),IF($F340*IF($C340="売",1-$AG$3,1+$AG$3)&lt;=3000,1,IF($F340*IF($C340="売",1-$AG$3,1+$AG$3)&lt;=5000,5,IF($F340*IF($C340="売",1-$AG$3,1+$AG$3)&lt;=30000,10,IF($F340*IF($C340="売",1-$AG$3,1+$AG$3)&lt;=50000,50,IF($F340*IF($C340="売",1-$AG$3,1+$AG$3)&lt;=300000,100,500))))))))</f>
      </c>
      <c r="N340" s="599">
        <f>IF($F340="","",IF($C340="売",CEILING($F340*IF($C340="売",1+$AG$2,1-$AG$2),IF($F340*IF($C340="売",1+$AG$2,1-$AG$2)&lt;=3000,1,IF($F340*IF($C340="売",1+$AG$2,1-$AG$2)&lt;=5000,5,IF($F340*IF($C340="売",1+$AG$2,1-$AG$2)&lt;=30000,10,IF($F340*IF($C340="売",1+$AG$2,1-$AG$2)&lt;=50000,50,IF($F340*IF($C340="売",1+$AG$2,1-$AG$2)&lt;=300000,100,500)))))),FLOOR($F340*IF($C340="売",1+$AG$2,1-$AG$2),IF($F340*IF($C340="売",1+$AG$2,1-$AG$2)&lt;=3000,1,IF($F340*IF($C340="売",1+$AG$2,1-$AG$2)&lt;=5000,5,IF($F340*IF($C340="売",1+$AG$2,1-$AG$2)&lt;=30000,10,IF($F340*IF($C340="売",1+$AG$2,1-$AG$2)&lt;=50000,50,IF($F340*IF($C340="売",1+$AG$2,1-$AG$2)&lt;=300000,100,500))))))))</f>
      </c>
      <c r="O340" s="478">
        <f>IF(OR($B340="",$F340="",$H340=""),"",IF($S340="✅売却済","―決済済―",IF($C340="売",  IF($H340&lt;=$M340,"🟢利確",  IF(AND($R340&lt;&gt;"",$H340&gt;=$R340),"🟠TRAIL決済",  IF($H340&gt;=$N340,"🔴損切",  IF($W340&gt;=$AG$5,"⏱時間決済",  IF($H340&gt;=$F340*(1+$AG$2*0.7),"⚠️損切接近","保持継続"))))),  IF($H340&gt;=$M340,"🟢利確",  IF(AND($R340&lt;&gt;"",$H340&lt;=$R340),"🟠TRAIL決済",  IF($H340&lt;=$N340,"🔴損切",  IF($W340&gt;=$AG$5,"⏱時間決済",  IF($H340&lt;=$F340*(1-$AG$2*0.7),"⚠️損切接近","保持継続")))))))</f>
      </c>
      <c r="P340" s="445"/>
      <c r="Q340" s="445"/>
      <c r="R340" s="440">
        <f>IF(OR($F340="",$H340="",$N340=""),"",IF($S340="✅売却済","",IF($C340="売",  IF($H340&gt;$F340*(1-$AG$2),$N340,CEILING(MIN($N340,IF($Q340="",$N340,$Q340*1.03)),IF($N340&lt;=3000,1,IF($N340&lt;=5000,5,IF($N340&lt;=30000,10,IF($N340&lt;=50000,50,IF($N340&lt;=300000,100,500))))))),  IF($H340&lt;$F340*(1+$AG$2),$N340,FLOOR(MAX($N340,IF($P340="",$N340,$P340*0.97)),IF($N340&lt;=3000,1,IF($N340&lt;=5000,5,IF($N340&lt;=30000,10,IF($N340&lt;=50000,50,IF($N340&lt;=300000,100,500))))))))))</f>
      </c>
      <c r="S340" s="440" t="str">
        <f t="shared" si="123"/>
        <v/>
      </c>
      <c r="T340" s="597" t="str">
        <f t="shared" ca="1" si="112"/>
        <v/>
      </c>
      <c r="U340" s="599" t="str">
        <f t="shared" ca="1" si="113"/>
        <v/>
      </c>
      <c r="V340" s="704" t="str">
        <f t="shared" ca="1" si="124"/>
        <v/>
      </c>
      <c r="W340" s="440" t="str">
        <f t="shared" ca="1" si="114"/>
        <v/>
      </c>
      <c r="X340" s="440" t="str">
        <f t="shared" ca="1" si="115"/>
        <v/>
      </c>
      <c r="Y340">
        <f>IF($B340="","",IF(COUNTIFS($B$4:$B340,$B340,$C$4:$C340,$C340)&gt;1,"⛔重複"&amp;COUNTIFS($B$4:$B340,$B340,$C$4:$C340,$C340)&amp;"回目",""))</f>
      </c>
      <c r="AB340">
        <f>IF($F340="","",MAX(100,ROUNDDOWN($AG$4/($F340*$AG$2)/100,0)*100))</f>
      </c>
      <c r="AC340">
        <f>IF(OR($F340="",$G340="",$U340=""),"",ROUND($V340-($F340+$U340)*$G340*$AG$6-IF($C340="売",$F340*$G340*$AG$7*$W340/365,0),0))</f>
      </c>
      <c r="AD340" s="608"/>
      <c r="AE340" s="600" t="str">
        <f t="shared" si="116"/>
        <v/>
      </c>
      <c r="AF340" s="600"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00"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00" t="str">
        <f t="shared" ca="1" si="117"/>
        <v/>
      </c>
      <c r="AI340" s="600" t="str" cm="1">
        <f t="array" ref="AI340">IFERROR(INDEX(始値!$E$6:$BT$305,MATCH(TEXT($B340,"0"),TEXT(銘柄管理!$B$6:$B$305,"0"),0),MATCH($AE340,始値!$E$3:$BT$3,0)),"")</f>
        <v/>
      </c>
      <c r="AJ340" s="608" t="str">
        <f t="shared" ca="1" si="118"/>
        <v/>
      </c>
      <c r="AK340" s="600" t="str">
        <f t="shared" ca="1" si="119"/>
        <v/>
      </c>
    </row>
    <row r="341" spans="1:37" ht="17.25" customHeight="1">
      <c r="A341" s="622" t="str">
        <f t="shared" si="108"/>
        <v/>
      </c>
      <c r="D341" s="440" t="str" cm="1">
        <f t="array" ref="D341">_xll.RssMarket(B341, "銘柄名称")</f>
        <v/>
      </c>
      <c r="E341" s="717"/>
      <c r="F341" s="6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 t="shared" ca="1" si="120"/>
        <v/>
      </c>
      <c r="L341" s="709" t="str">
        <f t="shared" ca="1" si="121"/>
        <v/>
      </c>
      <c r="M341" s="599">
        <f>IF($F341="","",IF($C341="売",CEILING($F341*IF($C341="売",1-$AG$3,1+$AG$3),IF($F341*IF($C341="売",1-$AG$3,1+$AG$3)&lt;=3000,1,IF($F341*IF($C341="売",1-$AG$3,1+$AG$3)&lt;=5000,5,IF($F341*IF($C341="売",1-$AG$3,1+$AG$3)&lt;=30000,10,IF($F341*IF($C341="売",1-$AG$3,1+$AG$3)&lt;=50000,50,IF($F341*IF($C341="売",1-$AG$3,1+$AG$3)&lt;=300000,100,500)))))),FLOOR($F341*IF($C341="売",1-$AG$3,1+$AG$3),IF($F341*IF($C341="売",1-$AG$3,1+$AG$3)&lt;=3000,1,IF($F341*IF($C341="売",1-$AG$3,1+$AG$3)&lt;=5000,5,IF($F341*IF($C341="売",1-$AG$3,1+$AG$3)&lt;=30000,10,IF($F341*IF($C341="売",1-$AG$3,1+$AG$3)&lt;=50000,50,IF($F341*IF($C341="売",1-$AG$3,1+$AG$3)&lt;=300000,100,500))))))))</f>
      </c>
      <c r="N341" s="599">
        <f>IF($F341="","",IF($C341="売",CEILING($F341*IF($C341="売",1+$AG$2,1-$AG$2),IF($F341*IF($C341="売",1+$AG$2,1-$AG$2)&lt;=3000,1,IF($F341*IF($C341="売",1+$AG$2,1-$AG$2)&lt;=5000,5,IF($F341*IF($C341="売",1+$AG$2,1-$AG$2)&lt;=30000,10,IF($F341*IF($C341="売",1+$AG$2,1-$AG$2)&lt;=50000,50,IF($F341*IF($C341="売",1+$AG$2,1-$AG$2)&lt;=300000,100,500)))))),FLOOR($F341*IF($C341="売",1+$AG$2,1-$AG$2),IF($F341*IF($C341="売",1+$AG$2,1-$AG$2)&lt;=3000,1,IF($F341*IF($C341="売",1+$AG$2,1-$AG$2)&lt;=5000,5,IF($F341*IF($C341="売",1+$AG$2,1-$AG$2)&lt;=30000,10,IF($F341*IF($C341="売",1+$AG$2,1-$AG$2)&lt;=50000,50,IF($F341*IF($C341="売",1+$AG$2,1-$AG$2)&lt;=300000,100,500))))))))</f>
      </c>
      <c r="O341" s="478">
        <f>IF(OR($B341="",$F341="",$H341=""),"",IF($S341="✅売却済","―決済済―",IF($C341="売",  IF($H341&lt;=$M341,"🟢利確",  IF(AND($R341&lt;&gt;"",$H341&gt;=$R341),"🟠TRAIL決済",  IF($H341&gt;=$N341,"🔴損切",  IF($W341&gt;=$AG$5,"⏱時間決済",  IF($H341&gt;=$F341*(1+$AG$2*0.7),"⚠️損切接近","保持継続"))))),  IF($H341&gt;=$M341,"🟢利確",  IF(AND($R341&lt;&gt;"",$H341&lt;=$R341),"🟠TRAIL決済",  IF($H341&lt;=$N341,"🔴損切",  IF($W341&gt;=$AG$5,"⏱時間決済",  IF($H341&lt;=$F341*(1-$AG$2*0.7),"⚠️損切接近","保持継続")))))))</f>
      </c>
      <c r="P341" s="445"/>
      <c r="Q341" s="445"/>
      <c r="R341" s="440">
        <f>IF(OR($F341="",$H341="",$N341=""),"",IF($S341="✅売却済","",IF($C341="売",  IF($H341&gt;$F341*(1-$AG$2),$N341,CEILING(MIN($N341,IF($Q341="",$N341,$Q341*1.03)),IF($N341&lt;=3000,1,IF($N341&lt;=5000,5,IF($N341&lt;=30000,10,IF($N341&lt;=50000,50,IF($N341&lt;=300000,100,500))))))),  IF($H341&lt;$F341*(1+$AG$2),$N341,FLOOR(MAX($N341,IF($P341="",$N341,$P341*0.97)),IF($N341&lt;=3000,1,IF($N341&lt;=5000,5,IF($N341&lt;=30000,10,IF($N341&lt;=50000,50,IF($N341&lt;=300000,100,500))))))))))</f>
      </c>
      <c r="S341" s="440" t="str">
        <f t="shared" si="123"/>
        <v/>
      </c>
      <c r="T341" s="597" t="str">
        <f t="shared" ca="1" si="112"/>
        <v/>
      </c>
      <c r="U341" s="599" t="str">
        <f t="shared" ca="1" si="113"/>
        <v/>
      </c>
      <c r="V341" s="704" t="str">
        <f t="shared" ca="1" si="124"/>
        <v/>
      </c>
      <c r="W341" s="440" t="str">
        <f t="shared" ca="1" si="114"/>
        <v/>
      </c>
      <c r="X341" s="440" t="str">
        <f t="shared" ca="1" si="115"/>
        <v/>
      </c>
      <c r="Y341">
        <f>IF($B341="","",IF(COUNTIFS($B$4:$B341,$B341,$C$4:$C341,$C341)&gt;1,"⛔重複"&amp;COUNTIFS($B$4:$B341,$B341,$C$4:$C341,$C341)&amp;"回目",""))</f>
      </c>
      <c r="AB341">
        <f>IF($F341="","",MAX(100,ROUNDDOWN($AG$4/($F341*$AG$2)/100,0)*100))</f>
      </c>
      <c r="AC341">
        <f>IF(OR($F341="",$G341="",$U341=""),"",ROUND($V341-($F341+$U341)*$G341*$AG$6-IF($C341="売",$F341*$G341*$AG$7*$W341/365,0),0))</f>
      </c>
      <c r="AD341" s="608"/>
      <c r="AE341" s="600" t="str">
        <f t="shared" si="116"/>
        <v/>
      </c>
      <c r="AF341" s="600"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00"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00" t="str">
        <f t="shared" ca="1" si="117"/>
        <v/>
      </c>
      <c r="AI341" s="600" t="str" cm="1">
        <f t="array" ref="AI341">IFERROR(INDEX(始値!$E$6:$BT$305,MATCH(TEXT($B341,"0"),TEXT(銘柄管理!$B$6:$B$305,"0"),0),MATCH($AE341,始値!$E$3:$BT$3,0)),"")</f>
        <v/>
      </c>
      <c r="AJ341" s="608" t="str">
        <f t="shared" ca="1" si="118"/>
        <v/>
      </c>
      <c r="AK341" s="600" t="str">
        <f t="shared" ca="1" si="119"/>
        <v/>
      </c>
    </row>
    <row r="342" spans="1:37" ht="17.25" customHeight="1">
      <c r="A342" s="622" t="str">
        <f t="shared" si="108"/>
        <v/>
      </c>
      <c r="D342" s="440" t="str" cm="1">
        <f t="array" ref="D342">_xll.RssMarket(B342, "銘柄名称")</f>
        <v/>
      </c>
      <c r="E342" s="717"/>
      <c r="F342" s="6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 t="shared" ca="1" si="120"/>
        <v/>
      </c>
      <c r="L342" s="709" t="str">
        <f t="shared" ca="1" si="121"/>
        <v/>
      </c>
      <c r="M342" s="599">
        <f>IF($F342="","",IF($C342="売",CEILING($F342*IF($C342="売",1-$AG$3,1+$AG$3),IF($F342*IF($C342="売",1-$AG$3,1+$AG$3)&lt;=3000,1,IF($F342*IF($C342="売",1-$AG$3,1+$AG$3)&lt;=5000,5,IF($F342*IF($C342="売",1-$AG$3,1+$AG$3)&lt;=30000,10,IF($F342*IF($C342="売",1-$AG$3,1+$AG$3)&lt;=50000,50,IF($F342*IF($C342="売",1-$AG$3,1+$AG$3)&lt;=300000,100,500)))))),FLOOR($F342*IF($C342="売",1-$AG$3,1+$AG$3),IF($F342*IF($C342="売",1-$AG$3,1+$AG$3)&lt;=3000,1,IF($F342*IF($C342="売",1-$AG$3,1+$AG$3)&lt;=5000,5,IF($F342*IF($C342="売",1-$AG$3,1+$AG$3)&lt;=30000,10,IF($F342*IF($C342="売",1-$AG$3,1+$AG$3)&lt;=50000,50,IF($F342*IF($C342="売",1-$AG$3,1+$AG$3)&lt;=300000,100,500))))))))</f>
      </c>
      <c r="N342" s="599">
        <f>IF($F342="","",IF($C342="売",CEILING($F342*IF($C342="売",1+$AG$2,1-$AG$2),IF($F342*IF($C342="売",1+$AG$2,1-$AG$2)&lt;=3000,1,IF($F342*IF($C342="売",1+$AG$2,1-$AG$2)&lt;=5000,5,IF($F342*IF($C342="売",1+$AG$2,1-$AG$2)&lt;=30000,10,IF($F342*IF($C342="売",1+$AG$2,1-$AG$2)&lt;=50000,50,IF($F342*IF($C342="売",1+$AG$2,1-$AG$2)&lt;=300000,100,500)))))),FLOOR($F342*IF($C342="売",1+$AG$2,1-$AG$2),IF($F342*IF($C342="売",1+$AG$2,1-$AG$2)&lt;=3000,1,IF($F342*IF($C342="売",1+$AG$2,1-$AG$2)&lt;=5000,5,IF($F342*IF($C342="売",1+$AG$2,1-$AG$2)&lt;=30000,10,IF($F342*IF($C342="売",1+$AG$2,1-$AG$2)&lt;=50000,50,IF($F342*IF($C342="売",1+$AG$2,1-$AG$2)&lt;=300000,100,500))))))))</f>
      </c>
      <c r="O342" s="478">
        <f>IF(OR($B342="",$F342="",$H342=""),"",IF($S342="✅売却済","―決済済―",IF($C342="売",  IF($H342&lt;=$M342,"🟢利確",  IF(AND($R342&lt;&gt;"",$H342&gt;=$R342),"🟠TRAIL決済",  IF($H342&gt;=$N342,"🔴損切",  IF($W342&gt;=$AG$5,"⏱時間決済",  IF($H342&gt;=$F342*(1+$AG$2*0.7),"⚠️損切接近","保持継続"))))),  IF($H342&gt;=$M342,"🟢利確",  IF(AND($R342&lt;&gt;"",$H342&lt;=$R342),"🟠TRAIL決済",  IF($H342&lt;=$N342,"🔴損切",  IF($W342&gt;=$AG$5,"⏱時間決済",  IF($H342&lt;=$F342*(1-$AG$2*0.7),"⚠️損切接近","保持継続")))))))</f>
      </c>
      <c r="P342" s="445"/>
      <c r="Q342" s="445"/>
      <c r="R342" s="440">
        <f>IF(OR($F342="",$H342="",$N342=""),"",IF($S342="✅売却済","",IF($C342="売",  IF($H342&gt;$F342*(1-$AG$2),$N342,CEILING(MIN($N342,IF($Q342="",$N342,$Q342*1.03)),IF($N342&lt;=3000,1,IF($N342&lt;=5000,5,IF($N342&lt;=30000,10,IF($N342&lt;=50000,50,IF($N342&lt;=300000,100,500))))))),  IF($H342&lt;$F342*(1+$AG$2),$N342,FLOOR(MAX($N342,IF($P342="",$N342,$P342*0.97)),IF($N342&lt;=3000,1,IF($N342&lt;=5000,5,IF($N342&lt;=30000,10,IF($N342&lt;=50000,50,IF($N342&lt;=300000,100,500))))))))))</f>
      </c>
      <c r="S342" s="440" t="str">
        <f t="shared" si="123"/>
        <v/>
      </c>
      <c r="T342" s="597" t="str">
        <f t="shared" ca="1" si="112"/>
        <v/>
      </c>
      <c r="U342" s="599" t="str">
        <f t="shared" ca="1" si="113"/>
        <v/>
      </c>
      <c r="V342" s="704" t="str">
        <f t="shared" ca="1" si="124"/>
        <v/>
      </c>
      <c r="W342" s="440" t="str">
        <f t="shared" ca="1" si="114"/>
        <v/>
      </c>
      <c r="X342" s="440" t="str">
        <f t="shared" ca="1" si="115"/>
        <v/>
      </c>
      <c r="Y342">
        <f>IF($B342="","",IF(COUNTIFS($B$4:$B342,$B342,$C$4:$C342,$C342)&gt;1,"⛔重複"&amp;COUNTIFS($B$4:$B342,$B342,$C$4:$C342,$C342)&amp;"回目",""))</f>
      </c>
      <c r="AB342">
        <f>IF($F342="","",MAX(100,ROUNDDOWN($AG$4/($F342*$AG$2)/100,0)*100))</f>
      </c>
      <c r="AC342">
        <f>IF(OR($F342="",$G342="",$U342=""),"",ROUND($V342-($F342+$U342)*$G342*$AG$6-IF($C342="売",$F342*$G342*$AG$7*$W342/365,0),0))</f>
      </c>
      <c r="AD342" s="608"/>
      <c r="AE342" s="600" t="str">
        <f t="shared" si="116"/>
        <v/>
      </c>
      <c r="AF342" s="600"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00"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00" t="str">
        <f t="shared" ca="1" si="117"/>
        <v/>
      </c>
      <c r="AI342" s="600" t="str" cm="1">
        <f t="array" ref="AI342">IFERROR(INDEX(始値!$E$6:$BT$305,MATCH(TEXT($B342,"0"),TEXT(銘柄管理!$B$6:$B$305,"0"),0),MATCH($AE342,始値!$E$3:$BT$3,0)),"")</f>
        <v/>
      </c>
      <c r="AJ342" s="608" t="str">
        <f t="shared" ca="1" si="118"/>
        <v/>
      </c>
      <c r="AK342" s="600" t="str">
        <f t="shared" ca="1" si="119"/>
        <v/>
      </c>
    </row>
    <row r="343" spans="1:37" ht="17.25" customHeight="1">
      <c r="A343" s="622" t="str">
        <f t="shared" si="108"/>
        <v/>
      </c>
      <c r="D343" s="440" t="str" cm="1">
        <f t="array" ref="D343">_xll.RssMarket(B343, "銘柄名称")</f>
        <v/>
      </c>
      <c r="E343" s="717"/>
      <c r="F343" s="6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 t="shared" ca="1" si="120"/>
        <v/>
      </c>
      <c r="L343" s="709" t="str">
        <f t="shared" ca="1" si="121"/>
        <v/>
      </c>
      <c r="M343" s="599">
        <f>IF($F343="","",IF($C343="売",CEILING($F343*IF($C343="売",1-$AG$3,1+$AG$3),IF($F343*IF($C343="売",1-$AG$3,1+$AG$3)&lt;=3000,1,IF($F343*IF($C343="売",1-$AG$3,1+$AG$3)&lt;=5000,5,IF($F343*IF($C343="売",1-$AG$3,1+$AG$3)&lt;=30000,10,IF($F343*IF($C343="売",1-$AG$3,1+$AG$3)&lt;=50000,50,IF($F343*IF($C343="売",1-$AG$3,1+$AG$3)&lt;=300000,100,500)))))),FLOOR($F343*IF($C343="売",1-$AG$3,1+$AG$3),IF($F343*IF($C343="売",1-$AG$3,1+$AG$3)&lt;=3000,1,IF($F343*IF($C343="売",1-$AG$3,1+$AG$3)&lt;=5000,5,IF($F343*IF($C343="売",1-$AG$3,1+$AG$3)&lt;=30000,10,IF($F343*IF($C343="売",1-$AG$3,1+$AG$3)&lt;=50000,50,IF($F343*IF($C343="売",1-$AG$3,1+$AG$3)&lt;=300000,100,500))))))))</f>
      </c>
      <c r="N343" s="599">
        <f>IF($F343="","",IF($C343="売",CEILING($F343*IF($C343="売",1+$AG$2,1-$AG$2),IF($F343*IF($C343="売",1+$AG$2,1-$AG$2)&lt;=3000,1,IF($F343*IF($C343="売",1+$AG$2,1-$AG$2)&lt;=5000,5,IF($F343*IF($C343="売",1+$AG$2,1-$AG$2)&lt;=30000,10,IF($F343*IF($C343="売",1+$AG$2,1-$AG$2)&lt;=50000,50,IF($F343*IF($C343="売",1+$AG$2,1-$AG$2)&lt;=300000,100,500)))))),FLOOR($F343*IF($C343="売",1+$AG$2,1-$AG$2),IF($F343*IF($C343="売",1+$AG$2,1-$AG$2)&lt;=3000,1,IF($F343*IF($C343="売",1+$AG$2,1-$AG$2)&lt;=5000,5,IF($F343*IF($C343="売",1+$AG$2,1-$AG$2)&lt;=30000,10,IF($F343*IF($C343="売",1+$AG$2,1-$AG$2)&lt;=50000,50,IF($F343*IF($C343="売",1+$AG$2,1-$AG$2)&lt;=300000,100,500))))))))</f>
      </c>
      <c r="O343" s="478">
        <f>IF(OR($B343="",$F343="",$H343=""),"",IF($S343="✅売却済","―決済済―",IF($C343="売",  IF($H343&lt;=$M343,"🟢利確",  IF(AND($R343&lt;&gt;"",$H343&gt;=$R343),"🟠TRAIL決済",  IF($H343&gt;=$N343,"🔴損切",  IF($W343&gt;=$AG$5,"⏱時間決済",  IF($H343&gt;=$F343*(1+$AG$2*0.7),"⚠️損切接近","保持継続"))))),  IF($H343&gt;=$M343,"🟢利確",  IF(AND($R343&lt;&gt;"",$H343&lt;=$R343),"🟠TRAIL決済",  IF($H343&lt;=$N343,"🔴損切",  IF($W343&gt;=$AG$5,"⏱時間決済",  IF($H343&lt;=$F343*(1-$AG$2*0.7),"⚠️損切接近","保持継続")))))))</f>
      </c>
      <c r="P343" s="445"/>
      <c r="Q343" s="445"/>
      <c r="R343" s="440">
        <f>IF(OR($F343="",$H343="",$N343=""),"",IF($S343="✅売却済","",IF($C343="売",  IF($H343&gt;$F343*(1-$AG$2),$N343,CEILING(MIN($N343,IF($Q343="",$N343,$Q343*1.03)),IF($N343&lt;=3000,1,IF($N343&lt;=5000,5,IF($N343&lt;=30000,10,IF($N343&lt;=50000,50,IF($N343&lt;=300000,100,500))))))),  IF($H343&lt;$F343*(1+$AG$2),$N343,FLOOR(MAX($N343,IF($P343="",$N343,$P343*0.97)),IF($N343&lt;=3000,1,IF($N343&lt;=5000,5,IF($N343&lt;=30000,10,IF($N343&lt;=50000,50,IF($N343&lt;=300000,100,500))))))))))</f>
      </c>
      <c r="S343" s="440" t="str">
        <f t="shared" si="123"/>
        <v/>
      </c>
      <c r="T343" s="597" t="str">
        <f t="shared" ca="1" si="112"/>
        <v/>
      </c>
      <c r="U343" s="599" t="str">
        <f t="shared" ca="1" si="113"/>
        <v/>
      </c>
      <c r="V343" s="704" t="str">
        <f t="shared" ca="1" si="124"/>
        <v/>
      </c>
      <c r="W343" s="440" t="str">
        <f t="shared" ca="1" si="114"/>
        <v/>
      </c>
      <c r="X343" s="440" t="str">
        <f t="shared" ca="1" si="115"/>
        <v/>
      </c>
      <c r="Y343">
        <f>IF($B343="","",IF(COUNTIFS($B$4:$B343,$B343,$C$4:$C343,$C343)&gt;1,"⛔重複"&amp;COUNTIFS($B$4:$B343,$B343,$C$4:$C343,$C343)&amp;"回目",""))</f>
      </c>
      <c r="AB343">
        <f>IF($F343="","",MAX(100,ROUNDDOWN($AG$4/($F343*$AG$2)/100,0)*100))</f>
      </c>
      <c r="AC343">
        <f>IF(OR($F343="",$G343="",$U343=""),"",ROUND($V343-($F343+$U343)*$G343*$AG$6-IF($C343="売",$F343*$G343*$AG$7*$W343/365,0),0))</f>
      </c>
      <c r="AD343" s="608"/>
      <c r="AE343" s="600" t="str">
        <f t="shared" si="116"/>
        <v/>
      </c>
      <c r="AF343" s="600"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00"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00" t="str">
        <f t="shared" ca="1" si="117"/>
        <v/>
      </c>
      <c r="AI343" s="600" t="str" cm="1">
        <f t="array" ref="AI343">IFERROR(INDEX(始値!$E$6:$BT$305,MATCH(TEXT($B343,"0"),TEXT(銘柄管理!$B$6:$B$305,"0"),0),MATCH($AE343,始値!$E$3:$BT$3,0)),"")</f>
        <v/>
      </c>
      <c r="AJ343" s="608" t="str">
        <f t="shared" ca="1" si="118"/>
        <v/>
      </c>
      <c r="AK343" s="600" t="str">
        <f t="shared" ca="1" si="119"/>
        <v/>
      </c>
    </row>
    <row r="344" spans="1:37" ht="17.25" customHeight="1">
      <c r="A344" s="622" t="str">
        <f t="shared" si="108"/>
        <v/>
      </c>
      <c r="D344" s="440" t="str" cm="1">
        <f t="array" ref="D344">_xll.RssMarket(B344, "銘柄名称")</f>
        <v/>
      </c>
      <c r="E344" s="717"/>
      <c r="F344" s="6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 t="shared" ca="1" si="120"/>
        <v/>
      </c>
      <c r="L344" s="709" t="str">
        <f t="shared" ca="1" si="121"/>
        <v/>
      </c>
      <c r="M344" s="599">
        <f>IF($F344="","",IF($C344="売",CEILING($F344*IF($C344="売",1-$AG$3,1+$AG$3),IF($F344*IF($C344="売",1-$AG$3,1+$AG$3)&lt;=3000,1,IF($F344*IF($C344="売",1-$AG$3,1+$AG$3)&lt;=5000,5,IF($F344*IF($C344="売",1-$AG$3,1+$AG$3)&lt;=30000,10,IF($F344*IF($C344="売",1-$AG$3,1+$AG$3)&lt;=50000,50,IF($F344*IF($C344="売",1-$AG$3,1+$AG$3)&lt;=300000,100,500)))))),FLOOR($F344*IF($C344="売",1-$AG$3,1+$AG$3),IF($F344*IF($C344="売",1-$AG$3,1+$AG$3)&lt;=3000,1,IF($F344*IF($C344="売",1-$AG$3,1+$AG$3)&lt;=5000,5,IF($F344*IF($C344="売",1-$AG$3,1+$AG$3)&lt;=30000,10,IF($F344*IF($C344="売",1-$AG$3,1+$AG$3)&lt;=50000,50,IF($F344*IF($C344="売",1-$AG$3,1+$AG$3)&lt;=300000,100,500))))))))</f>
      </c>
      <c r="N344" s="599">
        <f>IF($F344="","",IF($C344="売",CEILING($F344*IF($C344="売",1+$AG$2,1-$AG$2),IF($F344*IF($C344="売",1+$AG$2,1-$AG$2)&lt;=3000,1,IF($F344*IF($C344="売",1+$AG$2,1-$AG$2)&lt;=5000,5,IF($F344*IF($C344="売",1+$AG$2,1-$AG$2)&lt;=30000,10,IF($F344*IF($C344="売",1+$AG$2,1-$AG$2)&lt;=50000,50,IF($F344*IF($C344="売",1+$AG$2,1-$AG$2)&lt;=300000,100,500)))))),FLOOR($F344*IF($C344="売",1+$AG$2,1-$AG$2),IF($F344*IF($C344="売",1+$AG$2,1-$AG$2)&lt;=3000,1,IF($F344*IF($C344="売",1+$AG$2,1-$AG$2)&lt;=5000,5,IF($F344*IF($C344="売",1+$AG$2,1-$AG$2)&lt;=30000,10,IF($F344*IF($C344="売",1+$AG$2,1-$AG$2)&lt;=50000,50,IF($F344*IF($C344="売",1+$AG$2,1-$AG$2)&lt;=300000,100,500))))))))</f>
      </c>
      <c r="O344" s="478">
        <f>IF(OR($B344="",$F344="",$H344=""),"",IF($S344="✅売却済","―決済済―",IF($C344="売",  IF($H344&lt;=$M344,"🟢利確",  IF(AND($R344&lt;&gt;"",$H344&gt;=$R344),"🟠TRAIL決済",  IF($H344&gt;=$N344,"🔴損切",  IF($W344&gt;=$AG$5,"⏱時間決済",  IF($H344&gt;=$F344*(1+$AG$2*0.7),"⚠️損切接近","保持継続"))))),  IF($H344&gt;=$M344,"🟢利確",  IF(AND($R344&lt;&gt;"",$H344&lt;=$R344),"🟠TRAIL決済",  IF($H344&lt;=$N344,"🔴損切",  IF($W344&gt;=$AG$5,"⏱時間決済",  IF($H344&lt;=$F344*(1-$AG$2*0.7),"⚠️損切接近","保持継続")))))))</f>
      </c>
      <c r="P344" s="445"/>
      <c r="R344" s="440">
        <f>IF(OR($F344="",$H344="",$N344=""),"",IF($S344="✅売却済","",IF($C344="売",  IF($H344&gt;$F344*(1-$AG$2),$N344,CEILING(MIN($N344,IF($Q344="",$N344,$Q344*1.03)),IF($N344&lt;=3000,1,IF($N344&lt;=5000,5,IF($N344&lt;=30000,10,IF($N344&lt;=50000,50,IF($N344&lt;=300000,100,500))))))),  IF($H344&lt;$F344*(1+$AG$2),$N344,FLOOR(MAX($N344,IF($P344="",$N344,$P344*0.97)),IF($N344&lt;=3000,1,IF($N344&lt;=5000,5,IF($N344&lt;=30000,10,IF($N344&lt;=50000,50,IF($N344&lt;=300000,100,500))))))))))</f>
      </c>
      <c r="S344" s="440" t="str">
        <f t="shared" si="123"/>
        <v/>
      </c>
      <c r="T344" s="597" t="str">
        <f t="shared" ca="1" si="112"/>
        <v/>
      </c>
      <c r="U344" s="599" t="str">
        <f t="shared" ca="1" si="113"/>
        <v/>
      </c>
      <c r="V344" s="704" t="str">
        <f t="shared" ca="1" si="124"/>
        <v/>
      </c>
      <c r="W344" s="440" t="str">
        <f t="shared" ca="1" si="114"/>
        <v/>
      </c>
      <c r="X344" s="440" t="str">
        <f t="shared" ca="1" si="115"/>
        <v/>
      </c>
      <c r="Y344">
        <f>IF($B344="","",IF(COUNTIFS($B$4:$B344,$B344,$C$4:$C344,$C344)&gt;1,"⛔重複"&amp;COUNTIFS($B$4:$B344,$B344,$C$4:$C344,$C344)&amp;"回目",""))</f>
      </c>
      <c r="AB344">
        <f>IF($F344="","",MAX(100,ROUNDDOWN($AG$4/($F344*$AG$2)/100,0)*100))</f>
      </c>
      <c r="AC344">
        <f>IF(OR($F344="",$G344="",$U344=""),"",ROUND($V344-($F344+$U344)*$G344*$AG$6-IF($C344="売",$F344*$G344*$AG$7*$W344/365,0),0))</f>
      </c>
      <c r="AD344" s="608"/>
      <c r="AE344" s="600" t="str">
        <f t="shared" si="116"/>
        <v/>
      </c>
      <c r="AF344" s="600"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00"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00" t="str">
        <f t="shared" ca="1" si="117"/>
        <v/>
      </c>
      <c r="AI344" s="600" t="str" cm="1">
        <f t="array" ref="AI344">IFERROR(INDEX(始値!$E$6:$BT$305,MATCH(TEXT($B344,"0"),TEXT(銘柄管理!$B$6:$B$305,"0"),0),MATCH($AE344,始値!$E$3:$BT$3,0)),"")</f>
        <v/>
      </c>
      <c r="AJ344" s="608" t="str">
        <f t="shared" ca="1" si="118"/>
        <v/>
      </c>
      <c r="AK344" s="600" t="str">
        <f t="shared" ca="1" si="119"/>
        <v/>
      </c>
    </row>
    <row r="345" spans="1:37" ht="17.25" customHeight="1">
      <c r="A345" s="622" t="str">
        <f t="shared" si="108"/>
        <v/>
      </c>
      <c r="D345" s="440" t="str" cm="1">
        <f t="array" ref="D345">_xll.RssMarket(B345, "銘柄名称")</f>
        <v/>
      </c>
      <c r="E345" s="717"/>
      <c r="F345" s="6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 t="shared" ca="1" si="120"/>
        <v/>
      </c>
      <c r="L345" s="709" t="str">
        <f t="shared" ca="1" si="121"/>
        <v/>
      </c>
      <c r="M345" s="599">
        <f>IF($F345="","",IF($C345="売",CEILING($F345*IF($C345="売",1-$AG$3,1+$AG$3),IF($F345*IF($C345="売",1-$AG$3,1+$AG$3)&lt;=3000,1,IF($F345*IF($C345="売",1-$AG$3,1+$AG$3)&lt;=5000,5,IF($F345*IF($C345="売",1-$AG$3,1+$AG$3)&lt;=30000,10,IF($F345*IF($C345="売",1-$AG$3,1+$AG$3)&lt;=50000,50,IF($F345*IF($C345="売",1-$AG$3,1+$AG$3)&lt;=300000,100,500)))))),FLOOR($F345*IF($C345="売",1-$AG$3,1+$AG$3),IF($F345*IF($C345="売",1-$AG$3,1+$AG$3)&lt;=3000,1,IF($F345*IF($C345="売",1-$AG$3,1+$AG$3)&lt;=5000,5,IF($F345*IF($C345="売",1-$AG$3,1+$AG$3)&lt;=30000,10,IF($F345*IF($C345="売",1-$AG$3,1+$AG$3)&lt;=50000,50,IF($F345*IF($C345="売",1-$AG$3,1+$AG$3)&lt;=300000,100,500))))))))</f>
      </c>
      <c r="N345" s="599">
        <f>IF($F345="","",IF($C345="売",CEILING($F345*IF($C345="売",1+$AG$2,1-$AG$2),IF($F345*IF($C345="売",1+$AG$2,1-$AG$2)&lt;=3000,1,IF($F345*IF($C345="売",1+$AG$2,1-$AG$2)&lt;=5000,5,IF($F345*IF($C345="売",1+$AG$2,1-$AG$2)&lt;=30000,10,IF($F345*IF($C345="売",1+$AG$2,1-$AG$2)&lt;=50000,50,IF($F345*IF($C345="売",1+$AG$2,1-$AG$2)&lt;=300000,100,500)))))),FLOOR($F345*IF($C345="売",1+$AG$2,1-$AG$2),IF($F345*IF($C345="売",1+$AG$2,1-$AG$2)&lt;=3000,1,IF($F345*IF($C345="売",1+$AG$2,1-$AG$2)&lt;=5000,5,IF($F345*IF($C345="売",1+$AG$2,1-$AG$2)&lt;=30000,10,IF($F345*IF($C345="売",1+$AG$2,1-$AG$2)&lt;=50000,50,IF($F345*IF($C345="売",1+$AG$2,1-$AG$2)&lt;=300000,100,500))))))))</f>
      </c>
      <c r="O345" s="478">
        <f>IF(OR($B345="",$F345="",$H345=""),"",IF($S345="✅売却済","―決済済―",IF($C345="売",  IF($H345&lt;=$M345,"🟢利確",  IF(AND($R345&lt;&gt;"",$H345&gt;=$R345),"🟠TRAIL決済",  IF($H345&gt;=$N345,"🔴損切",  IF($W345&gt;=$AG$5,"⏱時間決済",  IF($H345&gt;=$F345*(1+$AG$2*0.7),"⚠️損切接近","保持継続"))))),  IF($H345&gt;=$M345,"🟢利確",  IF(AND($R345&lt;&gt;"",$H345&lt;=$R345),"🟠TRAIL決済",  IF($H345&lt;=$N345,"🔴損切",  IF($W345&gt;=$AG$5,"⏱時間決済",  IF($H345&lt;=$F345*(1-$AG$2*0.7),"⚠️損切接近","保持継続")))))))</f>
      </c>
      <c r="P345" s="445"/>
      <c r="R345" s="440">
        <f>IF(OR($F345="",$H345="",$N345=""),"",IF($S345="✅売却済","",IF($C345="売",  IF($H345&gt;$F345*(1-$AG$2),$N345,CEILING(MIN($N345,IF($Q345="",$N345,$Q345*1.03)),IF($N345&lt;=3000,1,IF($N345&lt;=5000,5,IF($N345&lt;=30000,10,IF($N345&lt;=50000,50,IF($N345&lt;=300000,100,500))))))),  IF($H345&lt;$F345*(1+$AG$2),$N345,FLOOR(MAX($N345,IF($P345="",$N345,$P345*0.97)),IF($N345&lt;=3000,1,IF($N345&lt;=5000,5,IF($N345&lt;=30000,10,IF($N345&lt;=50000,50,IF($N345&lt;=300000,100,500))))))))))</f>
      </c>
      <c r="S345" s="440" t="str">
        <f t="shared" si="123"/>
        <v/>
      </c>
      <c r="T345" s="597" t="str">
        <f t="shared" ca="1" si="112"/>
        <v/>
      </c>
      <c r="U345" s="599" t="str">
        <f t="shared" ca="1" si="113"/>
        <v/>
      </c>
      <c r="V345" s="704" t="str">
        <f t="shared" ca="1" si="124"/>
        <v/>
      </c>
      <c r="W345" s="440" t="str">
        <f t="shared" ca="1" si="114"/>
        <v/>
      </c>
      <c r="X345" s="440" t="str">
        <f t="shared" ca="1" si="115"/>
        <v/>
      </c>
      <c r="Y345">
        <f>IF($B345="","",IF(COUNTIFS($B$4:$B345,$B345,$C$4:$C345,$C345)&gt;1,"⛔重複"&amp;COUNTIFS($B$4:$B345,$B345,$C$4:$C345,$C345)&amp;"回目",""))</f>
      </c>
      <c r="AB345">
        <f>IF($F345="","",MAX(100,ROUNDDOWN($AG$4/($F345*$AG$2)/100,0)*100))</f>
      </c>
      <c r="AC345">
        <f>IF(OR($F345="",$G345="",$U345=""),"",ROUND($V345-($F345+$U345)*$G345*$AG$6-IF($C345="売",$F345*$G345*$AG$7*$W345/365,0),0))</f>
      </c>
      <c r="AD345" s="608"/>
      <c r="AE345" s="600" t="str">
        <f t="shared" si="116"/>
        <v/>
      </c>
      <c r="AF345" s="600"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00"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00" t="str">
        <f t="shared" ca="1" si="117"/>
        <v/>
      </c>
      <c r="AI345" s="600" t="str" cm="1">
        <f t="array" ref="AI345">IFERROR(INDEX(始値!$E$6:$BT$305,MATCH(TEXT($B345,"0"),TEXT(銘柄管理!$B$6:$B$305,"0"),0),MATCH($AE345,始値!$E$3:$BT$3,0)),"")</f>
        <v/>
      </c>
      <c r="AJ345" s="608" t="str">
        <f t="shared" ca="1" si="118"/>
        <v/>
      </c>
      <c r="AK345" s="600" t="str">
        <f t="shared" ca="1" si="119"/>
        <v/>
      </c>
    </row>
    <row r="346" spans="1:37" ht="17.25" customHeight="1">
      <c r="A346" s="622" t="str">
        <f t="shared" si="108"/>
        <v/>
      </c>
      <c r="D346" s="440" t="str" cm="1">
        <f t="array" ref="D346">_xll.RssMarket(B346, "銘柄名称")</f>
        <v/>
      </c>
      <c r="E346" s="717"/>
      <c r="F346" s="6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 t="shared" ca="1" si="120"/>
        <v/>
      </c>
      <c r="L346" s="709" t="str">
        <f t="shared" ca="1" si="121"/>
        <v/>
      </c>
      <c r="M346" s="599">
        <f>IF($F346="","",IF($C346="売",CEILING($F346*IF($C346="売",1-$AG$3,1+$AG$3),IF($F346*IF($C346="売",1-$AG$3,1+$AG$3)&lt;=3000,1,IF($F346*IF($C346="売",1-$AG$3,1+$AG$3)&lt;=5000,5,IF($F346*IF($C346="売",1-$AG$3,1+$AG$3)&lt;=30000,10,IF($F346*IF($C346="売",1-$AG$3,1+$AG$3)&lt;=50000,50,IF($F346*IF($C346="売",1-$AG$3,1+$AG$3)&lt;=300000,100,500)))))),FLOOR($F346*IF($C346="売",1-$AG$3,1+$AG$3),IF($F346*IF($C346="売",1-$AG$3,1+$AG$3)&lt;=3000,1,IF($F346*IF($C346="売",1-$AG$3,1+$AG$3)&lt;=5000,5,IF($F346*IF($C346="売",1-$AG$3,1+$AG$3)&lt;=30000,10,IF($F346*IF($C346="売",1-$AG$3,1+$AG$3)&lt;=50000,50,IF($F346*IF($C346="売",1-$AG$3,1+$AG$3)&lt;=300000,100,500))))))))</f>
      </c>
      <c r="N346" s="599">
        <f>IF($F346="","",IF($C346="売",CEILING($F346*IF($C346="売",1+$AG$2,1-$AG$2),IF($F346*IF($C346="売",1+$AG$2,1-$AG$2)&lt;=3000,1,IF($F346*IF($C346="売",1+$AG$2,1-$AG$2)&lt;=5000,5,IF($F346*IF($C346="売",1+$AG$2,1-$AG$2)&lt;=30000,10,IF($F346*IF($C346="売",1+$AG$2,1-$AG$2)&lt;=50000,50,IF($F346*IF($C346="売",1+$AG$2,1-$AG$2)&lt;=300000,100,500)))))),FLOOR($F346*IF($C346="売",1+$AG$2,1-$AG$2),IF($F346*IF($C346="売",1+$AG$2,1-$AG$2)&lt;=3000,1,IF($F346*IF($C346="売",1+$AG$2,1-$AG$2)&lt;=5000,5,IF($F346*IF($C346="売",1+$AG$2,1-$AG$2)&lt;=30000,10,IF($F346*IF($C346="売",1+$AG$2,1-$AG$2)&lt;=50000,50,IF($F346*IF($C346="売",1+$AG$2,1-$AG$2)&lt;=300000,100,500))))))))</f>
      </c>
      <c r="O346" s="478">
        <f>IF(OR($B346="",$F346="",$H346=""),"",IF($S346="✅売却済","―決済済―",IF($C346="売",  IF($H346&lt;=$M346,"🟢利確",  IF(AND($R346&lt;&gt;"",$H346&gt;=$R346),"🟠TRAIL決済",  IF($H346&gt;=$N346,"🔴損切",  IF($W346&gt;=$AG$5,"⏱時間決済",  IF($H346&gt;=$F346*(1+$AG$2*0.7),"⚠️損切接近","保持継続"))))),  IF($H346&gt;=$M346,"🟢利確",  IF(AND($R346&lt;&gt;"",$H346&lt;=$R346),"🟠TRAIL決済",  IF($H346&lt;=$N346,"🔴損切",  IF($W346&gt;=$AG$5,"⏱時間決済",  IF($H346&lt;=$F346*(1-$AG$2*0.7),"⚠️損切接近","保持継続")))))))</f>
      </c>
      <c r="P346" s="445"/>
      <c r="R346" s="440">
        <f>IF(OR($F346="",$H346="",$N346=""),"",IF($S346="✅売却済","",IF($C346="売",  IF($H346&gt;$F346*(1-$AG$2),$N346,CEILING(MIN($N346,IF($Q346="",$N346,$Q346*1.03)),IF($N346&lt;=3000,1,IF($N346&lt;=5000,5,IF($N346&lt;=30000,10,IF($N346&lt;=50000,50,IF($N346&lt;=300000,100,500))))))),  IF($H346&lt;$F346*(1+$AG$2),$N346,FLOOR(MAX($N346,IF($P346="",$N346,$P346*0.97)),IF($N346&lt;=3000,1,IF($N346&lt;=5000,5,IF($N346&lt;=30000,10,IF($N346&lt;=50000,50,IF($N346&lt;=300000,100,500))))))))))</f>
      </c>
      <c r="S346" s="440" t="str">
        <f t="shared" si="123"/>
        <v/>
      </c>
      <c r="T346" s="597" t="str">
        <f t="shared" ca="1" si="112"/>
        <v/>
      </c>
      <c r="U346" s="599" t="str">
        <f t="shared" ca="1" si="113"/>
        <v/>
      </c>
      <c r="V346" s="704" t="str">
        <f t="shared" ca="1" si="124"/>
        <v/>
      </c>
      <c r="W346" s="440" t="str">
        <f t="shared" ca="1" si="114"/>
        <v/>
      </c>
      <c r="X346" s="440" t="str">
        <f t="shared" ca="1" si="115"/>
        <v/>
      </c>
      <c r="Y346">
        <f>IF($B346="","",IF(COUNTIFS($B$4:$B346,$B346,$C$4:$C346,$C346)&gt;1,"⛔重複"&amp;COUNTIFS($B$4:$B346,$B346,$C$4:$C346,$C346)&amp;"回目",""))</f>
      </c>
      <c r="AB346">
        <f>IF($F346="","",MAX(100,ROUNDDOWN($AG$4/($F346*$AG$2)/100,0)*100))</f>
      </c>
      <c r="AC346">
        <f>IF(OR($F346="",$G346="",$U346=""),"",ROUND($V346-($F346+$U346)*$G346*$AG$6-IF($C346="売",$F346*$G346*$AG$7*$W346/365,0),0))</f>
      </c>
      <c r="AD346" s="608"/>
      <c r="AE346" s="600" t="str">
        <f t="shared" si="116"/>
        <v/>
      </c>
      <c r="AF346" s="600"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00"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00" t="str">
        <f t="shared" ca="1" si="117"/>
        <v/>
      </c>
      <c r="AI346" s="600" t="str" cm="1">
        <f t="array" ref="AI346">IFERROR(INDEX(始値!$E$6:$BT$305,MATCH(TEXT($B346,"0"),TEXT(銘柄管理!$B$6:$B$305,"0"),0),MATCH($AE346,始値!$E$3:$BT$3,0)),"")</f>
        <v/>
      </c>
      <c r="AJ346" s="608" t="str">
        <f t="shared" ca="1" si="118"/>
        <v/>
      </c>
      <c r="AK346" s="600" t="str">
        <f t="shared" ca="1" si="119"/>
        <v/>
      </c>
    </row>
    <row r="347" spans="1:37" ht="17.25" customHeight="1">
      <c r="A347" s="622" t="str">
        <f t="shared" si="108"/>
        <v/>
      </c>
      <c r="D347" s="440" t="str" cm="1">
        <f t="array" ref="D347">_xll.RssMarket(B347, "銘柄名称")</f>
        <v/>
      </c>
      <c r="E347" s="717"/>
      <c r="F347" s="6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 t="shared" ca="1" si="120"/>
        <v/>
      </c>
      <c r="L347" s="709" t="str">
        <f t="shared" ca="1" si="121"/>
        <v/>
      </c>
      <c r="M347" s="599">
        <f>IF($F347="","",IF($C347="売",CEILING($F347*IF($C347="売",1-$AG$3,1+$AG$3),IF($F347*IF($C347="売",1-$AG$3,1+$AG$3)&lt;=3000,1,IF($F347*IF($C347="売",1-$AG$3,1+$AG$3)&lt;=5000,5,IF($F347*IF($C347="売",1-$AG$3,1+$AG$3)&lt;=30000,10,IF($F347*IF($C347="売",1-$AG$3,1+$AG$3)&lt;=50000,50,IF($F347*IF($C347="売",1-$AG$3,1+$AG$3)&lt;=300000,100,500)))))),FLOOR($F347*IF($C347="売",1-$AG$3,1+$AG$3),IF($F347*IF($C347="売",1-$AG$3,1+$AG$3)&lt;=3000,1,IF($F347*IF($C347="売",1-$AG$3,1+$AG$3)&lt;=5000,5,IF($F347*IF($C347="売",1-$AG$3,1+$AG$3)&lt;=30000,10,IF($F347*IF($C347="売",1-$AG$3,1+$AG$3)&lt;=50000,50,IF($F347*IF($C347="売",1-$AG$3,1+$AG$3)&lt;=300000,100,500))))))))</f>
      </c>
      <c r="N347" s="599">
        <f>IF($F347="","",IF($C347="売",CEILING($F347*IF($C347="売",1+$AG$2,1-$AG$2),IF($F347*IF($C347="売",1+$AG$2,1-$AG$2)&lt;=3000,1,IF($F347*IF($C347="売",1+$AG$2,1-$AG$2)&lt;=5000,5,IF($F347*IF($C347="売",1+$AG$2,1-$AG$2)&lt;=30000,10,IF($F347*IF($C347="売",1+$AG$2,1-$AG$2)&lt;=50000,50,IF($F347*IF($C347="売",1+$AG$2,1-$AG$2)&lt;=300000,100,500)))))),FLOOR($F347*IF($C347="売",1+$AG$2,1-$AG$2),IF($F347*IF($C347="売",1+$AG$2,1-$AG$2)&lt;=3000,1,IF($F347*IF($C347="売",1+$AG$2,1-$AG$2)&lt;=5000,5,IF($F347*IF($C347="売",1+$AG$2,1-$AG$2)&lt;=30000,10,IF($F347*IF($C347="売",1+$AG$2,1-$AG$2)&lt;=50000,50,IF($F347*IF($C347="売",1+$AG$2,1-$AG$2)&lt;=300000,100,500))))))))</f>
      </c>
      <c r="O347" s="478">
        <f>IF(OR($B347="",$F347="",$H347=""),"",IF($S347="✅売却済","―決済済―",IF($C347="売",  IF($H347&lt;=$M347,"🟢利確",  IF(AND($R347&lt;&gt;"",$H347&gt;=$R347),"🟠TRAIL決済",  IF($H347&gt;=$N347,"🔴損切",  IF($W347&gt;=$AG$5,"⏱時間決済",  IF($H347&gt;=$F347*(1+$AG$2*0.7),"⚠️損切接近","保持継続"))))),  IF($H347&gt;=$M347,"🟢利確",  IF(AND($R347&lt;&gt;"",$H347&lt;=$R347),"🟠TRAIL決済",  IF($H347&lt;=$N347,"🔴損切",  IF($W347&gt;=$AG$5,"⏱時間決済",  IF($H347&lt;=$F347*(1-$AG$2*0.7),"⚠️損切接近","保持継続")))))))</f>
      </c>
      <c r="P347" s="445"/>
      <c r="R347" s="440">
        <f>IF(OR($F347="",$H347="",$N347=""),"",IF($S347="✅売却済","",IF($C347="売",  IF($H347&gt;$F347*(1-$AG$2),$N347,CEILING(MIN($N347,IF($Q347="",$N347,$Q347*1.03)),IF($N347&lt;=3000,1,IF($N347&lt;=5000,5,IF($N347&lt;=30000,10,IF($N347&lt;=50000,50,IF($N347&lt;=300000,100,500))))))),  IF($H347&lt;$F347*(1+$AG$2),$N347,FLOOR(MAX($N347,IF($P347="",$N347,$P347*0.97)),IF($N347&lt;=3000,1,IF($N347&lt;=5000,5,IF($N347&lt;=30000,10,IF($N347&lt;=50000,50,IF($N347&lt;=300000,100,500))))))))))</f>
      </c>
      <c r="S347" s="440" t="str">
        <f t="shared" si="123"/>
        <v/>
      </c>
      <c r="T347" s="597" t="str">
        <f t="shared" ca="1" si="112"/>
        <v/>
      </c>
      <c r="U347" s="599" t="str">
        <f t="shared" ca="1" si="113"/>
        <v/>
      </c>
      <c r="V347" s="704" t="str">
        <f t="shared" ca="1" si="124"/>
        <v/>
      </c>
      <c r="W347" s="440" t="str">
        <f t="shared" ca="1" si="114"/>
        <v/>
      </c>
      <c r="X347" s="440" t="str">
        <f t="shared" ca="1" si="115"/>
        <v/>
      </c>
      <c r="Y347">
        <f>IF($B347="","",IF(COUNTIFS($B$4:$B347,$B347,$C$4:$C347,$C347)&gt;1,"⛔重複"&amp;COUNTIFS($B$4:$B347,$B347,$C$4:$C347,$C347)&amp;"回目",""))</f>
      </c>
      <c r="AB347">
        <f>IF($F347="","",MAX(100,ROUNDDOWN($AG$4/($F347*$AG$2)/100,0)*100))</f>
      </c>
      <c r="AC347">
        <f>IF(OR($F347="",$G347="",$U347=""),"",ROUND($V347-($F347+$U347)*$G347*$AG$6-IF($C347="売",$F347*$G347*$AG$7*$W347/365,0),0))</f>
      </c>
      <c r="AD347" s="608"/>
      <c r="AE347" s="600" t="str">
        <f t="shared" si="116"/>
        <v/>
      </c>
      <c r="AF347" s="600"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00"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00" t="str">
        <f t="shared" ca="1" si="117"/>
        <v/>
      </c>
      <c r="AI347" s="600" t="str" cm="1">
        <f t="array" ref="AI347">IFERROR(INDEX(始値!$E$6:$BT$305,MATCH(TEXT($B347,"0"),TEXT(銘柄管理!$B$6:$B$305,"0"),0),MATCH($AE347,始値!$E$3:$BT$3,0)),"")</f>
        <v/>
      </c>
      <c r="AJ347" s="608" t="str">
        <f t="shared" ca="1" si="118"/>
        <v/>
      </c>
      <c r="AK347" s="600" t="str">
        <f t="shared" ca="1" si="119"/>
        <v/>
      </c>
    </row>
    <row r="348" spans="1:37" ht="17.25" customHeight="1">
      <c r="A348" s="622" t="str">
        <f t="shared" si="108"/>
        <v/>
      </c>
      <c r="D348" s="440" t="str" cm="1">
        <f t="array" ref="D348">_xll.RssMarket(B348, "銘柄名称")</f>
        <v/>
      </c>
      <c r="E348" s="717"/>
      <c r="F348" s="6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 t="shared" ca="1" si="120"/>
        <v/>
      </c>
      <c r="L348" s="709" t="str">
        <f t="shared" ca="1" si="121"/>
        <v/>
      </c>
      <c r="M348" s="599">
        <f>IF($F348="","",IF($C348="売",CEILING($F348*IF($C348="売",1-$AG$3,1+$AG$3),IF($F348*IF($C348="売",1-$AG$3,1+$AG$3)&lt;=3000,1,IF($F348*IF($C348="売",1-$AG$3,1+$AG$3)&lt;=5000,5,IF($F348*IF($C348="売",1-$AG$3,1+$AG$3)&lt;=30000,10,IF($F348*IF($C348="売",1-$AG$3,1+$AG$3)&lt;=50000,50,IF($F348*IF($C348="売",1-$AG$3,1+$AG$3)&lt;=300000,100,500)))))),FLOOR($F348*IF($C348="売",1-$AG$3,1+$AG$3),IF($F348*IF($C348="売",1-$AG$3,1+$AG$3)&lt;=3000,1,IF($F348*IF($C348="売",1-$AG$3,1+$AG$3)&lt;=5000,5,IF($F348*IF($C348="売",1-$AG$3,1+$AG$3)&lt;=30000,10,IF($F348*IF($C348="売",1-$AG$3,1+$AG$3)&lt;=50000,50,IF($F348*IF($C348="売",1-$AG$3,1+$AG$3)&lt;=300000,100,500))))))))</f>
      </c>
      <c r="N348" s="599">
        <f>IF($F348="","",IF($C348="売",CEILING($F348*IF($C348="売",1+$AG$2,1-$AG$2),IF($F348*IF($C348="売",1+$AG$2,1-$AG$2)&lt;=3000,1,IF($F348*IF($C348="売",1+$AG$2,1-$AG$2)&lt;=5000,5,IF($F348*IF($C348="売",1+$AG$2,1-$AG$2)&lt;=30000,10,IF($F348*IF($C348="売",1+$AG$2,1-$AG$2)&lt;=50000,50,IF($F348*IF($C348="売",1+$AG$2,1-$AG$2)&lt;=300000,100,500)))))),FLOOR($F348*IF($C348="売",1+$AG$2,1-$AG$2),IF($F348*IF($C348="売",1+$AG$2,1-$AG$2)&lt;=3000,1,IF($F348*IF($C348="売",1+$AG$2,1-$AG$2)&lt;=5000,5,IF($F348*IF($C348="売",1+$AG$2,1-$AG$2)&lt;=30000,10,IF($F348*IF($C348="売",1+$AG$2,1-$AG$2)&lt;=50000,50,IF($F348*IF($C348="売",1+$AG$2,1-$AG$2)&lt;=300000,100,500))))))))</f>
      </c>
      <c r="O348" s="478">
        <f>IF(OR($B348="",$F348="",$H348=""),"",IF($S348="✅売却済","―決済済―",IF($C348="売",  IF($H348&lt;=$M348,"🟢利確",  IF(AND($R348&lt;&gt;"",$H348&gt;=$R348),"🟠TRAIL決済",  IF($H348&gt;=$N348,"🔴損切",  IF($W348&gt;=$AG$5,"⏱時間決済",  IF($H348&gt;=$F348*(1+$AG$2*0.7),"⚠️損切接近","保持継続"))))),  IF($H348&gt;=$M348,"🟢利確",  IF(AND($R348&lt;&gt;"",$H348&lt;=$R348),"🟠TRAIL決済",  IF($H348&lt;=$N348,"🔴損切",  IF($W348&gt;=$AG$5,"⏱時間決済",  IF($H348&lt;=$F348*(1-$AG$2*0.7),"⚠️損切接近","保持継続")))))))</f>
      </c>
      <c r="P348" s="445"/>
      <c r="R348" s="440">
        <f>IF(OR($F348="",$H348="",$N348=""),"",IF($S348="✅売却済","",IF($C348="売",  IF($H348&gt;$F348*(1-$AG$2),$N348,CEILING(MIN($N348,IF($Q348="",$N348,$Q348*1.03)),IF($N348&lt;=3000,1,IF($N348&lt;=5000,5,IF($N348&lt;=30000,10,IF($N348&lt;=50000,50,IF($N348&lt;=300000,100,500))))))),  IF($H348&lt;$F348*(1+$AG$2),$N348,FLOOR(MAX($N348,IF($P348="",$N348,$P348*0.97)),IF($N348&lt;=3000,1,IF($N348&lt;=5000,5,IF($N348&lt;=30000,10,IF($N348&lt;=50000,50,IF($N348&lt;=300000,100,500))))))))))</f>
      </c>
      <c r="S348" s="440" t="str">
        <f t="shared" si="123"/>
        <v/>
      </c>
      <c r="T348" s="597" t="str">
        <f t="shared" ca="1" si="112"/>
        <v/>
      </c>
      <c r="U348" s="599" t="str">
        <f t="shared" ca="1" si="113"/>
        <v/>
      </c>
      <c r="V348" s="704" t="str">
        <f t="shared" ca="1" si="124"/>
        <v/>
      </c>
      <c r="W348" s="440" t="str">
        <f t="shared" ca="1" si="114"/>
        <v/>
      </c>
      <c r="X348" s="440" t="str">
        <f t="shared" ca="1" si="115"/>
        <v/>
      </c>
      <c r="Y348">
        <f>IF($B348="","",IF(COUNTIFS($B$4:$B348,$B348,$C$4:$C348,$C348)&gt;1,"⛔重複"&amp;COUNTIFS($B$4:$B348,$B348,$C$4:$C348,$C348)&amp;"回目",""))</f>
      </c>
      <c r="AB348">
        <f>IF($F348="","",MAX(100,ROUNDDOWN($AG$4/($F348*$AG$2)/100,0)*100))</f>
      </c>
      <c r="AC348">
        <f>IF(OR($F348="",$G348="",$U348=""),"",ROUND($V348-($F348+$U348)*$G348*$AG$6-IF($C348="売",$F348*$G348*$AG$7*$W348/365,0),0))</f>
      </c>
      <c r="AD348" s="608"/>
      <c r="AE348" s="600" t="str">
        <f t="shared" si="116"/>
        <v/>
      </c>
      <c r="AF348" s="600"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00"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00" t="str">
        <f t="shared" ca="1" si="117"/>
        <v/>
      </c>
      <c r="AI348" s="600" t="str" cm="1">
        <f t="array" ref="AI348">IFERROR(INDEX(始値!$E$6:$BT$305,MATCH(TEXT($B348,"0"),TEXT(銘柄管理!$B$6:$B$305,"0"),0),MATCH($AE348,始値!$E$3:$BT$3,0)),"")</f>
        <v/>
      </c>
      <c r="AJ348" s="608" t="str">
        <f t="shared" ca="1" si="118"/>
        <v/>
      </c>
      <c r="AK348" s="600" t="str">
        <f t="shared" ca="1" si="119"/>
        <v/>
      </c>
    </row>
    <row r="349" spans="1:37" ht="17.25" customHeight="1">
      <c r="A349" s="622" t="str">
        <f t="shared" si="108"/>
        <v/>
      </c>
      <c r="D349" s="440" t="str" cm="1">
        <f t="array" ref="D349">_xll.RssMarket(B349, "銘柄名称")</f>
        <v/>
      </c>
      <c r="E349" s="717"/>
      <c r="F349" s="6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 t="shared" ca="1" si="120"/>
        <v/>
      </c>
      <c r="L349" s="709" t="str">
        <f t="shared" ca="1" si="121"/>
        <v/>
      </c>
      <c r="M349" s="599">
        <f>IF($F349="","",IF($C349="売",CEILING($F349*IF($C349="売",1-$AG$3,1+$AG$3),IF($F349*IF($C349="売",1-$AG$3,1+$AG$3)&lt;=3000,1,IF($F349*IF($C349="売",1-$AG$3,1+$AG$3)&lt;=5000,5,IF($F349*IF($C349="売",1-$AG$3,1+$AG$3)&lt;=30000,10,IF($F349*IF($C349="売",1-$AG$3,1+$AG$3)&lt;=50000,50,IF($F349*IF($C349="売",1-$AG$3,1+$AG$3)&lt;=300000,100,500)))))),FLOOR($F349*IF($C349="売",1-$AG$3,1+$AG$3),IF($F349*IF($C349="売",1-$AG$3,1+$AG$3)&lt;=3000,1,IF($F349*IF($C349="売",1-$AG$3,1+$AG$3)&lt;=5000,5,IF($F349*IF($C349="売",1-$AG$3,1+$AG$3)&lt;=30000,10,IF($F349*IF($C349="売",1-$AG$3,1+$AG$3)&lt;=50000,50,IF($F349*IF($C349="売",1-$AG$3,1+$AG$3)&lt;=300000,100,500))))))))</f>
      </c>
      <c r="N349" s="599">
        <f>IF($F349="","",IF($C349="売",CEILING($F349*IF($C349="売",1+$AG$2,1-$AG$2),IF($F349*IF($C349="売",1+$AG$2,1-$AG$2)&lt;=3000,1,IF($F349*IF($C349="売",1+$AG$2,1-$AG$2)&lt;=5000,5,IF($F349*IF($C349="売",1+$AG$2,1-$AG$2)&lt;=30000,10,IF($F349*IF($C349="売",1+$AG$2,1-$AG$2)&lt;=50000,50,IF($F349*IF($C349="売",1+$AG$2,1-$AG$2)&lt;=300000,100,500)))))),FLOOR($F349*IF($C349="売",1+$AG$2,1-$AG$2),IF($F349*IF($C349="売",1+$AG$2,1-$AG$2)&lt;=3000,1,IF($F349*IF($C349="売",1+$AG$2,1-$AG$2)&lt;=5000,5,IF($F349*IF($C349="売",1+$AG$2,1-$AG$2)&lt;=30000,10,IF($F349*IF($C349="売",1+$AG$2,1-$AG$2)&lt;=50000,50,IF($F349*IF($C349="売",1+$AG$2,1-$AG$2)&lt;=300000,100,500))))))))</f>
      </c>
      <c r="O349" s="478">
        <f>IF(OR($B349="",$F349="",$H349=""),"",IF($S349="✅売却済","―決済済―",IF($C349="売",  IF($H349&lt;=$M349,"🟢利確",  IF(AND($R349&lt;&gt;"",$H349&gt;=$R349),"🟠TRAIL決済",  IF($H349&gt;=$N349,"🔴損切",  IF($W349&gt;=$AG$5,"⏱時間決済",  IF($H349&gt;=$F349*(1+$AG$2*0.7),"⚠️損切接近","保持継続"))))),  IF($H349&gt;=$M349,"🟢利確",  IF(AND($R349&lt;&gt;"",$H349&lt;=$R349),"🟠TRAIL決済",  IF($H349&lt;=$N349,"🔴損切",  IF($W349&gt;=$AG$5,"⏱時間決済",  IF($H349&lt;=$F349*(1-$AG$2*0.7),"⚠️損切接近","保持継続")))))))</f>
      </c>
      <c r="P349" s="445"/>
      <c r="R349" s="440">
        <f>IF(OR($F349="",$H349="",$N349=""),"",IF($S349="✅売却済","",IF($C349="売",  IF($H349&gt;$F349*(1-$AG$2),$N349,CEILING(MIN($N349,IF($Q349="",$N349,$Q349*1.03)),IF($N349&lt;=3000,1,IF($N349&lt;=5000,5,IF($N349&lt;=30000,10,IF($N349&lt;=50000,50,IF($N349&lt;=300000,100,500))))))),  IF($H349&lt;$F349*(1+$AG$2),$N349,FLOOR(MAX($N349,IF($P349="",$N349,$P349*0.97)),IF($N349&lt;=3000,1,IF($N349&lt;=5000,5,IF($N349&lt;=30000,10,IF($N349&lt;=50000,50,IF($N349&lt;=300000,100,500))))))))))</f>
      </c>
      <c r="S349" s="440" t="str">
        <f t="shared" si="123"/>
        <v/>
      </c>
      <c r="T349" s="597" t="str">
        <f t="shared" ca="1" si="112"/>
        <v/>
      </c>
      <c r="U349" s="599" t="str">
        <f t="shared" ca="1" si="113"/>
        <v/>
      </c>
      <c r="V349" s="704" t="str">
        <f t="shared" ca="1" si="124"/>
        <v/>
      </c>
      <c r="W349" s="440" t="str">
        <f t="shared" ca="1" si="114"/>
        <v/>
      </c>
      <c r="X349" s="440" t="str">
        <f t="shared" ca="1" si="115"/>
        <v/>
      </c>
      <c r="Y349">
        <f>IF($B349="","",IF(COUNTIFS($B$4:$B349,$B349,$C$4:$C349,$C349)&gt;1,"⛔重複"&amp;COUNTIFS($B$4:$B349,$B349,$C$4:$C349,$C349)&amp;"回目",""))</f>
      </c>
      <c r="AB349">
        <f>IF($F349="","",MAX(100,ROUNDDOWN($AG$4/($F349*$AG$2)/100,0)*100))</f>
      </c>
      <c r="AC349">
        <f>IF(OR($F349="",$G349="",$U349=""),"",ROUND($V349-($F349+$U349)*$G349*$AG$6-IF($C349="売",$F349*$G349*$AG$7*$W349/365,0),0))</f>
      </c>
      <c r="AD349" s="608"/>
      <c r="AE349" s="600" t="str">
        <f t="shared" si="116"/>
        <v/>
      </c>
      <c r="AF349" s="600"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00"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00" t="str">
        <f t="shared" ca="1" si="117"/>
        <v/>
      </c>
      <c r="AI349" s="600" t="str" cm="1">
        <f t="array" ref="AI349">IFERROR(INDEX(始値!$E$6:$BT$305,MATCH(TEXT($B349,"0"),TEXT(銘柄管理!$B$6:$B$305,"0"),0),MATCH($AE349,始値!$E$3:$BT$3,0)),"")</f>
        <v/>
      </c>
      <c r="AJ349" s="608" t="str">
        <f t="shared" ca="1" si="118"/>
        <v/>
      </c>
      <c r="AK349" s="600" t="str">
        <f t="shared" ca="1" si="119"/>
        <v/>
      </c>
    </row>
    <row r="350" spans="1:37" ht="17.25" customHeight="1">
      <c r="A350" s="622" t="str">
        <f t="shared" si="108"/>
        <v/>
      </c>
      <c r="D350" s="440" t="str" cm="1">
        <f t="array" ref="D350">_xll.RssMarket(B350, "銘柄名称")</f>
        <v/>
      </c>
      <c r="E350" s="717"/>
      <c r="F350" s="6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 t="shared" ca="1" si="120"/>
        <v/>
      </c>
      <c r="L350" s="709" t="str">
        <f t="shared" ca="1" si="121"/>
        <v/>
      </c>
      <c r="M350" s="599">
        <f>IF($F350="","",IF($C350="売",CEILING($F350*IF($C350="売",1-$AG$3,1+$AG$3),IF($F350*IF($C350="売",1-$AG$3,1+$AG$3)&lt;=3000,1,IF($F350*IF($C350="売",1-$AG$3,1+$AG$3)&lt;=5000,5,IF($F350*IF($C350="売",1-$AG$3,1+$AG$3)&lt;=30000,10,IF($F350*IF($C350="売",1-$AG$3,1+$AG$3)&lt;=50000,50,IF($F350*IF($C350="売",1-$AG$3,1+$AG$3)&lt;=300000,100,500)))))),FLOOR($F350*IF($C350="売",1-$AG$3,1+$AG$3),IF($F350*IF($C350="売",1-$AG$3,1+$AG$3)&lt;=3000,1,IF($F350*IF($C350="売",1-$AG$3,1+$AG$3)&lt;=5000,5,IF($F350*IF($C350="売",1-$AG$3,1+$AG$3)&lt;=30000,10,IF($F350*IF($C350="売",1-$AG$3,1+$AG$3)&lt;=50000,50,IF($F350*IF($C350="売",1-$AG$3,1+$AG$3)&lt;=300000,100,500))))))))</f>
      </c>
      <c r="N350" s="599">
        <f>IF($F350="","",IF($C350="売",CEILING($F350*IF($C350="売",1+$AG$2,1-$AG$2),IF($F350*IF($C350="売",1+$AG$2,1-$AG$2)&lt;=3000,1,IF($F350*IF($C350="売",1+$AG$2,1-$AG$2)&lt;=5000,5,IF($F350*IF($C350="売",1+$AG$2,1-$AG$2)&lt;=30000,10,IF($F350*IF($C350="売",1+$AG$2,1-$AG$2)&lt;=50000,50,IF($F350*IF($C350="売",1+$AG$2,1-$AG$2)&lt;=300000,100,500)))))),FLOOR($F350*IF($C350="売",1+$AG$2,1-$AG$2),IF($F350*IF($C350="売",1+$AG$2,1-$AG$2)&lt;=3000,1,IF($F350*IF($C350="売",1+$AG$2,1-$AG$2)&lt;=5000,5,IF($F350*IF($C350="売",1+$AG$2,1-$AG$2)&lt;=30000,10,IF($F350*IF($C350="売",1+$AG$2,1-$AG$2)&lt;=50000,50,IF($F350*IF($C350="売",1+$AG$2,1-$AG$2)&lt;=300000,100,500))))))))</f>
      </c>
      <c r="O350" s="478">
        <f>IF(OR($B350="",$F350="",$H350=""),"",IF($S350="✅売却済","―決済済―",IF($C350="売",  IF($H350&lt;=$M350,"🟢利確",  IF(AND($R350&lt;&gt;"",$H350&gt;=$R350),"🟠TRAIL決済",  IF($H350&gt;=$N350,"🔴損切",  IF($W350&gt;=$AG$5,"⏱時間決済",  IF($H350&gt;=$F350*(1+$AG$2*0.7),"⚠️損切接近","保持継続"))))),  IF($H350&gt;=$M350,"🟢利確",  IF(AND($R350&lt;&gt;"",$H350&lt;=$R350),"🟠TRAIL決済",  IF($H350&lt;=$N350,"🔴損切",  IF($W350&gt;=$AG$5,"⏱時間決済",  IF($H350&lt;=$F350*(1-$AG$2*0.7),"⚠️損切接近","保持継続")))))))</f>
      </c>
      <c r="P350" s="445"/>
      <c r="R350" s="440">
        <f>IF(OR($F350="",$H350="",$N350=""),"",IF($S350="✅売却済","",IF($C350="売",  IF($H350&gt;$F350*(1-$AG$2),$N350,CEILING(MIN($N350,IF($Q350="",$N350,$Q350*1.03)),IF($N350&lt;=3000,1,IF($N350&lt;=5000,5,IF($N350&lt;=30000,10,IF($N350&lt;=50000,50,IF($N350&lt;=300000,100,500))))))),  IF($H350&lt;$F350*(1+$AG$2),$N350,FLOOR(MAX($N350,IF($P350="",$N350,$P350*0.97)),IF($N350&lt;=3000,1,IF($N350&lt;=5000,5,IF($N350&lt;=30000,10,IF($N350&lt;=50000,50,IF($N350&lt;=300000,100,500))))))))))</f>
      </c>
      <c r="S350" s="440" t="str">
        <f t="shared" si="123"/>
        <v/>
      </c>
      <c r="T350" s="597" t="str">
        <f t="shared" ca="1" si="112"/>
        <v/>
      </c>
      <c r="U350" s="599" t="str">
        <f t="shared" ca="1" si="113"/>
        <v/>
      </c>
      <c r="V350" s="704" t="str">
        <f t="shared" ca="1" si="124"/>
        <v/>
      </c>
      <c r="W350" s="440" t="str">
        <f t="shared" ca="1" si="114"/>
        <v/>
      </c>
      <c r="X350" s="440" t="str">
        <f t="shared" ca="1" si="115"/>
        <v/>
      </c>
      <c r="Y350">
        <f>IF($B350="","",IF(COUNTIFS($B$4:$B350,$B350,$C$4:$C350,$C350)&gt;1,"⛔重複"&amp;COUNTIFS($B$4:$B350,$B350,$C$4:$C350,$C350)&amp;"回目",""))</f>
      </c>
      <c r="AB350">
        <f>IF($F350="","",MAX(100,ROUNDDOWN($AG$4/($F350*$AG$2)/100,0)*100))</f>
      </c>
      <c r="AC350">
        <f>IF(OR($F350="",$G350="",$U350=""),"",ROUND($V350-($F350+$U350)*$G350*$AG$6-IF($C350="売",$F350*$G350*$AG$7*$W350/365,0),0))</f>
      </c>
      <c r="AD350" s="608"/>
      <c r="AE350" s="600" t="str">
        <f t="shared" si="116"/>
        <v/>
      </c>
      <c r="AF350" s="600"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00"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00" t="str">
        <f t="shared" ca="1" si="117"/>
        <v/>
      </c>
      <c r="AI350" s="600" t="str" cm="1">
        <f t="array" ref="AI350">IFERROR(INDEX(始値!$E$6:$BT$305,MATCH(TEXT($B350,"0"),TEXT(銘柄管理!$B$6:$B$305,"0"),0),MATCH($AE350,始値!$E$3:$BT$3,0)),"")</f>
        <v/>
      </c>
      <c r="AJ350" s="608" t="str">
        <f t="shared" ca="1" si="118"/>
        <v/>
      </c>
      <c r="AK350" s="600" t="str">
        <f t="shared" ca="1" si="119"/>
        <v/>
      </c>
    </row>
    <row r="351" spans="1:37" ht="17.25" customHeight="1">
      <c r="A351" s="622" t="str">
        <f t="shared" si="108"/>
        <v/>
      </c>
      <c r="D351" s="440" t="str" cm="1">
        <f t="array" ref="D351">_xll.RssMarket(B351, "銘柄名称")</f>
        <v/>
      </c>
      <c r="E351" s="717"/>
      <c r="F351" s="6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 t="shared" ca="1" si="120"/>
        <v/>
      </c>
      <c r="L351" s="709" t="str">
        <f t="shared" ca="1" si="121"/>
        <v/>
      </c>
      <c r="M351" s="599">
        <f>IF($F351="","",IF($C351="売",CEILING($F351*IF($C351="売",1-$AG$3,1+$AG$3),IF($F351*IF($C351="売",1-$AG$3,1+$AG$3)&lt;=3000,1,IF($F351*IF($C351="売",1-$AG$3,1+$AG$3)&lt;=5000,5,IF($F351*IF($C351="売",1-$AG$3,1+$AG$3)&lt;=30000,10,IF($F351*IF($C351="売",1-$AG$3,1+$AG$3)&lt;=50000,50,IF($F351*IF($C351="売",1-$AG$3,1+$AG$3)&lt;=300000,100,500)))))),FLOOR($F351*IF($C351="売",1-$AG$3,1+$AG$3),IF($F351*IF($C351="売",1-$AG$3,1+$AG$3)&lt;=3000,1,IF($F351*IF($C351="売",1-$AG$3,1+$AG$3)&lt;=5000,5,IF($F351*IF($C351="売",1-$AG$3,1+$AG$3)&lt;=30000,10,IF($F351*IF($C351="売",1-$AG$3,1+$AG$3)&lt;=50000,50,IF($F351*IF($C351="売",1-$AG$3,1+$AG$3)&lt;=300000,100,500))))))))</f>
      </c>
      <c r="N351" s="599">
        <f>IF($F351="","",IF($C351="売",CEILING($F351*IF($C351="売",1+$AG$2,1-$AG$2),IF($F351*IF($C351="売",1+$AG$2,1-$AG$2)&lt;=3000,1,IF($F351*IF($C351="売",1+$AG$2,1-$AG$2)&lt;=5000,5,IF($F351*IF($C351="売",1+$AG$2,1-$AG$2)&lt;=30000,10,IF($F351*IF($C351="売",1+$AG$2,1-$AG$2)&lt;=50000,50,IF($F351*IF($C351="売",1+$AG$2,1-$AG$2)&lt;=300000,100,500)))))),FLOOR($F351*IF($C351="売",1+$AG$2,1-$AG$2),IF($F351*IF($C351="売",1+$AG$2,1-$AG$2)&lt;=3000,1,IF($F351*IF($C351="売",1+$AG$2,1-$AG$2)&lt;=5000,5,IF($F351*IF($C351="売",1+$AG$2,1-$AG$2)&lt;=30000,10,IF($F351*IF($C351="売",1+$AG$2,1-$AG$2)&lt;=50000,50,IF($F351*IF($C351="売",1+$AG$2,1-$AG$2)&lt;=300000,100,500))))))))</f>
      </c>
      <c r="O351" s="478">
        <f>IF(OR($B351="",$F351="",$H351=""),"",IF($S351="✅売却済","―決済済―",IF($C351="売",  IF($H351&lt;=$M351,"🟢利確",  IF(AND($R351&lt;&gt;"",$H351&gt;=$R351),"🟠TRAIL決済",  IF($H351&gt;=$N351,"🔴損切",  IF($W351&gt;=$AG$5,"⏱時間決済",  IF($H351&gt;=$F351*(1+$AG$2*0.7),"⚠️損切接近","保持継続"))))),  IF($H351&gt;=$M351,"🟢利確",  IF(AND($R351&lt;&gt;"",$H351&lt;=$R351),"🟠TRAIL決済",  IF($H351&lt;=$N351,"🔴損切",  IF($W351&gt;=$AG$5,"⏱時間決済",  IF($H351&lt;=$F351*(1-$AG$2*0.7),"⚠️損切接近","保持継続")))))))</f>
      </c>
      <c r="P351" s="445"/>
      <c r="R351" s="440">
        <f>IF(OR($F351="",$H351="",$N351=""),"",IF($S351="✅売却済","",IF($C351="売",  IF($H351&gt;$F351*(1-$AG$2),$N351,CEILING(MIN($N351,IF($Q351="",$N351,$Q351*1.03)),IF($N351&lt;=3000,1,IF($N351&lt;=5000,5,IF($N351&lt;=30000,10,IF($N351&lt;=50000,50,IF($N351&lt;=300000,100,500))))))),  IF($H351&lt;$F351*(1+$AG$2),$N351,FLOOR(MAX($N351,IF($P351="",$N351,$P351*0.97)),IF($N351&lt;=3000,1,IF($N351&lt;=5000,5,IF($N351&lt;=30000,10,IF($N351&lt;=50000,50,IF($N351&lt;=300000,100,500))))))))))</f>
      </c>
      <c r="S351" s="440" t="str">
        <f t="shared" si="123"/>
        <v/>
      </c>
      <c r="T351" s="597" t="str">
        <f t="shared" ca="1" si="112"/>
        <v/>
      </c>
      <c r="U351" s="599" t="str">
        <f t="shared" ca="1" si="113"/>
        <v/>
      </c>
      <c r="V351" s="704" t="str">
        <f t="shared" ca="1" si="124"/>
        <v/>
      </c>
      <c r="W351" s="440" t="str">
        <f t="shared" ca="1" si="114"/>
        <v/>
      </c>
      <c r="X351" s="440" t="str">
        <f t="shared" ca="1" si="115"/>
        <v/>
      </c>
      <c r="Y351">
        <f>IF($B351="","",IF(COUNTIFS($B$4:$B351,$B351,$C$4:$C351,$C351)&gt;1,"⛔重複"&amp;COUNTIFS($B$4:$B351,$B351,$C$4:$C351,$C351)&amp;"回目",""))</f>
      </c>
      <c r="AB351">
        <f>IF($F351="","",MAX(100,ROUNDDOWN($AG$4/($F351*$AG$2)/100,0)*100))</f>
      </c>
      <c r="AC351">
        <f>IF(OR($F351="",$G351="",$U351=""),"",ROUND($V351-($F351+$U351)*$G351*$AG$6-IF($C351="売",$F351*$G351*$AG$7*$W351/365,0),0))</f>
      </c>
      <c r="AD351" s="608"/>
      <c r="AE351" s="600" t="str">
        <f t="shared" si="116"/>
        <v/>
      </c>
      <c r="AF351" s="600"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00"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00" t="str">
        <f t="shared" ca="1" si="117"/>
        <v/>
      </c>
      <c r="AI351" s="600" t="str" cm="1">
        <f t="array" ref="AI351">IFERROR(INDEX(始値!$E$6:$BT$305,MATCH(TEXT($B351,"0"),TEXT(銘柄管理!$B$6:$B$305,"0"),0),MATCH($AE351,始値!$E$3:$BT$3,0)),"")</f>
        <v/>
      </c>
      <c r="AJ351" s="608" t="str">
        <f t="shared" ca="1" si="118"/>
        <v/>
      </c>
      <c r="AK351" s="600" t="str">
        <f t="shared" ca="1" si="119"/>
        <v/>
      </c>
    </row>
    <row r="352" spans="1:37" ht="17.25" customHeight="1">
      <c r="A352" s="622" t="str">
        <f t="shared" si="108"/>
        <v/>
      </c>
      <c r="D352" s="440" t="str" cm="1">
        <f t="array" ref="D352">_xll.RssMarket(B352, "銘柄名称")</f>
        <v/>
      </c>
      <c r="E352" s="717"/>
      <c r="F352" s="6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 t="shared" ca="1" si="120"/>
        <v/>
      </c>
      <c r="L352" s="709" t="str">
        <f t="shared" ca="1" si="121"/>
        <v/>
      </c>
      <c r="M352" s="599">
        <f>IF($F352="","",IF($C352="売",CEILING($F352*IF($C352="売",1-$AG$3,1+$AG$3),IF($F352*IF($C352="売",1-$AG$3,1+$AG$3)&lt;=3000,1,IF($F352*IF($C352="売",1-$AG$3,1+$AG$3)&lt;=5000,5,IF($F352*IF($C352="売",1-$AG$3,1+$AG$3)&lt;=30000,10,IF($F352*IF($C352="売",1-$AG$3,1+$AG$3)&lt;=50000,50,IF($F352*IF($C352="売",1-$AG$3,1+$AG$3)&lt;=300000,100,500)))))),FLOOR($F352*IF($C352="売",1-$AG$3,1+$AG$3),IF($F352*IF($C352="売",1-$AG$3,1+$AG$3)&lt;=3000,1,IF($F352*IF($C352="売",1-$AG$3,1+$AG$3)&lt;=5000,5,IF($F352*IF($C352="売",1-$AG$3,1+$AG$3)&lt;=30000,10,IF($F352*IF($C352="売",1-$AG$3,1+$AG$3)&lt;=50000,50,IF($F352*IF($C352="売",1-$AG$3,1+$AG$3)&lt;=300000,100,500))))))))</f>
      </c>
      <c r="N352" s="599">
        <f>IF($F352="","",IF($C352="売",CEILING($F352*IF($C352="売",1+$AG$2,1-$AG$2),IF($F352*IF($C352="売",1+$AG$2,1-$AG$2)&lt;=3000,1,IF($F352*IF($C352="売",1+$AG$2,1-$AG$2)&lt;=5000,5,IF($F352*IF($C352="売",1+$AG$2,1-$AG$2)&lt;=30000,10,IF($F352*IF($C352="売",1+$AG$2,1-$AG$2)&lt;=50000,50,IF($F352*IF($C352="売",1+$AG$2,1-$AG$2)&lt;=300000,100,500)))))),FLOOR($F352*IF($C352="売",1+$AG$2,1-$AG$2),IF($F352*IF($C352="売",1+$AG$2,1-$AG$2)&lt;=3000,1,IF($F352*IF($C352="売",1+$AG$2,1-$AG$2)&lt;=5000,5,IF($F352*IF($C352="売",1+$AG$2,1-$AG$2)&lt;=30000,10,IF($F352*IF($C352="売",1+$AG$2,1-$AG$2)&lt;=50000,50,IF($F352*IF($C352="売",1+$AG$2,1-$AG$2)&lt;=300000,100,500))))))))</f>
      </c>
      <c r="O352" s="478">
        <f>IF(OR($B352="",$F352="",$H352=""),"",IF($S352="✅売却済","―決済済―",IF($C352="売",  IF($H352&lt;=$M352,"🟢利確",  IF(AND($R352&lt;&gt;"",$H352&gt;=$R352),"🟠TRAIL決済",  IF($H352&gt;=$N352,"🔴損切",  IF($W352&gt;=$AG$5,"⏱時間決済",  IF($H352&gt;=$F352*(1+$AG$2*0.7),"⚠️損切接近","保持継続"))))),  IF($H352&gt;=$M352,"🟢利確",  IF(AND($R352&lt;&gt;"",$H352&lt;=$R352),"🟠TRAIL決済",  IF($H352&lt;=$N352,"🔴損切",  IF($W352&gt;=$AG$5,"⏱時間決済",  IF($H352&lt;=$F352*(1-$AG$2*0.7),"⚠️損切接近","保持継続")))))))</f>
      </c>
      <c r="P352" s="445"/>
      <c r="R352" s="440">
        <f>IF(OR($F352="",$H352="",$N352=""),"",IF($S352="✅売却済","",IF($C352="売",  IF($H352&gt;$F352*(1-$AG$2),$N352,CEILING(MIN($N352,IF($Q352="",$N352,$Q352*1.03)),IF($N352&lt;=3000,1,IF($N352&lt;=5000,5,IF($N352&lt;=30000,10,IF($N352&lt;=50000,50,IF($N352&lt;=300000,100,500))))))),  IF($H352&lt;$F352*(1+$AG$2),$N352,FLOOR(MAX($N352,IF($P352="",$N352,$P352*0.97)),IF($N352&lt;=3000,1,IF($N352&lt;=5000,5,IF($N352&lt;=30000,10,IF($N352&lt;=50000,50,IF($N352&lt;=300000,100,500))))))))))</f>
      </c>
      <c r="S352" s="440" t="str">
        <f t="shared" si="123"/>
        <v/>
      </c>
      <c r="T352" s="597" t="str">
        <f t="shared" ca="1" si="112"/>
        <v/>
      </c>
      <c r="U352" s="599" t="str">
        <f t="shared" ca="1" si="113"/>
        <v/>
      </c>
      <c r="V352" s="704" t="str">
        <f t="shared" ca="1" si="124"/>
        <v/>
      </c>
      <c r="W352" s="440" t="str">
        <f t="shared" ca="1" si="114"/>
        <v/>
      </c>
      <c r="X352" s="440" t="str">
        <f t="shared" ca="1" si="115"/>
        <v/>
      </c>
      <c r="Y352">
        <f>IF($B352="","",IF(COUNTIFS($B$4:$B352,$B352,$C$4:$C352,$C352)&gt;1,"⛔重複"&amp;COUNTIFS($B$4:$B352,$B352,$C$4:$C352,$C352)&amp;"回目",""))</f>
      </c>
      <c r="AB352">
        <f>IF($F352="","",MAX(100,ROUNDDOWN($AG$4/($F352*$AG$2)/100,0)*100))</f>
      </c>
      <c r="AC352">
        <f>IF(OR($F352="",$G352="",$U352=""),"",ROUND($V352-($F352+$U352)*$G352*$AG$6-IF($C352="売",$F352*$G352*$AG$7*$W352/365,0),0))</f>
      </c>
      <c r="AD352" s="608"/>
      <c r="AE352" s="600" t="str">
        <f t="shared" si="116"/>
        <v/>
      </c>
      <c r="AF352" s="600"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00"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00" t="str">
        <f t="shared" ca="1" si="117"/>
        <v/>
      </c>
      <c r="AI352" s="600" t="str" cm="1">
        <f t="array" ref="AI352">IFERROR(INDEX(始値!$E$6:$BT$305,MATCH(TEXT($B352,"0"),TEXT(銘柄管理!$B$6:$B$305,"0"),0),MATCH($AE352,始値!$E$3:$BT$3,0)),"")</f>
        <v/>
      </c>
      <c r="AJ352" s="608" t="str">
        <f t="shared" ca="1" si="118"/>
        <v/>
      </c>
      <c r="AK352" s="600" t="str">
        <f t="shared" ca="1" si="119"/>
        <v/>
      </c>
    </row>
    <row r="353" spans="1:37" ht="17.25" customHeight="1">
      <c r="A353" s="622" t="str">
        <f t="shared" si="108"/>
        <v/>
      </c>
      <c r="D353" s="440" t="str" cm="1">
        <f t="array" ref="D353">_xll.RssMarket(B353, "銘柄名称")</f>
        <v/>
      </c>
      <c r="E353" s="717"/>
      <c r="F353" s="6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 t="shared" ca="1" si="120"/>
        <v/>
      </c>
      <c r="L353" s="709" t="str">
        <f t="shared" ca="1" si="121"/>
        <v/>
      </c>
      <c r="M353" s="599">
        <f>IF($F353="","",IF($C353="売",CEILING($F353*IF($C353="売",1-$AG$3,1+$AG$3),IF($F353*IF($C353="売",1-$AG$3,1+$AG$3)&lt;=3000,1,IF($F353*IF($C353="売",1-$AG$3,1+$AG$3)&lt;=5000,5,IF($F353*IF($C353="売",1-$AG$3,1+$AG$3)&lt;=30000,10,IF($F353*IF($C353="売",1-$AG$3,1+$AG$3)&lt;=50000,50,IF($F353*IF($C353="売",1-$AG$3,1+$AG$3)&lt;=300000,100,500)))))),FLOOR($F353*IF($C353="売",1-$AG$3,1+$AG$3),IF($F353*IF($C353="売",1-$AG$3,1+$AG$3)&lt;=3000,1,IF($F353*IF($C353="売",1-$AG$3,1+$AG$3)&lt;=5000,5,IF($F353*IF($C353="売",1-$AG$3,1+$AG$3)&lt;=30000,10,IF($F353*IF($C353="売",1-$AG$3,1+$AG$3)&lt;=50000,50,IF($F353*IF($C353="売",1-$AG$3,1+$AG$3)&lt;=300000,100,500))))))))</f>
      </c>
      <c r="N353" s="599">
        <f>IF($F353="","",IF($C353="売",CEILING($F353*IF($C353="売",1+$AG$2,1-$AG$2),IF($F353*IF($C353="売",1+$AG$2,1-$AG$2)&lt;=3000,1,IF($F353*IF($C353="売",1+$AG$2,1-$AG$2)&lt;=5000,5,IF($F353*IF($C353="売",1+$AG$2,1-$AG$2)&lt;=30000,10,IF($F353*IF($C353="売",1+$AG$2,1-$AG$2)&lt;=50000,50,IF($F353*IF($C353="売",1+$AG$2,1-$AG$2)&lt;=300000,100,500)))))),FLOOR($F353*IF($C353="売",1+$AG$2,1-$AG$2),IF($F353*IF($C353="売",1+$AG$2,1-$AG$2)&lt;=3000,1,IF($F353*IF($C353="売",1+$AG$2,1-$AG$2)&lt;=5000,5,IF($F353*IF($C353="売",1+$AG$2,1-$AG$2)&lt;=30000,10,IF($F353*IF($C353="売",1+$AG$2,1-$AG$2)&lt;=50000,50,IF($F353*IF($C353="売",1+$AG$2,1-$AG$2)&lt;=300000,100,500))))))))</f>
      </c>
      <c r="O353" s="478">
        <f>IF(OR($B353="",$F353="",$H353=""),"",IF($S353="✅売却済","―決済済―",IF($C353="売",  IF($H353&lt;=$M353,"🟢利確",  IF(AND($R353&lt;&gt;"",$H353&gt;=$R353),"🟠TRAIL決済",  IF($H353&gt;=$N353,"🔴損切",  IF($W353&gt;=$AG$5,"⏱時間決済",  IF($H353&gt;=$F353*(1+$AG$2*0.7),"⚠️損切接近","保持継続"))))),  IF($H353&gt;=$M353,"🟢利確",  IF(AND($R353&lt;&gt;"",$H353&lt;=$R353),"🟠TRAIL決済",  IF($H353&lt;=$N353,"🔴損切",  IF($W353&gt;=$AG$5,"⏱時間決済",  IF($H353&lt;=$F353*(1-$AG$2*0.7),"⚠️損切接近","保持継続")))))))</f>
      </c>
      <c r="P353" s="445"/>
      <c r="R353" s="440">
        <f>IF(OR($F353="",$H353="",$N353=""),"",IF($S353="✅売却済","",IF($C353="売",  IF($H353&gt;$F353*(1-$AG$2),$N353,CEILING(MIN($N353,IF($Q353="",$N353,$Q353*1.03)),IF($N353&lt;=3000,1,IF($N353&lt;=5000,5,IF($N353&lt;=30000,10,IF($N353&lt;=50000,50,IF($N353&lt;=300000,100,500))))))),  IF($H353&lt;$F353*(1+$AG$2),$N353,FLOOR(MAX($N353,IF($P353="",$N353,$P353*0.97)),IF($N353&lt;=3000,1,IF($N353&lt;=5000,5,IF($N353&lt;=30000,10,IF($N353&lt;=50000,50,IF($N353&lt;=300000,100,500))))))))))</f>
      </c>
      <c r="S353" s="440" t="str">
        <f t="shared" si="123"/>
        <v/>
      </c>
      <c r="T353" s="597" t="str">
        <f t="shared" ca="1" si="112"/>
        <v/>
      </c>
      <c r="U353" s="599" t="str">
        <f t="shared" ca="1" si="113"/>
        <v/>
      </c>
      <c r="V353" s="704" t="str">
        <f t="shared" ca="1" si="124"/>
        <v/>
      </c>
      <c r="W353" s="440" t="str">
        <f t="shared" ca="1" si="114"/>
        <v/>
      </c>
      <c r="X353" s="440" t="str">
        <f t="shared" ca="1" si="115"/>
        <v/>
      </c>
      <c r="Y353">
        <f>IF($B353="","",IF(COUNTIFS($B$4:$B353,$B353,$C$4:$C353,$C353)&gt;1,"⛔重複"&amp;COUNTIFS($B$4:$B353,$B353,$C$4:$C353,$C353)&amp;"回目",""))</f>
      </c>
      <c r="AB353">
        <f>IF($F353="","",MAX(100,ROUNDDOWN($AG$4/($F353*$AG$2)/100,0)*100))</f>
      </c>
      <c r="AC353">
        <f>IF(OR($F353="",$G353="",$U353=""),"",ROUND($V353-($F353+$U353)*$G353*$AG$6-IF($C353="売",$F353*$G353*$AG$7*$W353/365,0),0))</f>
      </c>
      <c r="AD353" s="608"/>
      <c r="AE353" s="600" t="str">
        <f t="shared" si="116"/>
        <v/>
      </c>
      <c r="AF353" s="600"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00"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00" t="str">
        <f t="shared" ca="1" si="117"/>
        <v/>
      </c>
      <c r="AI353" s="600" t="str" cm="1">
        <f t="array" ref="AI353">IFERROR(INDEX(始値!$E$6:$BT$305,MATCH(TEXT($B353,"0"),TEXT(銘柄管理!$B$6:$B$305,"0"),0),MATCH($AE353,始値!$E$3:$BT$3,0)),"")</f>
        <v/>
      </c>
      <c r="AJ353" s="608" t="str">
        <f t="shared" ca="1" si="118"/>
        <v/>
      </c>
      <c r="AK353" s="600" t="str">
        <f t="shared" ca="1" si="119"/>
        <v/>
      </c>
    </row>
    <row r="354" spans="1:37" ht="17.25" customHeight="1">
      <c r="A354" s="622" t="str">
        <f t="shared" si="108"/>
        <v/>
      </c>
      <c r="D354" s="440" t="str" cm="1">
        <f t="array" ref="D354">_xll.RssMarket(B354, "銘柄名称")</f>
        <v/>
      </c>
      <c r="E354" s="717"/>
      <c r="F354" s="6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 t="shared" ca="1" si="120"/>
        <v/>
      </c>
      <c r="L354" s="709" t="str">
        <f t="shared" ca="1" si="121"/>
        <v/>
      </c>
      <c r="M354" s="599">
        <f>IF($F354="","",IF($C354="売",CEILING($F354*IF($C354="売",1-$AG$3,1+$AG$3),IF($F354*IF($C354="売",1-$AG$3,1+$AG$3)&lt;=3000,1,IF($F354*IF($C354="売",1-$AG$3,1+$AG$3)&lt;=5000,5,IF($F354*IF($C354="売",1-$AG$3,1+$AG$3)&lt;=30000,10,IF($F354*IF($C354="売",1-$AG$3,1+$AG$3)&lt;=50000,50,IF($F354*IF($C354="売",1-$AG$3,1+$AG$3)&lt;=300000,100,500)))))),FLOOR($F354*IF($C354="売",1-$AG$3,1+$AG$3),IF($F354*IF($C354="売",1-$AG$3,1+$AG$3)&lt;=3000,1,IF($F354*IF($C354="売",1-$AG$3,1+$AG$3)&lt;=5000,5,IF($F354*IF($C354="売",1-$AG$3,1+$AG$3)&lt;=30000,10,IF($F354*IF($C354="売",1-$AG$3,1+$AG$3)&lt;=50000,50,IF($F354*IF($C354="売",1-$AG$3,1+$AG$3)&lt;=300000,100,500))))))))</f>
      </c>
      <c r="N354" s="599">
        <f>IF($F354="","",IF($C354="売",CEILING($F354*IF($C354="売",1+$AG$2,1-$AG$2),IF($F354*IF($C354="売",1+$AG$2,1-$AG$2)&lt;=3000,1,IF($F354*IF($C354="売",1+$AG$2,1-$AG$2)&lt;=5000,5,IF($F354*IF($C354="売",1+$AG$2,1-$AG$2)&lt;=30000,10,IF($F354*IF($C354="売",1+$AG$2,1-$AG$2)&lt;=50000,50,IF($F354*IF($C354="売",1+$AG$2,1-$AG$2)&lt;=300000,100,500)))))),FLOOR($F354*IF($C354="売",1+$AG$2,1-$AG$2),IF($F354*IF($C354="売",1+$AG$2,1-$AG$2)&lt;=3000,1,IF($F354*IF($C354="売",1+$AG$2,1-$AG$2)&lt;=5000,5,IF($F354*IF($C354="売",1+$AG$2,1-$AG$2)&lt;=30000,10,IF($F354*IF($C354="売",1+$AG$2,1-$AG$2)&lt;=50000,50,IF($F354*IF($C354="売",1+$AG$2,1-$AG$2)&lt;=300000,100,500))))))))</f>
      </c>
      <c r="O354" s="478">
        <f>IF(OR($B354="",$F354="",$H354=""),"",IF($S354="✅売却済","―決済済―",IF($C354="売",  IF($H354&lt;=$M354,"🟢利確",  IF(AND($R354&lt;&gt;"",$H354&gt;=$R354),"🟠TRAIL決済",  IF($H354&gt;=$N354,"🔴損切",  IF($W354&gt;=$AG$5,"⏱時間決済",  IF($H354&gt;=$F354*(1+$AG$2*0.7),"⚠️損切接近","保持継続"))))),  IF($H354&gt;=$M354,"🟢利確",  IF(AND($R354&lt;&gt;"",$H354&lt;=$R354),"🟠TRAIL決済",  IF($H354&lt;=$N354,"🔴損切",  IF($W354&gt;=$AG$5,"⏱時間決済",  IF($H354&lt;=$F354*(1-$AG$2*0.7),"⚠️損切接近","保持継続")))))))</f>
      </c>
      <c r="P354" s="445"/>
      <c r="R354" s="440">
        <f>IF(OR($F354="",$H354="",$N354=""),"",IF($S354="✅売却済","",IF($C354="売",  IF($H354&gt;$F354*(1-$AG$2),$N354,CEILING(MIN($N354,IF($Q354="",$N354,$Q354*1.03)),IF($N354&lt;=3000,1,IF($N354&lt;=5000,5,IF($N354&lt;=30000,10,IF($N354&lt;=50000,50,IF($N354&lt;=300000,100,500))))))),  IF($H354&lt;$F354*(1+$AG$2),$N354,FLOOR(MAX($N354,IF($P354="",$N354,$P354*0.97)),IF($N354&lt;=3000,1,IF($N354&lt;=5000,5,IF($N354&lt;=30000,10,IF($N354&lt;=50000,50,IF($N354&lt;=300000,100,500))))))))))</f>
      </c>
      <c r="S354" s="440" t="str">
        <f t="shared" si="123"/>
        <v/>
      </c>
      <c r="T354" s="597" t="str">
        <f t="shared" ca="1" si="112"/>
        <v/>
      </c>
      <c r="U354" s="599" t="str">
        <f t="shared" ca="1" si="113"/>
        <v/>
      </c>
      <c r="V354" s="704" t="str">
        <f t="shared" ca="1" si="124"/>
        <v/>
      </c>
      <c r="W354" s="440" t="str">
        <f t="shared" ca="1" si="114"/>
        <v/>
      </c>
      <c r="X354" s="440" t="str">
        <f t="shared" ca="1" si="115"/>
        <v/>
      </c>
      <c r="Y354">
        <f>IF($B354="","",IF(COUNTIFS($B$4:$B354,$B354,$C$4:$C354,$C354)&gt;1,"⛔重複"&amp;COUNTIFS($B$4:$B354,$B354,$C$4:$C354,$C354)&amp;"回目",""))</f>
      </c>
      <c r="AB354">
        <f>IF($F354="","",MAX(100,ROUNDDOWN($AG$4/($F354*$AG$2)/100,0)*100))</f>
      </c>
      <c r="AC354">
        <f>IF(OR($F354="",$G354="",$U354=""),"",ROUND($V354-($F354+$U354)*$G354*$AG$6-IF($C354="売",$F354*$G354*$AG$7*$W354/365,0),0))</f>
      </c>
      <c r="AD354" s="608"/>
      <c r="AE354" s="600" t="str">
        <f t="shared" si="116"/>
        <v/>
      </c>
      <c r="AF354" s="600"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00"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00" t="str">
        <f t="shared" ca="1" si="117"/>
        <v/>
      </c>
      <c r="AI354" s="600" t="str" cm="1">
        <f t="array" ref="AI354">IFERROR(INDEX(始値!$E$6:$BT$305,MATCH(TEXT($B354,"0"),TEXT(銘柄管理!$B$6:$B$305,"0"),0),MATCH($AE354,始値!$E$3:$BT$3,0)),"")</f>
        <v/>
      </c>
      <c r="AJ354" s="608" t="str">
        <f t="shared" ca="1" si="118"/>
        <v/>
      </c>
      <c r="AK354" s="600" t="str">
        <f t="shared" ca="1" si="119"/>
        <v/>
      </c>
    </row>
    <row r="355" spans="1:37" ht="17.25" customHeight="1">
      <c r="A355" s="622" t="str">
        <f t="shared" si="108"/>
        <v/>
      </c>
      <c r="D355" s="440" t="str" cm="1">
        <f t="array" ref="D355">_xll.RssMarket(B355, "銘柄名称")</f>
        <v/>
      </c>
      <c r="E355" s="717"/>
      <c r="F355" s="6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 t="shared" ca="1" si="120"/>
        <v/>
      </c>
      <c r="L355" s="709" t="str">
        <f t="shared" ca="1" si="121"/>
        <v/>
      </c>
      <c r="M355" s="599">
        <f>IF($F355="","",IF($C355="売",CEILING($F355*IF($C355="売",1-$AG$3,1+$AG$3),IF($F355*IF($C355="売",1-$AG$3,1+$AG$3)&lt;=3000,1,IF($F355*IF($C355="売",1-$AG$3,1+$AG$3)&lt;=5000,5,IF($F355*IF($C355="売",1-$AG$3,1+$AG$3)&lt;=30000,10,IF($F355*IF($C355="売",1-$AG$3,1+$AG$3)&lt;=50000,50,IF($F355*IF($C355="売",1-$AG$3,1+$AG$3)&lt;=300000,100,500)))))),FLOOR($F355*IF($C355="売",1-$AG$3,1+$AG$3),IF($F355*IF($C355="売",1-$AG$3,1+$AG$3)&lt;=3000,1,IF($F355*IF($C355="売",1-$AG$3,1+$AG$3)&lt;=5000,5,IF($F355*IF($C355="売",1-$AG$3,1+$AG$3)&lt;=30000,10,IF($F355*IF($C355="売",1-$AG$3,1+$AG$3)&lt;=50000,50,IF($F355*IF($C355="売",1-$AG$3,1+$AG$3)&lt;=300000,100,500))))))))</f>
      </c>
      <c r="N355" s="599">
        <f>IF($F355="","",IF($C355="売",CEILING($F355*IF($C355="売",1+$AG$2,1-$AG$2),IF($F355*IF($C355="売",1+$AG$2,1-$AG$2)&lt;=3000,1,IF($F355*IF($C355="売",1+$AG$2,1-$AG$2)&lt;=5000,5,IF($F355*IF($C355="売",1+$AG$2,1-$AG$2)&lt;=30000,10,IF($F355*IF($C355="売",1+$AG$2,1-$AG$2)&lt;=50000,50,IF($F355*IF($C355="売",1+$AG$2,1-$AG$2)&lt;=300000,100,500)))))),FLOOR($F355*IF($C355="売",1+$AG$2,1-$AG$2),IF($F355*IF($C355="売",1+$AG$2,1-$AG$2)&lt;=3000,1,IF($F355*IF($C355="売",1+$AG$2,1-$AG$2)&lt;=5000,5,IF($F355*IF($C355="売",1+$AG$2,1-$AG$2)&lt;=30000,10,IF($F355*IF($C355="売",1+$AG$2,1-$AG$2)&lt;=50000,50,IF($F355*IF($C355="売",1+$AG$2,1-$AG$2)&lt;=300000,100,500))))))))</f>
      </c>
      <c r="O355" s="478">
        <f>IF(OR($B355="",$F355="",$H355=""),"",IF($S355="✅売却済","―決済済―",IF($C355="売",  IF($H355&lt;=$M355,"🟢利確",  IF(AND($R355&lt;&gt;"",$H355&gt;=$R355),"🟠TRAIL決済",  IF($H355&gt;=$N355,"🔴損切",  IF($W355&gt;=$AG$5,"⏱時間決済",  IF($H355&gt;=$F355*(1+$AG$2*0.7),"⚠️損切接近","保持継続"))))),  IF($H355&gt;=$M355,"🟢利確",  IF(AND($R355&lt;&gt;"",$H355&lt;=$R355),"🟠TRAIL決済",  IF($H355&lt;=$N355,"🔴損切",  IF($W355&gt;=$AG$5,"⏱時間決済",  IF($H355&lt;=$F355*(1-$AG$2*0.7),"⚠️損切接近","保持継続")))))))</f>
      </c>
      <c r="P355" s="445"/>
      <c r="R355" s="440">
        <f>IF(OR($F355="",$H355="",$N355=""),"",IF($S355="✅売却済","",IF($C355="売",  IF($H355&gt;$F355*(1-$AG$2),$N355,CEILING(MIN($N355,IF($Q355="",$N355,$Q355*1.03)),IF($N355&lt;=3000,1,IF($N355&lt;=5000,5,IF($N355&lt;=30000,10,IF($N355&lt;=50000,50,IF($N355&lt;=300000,100,500))))))),  IF($H355&lt;$F355*(1+$AG$2),$N355,FLOOR(MAX($N355,IF($P355="",$N355,$P355*0.97)),IF($N355&lt;=3000,1,IF($N355&lt;=5000,5,IF($N355&lt;=30000,10,IF($N355&lt;=50000,50,IF($N355&lt;=300000,100,500))))))))))</f>
      </c>
      <c r="S355" s="440" t="str">
        <f t="shared" si="123"/>
        <v/>
      </c>
      <c r="T355" s="597" t="str">
        <f t="shared" ca="1" si="112"/>
        <v/>
      </c>
      <c r="U355" s="599" t="str">
        <f t="shared" ca="1" si="113"/>
        <v/>
      </c>
      <c r="V355" s="704" t="str">
        <f t="shared" ca="1" si="124"/>
        <v/>
      </c>
      <c r="W355" s="440" t="str">
        <f t="shared" ca="1" si="114"/>
        <v/>
      </c>
      <c r="X355" s="440" t="str">
        <f t="shared" ca="1" si="115"/>
        <v/>
      </c>
      <c r="Y355">
        <f>IF($B355="","",IF(COUNTIFS($B$4:$B355,$B355,$C$4:$C355,$C355)&gt;1,"⛔重複"&amp;COUNTIFS($B$4:$B355,$B355,$C$4:$C355,$C355)&amp;"回目",""))</f>
      </c>
      <c r="AB355">
        <f>IF($F355="","",MAX(100,ROUNDDOWN($AG$4/($F355*$AG$2)/100,0)*100))</f>
      </c>
      <c r="AC355">
        <f>IF(OR($F355="",$G355="",$U355=""),"",ROUND($V355-($F355+$U355)*$G355*$AG$6-IF($C355="売",$F355*$G355*$AG$7*$W355/365,0),0))</f>
      </c>
      <c r="AD355" s="608"/>
      <c r="AE355" s="600" t="str">
        <f t="shared" si="116"/>
        <v/>
      </c>
      <c r="AF355" s="600"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00"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00" t="str">
        <f t="shared" ca="1" si="117"/>
        <v/>
      </c>
      <c r="AI355" s="600" t="str" cm="1">
        <f t="array" ref="AI355">IFERROR(INDEX(始値!$E$6:$BT$305,MATCH(TEXT($B355,"0"),TEXT(銘柄管理!$B$6:$B$305,"0"),0),MATCH($AE355,始値!$E$3:$BT$3,0)),"")</f>
        <v/>
      </c>
      <c r="AJ355" s="608" t="str">
        <f t="shared" ca="1" si="118"/>
        <v/>
      </c>
      <c r="AK355" s="600" t="str">
        <f t="shared" ca="1" si="119"/>
        <v/>
      </c>
    </row>
    <row r="356" spans="1:37" ht="17.25" customHeight="1">
      <c r="A356" s="622" t="str">
        <f t="shared" si="108"/>
        <v/>
      </c>
      <c r="D356" s="440" t="str" cm="1">
        <f t="array" ref="D356">_xll.RssMarket(B356, "銘柄名称")</f>
        <v/>
      </c>
      <c r="E356" s="717"/>
      <c r="F356" s="6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 t="shared" ca="1" si="120"/>
        <v/>
      </c>
      <c r="L356" s="709" t="str">
        <f t="shared" ca="1" si="121"/>
        <v/>
      </c>
      <c r="M356" s="599">
        <f>IF($F356="","",IF($C356="売",CEILING($F356*IF($C356="売",1-$AG$3,1+$AG$3),IF($F356*IF($C356="売",1-$AG$3,1+$AG$3)&lt;=3000,1,IF($F356*IF($C356="売",1-$AG$3,1+$AG$3)&lt;=5000,5,IF($F356*IF($C356="売",1-$AG$3,1+$AG$3)&lt;=30000,10,IF($F356*IF($C356="売",1-$AG$3,1+$AG$3)&lt;=50000,50,IF($F356*IF($C356="売",1-$AG$3,1+$AG$3)&lt;=300000,100,500)))))),FLOOR($F356*IF($C356="売",1-$AG$3,1+$AG$3),IF($F356*IF($C356="売",1-$AG$3,1+$AG$3)&lt;=3000,1,IF($F356*IF($C356="売",1-$AG$3,1+$AG$3)&lt;=5000,5,IF($F356*IF($C356="売",1-$AG$3,1+$AG$3)&lt;=30000,10,IF($F356*IF($C356="売",1-$AG$3,1+$AG$3)&lt;=50000,50,IF($F356*IF($C356="売",1-$AG$3,1+$AG$3)&lt;=300000,100,500))))))))</f>
      </c>
      <c r="N356" s="599">
        <f>IF($F356="","",IF($C356="売",CEILING($F356*IF($C356="売",1+$AG$2,1-$AG$2),IF($F356*IF($C356="売",1+$AG$2,1-$AG$2)&lt;=3000,1,IF($F356*IF($C356="売",1+$AG$2,1-$AG$2)&lt;=5000,5,IF($F356*IF($C356="売",1+$AG$2,1-$AG$2)&lt;=30000,10,IF($F356*IF($C356="売",1+$AG$2,1-$AG$2)&lt;=50000,50,IF($F356*IF($C356="売",1+$AG$2,1-$AG$2)&lt;=300000,100,500)))))),FLOOR($F356*IF($C356="売",1+$AG$2,1-$AG$2),IF($F356*IF($C356="売",1+$AG$2,1-$AG$2)&lt;=3000,1,IF($F356*IF($C356="売",1+$AG$2,1-$AG$2)&lt;=5000,5,IF($F356*IF($C356="売",1+$AG$2,1-$AG$2)&lt;=30000,10,IF($F356*IF($C356="売",1+$AG$2,1-$AG$2)&lt;=50000,50,IF($F356*IF($C356="売",1+$AG$2,1-$AG$2)&lt;=300000,100,500))))))))</f>
      </c>
      <c r="O356" s="478">
        <f>IF(OR($B356="",$F356="",$H356=""),"",IF($S356="✅売却済","―決済済―",IF($C356="売",  IF($H356&lt;=$M356,"🟢利確",  IF(AND($R356&lt;&gt;"",$H356&gt;=$R356),"🟠TRAIL決済",  IF($H356&gt;=$N356,"🔴損切",  IF($W356&gt;=$AG$5,"⏱時間決済",  IF($H356&gt;=$F356*(1+$AG$2*0.7),"⚠️損切接近","保持継続"))))),  IF($H356&gt;=$M356,"🟢利確",  IF(AND($R356&lt;&gt;"",$H356&lt;=$R356),"🟠TRAIL決済",  IF($H356&lt;=$N356,"🔴損切",  IF($W356&gt;=$AG$5,"⏱時間決済",  IF($H356&lt;=$F356*(1-$AG$2*0.7),"⚠️損切接近","保持継続")))))))</f>
      </c>
      <c r="P356" s="445"/>
      <c r="R356" s="440">
        <f>IF(OR($F356="",$H356="",$N356=""),"",IF($S356="✅売却済","",IF($C356="売",  IF($H356&gt;$F356*(1-$AG$2),$N356,CEILING(MIN($N356,IF($Q356="",$N356,$Q356*1.03)),IF($N356&lt;=3000,1,IF($N356&lt;=5000,5,IF($N356&lt;=30000,10,IF($N356&lt;=50000,50,IF($N356&lt;=300000,100,500))))))),  IF($H356&lt;$F356*(1+$AG$2),$N356,FLOOR(MAX($N356,IF($P356="",$N356,$P356*0.97)),IF($N356&lt;=3000,1,IF($N356&lt;=5000,5,IF($N356&lt;=30000,10,IF($N356&lt;=50000,50,IF($N356&lt;=300000,100,500))))))))))</f>
      </c>
      <c r="S356" s="440" t="str">
        <f t="shared" si="123"/>
        <v/>
      </c>
      <c r="T356" s="597" t="str">
        <f t="shared" ca="1" si="112"/>
        <v/>
      </c>
      <c r="U356" s="599" t="str">
        <f t="shared" ca="1" si="113"/>
        <v/>
      </c>
      <c r="V356" s="704" t="str">
        <f t="shared" ca="1" si="124"/>
        <v/>
      </c>
      <c r="W356" s="440" t="str">
        <f t="shared" ca="1" si="114"/>
        <v/>
      </c>
      <c r="X356" s="440" t="str">
        <f t="shared" ca="1" si="115"/>
        <v/>
      </c>
      <c r="Y356">
        <f>IF($B356="","",IF(COUNTIFS($B$4:$B356,$B356,$C$4:$C356,$C356)&gt;1,"⛔重複"&amp;COUNTIFS($B$4:$B356,$B356,$C$4:$C356,$C356)&amp;"回目",""))</f>
      </c>
      <c r="AB356">
        <f>IF($F356="","",MAX(100,ROUNDDOWN($AG$4/($F356*$AG$2)/100,0)*100))</f>
      </c>
      <c r="AC356">
        <f>IF(OR($F356="",$G356="",$U356=""),"",ROUND($V356-($F356+$U356)*$G356*$AG$6-IF($C356="売",$F356*$G356*$AG$7*$W356/365,0),0))</f>
      </c>
      <c r="AD356" s="608"/>
      <c r="AE356" s="600" t="str">
        <f t="shared" si="116"/>
        <v/>
      </c>
      <c r="AF356" s="600"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00"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00" t="str">
        <f t="shared" ca="1" si="117"/>
        <v/>
      </c>
      <c r="AI356" s="600" t="str" cm="1">
        <f t="array" ref="AI356">IFERROR(INDEX(始値!$E$6:$BT$305,MATCH(TEXT($B356,"0"),TEXT(銘柄管理!$B$6:$B$305,"0"),0),MATCH($AE356,始値!$E$3:$BT$3,0)),"")</f>
        <v/>
      </c>
      <c r="AJ356" s="608" t="str">
        <f t="shared" ca="1" si="118"/>
        <v/>
      </c>
      <c r="AK356" s="600" t="str">
        <f t="shared" ca="1" si="119"/>
        <v/>
      </c>
    </row>
    <row r="357" spans="1:37" ht="17.25" customHeight="1">
      <c r="A357" s="622" t="str">
        <f t="shared" si="108"/>
        <v/>
      </c>
      <c r="D357" s="440" t="str" cm="1">
        <f t="array" ref="D357">_xll.RssMarket(B357, "銘柄名称")</f>
        <v/>
      </c>
      <c r="E357" s="717"/>
      <c r="F357" s="6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 t="shared" ca="1" si="120"/>
        <v/>
      </c>
      <c r="L357" s="709" t="str">
        <f t="shared" ca="1" si="121"/>
        <v/>
      </c>
      <c r="M357" s="599">
        <f>IF($F357="","",IF($C357="売",CEILING($F357*IF($C357="売",1-$AG$3,1+$AG$3),IF($F357*IF($C357="売",1-$AG$3,1+$AG$3)&lt;=3000,1,IF($F357*IF($C357="売",1-$AG$3,1+$AG$3)&lt;=5000,5,IF($F357*IF($C357="売",1-$AG$3,1+$AG$3)&lt;=30000,10,IF($F357*IF($C357="売",1-$AG$3,1+$AG$3)&lt;=50000,50,IF($F357*IF($C357="売",1-$AG$3,1+$AG$3)&lt;=300000,100,500)))))),FLOOR($F357*IF($C357="売",1-$AG$3,1+$AG$3),IF($F357*IF($C357="売",1-$AG$3,1+$AG$3)&lt;=3000,1,IF($F357*IF($C357="売",1-$AG$3,1+$AG$3)&lt;=5000,5,IF($F357*IF($C357="売",1-$AG$3,1+$AG$3)&lt;=30000,10,IF($F357*IF($C357="売",1-$AG$3,1+$AG$3)&lt;=50000,50,IF($F357*IF($C357="売",1-$AG$3,1+$AG$3)&lt;=300000,100,500))))))))</f>
      </c>
      <c r="N357" s="599">
        <f>IF($F357="","",IF($C357="売",CEILING($F357*IF($C357="売",1+$AG$2,1-$AG$2),IF($F357*IF($C357="売",1+$AG$2,1-$AG$2)&lt;=3000,1,IF($F357*IF($C357="売",1+$AG$2,1-$AG$2)&lt;=5000,5,IF($F357*IF($C357="売",1+$AG$2,1-$AG$2)&lt;=30000,10,IF($F357*IF($C357="売",1+$AG$2,1-$AG$2)&lt;=50000,50,IF($F357*IF($C357="売",1+$AG$2,1-$AG$2)&lt;=300000,100,500)))))),FLOOR($F357*IF($C357="売",1+$AG$2,1-$AG$2),IF($F357*IF($C357="売",1+$AG$2,1-$AG$2)&lt;=3000,1,IF($F357*IF($C357="売",1+$AG$2,1-$AG$2)&lt;=5000,5,IF($F357*IF($C357="売",1+$AG$2,1-$AG$2)&lt;=30000,10,IF($F357*IF($C357="売",1+$AG$2,1-$AG$2)&lt;=50000,50,IF($F357*IF($C357="売",1+$AG$2,1-$AG$2)&lt;=300000,100,500))))))))</f>
      </c>
      <c r="O357" s="478">
        <f>IF(OR($B357="",$F357="",$H357=""),"",IF($S357="✅売却済","―決済済―",IF($C357="売",  IF($H357&lt;=$M357,"🟢利確",  IF(AND($R357&lt;&gt;"",$H357&gt;=$R357),"🟠TRAIL決済",  IF($H357&gt;=$N357,"🔴損切",  IF($W357&gt;=$AG$5,"⏱時間決済",  IF($H357&gt;=$F357*(1+$AG$2*0.7),"⚠️損切接近","保持継続"))))),  IF($H357&gt;=$M357,"🟢利確",  IF(AND($R357&lt;&gt;"",$H357&lt;=$R357),"🟠TRAIL決済",  IF($H357&lt;=$N357,"🔴損切",  IF($W357&gt;=$AG$5,"⏱時間決済",  IF($H357&lt;=$F357*(1-$AG$2*0.7),"⚠️損切接近","保持継続")))))))</f>
      </c>
      <c r="P357" s="445"/>
      <c r="R357" s="440">
        <f>IF(OR($F357="",$H357="",$N357=""),"",IF($S357="✅売却済","",IF($C357="売",  IF($H357&gt;$F357*(1-$AG$2),$N357,CEILING(MIN($N357,IF($Q357="",$N357,$Q357*1.03)),IF($N357&lt;=3000,1,IF($N357&lt;=5000,5,IF($N357&lt;=30000,10,IF($N357&lt;=50000,50,IF($N357&lt;=300000,100,500))))))),  IF($H357&lt;$F357*(1+$AG$2),$N357,FLOOR(MAX($N357,IF($P357="",$N357,$P357*0.97)),IF($N357&lt;=3000,1,IF($N357&lt;=5000,5,IF($N357&lt;=30000,10,IF($N357&lt;=50000,50,IF($N357&lt;=300000,100,500))))))))))</f>
      </c>
      <c r="S357" s="440" t="str">
        <f t="shared" si="123"/>
        <v/>
      </c>
      <c r="T357" s="597" t="str">
        <f t="shared" ca="1" si="112"/>
        <v/>
      </c>
      <c r="U357" s="599" t="str">
        <f t="shared" ca="1" si="113"/>
        <v/>
      </c>
      <c r="V357" s="704" t="str">
        <f t="shared" ca="1" si="124"/>
        <v/>
      </c>
      <c r="W357" s="440" t="str">
        <f t="shared" ca="1" si="114"/>
        <v/>
      </c>
      <c r="X357" s="440" t="str">
        <f t="shared" ca="1" si="115"/>
        <v/>
      </c>
      <c r="Y357">
        <f>IF($B357="","",IF(COUNTIFS($B$4:$B357,$B357,$C$4:$C357,$C357)&gt;1,"⛔重複"&amp;COUNTIFS($B$4:$B357,$B357,$C$4:$C357,$C357)&amp;"回目",""))</f>
      </c>
      <c r="AB357">
        <f>IF($F357="","",MAX(100,ROUNDDOWN($AG$4/($F357*$AG$2)/100,0)*100))</f>
      </c>
      <c r="AC357">
        <f>IF(OR($F357="",$G357="",$U357=""),"",ROUND($V357-($F357+$U357)*$G357*$AG$6-IF($C357="売",$F357*$G357*$AG$7*$W357/365,0),0))</f>
      </c>
      <c r="AD357" s="608"/>
      <c r="AE357" s="600" t="str">
        <f t="shared" si="116"/>
        <v/>
      </c>
      <c r="AF357" s="600"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00"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00" t="str">
        <f t="shared" ca="1" si="117"/>
        <v/>
      </c>
      <c r="AI357" s="600" t="str" cm="1">
        <f t="array" ref="AI357">IFERROR(INDEX(始値!$E$6:$BT$305,MATCH(TEXT($B357,"0"),TEXT(銘柄管理!$B$6:$B$305,"0"),0),MATCH($AE357,始値!$E$3:$BT$3,0)),"")</f>
        <v/>
      </c>
      <c r="AJ357" s="608" t="str">
        <f t="shared" ca="1" si="118"/>
        <v/>
      </c>
      <c r="AK357" s="600" t="str">
        <f t="shared" ca="1" si="119"/>
        <v/>
      </c>
    </row>
    <row r="358" spans="1:37" ht="17.25" customHeight="1">
      <c r="A358" s="622" t="str">
        <f t="shared" si="108"/>
        <v/>
      </c>
      <c r="D358" s="440" t="str" cm="1">
        <f t="array" ref="D358">_xll.RssMarket(B358, "銘柄名称")</f>
        <v/>
      </c>
      <c r="E358" s="717"/>
      <c r="F358" s="6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 t="shared" ca="1" si="120"/>
        <v/>
      </c>
      <c r="L358" s="709" t="str">
        <f t="shared" ca="1" si="121"/>
        <v/>
      </c>
      <c r="M358" s="599">
        <f>IF($F358="","",IF($C358="売",CEILING($F358*IF($C358="売",1-$AG$3,1+$AG$3),IF($F358*IF($C358="売",1-$AG$3,1+$AG$3)&lt;=3000,1,IF($F358*IF($C358="売",1-$AG$3,1+$AG$3)&lt;=5000,5,IF($F358*IF($C358="売",1-$AG$3,1+$AG$3)&lt;=30000,10,IF($F358*IF($C358="売",1-$AG$3,1+$AG$3)&lt;=50000,50,IF($F358*IF($C358="売",1-$AG$3,1+$AG$3)&lt;=300000,100,500)))))),FLOOR($F358*IF($C358="売",1-$AG$3,1+$AG$3),IF($F358*IF($C358="売",1-$AG$3,1+$AG$3)&lt;=3000,1,IF($F358*IF($C358="売",1-$AG$3,1+$AG$3)&lt;=5000,5,IF($F358*IF($C358="売",1-$AG$3,1+$AG$3)&lt;=30000,10,IF($F358*IF($C358="売",1-$AG$3,1+$AG$3)&lt;=50000,50,IF($F358*IF($C358="売",1-$AG$3,1+$AG$3)&lt;=300000,100,500))))))))</f>
      </c>
      <c r="N358" s="599">
        <f>IF($F358="","",IF($C358="売",CEILING($F358*IF($C358="売",1+$AG$2,1-$AG$2),IF($F358*IF($C358="売",1+$AG$2,1-$AG$2)&lt;=3000,1,IF($F358*IF($C358="売",1+$AG$2,1-$AG$2)&lt;=5000,5,IF($F358*IF($C358="売",1+$AG$2,1-$AG$2)&lt;=30000,10,IF($F358*IF($C358="売",1+$AG$2,1-$AG$2)&lt;=50000,50,IF($F358*IF($C358="売",1+$AG$2,1-$AG$2)&lt;=300000,100,500)))))),FLOOR($F358*IF($C358="売",1+$AG$2,1-$AG$2),IF($F358*IF($C358="売",1+$AG$2,1-$AG$2)&lt;=3000,1,IF($F358*IF($C358="売",1+$AG$2,1-$AG$2)&lt;=5000,5,IF($F358*IF($C358="売",1+$AG$2,1-$AG$2)&lt;=30000,10,IF($F358*IF($C358="売",1+$AG$2,1-$AG$2)&lt;=50000,50,IF($F358*IF($C358="売",1+$AG$2,1-$AG$2)&lt;=300000,100,500))))))))</f>
      </c>
      <c r="O358" s="478">
        <f>IF(OR($B358="",$F358="",$H358=""),"",IF($S358="✅売却済","―決済済―",IF($C358="売",  IF($H358&lt;=$M358,"🟢利確",  IF(AND($R358&lt;&gt;"",$H358&gt;=$R358),"🟠TRAIL決済",  IF($H358&gt;=$N358,"🔴損切",  IF($W358&gt;=$AG$5,"⏱時間決済",  IF($H358&gt;=$F358*(1+$AG$2*0.7),"⚠️損切接近","保持継続"))))),  IF($H358&gt;=$M358,"🟢利確",  IF(AND($R358&lt;&gt;"",$H358&lt;=$R358),"🟠TRAIL決済",  IF($H358&lt;=$N358,"🔴損切",  IF($W358&gt;=$AG$5,"⏱時間決済",  IF($H358&lt;=$F358*(1-$AG$2*0.7),"⚠️損切接近","保持継続")))))))</f>
      </c>
      <c r="P358" s="445"/>
      <c r="R358" s="440">
        <f>IF(OR($F358="",$H358="",$N358=""),"",IF($S358="✅売却済","",IF($C358="売",  IF($H358&gt;$F358*(1-$AG$2),$N358,CEILING(MIN($N358,IF($Q358="",$N358,$Q358*1.03)),IF($N358&lt;=3000,1,IF($N358&lt;=5000,5,IF($N358&lt;=30000,10,IF($N358&lt;=50000,50,IF($N358&lt;=300000,100,500))))))),  IF($H358&lt;$F358*(1+$AG$2),$N358,FLOOR(MAX($N358,IF($P358="",$N358,$P358*0.97)),IF($N358&lt;=3000,1,IF($N358&lt;=5000,5,IF($N358&lt;=30000,10,IF($N358&lt;=50000,50,IF($N358&lt;=300000,100,500))))))))))</f>
      </c>
      <c r="S358" s="440" t="str">
        <f t="shared" si="123"/>
        <v/>
      </c>
      <c r="T358" s="597" t="str">
        <f t="shared" ca="1" si="112"/>
        <v/>
      </c>
      <c r="U358" s="599" t="str">
        <f t="shared" ca="1" si="113"/>
        <v/>
      </c>
      <c r="V358" s="704" t="str">
        <f t="shared" ca="1" si="124"/>
        <v/>
      </c>
      <c r="W358" s="440" t="str">
        <f t="shared" ca="1" si="114"/>
        <v/>
      </c>
      <c r="X358" s="440" t="str">
        <f t="shared" ca="1" si="115"/>
        <v/>
      </c>
      <c r="Y358">
        <f>IF($B358="","",IF(COUNTIFS($B$4:$B358,$B358,$C$4:$C358,$C358)&gt;1,"⛔重複"&amp;COUNTIFS($B$4:$B358,$B358,$C$4:$C358,$C358)&amp;"回目",""))</f>
      </c>
      <c r="AB358">
        <f>IF($F358="","",MAX(100,ROUNDDOWN($AG$4/($F358*$AG$2)/100,0)*100))</f>
      </c>
      <c r="AC358">
        <f>IF(OR($F358="",$G358="",$U358=""),"",ROUND($V358-($F358+$U358)*$G358*$AG$6-IF($C358="売",$F358*$G358*$AG$7*$W358/365,0),0))</f>
      </c>
      <c r="AD358" s="608"/>
      <c r="AE358" s="600" t="str">
        <f t="shared" si="116"/>
        <v/>
      </c>
      <c r="AF358" s="600"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00"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00" t="str">
        <f t="shared" ca="1" si="117"/>
        <v/>
      </c>
      <c r="AI358" s="600" t="str" cm="1">
        <f t="array" ref="AI358">IFERROR(INDEX(始値!$E$6:$BT$305,MATCH(TEXT($B358,"0"),TEXT(銘柄管理!$B$6:$B$305,"0"),0),MATCH($AE358,始値!$E$3:$BT$3,0)),"")</f>
        <v/>
      </c>
      <c r="AJ358" s="608" t="str">
        <f t="shared" ca="1" si="118"/>
        <v/>
      </c>
      <c r="AK358" s="600" t="str">
        <f t="shared" ca="1" si="119"/>
        <v/>
      </c>
    </row>
    <row r="359" spans="1:37" ht="17.25" customHeight="1">
      <c r="A359" s="622" t="str">
        <f t="shared" si="108"/>
        <v/>
      </c>
      <c r="D359" s="440" t="str" cm="1">
        <f t="array" ref="D359">_xll.RssMarket(B359, "銘柄名称")</f>
        <v/>
      </c>
      <c r="E359" s="717"/>
      <c r="F359" s="6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 t="shared" ca="1" si="120"/>
        <v/>
      </c>
      <c r="L359" s="709" t="str">
        <f t="shared" ca="1" si="121"/>
        <v/>
      </c>
      <c r="M359" s="599">
        <f>IF($F359="","",IF($C359="売",CEILING($F359*IF($C359="売",1-$AG$3,1+$AG$3),IF($F359*IF($C359="売",1-$AG$3,1+$AG$3)&lt;=3000,1,IF($F359*IF($C359="売",1-$AG$3,1+$AG$3)&lt;=5000,5,IF($F359*IF($C359="売",1-$AG$3,1+$AG$3)&lt;=30000,10,IF($F359*IF($C359="売",1-$AG$3,1+$AG$3)&lt;=50000,50,IF($F359*IF($C359="売",1-$AG$3,1+$AG$3)&lt;=300000,100,500)))))),FLOOR($F359*IF($C359="売",1-$AG$3,1+$AG$3),IF($F359*IF($C359="売",1-$AG$3,1+$AG$3)&lt;=3000,1,IF($F359*IF($C359="売",1-$AG$3,1+$AG$3)&lt;=5000,5,IF($F359*IF($C359="売",1-$AG$3,1+$AG$3)&lt;=30000,10,IF($F359*IF($C359="売",1-$AG$3,1+$AG$3)&lt;=50000,50,IF($F359*IF($C359="売",1-$AG$3,1+$AG$3)&lt;=300000,100,500))))))))</f>
      </c>
      <c r="N359" s="599">
        <f>IF($F359="","",IF($C359="売",CEILING($F359*IF($C359="売",1+$AG$2,1-$AG$2),IF($F359*IF($C359="売",1+$AG$2,1-$AG$2)&lt;=3000,1,IF($F359*IF($C359="売",1+$AG$2,1-$AG$2)&lt;=5000,5,IF($F359*IF($C359="売",1+$AG$2,1-$AG$2)&lt;=30000,10,IF($F359*IF($C359="売",1+$AG$2,1-$AG$2)&lt;=50000,50,IF($F359*IF($C359="売",1+$AG$2,1-$AG$2)&lt;=300000,100,500)))))),FLOOR($F359*IF($C359="売",1+$AG$2,1-$AG$2),IF($F359*IF($C359="売",1+$AG$2,1-$AG$2)&lt;=3000,1,IF($F359*IF($C359="売",1+$AG$2,1-$AG$2)&lt;=5000,5,IF($F359*IF($C359="売",1+$AG$2,1-$AG$2)&lt;=30000,10,IF($F359*IF($C359="売",1+$AG$2,1-$AG$2)&lt;=50000,50,IF($F359*IF($C359="売",1+$AG$2,1-$AG$2)&lt;=300000,100,500))))))))</f>
      </c>
      <c r="O359" s="478">
        <f>IF(OR($B359="",$F359="",$H359=""),"",IF($S359="✅売却済","―決済済―",IF($C359="売",  IF($H359&lt;=$M359,"🟢利確",  IF(AND($R359&lt;&gt;"",$H359&gt;=$R359),"🟠TRAIL決済",  IF($H359&gt;=$N359,"🔴損切",  IF($W359&gt;=$AG$5,"⏱時間決済",  IF($H359&gt;=$F359*(1+$AG$2*0.7),"⚠️損切接近","保持継続"))))),  IF($H359&gt;=$M359,"🟢利確",  IF(AND($R359&lt;&gt;"",$H359&lt;=$R359),"🟠TRAIL決済",  IF($H359&lt;=$N359,"🔴損切",  IF($W359&gt;=$AG$5,"⏱時間決済",  IF($H359&lt;=$F359*(1-$AG$2*0.7),"⚠️損切接近","保持継続")))))))</f>
      </c>
      <c r="P359" s="445"/>
      <c r="R359" s="440">
        <f>IF(OR($F359="",$H359="",$N359=""),"",IF($S359="✅売却済","",IF($C359="売",  IF($H359&gt;$F359*(1-$AG$2),$N359,CEILING(MIN($N359,IF($Q359="",$N359,$Q359*1.03)),IF($N359&lt;=3000,1,IF($N359&lt;=5000,5,IF($N359&lt;=30000,10,IF($N359&lt;=50000,50,IF($N359&lt;=300000,100,500))))))),  IF($H359&lt;$F359*(1+$AG$2),$N359,FLOOR(MAX($N359,IF($P359="",$N359,$P359*0.97)),IF($N359&lt;=3000,1,IF($N359&lt;=5000,5,IF($N359&lt;=30000,10,IF($N359&lt;=50000,50,IF($N359&lt;=300000,100,500))))))))))</f>
      </c>
      <c r="S359" s="440" t="str">
        <f t="shared" si="123"/>
        <v/>
      </c>
      <c r="T359" s="597" t="str">
        <f t="shared" ca="1" si="112"/>
        <v/>
      </c>
      <c r="U359" s="599" t="str">
        <f t="shared" ca="1" si="113"/>
        <v/>
      </c>
      <c r="V359" s="704" t="str">
        <f t="shared" ca="1" si="124"/>
        <v/>
      </c>
      <c r="W359" s="440" t="str">
        <f t="shared" ca="1" si="114"/>
        <v/>
      </c>
      <c r="X359" s="440" t="str">
        <f t="shared" ca="1" si="115"/>
        <v/>
      </c>
      <c r="Y359">
        <f>IF($B359="","",IF(COUNTIFS($B$4:$B359,$B359,$C$4:$C359,$C359)&gt;1,"⛔重複"&amp;COUNTIFS($B$4:$B359,$B359,$C$4:$C359,$C359)&amp;"回目",""))</f>
      </c>
      <c r="AB359">
        <f>IF($F359="","",MAX(100,ROUNDDOWN($AG$4/($F359*$AG$2)/100,0)*100))</f>
      </c>
      <c r="AC359">
        <f>IF(OR($F359="",$G359="",$U359=""),"",ROUND($V359-($F359+$U359)*$G359*$AG$6-IF($C359="売",$F359*$G359*$AG$7*$W359/365,0),0))</f>
      </c>
      <c r="AD359" s="608"/>
      <c r="AE359" s="600" t="str">
        <f t="shared" si="116"/>
        <v/>
      </c>
      <c r="AF359" s="600"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00"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00" t="str">
        <f t="shared" ca="1" si="117"/>
        <v/>
      </c>
      <c r="AI359" s="600" t="str" cm="1">
        <f t="array" ref="AI359">IFERROR(INDEX(始値!$E$6:$BT$305,MATCH(TEXT($B359,"0"),TEXT(銘柄管理!$B$6:$B$305,"0"),0),MATCH($AE359,始値!$E$3:$BT$3,0)),"")</f>
        <v/>
      </c>
      <c r="AJ359" s="608" t="str">
        <f t="shared" ca="1" si="118"/>
        <v/>
      </c>
      <c r="AK359" s="600" t="str">
        <f t="shared" ca="1" si="119"/>
        <v/>
      </c>
    </row>
    <row r="360" spans="1:37" ht="17.25" customHeight="1">
      <c r="A360" s="622" t="str">
        <f t="shared" si="108"/>
        <v/>
      </c>
      <c r="D360" s="440" t="str" cm="1">
        <f t="array" ref="D360">_xll.RssMarket(B360, "銘柄名称")</f>
        <v/>
      </c>
      <c r="E360" s="717"/>
      <c r="F360" s="6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 t="shared" ca="1" si="120"/>
        <v/>
      </c>
      <c r="L360" s="709" t="str">
        <f t="shared" ca="1" si="121"/>
        <v/>
      </c>
      <c r="M360" s="599">
        <f>IF($F360="","",IF($C360="売",CEILING($F360*IF($C360="売",1-$AG$3,1+$AG$3),IF($F360*IF($C360="売",1-$AG$3,1+$AG$3)&lt;=3000,1,IF($F360*IF($C360="売",1-$AG$3,1+$AG$3)&lt;=5000,5,IF($F360*IF($C360="売",1-$AG$3,1+$AG$3)&lt;=30000,10,IF($F360*IF($C360="売",1-$AG$3,1+$AG$3)&lt;=50000,50,IF($F360*IF($C360="売",1-$AG$3,1+$AG$3)&lt;=300000,100,500)))))),FLOOR($F360*IF($C360="売",1-$AG$3,1+$AG$3),IF($F360*IF($C360="売",1-$AG$3,1+$AG$3)&lt;=3000,1,IF($F360*IF($C360="売",1-$AG$3,1+$AG$3)&lt;=5000,5,IF($F360*IF($C360="売",1-$AG$3,1+$AG$3)&lt;=30000,10,IF($F360*IF($C360="売",1-$AG$3,1+$AG$3)&lt;=50000,50,IF($F360*IF($C360="売",1-$AG$3,1+$AG$3)&lt;=300000,100,500))))))))</f>
      </c>
      <c r="N360" s="599">
        <f>IF($F360="","",IF($C360="売",CEILING($F360*IF($C360="売",1+$AG$2,1-$AG$2),IF($F360*IF($C360="売",1+$AG$2,1-$AG$2)&lt;=3000,1,IF($F360*IF($C360="売",1+$AG$2,1-$AG$2)&lt;=5000,5,IF($F360*IF($C360="売",1+$AG$2,1-$AG$2)&lt;=30000,10,IF($F360*IF($C360="売",1+$AG$2,1-$AG$2)&lt;=50000,50,IF($F360*IF($C360="売",1+$AG$2,1-$AG$2)&lt;=300000,100,500)))))),FLOOR($F360*IF($C360="売",1+$AG$2,1-$AG$2),IF($F360*IF($C360="売",1+$AG$2,1-$AG$2)&lt;=3000,1,IF($F360*IF($C360="売",1+$AG$2,1-$AG$2)&lt;=5000,5,IF($F360*IF($C360="売",1+$AG$2,1-$AG$2)&lt;=30000,10,IF($F360*IF($C360="売",1+$AG$2,1-$AG$2)&lt;=50000,50,IF($F360*IF($C360="売",1+$AG$2,1-$AG$2)&lt;=300000,100,500))))))))</f>
      </c>
      <c r="O360" s="478">
        <f>IF(OR($B360="",$F360="",$H360=""),"",IF($S360="✅売却済","―決済済―",IF($C360="売",  IF($H360&lt;=$M360,"🟢利確",  IF(AND($R360&lt;&gt;"",$H360&gt;=$R360),"🟠TRAIL決済",  IF($H360&gt;=$N360,"🔴損切",  IF($W360&gt;=$AG$5,"⏱時間決済",  IF($H360&gt;=$F360*(1+$AG$2*0.7),"⚠️損切接近","保持継続"))))),  IF($H360&gt;=$M360,"🟢利確",  IF(AND($R360&lt;&gt;"",$H360&lt;=$R360),"🟠TRAIL決済",  IF($H360&lt;=$N360,"🔴損切",  IF($W360&gt;=$AG$5,"⏱時間決済",  IF($H360&lt;=$F360*(1-$AG$2*0.7),"⚠️損切接近","保持継続")))))))</f>
      </c>
      <c r="P360" s="445"/>
      <c r="R360" s="440">
        <f>IF(OR($F360="",$H360="",$N360=""),"",IF($S360="✅売却済","",IF($C360="売",  IF($H360&gt;$F360*(1-$AG$2),$N360,CEILING(MIN($N360,IF($Q360="",$N360,$Q360*1.03)),IF($N360&lt;=3000,1,IF($N360&lt;=5000,5,IF($N360&lt;=30000,10,IF($N360&lt;=50000,50,IF($N360&lt;=300000,100,500))))))),  IF($H360&lt;$F360*(1+$AG$2),$N360,FLOOR(MAX($N360,IF($P360="",$N360,$P360*0.97)),IF($N360&lt;=3000,1,IF($N360&lt;=5000,5,IF($N360&lt;=30000,10,IF($N360&lt;=50000,50,IF($N360&lt;=300000,100,500))))))))))</f>
      </c>
      <c r="S360" s="440" t="str">
        <f t="shared" si="123"/>
        <v/>
      </c>
      <c r="T360" s="597" t="str">
        <f t="shared" ca="1" si="112"/>
        <v/>
      </c>
      <c r="U360" s="599" t="str">
        <f t="shared" ca="1" si="113"/>
        <v/>
      </c>
      <c r="V360" s="704" t="str">
        <f t="shared" ca="1" si="124"/>
        <v/>
      </c>
      <c r="W360" s="440" t="str">
        <f t="shared" ca="1" si="114"/>
        <v/>
      </c>
      <c r="X360" s="440" t="str">
        <f t="shared" ca="1" si="115"/>
        <v/>
      </c>
      <c r="Y360">
        <f>IF($B360="","",IF(COUNTIFS($B$4:$B360,$B360,$C$4:$C360,$C360)&gt;1,"⛔重複"&amp;COUNTIFS($B$4:$B360,$B360,$C$4:$C360,$C360)&amp;"回目",""))</f>
      </c>
      <c r="AB360">
        <f>IF($F360="","",MAX(100,ROUNDDOWN($AG$4/($F360*$AG$2)/100,0)*100))</f>
      </c>
      <c r="AC360">
        <f>IF(OR($F360="",$G360="",$U360=""),"",ROUND($V360-($F360+$U360)*$G360*$AG$6-IF($C360="売",$F360*$G360*$AG$7*$W360/365,0),0))</f>
      </c>
      <c r="AD360" s="608"/>
      <c r="AE360" s="600" t="str">
        <f t="shared" si="116"/>
        <v/>
      </c>
      <c r="AF360" s="600"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00"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00" t="str">
        <f t="shared" ca="1" si="117"/>
        <v/>
      </c>
      <c r="AI360" s="600" t="str" cm="1">
        <f t="array" ref="AI360">IFERROR(INDEX(始値!$E$6:$BT$305,MATCH(TEXT($B360,"0"),TEXT(銘柄管理!$B$6:$B$305,"0"),0),MATCH($AE360,始値!$E$3:$BT$3,0)),"")</f>
        <v/>
      </c>
      <c r="AJ360" s="608" t="str">
        <f t="shared" ca="1" si="118"/>
        <v/>
      </c>
      <c r="AK360" s="600" t="str">
        <f t="shared" ca="1" si="119"/>
        <v/>
      </c>
    </row>
    <row r="361" spans="1:37" ht="17.25" customHeight="1">
      <c r="A361" s="622" t="str">
        <f t="shared" si="108"/>
        <v/>
      </c>
      <c r="D361" s="440" t="str" cm="1">
        <f t="array" ref="D361">_xll.RssMarket(B361, "銘柄名称")</f>
        <v/>
      </c>
      <c r="E361" s="717"/>
      <c r="F361" s="6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 t="shared" ca="1" si="120"/>
        <v/>
      </c>
      <c r="L361" s="709" t="str">
        <f t="shared" ca="1" si="121"/>
        <v/>
      </c>
      <c r="M361" s="599">
        <f>IF($F361="","",IF($C361="売",CEILING($F361*IF($C361="売",1-$AG$3,1+$AG$3),IF($F361*IF($C361="売",1-$AG$3,1+$AG$3)&lt;=3000,1,IF($F361*IF($C361="売",1-$AG$3,1+$AG$3)&lt;=5000,5,IF($F361*IF($C361="売",1-$AG$3,1+$AG$3)&lt;=30000,10,IF($F361*IF($C361="売",1-$AG$3,1+$AG$3)&lt;=50000,50,IF($F361*IF($C361="売",1-$AG$3,1+$AG$3)&lt;=300000,100,500)))))),FLOOR($F361*IF($C361="売",1-$AG$3,1+$AG$3),IF($F361*IF($C361="売",1-$AG$3,1+$AG$3)&lt;=3000,1,IF($F361*IF($C361="売",1-$AG$3,1+$AG$3)&lt;=5000,5,IF($F361*IF($C361="売",1-$AG$3,1+$AG$3)&lt;=30000,10,IF($F361*IF($C361="売",1-$AG$3,1+$AG$3)&lt;=50000,50,IF($F361*IF($C361="売",1-$AG$3,1+$AG$3)&lt;=300000,100,500))))))))</f>
      </c>
      <c r="N361" s="599">
        <f>IF($F361="","",IF($C361="売",CEILING($F361*IF($C361="売",1+$AG$2,1-$AG$2),IF($F361*IF($C361="売",1+$AG$2,1-$AG$2)&lt;=3000,1,IF($F361*IF($C361="売",1+$AG$2,1-$AG$2)&lt;=5000,5,IF($F361*IF($C361="売",1+$AG$2,1-$AG$2)&lt;=30000,10,IF($F361*IF($C361="売",1+$AG$2,1-$AG$2)&lt;=50000,50,IF($F361*IF($C361="売",1+$AG$2,1-$AG$2)&lt;=300000,100,500)))))),FLOOR($F361*IF($C361="売",1+$AG$2,1-$AG$2),IF($F361*IF($C361="売",1+$AG$2,1-$AG$2)&lt;=3000,1,IF($F361*IF($C361="売",1+$AG$2,1-$AG$2)&lt;=5000,5,IF($F361*IF($C361="売",1+$AG$2,1-$AG$2)&lt;=30000,10,IF($F361*IF($C361="売",1+$AG$2,1-$AG$2)&lt;=50000,50,IF($F361*IF($C361="売",1+$AG$2,1-$AG$2)&lt;=300000,100,500))))))))</f>
      </c>
      <c r="O361" s="478">
        <f>IF(OR($B361="",$F361="",$H361=""),"",IF($S361="✅売却済","―決済済―",IF($C361="売",  IF($H361&lt;=$M361,"🟢利確",  IF(AND($R361&lt;&gt;"",$H361&gt;=$R361),"🟠TRAIL決済",  IF($H361&gt;=$N361,"🔴損切",  IF($W361&gt;=$AG$5,"⏱時間決済",  IF($H361&gt;=$F361*(1+$AG$2*0.7),"⚠️損切接近","保持継続"))))),  IF($H361&gt;=$M361,"🟢利確",  IF(AND($R361&lt;&gt;"",$H361&lt;=$R361),"🟠TRAIL決済",  IF($H361&lt;=$N361,"🔴損切",  IF($W361&gt;=$AG$5,"⏱時間決済",  IF($H361&lt;=$F361*(1-$AG$2*0.7),"⚠️損切接近","保持継続")))))))</f>
      </c>
      <c r="P361" s="445"/>
      <c r="R361" s="440">
        <f>IF(OR($F361="",$H361="",$N361=""),"",IF($S361="✅売却済","",IF($C361="売",  IF($H361&gt;$F361*(1-$AG$2),$N361,CEILING(MIN($N361,IF($Q361="",$N361,$Q361*1.03)),IF($N361&lt;=3000,1,IF($N361&lt;=5000,5,IF($N361&lt;=30000,10,IF($N361&lt;=50000,50,IF($N361&lt;=300000,100,500))))))),  IF($H361&lt;$F361*(1+$AG$2),$N361,FLOOR(MAX($N361,IF($P361="",$N361,$P361*0.97)),IF($N361&lt;=3000,1,IF($N361&lt;=5000,5,IF($N361&lt;=30000,10,IF($N361&lt;=50000,50,IF($N361&lt;=300000,100,500))))))))))</f>
      </c>
      <c r="S361" s="440" t="str">
        <f t="shared" si="123"/>
        <v/>
      </c>
      <c r="T361" s="597" t="str">
        <f t="shared" ca="1" si="112"/>
        <v/>
      </c>
      <c r="U361" s="599" t="str">
        <f t="shared" ca="1" si="113"/>
        <v/>
      </c>
      <c r="V361" s="704" t="str">
        <f t="shared" ca="1" si="124"/>
        <v/>
      </c>
      <c r="W361" s="440" t="str">
        <f t="shared" ca="1" si="114"/>
        <v/>
      </c>
      <c r="X361" s="440" t="str">
        <f t="shared" ca="1" si="115"/>
        <v/>
      </c>
      <c r="Y361">
        <f>IF($B361="","",IF(COUNTIFS($B$4:$B361,$B361,$C$4:$C361,$C361)&gt;1,"⛔重複"&amp;COUNTIFS($B$4:$B361,$B361,$C$4:$C361,$C361)&amp;"回目",""))</f>
      </c>
      <c r="AB361">
        <f>IF($F361="","",MAX(100,ROUNDDOWN($AG$4/($F361*$AG$2)/100,0)*100))</f>
      </c>
      <c r="AC361">
        <f>IF(OR($F361="",$G361="",$U361=""),"",ROUND($V361-($F361+$U361)*$G361*$AG$6-IF($C361="売",$F361*$G361*$AG$7*$W361/365,0),0))</f>
      </c>
      <c r="AD361" s="608"/>
      <c r="AE361" s="600" t="str">
        <f t="shared" si="116"/>
        <v/>
      </c>
      <c r="AF361" s="600"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00"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00" t="str">
        <f t="shared" ca="1" si="117"/>
        <v/>
      </c>
      <c r="AI361" s="600" t="str" cm="1">
        <f t="array" ref="AI361">IFERROR(INDEX(始値!$E$6:$BT$305,MATCH(TEXT($B361,"0"),TEXT(銘柄管理!$B$6:$B$305,"0"),0),MATCH($AE361,始値!$E$3:$BT$3,0)),"")</f>
        <v/>
      </c>
      <c r="AJ361" s="608" t="str">
        <f t="shared" ca="1" si="118"/>
        <v/>
      </c>
      <c r="AK361" s="600" t="str">
        <f t="shared" ca="1" si="119"/>
        <v/>
      </c>
    </row>
    <row r="362" spans="1:37" ht="17.25" customHeight="1">
      <c r="A362" s="622" t="str">
        <f t="shared" si="108"/>
        <v/>
      </c>
      <c r="D362" s="440" t="str" cm="1">
        <f t="array" ref="D362">_xll.RssMarket(B362, "銘柄名称")</f>
        <v/>
      </c>
      <c r="E362" s="717"/>
      <c r="F362" s="6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 t="shared" ca="1" si="120"/>
        <v/>
      </c>
      <c r="L362" s="709" t="str">
        <f t="shared" ca="1" si="121"/>
        <v/>
      </c>
      <c r="M362" s="599">
        <f>IF($F362="","",IF($C362="売",CEILING($F362*IF($C362="売",1-$AG$3,1+$AG$3),IF($F362*IF($C362="売",1-$AG$3,1+$AG$3)&lt;=3000,1,IF($F362*IF($C362="売",1-$AG$3,1+$AG$3)&lt;=5000,5,IF($F362*IF($C362="売",1-$AG$3,1+$AG$3)&lt;=30000,10,IF($F362*IF($C362="売",1-$AG$3,1+$AG$3)&lt;=50000,50,IF($F362*IF($C362="売",1-$AG$3,1+$AG$3)&lt;=300000,100,500)))))),FLOOR($F362*IF($C362="売",1-$AG$3,1+$AG$3),IF($F362*IF($C362="売",1-$AG$3,1+$AG$3)&lt;=3000,1,IF($F362*IF($C362="売",1-$AG$3,1+$AG$3)&lt;=5000,5,IF($F362*IF($C362="売",1-$AG$3,1+$AG$3)&lt;=30000,10,IF($F362*IF($C362="売",1-$AG$3,1+$AG$3)&lt;=50000,50,IF($F362*IF($C362="売",1-$AG$3,1+$AG$3)&lt;=300000,100,500))))))))</f>
      </c>
      <c r="N362" s="599">
        <f>IF($F362="","",IF($C362="売",CEILING($F362*IF($C362="売",1+$AG$2,1-$AG$2),IF($F362*IF($C362="売",1+$AG$2,1-$AG$2)&lt;=3000,1,IF($F362*IF($C362="売",1+$AG$2,1-$AG$2)&lt;=5000,5,IF($F362*IF($C362="売",1+$AG$2,1-$AG$2)&lt;=30000,10,IF($F362*IF($C362="売",1+$AG$2,1-$AG$2)&lt;=50000,50,IF($F362*IF($C362="売",1+$AG$2,1-$AG$2)&lt;=300000,100,500)))))),FLOOR($F362*IF($C362="売",1+$AG$2,1-$AG$2),IF($F362*IF($C362="売",1+$AG$2,1-$AG$2)&lt;=3000,1,IF($F362*IF($C362="売",1+$AG$2,1-$AG$2)&lt;=5000,5,IF($F362*IF($C362="売",1+$AG$2,1-$AG$2)&lt;=30000,10,IF($F362*IF($C362="売",1+$AG$2,1-$AG$2)&lt;=50000,50,IF($F362*IF($C362="売",1+$AG$2,1-$AG$2)&lt;=300000,100,500))))))))</f>
      </c>
      <c r="O362" s="478">
        <f>IF(OR($B362="",$F362="",$H362=""),"",IF($S362="✅売却済","―決済済―",IF($C362="売",  IF($H362&lt;=$M362,"🟢利確",  IF(AND($R362&lt;&gt;"",$H362&gt;=$R362),"🟠TRAIL決済",  IF($H362&gt;=$N362,"🔴損切",  IF($W362&gt;=$AG$5,"⏱時間決済",  IF($H362&gt;=$F362*(1+$AG$2*0.7),"⚠️損切接近","保持継続"))))),  IF($H362&gt;=$M362,"🟢利確",  IF(AND($R362&lt;&gt;"",$H362&lt;=$R362),"🟠TRAIL決済",  IF($H362&lt;=$N362,"🔴損切",  IF($W362&gt;=$AG$5,"⏱時間決済",  IF($H362&lt;=$F362*(1-$AG$2*0.7),"⚠️損切接近","保持継続")))))))</f>
      </c>
      <c r="P362" s="445"/>
      <c r="R362" s="440">
        <f>IF(OR($F362="",$H362="",$N362=""),"",IF($S362="✅売却済","",IF($C362="売",  IF($H362&gt;$F362*(1-$AG$2),$N362,CEILING(MIN($N362,IF($Q362="",$N362,$Q362*1.03)),IF($N362&lt;=3000,1,IF($N362&lt;=5000,5,IF($N362&lt;=30000,10,IF($N362&lt;=50000,50,IF($N362&lt;=300000,100,500))))))),  IF($H362&lt;$F362*(1+$AG$2),$N362,FLOOR(MAX($N362,IF($P362="",$N362,$P362*0.97)),IF($N362&lt;=3000,1,IF($N362&lt;=5000,5,IF($N362&lt;=30000,10,IF($N362&lt;=50000,50,IF($N362&lt;=300000,100,500))))))))))</f>
      </c>
      <c r="S362" s="440" t="str">
        <f t="shared" si="123"/>
        <v/>
      </c>
      <c r="T362" s="597" t="str">
        <f t="shared" ca="1" si="112"/>
        <v/>
      </c>
      <c r="U362" s="599" t="str">
        <f t="shared" ca="1" si="113"/>
        <v/>
      </c>
      <c r="V362" s="704" t="str">
        <f t="shared" ca="1" si="124"/>
        <v/>
      </c>
      <c r="W362" s="440" t="str">
        <f t="shared" ca="1" si="114"/>
        <v/>
      </c>
      <c r="X362" s="440" t="str">
        <f t="shared" ca="1" si="115"/>
        <v/>
      </c>
      <c r="Y362">
        <f>IF($B362="","",IF(COUNTIFS($B$4:$B362,$B362,$C$4:$C362,$C362)&gt;1,"⛔重複"&amp;COUNTIFS($B$4:$B362,$B362,$C$4:$C362,$C362)&amp;"回目",""))</f>
      </c>
      <c r="AB362">
        <f>IF($F362="","",MAX(100,ROUNDDOWN($AG$4/($F362*$AG$2)/100,0)*100))</f>
      </c>
      <c r="AC362">
        <f>IF(OR($F362="",$G362="",$U362=""),"",ROUND($V362-($F362+$U362)*$G362*$AG$6-IF($C362="売",$F362*$G362*$AG$7*$W362/365,0),0))</f>
      </c>
      <c r="AD362" s="608"/>
      <c r="AE362" s="600" t="str">
        <f t="shared" si="116"/>
        <v/>
      </c>
      <c r="AF362" s="600"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00"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00" t="str">
        <f t="shared" ca="1" si="117"/>
        <v/>
      </c>
      <c r="AI362" s="600" t="str" cm="1">
        <f t="array" ref="AI362">IFERROR(INDEX(始値!$E$6:$BT$305,MATCH(TEXT($B362,"0"),TEXT(銘柄管理!$B$6:$B$305,"0"),0),MATCH($AE362,始値!$E$3:$BT$3,0)),"")</f>
        <v/>
      </c>
      <c r="AJ362" s="608" t="str">
        <f t="shared" ca="1" si="118"/>
        <v/>
      </c>
      <c r="AK362" s="600" t="str">
        <f t="shared" ca="1" si="119"/>
        <v/>
      </c>
    </row>
    <row r="363" spans="1:37" ht="17.25" customHeight="1">
      <c r="A363" s="622" t="str">
        <f t="shared" si="108"/>
        <v/>
      </c>
      <c r="D363" s="440" t="str" cm="1">
        <f t="array" ref="D363">_xll.RssMarket(B363, "銘柄名称")</f>
        <v/>
      </c>
      <c r="E363" s="717"/>
      <c r="F363" s="6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 t="shared" ca="1" si="120"/>
        <v/>
      </c>
      <c r="L363" s="709" t="str">
        <f t="shared" ca="1" si="121"/>
        <v/>
      </c>
      <c r="M363" s="599">
        <f>IF($F363="","",IF($C363="売",CEILING($F363*IF($C363="売",1-$AG$3,1+$AG$3),IF($F363*IF($C363="売",1-$AG$3,1+$AG$3)&lt;=3000,1,IF($F363*IF($C363="売",1-$AG$3,1+$AG$3)&lt;=5000,5,IF($F363*IF($C363="売",1-$AG$3,1+$AG$3)&lt;=30000,10,IF($F363*IF($C363="売",1-$AG$3,1+$AG$3)&lt;=50000,50,IF($F363*IF($C363="売",1-$AG$3,1+$AG$3)&lt;=300000,100,500)))))),FLOOR($F363*IF($C363="売",1-$AG$3,1+$AG$3),IF($F363*IF($C363="売",1-$AG$3,1+$AG$3)&lt;=3000,1,IF($F363*IF($C363="売",1-$AG$3,1+$AG$3)&lt;=5000,5,IF($F363*IF($C363="売",1-$AG$3,1+$AG$3)&lt;=30000,10,IF($F363*IF($C363="売",1-$AG$3,1+$AG$3)&lt;=50000,50,IF($F363*IF($C363="売",1-$AG$3,1+$AG$3)&lt;=300000,100,500))))))))</f>
      </c>
      <c r="N363" s="599">
        <f>IF($F363="","",IF($C363="売",CEILING($F363*IF($C363="売",1+$AG$2,1-$AG$2),IF($F363*IF($C363="売",1+$AG$2,1-$AG$2)&lt;=3000,1,IF($F363*IF($C363="売",1+$AG$2,1-$AG$2)&lt;=5000,5,IF($F363*IF($C363="売",1+$AG$2,1-$AG$2)&lt;=30000,10,IF($F363*IF($C363="売",1+$AG$2,1-$AG$2)&lt;=50000,50,IF($F363*IF($C363="売",1+$AG$2,1-$AG$2)&lt;=300000,100,500)))))),FLOOR($F363*IF($C363="売",1+$AG$2,1-$AG$2),IF($F363*IF($C363="売",1+$AG$2,1-$AG$2)&lt;=3000,1,IF($F363*IF($C363="売",1+$AG$2,1-$AG$2)&lt;=5000,5,IF($F363*IF($C363="売",1+$AG$2,1-$AG$2)&lt;=30000,10,IF($F363*IF($C363="売",1+$AG$2,1-$AG$2)&lt;=50000,50,IF($F363*IF($C363="売",1+$AG$2,1-$AG$2)&lt;=300000,100,500))))))))</f>
      </c>
      <c r="O363" s="478">
        <f>IF(OR($B363="",$F363="",$H363=""),"",IF($S363="✅売却済","―決済済―",IF($C363="売",  IF($H363&lt;=$M363,"🟢利確",  IF(AND($R363&lt;&gt;"",$H363&gt;=$R363),"🟠TRAIL決済",  IF($H363&gt;=$N363,"🔴損切",  IF($W363&gt;=$AG$5,"⏱時間決済",  IF($H363&gt;=$F363*(1+$AG$2*0.7),"⚠️損切接近","保持継続"))))),  IF($H363&gt;=$M363,"🟢利確",  IF(AND($R363&lt;&gt;"",$H363&lt;=$R363),"🟠TRAIL決済",  IF($H363&lt;=$N363,"🔴損切",  IF($W363&gt;=$AG$5,"⏱時間決済",  IF($H363&lt;=$F363*(1-$AG$2*0.7),"⚠️損切接近","保持継続")))))))</f>
      </c>
      <c r="P363" s="445"/>
      <c r="R363" s="440">
        <f>IF(OR($F363="",$H363="",$N363=""),"",IF($S363="✅売却済","",IF($C363="売",  IF($H363&gt;$F363*(1-$AG$2),$N363,CEILING(MIN($N363,IF($Q363="",$N363,$Q363*1.03)),IF($N363&lt;=3000,1,IF($N363&lt;=5000,5,IF($N363&lt;=30000,10,IF($N363&lt;=50000,50,IF($N363&lt;=300000,100,500))))))),  IF($H363&lt;$F363*(1+$AG$2),$N363,FLOOR(MAX($N363,IF($P363="",$N363,$P363*0.97)),IF($N363&lt;=3000,1,IF($N363&lt;=5000,5,IF($N363&lt;=30000,10,IF($N363&lt;=50000,50,IF($N363&lt;=300000,100,500))))))))))</f>
      </c>
      <c r="S363" s="440" t="str">
        <f t="shared" si="123"/>
        <v/>
      </c>
      <c r="T363" s="597" t="str">
        <f t="shared" ca="1" si="112"/>
        <v/>
      </c>
      <c r="U363" s="599" t="str">
        <f t="shared" ca="1" si="113"/>
        <v/>
      </c>
      <c r="V363" s="704" t="str">
        <f t="shared" ca="1" si="124"/>
        <v/>
      </c>
      <c r="W363" s="440" t="str">
        <f t="shared" ca="1" si="114"/>
        <v/>
      </c>
      <c r="X363" s="440" t="str">
        <f t="shared" ca="1" si="115"/>
        <v/>
      </c>
      <c r="Y363">
        <f>IF($B363="","",IF(COUNTIFS($B$4:$B363,$B363,$C$4:$C363,$C363)&gt;1,"⛔重複"&amp;COUNTIFS($B$4:$B363,$B363,$C$4:$C363,$C363)&amp;"回目",""))</f>
      </c>
      <c r="AB363">
        <f>IF($F363="","",MAX(100,ROUNDDOWN($AG$4/($F363*$AG$2)/100,0)*100))</f>
      </c>
      <c r="AC363">
        <f>IF(OR($F363="",$G363="",$U363=""),"",ROUND($V363-($F363+$U363)*$G363*$AG$6-IF($C363="売",$F363*$G363*$AG$7*$W363/365,0),0))</f>
      </c>
      <c r="AD363" s="608"/>
      <c r="AE363" s="600" t="str">
        <f t="shared" si="116"/>
        <v/>
      </c>
      <c r="AF363" s="600"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00"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00" t="str">
        <f t="shared" ca="1" si="117"/>
        <v/>
      </c>
      <c r="AI363" s="600" t="str" cm="1">
        <f t="array" ref="AI363">IFERROR(INDEX(始値!$E$6:$BT$305,MATCH(TEXT($B363,"0"),TEXT(銘柄管理!$B$6:$B$305,"0"),0),MATCH($AE363,始値!$E$3:$BT$3,0)),"")</f>
        <v/>
      </c>
      <c r="AJ363" s="608" t="str">
        <f t="shared" ca="1" si="118"/>
        <v/>
      </c>
      <c r="AK363" s="600" t="str">
        <f t="shared" ca="1" si="119"/>
        <v/>
      </c>
    </row>
    <row r="364" spans="1:37" ht="17.25" customHeight="1">
      <c r="A364" s="622" t="str">
        <f t="shared" si="108"/>
        <v/>
      </c>
      <c r="D364" s="440" t="str" cm="1">
        <f t="array" ref="D364">_xll.RssMarket(B364, "銘柄名称")</f>
        <v/>
      </c>
      <c r="E364" s="717"/>
      <c r="F364" s="6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 t="shared" ca="1" si="120"/>
        <v/>
      </c>
      <c r="L364" s="709" t="str">
        <f t="shared" ca="1" si="121"/>
        <v/>
      </c>
      <c r="M364" s="599">
        <f>IF($F364="","",IF($C364="売",CEILING($F364*IF($C364="売",1-$AG$3,1+$AG$3),IF($F364*IF($C364="売",1-$AG$3,1+$AG$3)&lt;=3000,1,IF($F364*IF($C364="売",1-$AG$3,1+$AG$3)&lt;=5000,5,IF($F364*IF($C364="売",1-$AG$3,1+$AG$3)&lt;=30000,10,IF($F364*IF($C364="売",1-$AG$3,1+$AG$3)&lt;=50000,50,IF($F364*IF($C364="売",1-$AG$3,1+$AG$3)&lt;=300000,100,500)))))),FLOOR($F364*IF($C364="売",1-$AG$3,1+$AG$3),IF($F364*IF($C364="売",1-$AG$3,1+$AG$3)&lt;=3000,1,IF($F364*IF($C364="売",1-$AG$3,1+$AG$3)&lt;=5000,5,IF($F364*IF($C364="売",1-$AG$3,1+$AG$3)&lt;=30000,10,IF($F364*IF($C364="売",1-$AG$3,1+$AG$3)&lt;=50000,50,IF($F364*IF($C364="売",1-$AG$3,1+$AG$3)&lt;=300000,100,500))))))))</f>
      </c>
      <c r="N364" s="599">
        <f>IF($F364="","",IF($C364="売",CEILING($F364*IF($C364="売",1+$AG$2,1-$AG$2),IF($F364*IF($C364="売",1+$AG$2,1-$AG$2)&lt;=3000,1,IF($F364*IF($C364="売",1+$AG$2,1-$AG$2)&lt;=5000,5,IF($F364*IF($C364="売",1+$AG$2,1-$AG$2)&lt;=30000,10,IF($F364*IF($C364="売",1+$AG$2,1-$AG$2)&lt;=50000,50,IF($F364*IF($C364="売",1+$AG$2,1-$AG$2)&lt;=300000,100,500)))))),FLOOR($F364*IF($C364="売",1+$AG$2,1-$AG$2),IF($F364*IF($C364="売",1+$AG$2,1-$AG$2)&lt;=3000,1,IF($F364*IF($C364="売",1+$AG$2,1-$AG$2)&lt;=5000,5,IF($F364*IF($C364="売",1+$AG$2,1-$AG$2)&lt;=30000,10,IF($F364*IF($C364="売",1+$AG$2,1-$AG$2)&lt;=50000,50,IF($F364*IF($C364="売",1+$AG$2,1-$AG$2)&lt;=300000,100,500))))))))</f>
      </c>
      <c r="O364" s="478">
        <f>IF(OR($B364="",$F364="",$H364=""),"",IF($S364="✅売却済","―決済済―",IF($C364="売",  IF($H364&lt;=$M364,"🟢利確",  IF(AND($R364&lt;&gt;"",$H364&gt;=$R364),"🟠TRAIL決済",  IF($H364&gt;=$N364,"🔴損切",  IF($W364&gt;=$AG$5,"⏱時間決済",  IF($H364&gt;=$F364*(1+$AG$2*0.7),"⚠️損切接近","保持継続"))))),  IF($H364&gt;=$M364,"🟢利確",  IF(AND($R364&lt;&gt;"",$H364&lt;=$R364),"🟠TRAIL決済",  IF($H364&lt;=$N364,"🔴損切",  IF($W364&gt;=$AG$5,"⏱時間決済",  IF($H364&lt;=$F364*(1-$AG$2*0.7),"⚠️損切接近","保持継続")))))))</f>
      </c>
      <c r="P364" s="445"/>
      <c r="R364" s="440">
        <f>IF(OR($F364="",$H364="",$N364=""),"",IF($S364="✅売却済","",IF($C364="売",  IF($H364&gt;$F364*(1-$AG$2),$N364,CEILING(MIN($N364,IF($Q364="",$N364,$Q364*1.03)),IF($N364&lt;=3000,1,IF($N364&lt;=5000,5,IF($N364&lt;=30000,10,IF($N364&lt;=50000,50,IF($N364&lt;=300000,100,500))))))),  IF($H364&lt;$F364*(1+$AG$2),$N364,FLOOR(MAX($N364,IF($P364="",$N364,$P364*0.97)),IF($N364&lt;=3000,1,IF($N364&lt;=5000,5,IF($N364&lt;=30000,10,IF($N364&lt;=50000,50,IF($N364&lt;=300000,100,500))))))))))</f>
      </c>
      <c r="S364" s="440" t="str">
        <f t="shared" si="123"/>
        <v/>
      </c>
      <c r="T364" s="597" t="str">
        <f t="shared" ca="1" si="112"/>
        <v/>
      </c>
      <c r="U364" s="599" t="str">
        <f t="shared" ca="1" si="113"/>
        <v/>
      </c>
      <c r="V364" s="704" t="str">
        <f t="shared" ca="1" si="124"/>
        <v/>
      </c>
      <c r="W364" s="440" t="str">
        <f t="shared" ca="1" si="114"/>
        <v/>
      </c>
      <c r="X364" s="440" t="str">
        <f t="shared" ca="1" si="115"/>
        <v/>
      </c>
      <c r="Y364">
        <f>IF($B364="","",IF(COUNTIFS($B$4:$B364,$B364,$C$4:$C364,$C364)&gt;1,"⛔重複"&amp;COUNTIFS($B$4:$B364,$B364,$C$4:$C364,$C364)&amp;"回目",""))</f>
      </c>
      <c r="AB364">
        <f>IF($F364="","",MAX(100,ROUNDDOWN($AG$4/($F364*$AG$2)/100,0)*100))</f>
      </c>
      <c r="AC364">
        <f>IF(OR($F364="",$G364="",$U364=""),"",ROUND($V364-($F364+$U364)*$G364*$AG$6-IF($C364="売",$F364*$G364*$AG$7*$W364/365,0),0))</f>
      </c>
      <c r="AD364" s="608"/>
      <c r="AE364" s="600" t="str">
        <f t="shared" si="116"/>
        <v/>
      </c>
      <c r="AF364" s="600"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00"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00" t="str">
        <f t="shared" ca="1" si="117"/>
        <v/>
      </c>
      <c r="AI364" s="600" t="str" cm="1">
        <f t="array" ref="AI364">IFERROR(INDEX(始値!$E$6:$BT$305,MATCH(TEXT($B364,"0"),TEXT(銘柄管理!$B$6:$B$305,"0"),0),MATCH($AE364,始値!$E$3:$BT$3,0)),"")</f>
        <v/>
      </c>
      <c r="AJ364" s="608" t="str">
        <f t="shared" ca="1" si="118"/>
        <v/>
      </c>
      <c r="AK364" s="600" t="str">
        <f t="shared" ca="1" si="119"/>
        <v/>
      </c>
    </row>
    <row r="365" spans="1:37" ht="17.25" customHeight="1">
      <c r="A365" s="622" t="str">
        <f t="shared" si="108"/>
        <v/>
      </c>
      <c r="D365" s="440" t="str" cm="1">
        <f t="array" ref="D365">_xll.RssMarket(B365, "銘柄名称")</f>
        <v/>
      </c>
      <c r="E365" s="717"/>
      <c r="F365" s="6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 t="shared" ca="1" si="120"/>
        <v/>
      </c>
      <c r="L365" s="709" t="str">
        <f t="shared" ca="1" si="121"/>
        <v/>
      </c>
      <c r="M365" s="599">
        <f>IF($F365="","",IF($C365="売",CEILING($F365*IF($C365="売",1-$AG$3,1+$AG$3),IF($F365*IF($C365="売",1-$AG$3,1+$AG$3)&lt;=3000,1,IF($F365*IF($C365="売",1-$AG$3,1+$AG$3)&lt;=5000,5,IF($F365*IF($C365="売",1-$AG$3,1+$AG$3)&lt;=30000,10,IF($F365*IF($C365="売",1-$AG$3,1+$AG$3)&lt;=50000,50,IF($F365*IF($C365="売",1-$AG$3,1+$AG$3)&lt;=300000,100,500)))))),FLOOR($F365*IF($C365="売",1-$AG$3,1+$AG$3),IF($F365*IF($C365="売",1-$AG$3,1+$AG$3)&lt;=3000,1,IF($F365*IF($C365="売",1-$AG$3,1+$AG$3)&lt;=5000,5,IF($F365*IF($C365="売",1-$AG$3,1+$AG$3)&lt;=30000,10,IF($F365*IF($C365="売",1-$AG$3,1+$AG$3)&lt;=50000,50,IF($F365*IF($C365="売",1-$AG$3,1+$AG$3)&lt;=300000,100,500))))))))</f>
      </c>
      <c r="N365" s="599">
        <f>IF($F365="","",IF($C365="売",CEILING($F365*IF($C365="売",1+$AG$2,1-$AG$2),IF($F365*IF($C365="売",1+$AG$2,1-$AG$2)&lt;=3000,1,IF($F365*IF($C365="売",1+$AG$2,1-$AG$2)&lt;=5000,5,IF($F365*IF($C365="売",1+$AG$2,1-$AG$2)&lt;=30000,10,IF($F365*IF($C365="売",1+$AG$2,1-$AG$2)&lt;=50000,50,IF($F365*IF($C365="売",1+$AG$2,1-$AG$2)&lt;=300000,100,500)))))),FLOOR($F365*IF($C365="売",1+$AG$2,1-$AG$2),IF($F365*IF($C365="売",1+$AG$2,1-$AG$2)&lt;=3000,1,IF($F365*IF($C365="売",1+$AG$2,1-$AG$2)&lt;=5000,5,IF($F365*IF($C365="売",1+$AG$2,1-$AG$2)&lt;=30000,10,IF($F365*IF($C365="売",1+$AG$2,1-$AG$2)&lt;=50000,50,IF($F365*IF($C365="売",1+$AG$2,1-$AG$2)&lt;=300000,100,500))))))))</f>
      </c>
      <c r="O365" s="478">
        <f>IF(OR($B365="",$F365="",$H365=""),"",IF($S365="✅売却済","―決済済―",IF($C365="売",  IF($H365&lt;=$M365,"🟢利確",  IF(AND($R365&lt;&gt;"",$H365&gt;=$R365),"🟠TRAIL決済",  IF($H365&gt;=$N365,"🔴損切",  IF($W365&gt;=$AG$5,"⏱時間決済",  IF($H365&gt;=$F365*(1+$AG$2*0.7),"⚠️損切接近","保持継続"))))),  IF($H365&gt;=$M365,"🟢利確",  IF(AND($R365&lt;&gt;"",$H365&lt;=$R365),"🟠TRAIL決済",  IF($H365&lt;=$N365,"🔴損切",  IF($W365&gt;=$AG$5,"⏱時間決済",  IF($H365&lt;=$F365*(1-$AG$2*0.7),"⚠️損切接近","保持継続")))))))</f>
      </c>
      <c r="P365" s="445"/>
      <c r="R365" s="440">
        <f>IF(OR($F365="",$H365="",$N365=""),"",IF($S365="✅売却済","",IF($C365="売",  IF($H365&gt;$F365*(1-$AG$2),$N365,CEILING(MIN($N365,IF($Q365="",$N365,$Q365*1.03)),IF($N365&lt;=3000,1,IF($N365&lt;=5000,5,IF($N365&lt;=30000,10,IF($N365&lt;=50000,50,IF($N365&lt;=300000,100,500))))))),  IF($H365&lt;$F365*(1+$AG$2),$N365,FLOOR(MAX($N365,IF($P365="",$N365,$P365*0.97)),IF($N365&lt;=3000,1,IF($N365&lt;=5000,5,IF($N365&lt;=30000,10,IF($N365&lt;=50000,50,IF($N365&lt;=300000,100,500))))))))))</f>
      </c>
      <c r="S365" s="440" t="str">
        <f t="shared" si="123"/>
        <v/>
      </c>
      <c r="T365" s="597" t="str">
        <f t="shared" ca="1" si="112"/>
        <v/>
      </c>
      <c r="U365" s="599" t="str">
        <f t="shared" ca="1" si="113"/>
        <v/>
      </c>
      <c r="V365" s="704" t="str">
        <f t="shared" ca="1" si="124"/>
        <v/>
      </c>
      <c r="W365" s="440" t="str">
        <f t="shared" ca="1" si="114"/>
        <v/>
      </c>
      <c r="X365" s="440" t="str">
        <f t="shared" ca="1" si="115"/>
        <v/>
      </c>
      <c r="Y365">
        <f>IF($B365="","",IF(COUNTIFS($B$4:$B365,$B365,$C$4:$C365,$C365)&gt;1,"⛔重複"&amp;COUNTIFS($B$4:$B365,$B365,$C$4:$C365,$C365)&amp;"回目",""))</f>
      </c>
      <c r="AB365">
        <f>IF($F365="","",MAX(100,ROUNDDOWN($AG$4/($F365*$AG$2)/100,0)*100))</f>
      </c>
      <c r="AC365">
        <f>IF(OR($F365="",$G365="",$U365=""),"",ROUND($V365-($F365+$U365)*$G365*$AG$6-IF($C365="売",$F365*$G365*$AG$7*$W365/365,0),0))</f>
      </c>
      <c r="AD365" s="608"/>
      <c r="AE365" s="600" t="str">
        <f t="shared" si="116"/>
        <v/>
      </c>
      <c r="AF365" s="600"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00"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00" t="str">
        <f t="shared" ca="1" si="117"/>
        <v/>
      </c>
      <c r="AI365" s="600" t="str" cm="1">
        <f t="array" ref="AI365">IFERROR(INDEX(始値!$E$6:$BT$305,MATCH(TEXT($B365,"0"),TEXT(銘柄管理!$B$6:$B$305,"0"),0),MATCH($AE365,始値!$E$3:$BT$3,0)),"")</f>
        <v/>
      </c>
      <c r="AJ365" s="608" t="str">
        <f t="shared" ca="1" si="118"/>
        <v/>
      </c>
      <c r="AK365" s="600" t="str">
        <f t="shared" ca="1" si="119"/>
        <v/>
      </c>
    </row>
    <row r="366" spans="1:37" ht="17.25" customHeight="1">
      <c r="A366" s="622" t="str">
        <f t="shared" si="108"/>
        <v/>
      </c>
      <c r="D366" s="440" t="str" cm="1">
        <f t="array" ref="D366">_xll.RssMarket(B366, "銘柄名称")</f>
        <v/>
      </c>
      <c r="E366" s="717"/>
      <c r="F366" s="6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 t="shared" ca="1" si="120"/>
        <v/>
      </c>
      <c r="L366" s="709" t="str">
        <f t="shared" ca="1" si="121"/>
        <v/>
      </c>
      <c r="M366" s="599">
        <f>IF($F366="","",IF($C366="売",CEILING($F366*IF($C366="売",1-$AG$3,1+$AG$3),IF($F366*IF($C366="売",1-$AG$3,1+$AG$3)&lt;=3000,1,IF($F366*IF($C366="売",1-$AG$3,1+$AG$3)&lt;=5000,5,IF($F366*IF($C366="売",1-$AG$3,1+$AG$3)&lt;=30000,10,IF($F366*IF($C366="売",1-$AG$3,1+$AG$3)&lt;=50000,50,IF($F366*IF($C366="売",1-$AG$3,1+$AG$3)&lt;=300000,100,500)))))),FLOOR($F366*IF($C366="売",1-$AG$3,1+$AG$3),IF($F366*IF($C366="売",1-$AG$3,1+$AG$3)&lt;=3000,1,IF($F366*IF($C366="売",1-$AG$3,1+$AG$3)&lt;=5000,5,IF($F366*IF($C366="売",1-$AG$3,1+$AG$3)&lt;=30000,10,IF($F366*IF($C366="売",1-$AG$3,1+$AG$3)&lt;=50000,50,IF($F366*IF($C366="売",1-$AG$3,1+$AG$3)&lt;=300000,100,500))))))))</f>
      </c>
      <c r="N366" s="599">
        <f>IF($F366="","",IF($C366="売",CEILING($F366*IF($C366="売",1+$AG$2,1-$AG$2),IF($F366*IF($C366="売",1+$AG$2,1-$AG$2)&lt;=3000,1,IF($F366*IF($C366="売",1+$AG$2,1-$AG$2)&lt;=5000,5,IF($F366*IF($C366="売",1+$AG$2,1-$AG$2)&lt;=30000,10,IF($F366*IF($C366="売",1+$AG$2,1-$AG$2)&lt;=50000,50,IF($F366*IF($C366="売",1+$AG$2,1-$AG$2)&lt;=300000,100,500)))))),FLOOR($F366*IF($C366="売",1+$AG$2,1-$AG$2),IF($F366*IF($C366="売",1+$AG$2,1-$AG$2)&lt;=3000,1,IF($F366*IF($C366="売",1+$AG$2,1-$AG$2)&lt;=5000,5,IF($F366*IF($C366="売",1+$AG$2,1-$AG$2)&lt;=30000,10,IF($F366*IF($C366="売",1+$AG$2,1-$AG$2)&lt;=50000,50,IF($F366*IF($C366="売",1+$AG$2,1-$AG$2)&lt;=300000,100,500))))))))</f>
      </c>
      <c r="O366" s="478">
        <f>IF(OR($B366="",$F366="",$H366=""),"",IF($S366="✅売却済","―決済済―",IF($C366="売",  IF($H366&lt;=$M366,"🟢利確",  IF(AND($R366&lt;&gt;"",$H366&gt;=$R366),"🟠TRAIL決済",  IF($H366&gt;=$N366,"🔴損切",  IF($W366&gt;=$AG$5,"⏱時間決済",  IF($H366&gt;=$F366*(1+$AG$2*0.7),"⚠️損切接近","保持継続"))))),  IF($H366&gt;=$M366,"🟢利確",  IF(AND($R366&lt;&gt;"",$H366&lt;=$R366),"🟠TRAIL決済",  IF($H366&lt;=$N366,"🔴損切",  IF($W366&gt;=$AG$5,"⏱時間決済",  IF($H366&lt;=$F366*(1-$AG$2*0.7),"⚠️損切接近","保持継続")))))))</f>
      </c>
      <c r="P366" s="445"/>
      <c r="R366" s="440">
        <f>IF(OR($F366="",$H366="",$N366=""),"",IF($S366="✅売却済","",IF($C366="売",  IF($H366&gt;$F366*(1-$AG$2),$N366,CEILING(MIN($N366,IF($Q366="",$N366,$Q366*1.03)),IF($N366&lt;=3000,1,IF($N366&lt;=5000,5,IF($N366&lt;=30000,10,IF($N366&lt;=50000,50,IF($N366&lt;=300000,100,500))))))),  IF($H366&lt;$F366*(1+$AG$2),$N366,FLOOR(MAX($N366,IF($P366="",$N366,$P366*0.97)),IF($N366&lt;=3000,1,IF($N366&lt;=5000,5,IF($N366&lt;=30000,10,IF($N366&lt;=50000,50,IF($N366&lt;=300000,100,500))))))))))</f>
      </c>
      <c r="S366" s="440" t="str">
        <f t="shared" si="123"/>
        <v/>
      </c>
      <c r="T366" s="597" t="str">
        <f t="shared" ca="1" si="112"/>
        <v/>
      </c>
      <c r="U366" s="599" t="str">
        <f t="shared" ca="1" si="113"/>
        <v/>
      </c>
      <c r="V366" s="704" t="str">
        <f t="shared" ca="1" si="124"/>
        <v/>
      </c>
      <c r="W366" s="440" t="str">
        <f t="shared" ca="1" si="114"/>
        <v/>
      </c>
      <c r="X366" s="440" t="str">
        <f t="shared" ca="1" si="115"/>
        <v/>
      </c>
      <c r="Y366">
        <f>IF($B366="","",IF(COUNTIFS($B$4:$B366,$B366,$C$4:$C366,$C366)&gt;1,"⛔重複"&amp;COUNTIFS($B$4:$B366,$B366,$C$4:$C366,$C366)&amp;"回目",""))</f>
      </c>
      <c r="AB366">
        <f>IF($F366="","",MAX(100,ROUNDDOWN($AG$4/($F366*$AG$2)/100,0)*100))</f>
      </c>
      <c r="AC366">
        <f>IF(OR($F366="",$G366="",$U366=""),"",ROUND($V366-($F366+$U366)*$G366*$AG$6-IF($C366="売",$F366*$G366*$AG$7*$W366/365,0),0))</f>
      </c>
      <c r="AD366" s="608"/>
      <c r="AE366" s="600" t="str">
        <f t="shared" si="116"/>
        <v/>
      </c>
      <c r="AF366" s="600"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00"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00" t="str">
        <f t="shared" ca="1" si="117"/>
        <v/>
      </c>
      <c r="AI366" s="600" t="str" cm="1">
        <f t="array" ref="AI366">IFERROR(INDEX(始値!$E$6:$BT$305,MATCH(TEXT($B366,"0"),TEXT(銘柄管理!$B$6:$B$305,"0"),0),MATCH($AE366,始値!$E$3:$BT$3,0)),"")</f>
        <v/>
      </c>
      <c r="AJ366" s="608" t="str">
        <f t="shared" ca="1" si="118"/>
        <v/>
      </c>
      <c r="AK366" s="600" t="str">
        <f t="shared" ca="1" si="119"/>
        <v/>
      </c>
    </row>
    <row r="367" spans="1:37" ht="17.25" customHeight="1">
      <c r="A367" s="622" t="str">
        <f t="shared" si="108"/>
        <v/>
      </c>
      <c r="D367" s="440" t="str" cm="1">
        <f t="array" ref="D367">_xll.RssMarket(B367, "銘柄名称")</f>
        <v/>
      </c>
      <c r="E367" s="717"/>
      <c r="F367" s="6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 t="shared" ca="1" si="120"/>
        <v/>
      </c>
      <c r="L367" s="709" t="str">
        <f t="shared" ca="1" si="121"/>
        <v/>
      </c>
      <c r="M367" s="599">
        <f>IF($F367="","",IF($C367="売",CEILING($F367*IF($C367="売",1-$AG$3,1+$AG$3),IF($F367*IF($C367="売",1-$AG$3,1+$AG$3)&lt;=3000,1,IF($F367*IF($C367="売",1-$AG$3,1+$AG$3)&lt;=5000,5,IF($F367*IF($C367="売",1-$AG$3,1+$AG$3)&lt;=30000,10,IF($F367*IF($C367="売",1-$AG$3,1+$AG$3)&lt;=50000,50,IF($F367*IF($C367="売",1-$AG$3,1+$AG$3)&lt;=300000,100,500)))))),FLOOR($F367*IF($C367="売",1-$AG$3,1+$AG$3),IF($F367*IF($C367="売",1-$AG$3,1+$AG$3)&lt;=3000,1,IF($F367*IF($C367="売",1-$AG$3,1+$AG$3)&lt;=5000,5,IF($F367*IF($C367="売",1-$AG$3,1+$AG$3)&lt;=30000,10,IF($F367*IF($C367="売",1-$AG$3,1+$AG$3)&lt;=50000,50,IF($F367*IF($C367="売",1-$AG$3,1+$AG$3)&lt;=300000,100,500))))))))</f>
      </c>
      <c r="N367" s="599">
        <f>IF($F367="","",IF($C367="売",CEILING($F367*IF($C367="売",1+$AG$2,1-$AG$2),IF($F367*IF($C367="売",1+$AG$2,1-$AG$2)&lt;=3000,1,IF($F367*IF($C367="売",1+$AG$2,1-$AG$2)&lt;=5000,5,IF($F367*IF($C367="売",1+$AG$2,1-$AG$2)&lt;=30000,10,IF($F367*IF($C367="売",1+$AG$2,1-$AG$2)&lt;=50000,50,IF($F367*IF($C367="売",1+$AG$2,1-$AG$2)&lt;=300000,100,500)))))),FLOOR($F367*IF($C367="売",1+$AG$2,1-$AG$2),IF($F367*IF($C367="売",1+$AG$2,1-$AG$2)&lt;=3000,1,IF($F367*IF($C367="売",1+$AG$2,1-$AG$2)&lt;=5000,5,IF($F367*IF($C367="売",1+$AG$2,1-$AG$2)&lt;=30000,10,IF($F367*IF($C367="売",1+$AG$2,1-$AG$2)&lt;=50000,50,IF($F367*IF($C367="売",1+$AG$2,1-$AG$2)&lt;=300000,100,500))))))))</f>
      </c>
      <c r="O367" s="478">
        <f>IF(OR($B367="",$F367="",$H367=""),"",IF($S367="✅売却済","―決済済―",IF($C367="売",  IF($H367&lt;=$M367,"🟢利確",  IF(AND($R367&lt;&gt;"",$H367&gt;=$R367),"🟠TRAIL決済",  IF($H367&gt;=$N367,"🔴損切",  IF($W367&gt;=$AG$5,"⏱時間決済",  IF($H367&gt;=$F367*(1+$AG$2*0.7),"⚠️損切接近","保持継続"))))),  IF($H367&gt;=$M367,"🟢利確",  IF(AND($R367&lt;&gt;"",$H367&lt;=$R367),"🟠TRAIL決済",  IF($H367&lt;=$N367,"🔴損切",  IF($W367&gt;=$AG$5,"⏱時間決済",  IF($H367&lt;=$F367*(1-$AG$2*0.7),"⚠️損切接近","保持継続")))))))</f>
      </c>
      <c r="P367" s="445"/>
      <c r="R367" s="440">
        <f>IF(OR($F367="",$H367="",$N367=""),"",IF($S367="✅売却済","",IF($C367="売",  IF($H367&gt;$F367*(1-$AG$2),$N367,CEILING(MIN($N367,IF($Q367="",$N367,$Q367*1.03)),IF($N367&lt;=3000,1,IF($N367&lt;=5000,5,IF($N367&lt;=30000,10,IF($N367&lt;=50000,50,IF($N367&lt;=300000,100,500))))))),  IF($H367&lt;$F367*(1+$AG$2),$N367,FLOOR(MAX($N367,IF($P367="",$N367,$P367*0.97)),IF($N367&lt;=3000,1,IF($N367&lt;=5000,5,IF($N367&lt;=30000,10,IF($N367&lt;=50000,50,IF($N367&lt;=300000,100,500))))))))))</f>
      </c>
      <c r="S367" s="440" t="str">
        <f t="shared" si="123"/>
        <v/>
      </c>
      <c r="T367" s="597" t="str">
        <f t="shared" ca="1" si="112"/>
        <v/>
      </c>
      <c r="U367" s="599" t="str">
        <f t="shared" ca="1" si="113"/>
        <v/>
      </c>
      <c r="V367" s="704" t="str">
        <f t="shared" ca="1" si="124"/>
        <v/>
      </c>
      <c r="W367" s="440" t="str">
        <f t="shared" ca="1" si="114"/>
        <v/>
      </c>
      <c r="X367" s="440" t="str">
        <f t="shared" ca="1" si="115"/>
        <v/>
      </c>
      <c r="Y367">
        <f>IF($B367="","",IF(COUNTIFS($B$4:$B367,$B367,$C$4:$C367,$C367)&gt;1,"⛔重複"&amp;COUNTIFS($B$4:$B367,$B367,$C$4:$C367,$C367)&amp;"回目",""))</f>
      </c>
      <c r="AB367">
        <f>IF($F367="","",MAX(100,ROUNDDOWN($AG$4/($F367*$AG$2)/100,0)*100))</f>
      </c>
      <c r="AC367">
        <f>IF(OR($F367="",$G367="",$U367=""),"",ROUND($V367-($F367+$U367)*$G367*$AG$6-IF($C367="売",$F367*$G367*$AG$7*$W367/365,0),0))</f>
      </c>
      <c r="AD367" s="608"/>
      <c r="AE367" s="600" t="str">
        <f t="shared" si="116"/>
        <v/>
      </c>
      <c r="AF367" s="600"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00"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00" t="str">
        <f t="shared" ca="1" si="117"/>
        <v/>
      </c>
      <c r="AI367" s="600" t="str" cm="1">
        <f t="array" ref="AI367">IFERROR(INDEX(始値!$E$6:$BT$305,MATCH(TEXT($B367,"0"),TEXT(銘柄管理!$B$6:$B$305,"0"),0),MATCH($AE367,始値!$E$3:$BT$3,0)),"")</f>
        <v/>
      </c>
      <c r="AJ367" s="608" t="str">
        <f t="shared" ca="1" si="118"/>
        <v/>
      </c>
      <c r="AK367" s="600" t="str">
        <f t="shared" ca="1" si="119"/>
        <v/>
      </c>
    </row>
    <row r="368" spans="1:37" ht="17.25" customHeight="1">
      <c r="A368" s="622" t="str">
        <f t="shared" si="108"/>
        <v/>
      </c>
      <c r="D368" s="440" t="str" cm="1">
        <f t="array" ref="D368">_xll.RssMarket(B368, "銘柄名称")</f>
        <v/>
      </c>
      <c r="E368" s="717"/>
      <c r="F368" s="6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 t="shared" ca="1" si="120"/>
        <v/>
      </c>
      <c r="L368" s="709" t="str">
        <f t="shared" ca="1" si="121"/>
        <v/>
      </c>
      <c r="M368" s="599">
        <f>IF($F368="","",IF($C368="売",CEILING($F368*IF($C368="売",1-$AG$3,1+$AG$3),IF($F368*IF($C368="売",1-$AG$3,1+$AG$3)&lt;=3000,1,IF($F368*IF($C368="売",1-$AG$3,1+$AG$3)&lt;=5000,5,IF($F368*IF($C368="売",1-$AG$3,1+$AG$3)&lt;=30000,10,IF($F368*IF($C368="売",1-$AG$3,1+$AG$3)&lt;=50000,50,IF($F368*IF($C368="売",1-$AG$3,1+$AG$3)&lt;=300000,100,500)))))),FLOOR($F368*IF($C368="売",1-$AG$3,1+$AG$3),IF($F368*IF($C368="売",1-$AG$3,1+$AG$3)&lt;=3000,1,IF($F368*IF($C368="売",1-$AG$3,1+$AG$3)&lt;=5000,5,IF($F368*IF($C368="売",1-$AG$3,1+$AG$3)&lt;=30000,10,IF($F368*IF($C368="売",1-$AG$3,1+$AG$3)&lt;=50000,50,IF($F368*IF($C368="売",1-$AG$3,1+$AG$3)&lt;=300000,100,500))))))))</f>
      </c>
      <c r="N368" s="599">
        <f>IF($F368="","",IF($C368="売",CEILING($F368*IF($C368="売",1+$AG$2,1-$AG$2),IF($F368*IF($C368="売",1+$AG$2,1-$AG$2)&lt;=3000,1,IF($F368*IF($C368="売",1+$AG$2,1-$AG$2)&lt;=5000,5,IF($F368*IF($C368="売",1+$AG$2,1-$AG$2)&lt;=30000,10,IF($F368*IF($C368="売",1+$AG$2,1-$AG$2)&lt;=50000,50,IF($F368*IF($C368="売",1+$AG$2,1-$AG$2)&lt;=300000,100,500)))))),FLOOR($F368*IF($C368="売",1+$AG$2,1-$AG$2),IF($F368*IF($C368="売",1+$AG$2,1-$AG$2)&lt;=3000,1,IF($F368*IF($C368="売",1+$AG$2,1-$AG$2)&lt;=5000,5,IF($F368*IF($C368="売",1+$AG$2,1-$AG$2)&lt;=30000,10,IF($F368*IF($C368="売",1+$AG$2,1-$AG$2)&lt;=50000,50,IF($F368*IF($C368="売",1+$AG$2,1-$AG$2)&lt;=300000,100,500))))))))</f>
      </c>
      <c r="O368" s="478">
        <f>IF(OR($B368="",$F368="",$H368=""),"",IF($S368="✅売却済","―決済済―",IF($C368="売",  IF($H368&lt;=$M368,"🟢利確",  IF(AND($R368&lt;&gt;"",$H368&gt;=$R368),"🟠TRAIL決済",  IF($H368&gt;=$N368,"🔴損切",  IF($W368&gt;=$AG$5,"⏱時間決済",  IF($H368&gt;=$F368*(1+$AG$2*0.7),"⚠️損切接近","保持継続"))))),  IF($H368&gt;=$M368,"🟢利確",  IF(AND($R368&lt;&gt;"",$H368&lt;=$R368),"🟠TRAIL決済",  IF($H368&lt;=$N368,"🔴損切",  IF($W368&gt;=$AG$5,"⏱時間決済",  IF($H368&lt;=$F368*(1-$AG$2*0.7),"⚠️損切接近","保持継続")))))))</f>
      </c>
      <c r="P368" s="445"/>
      <c r="R368" s="440">
        <f>IF(OR($F368="",$H368="",$N368=""),"",IF($S368="✅売却済","",IF($C368="売",  IF($H368&gt;$F368*(1-$AG$2),$N368,CEILING(MIN($N368,IF($Q368="",$N368,$Q368*1.03)),IF($N368&lt;=3000,1,IF($N368&lt;=5000,5,IF($N368&lt;=30000,10,IF($N368&lt;=50000,50,IF($N368&lt;=300000,100,500))))))),  IF($H368&lt;$F368*(1+$AG$2),$N368,FLOOR(MAX($N368,IF($P368="",$N368,$P368*0.97)),IF($N368&lt;=3000,1,IF($N368&lt;=5000,5,IF($N368&lt;=30000,10,IF($N368&lt;=50000,50,IF($N368&lt;=300000,100,500))))))))))</f>
      </c>
      <c r="S368" s="440" t="str">
        <f t="shared" si="123"/>
        <v/>
      </c>
      <c r="T368" s="597" t="str">
        <f t="shared" ca="1" si="112"/>
        <v/>
      </c>
      <c r="U368" s="599" t="str">
        <f t="shared" ca="1" si="113"/>
        <v/>
      </c>
      <c r="V368" s="704" t="str">
        <f t="shared" ca="1" si="124"/>
        <v/>
      </c>
      <c r="W368" s="440" t="str">
        <f t="shared" ca="1" si="114"/>
        <v/>
      </c>
      <c r="X368" s="440" t="str">
        <f t="shared" ca="1" si="115"/>
        <v/>
      </c>
      <c r="Y368">
        <f>IF($B368="","",IF(COUNTIFS($B$4:$B368,$B368,$C$4:$C368,$C368)&gt;1,"⛔重複"&amp;COUNTIFS($B$4:$B368,$B368,$C$4:$C368,$C368)&amp;"回目",""))</f>
      </c>
      <c r="AB368">
        <f>IF($F368="","",MAX(100,ROUNDDOWN($AG$4/($F368*$AG$2)/100,0)*100))</f>
      </c>
      <c r="AC368">
        <f>IF(OR($F368="",$G368="",$U368=""),"",ROUND($V368-($F368+$U368)*$G368*$AG$6-IF($C368="売",$F368*$G368*$AG$7*$W368/365,0),0))</f>
      </c>
      <c r="AD368" s="608"/>
      <c r="AE368" s="600" t="str">
        <f t="shared" si="116"/>
        <v/>
      </c>
      <c r="AF368" s="600"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00"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00" t="str">
        <f t="shared" ca="1" si="117"/>
        <v/>
      </c>
      <c r="AI368" s="600" t="str" cm="1">
        <f t="array" ref="AI368">IFERROR(INDEX(始値!$E$6:$BT$305,MATCH(TEXT($B368,"0"),TEXT(銘柄管理!$B$6:$B$305,"0"),0),MATCH($AE368,始値!$E$3:$BT$3,0)),"")</f>
        <v/>
      </c>
      <c r="AJ368" s="608" t="str">
        <f t="shared" ca="1" si="118"/>
        <v/>
      </c>
      <c r="AK368" s="600" t="str">
        <f t="shared" ca="1" si="119"/>
        <v/>
      </c>
    </row>
    <row r="369" spans="1:37" ht="17.25" customHeight="1">
      <c r="A369" s="622" t="str">
        <f t="shared" si="108"/>
        <v/>
      </c>
      <c r="D369" s="440" t="str" cm="1">
        <f t="array" ref="D369">_xll.RssMarket(B369, "銘柄名称")</f>
        <v/>
      </c>
      <c r="E369" s="717"/>
      <c r="F369" s="6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 t="shared" ca="1" si="120"/>
        <v/>
      </c>
      <c r="L369" s="709" t="str">
        <f t="shared" ca="1" si="121"/>
        <v/>
      </c>
      <c r="M369" s="599">
        <f>IF($F369="","",IF($C369="売",CEILING($F369*IF($C369="売",1-$AG$3,1+$AG$3),IF($F369*IF($C369="売",1-$AG$3,1+$AG$3)&lt;=3000,1,IF($F369*IF($C369="売",1-$AG$3,1+$AG$3)&lt;=5000,5,IF($F369*IF($C369="売",1-$AG$3,1+$AG$3)&lt;=30000,10,IF($F369*IF($C369="売",1-$AG$3,1+$AG$3)&lt;=50000,50,IF($F369*IF($C369="売",1-$AG$3,1+$AG$3)&lt;=300000,100,500)))))),FLOOR($F369*IF($C369="売",1-$AG$3,1+$AG$3),IF($F369*IF($C369="売",1-$AG$3,1+$AG$3)&lt;=3000,1,IF($F369*IF($C369="売",1-$AG$3,1+$AG$3)&lt;=5000,5,IF($F369*IF($C369="売",1-$AG$3,1+$AG$3)&lt;=30000,10,IF($F369*IF($C369="売",1-$AG$3,1+$AG$3)&lt;=50000,50,IF($F369*IF($C369="売",1-$AG$3,1+$AG$3)&lt;=300000,100,500))))))))</f>
      </c>
      <c r="N369" s="599">
        <f>IF($F369="","",IF($C369="売",CEILING($F369*IF($C369="売",1+$AG$2,1-$AG$2),IF($F369*IF($C369="売",1+$AG$2,1-$AG$2)&lt;=3000,1,IF($F369*IF($C369="売",1+$AG$2,1-$AG$2)&lt;=5000,5,IF($F369*IF($C369="売",1+$AG$2,1-$AG$2)&lt;=30000,10,IF($F369*IF($C369="売",1+$AG$2,1-$AG$2)&lt;=50000,50,IF($F369*IF($C369="売",1+$AG$2,1-$AG$2)&lt;=300000,100,500)))))),FLOOR($F369*IF($C369="売",1+$AG$2,1-$AG$2),IF($F369*IF($C369="売",1+$AG$2,1-$AG$2)&lt;=3000,1,IF($F369*IF($C369="売",1+$AG$2,1-$AG$2)&lt;=5000,5,IF($F369*IF($C369="売",1+$AG$2,1-$AG$2)&lt;=30000,10,IF($F369*IF($C369="売",1+$AG$2,1-$AG$2)&lt;=50000,50,IF($F369*IF($C369="売",1+$AG$2,1-$AG$2)&lt;=300000,100,500))))))))</f>
      </c>
      <c r="O369" s="478">
        <f>IF(OR($B369="",$F369="",$H369=""),"",IF($S369="✅売却済","―決済済―",IF($C369="売",  IF($H369&lt;=$M369,"🟢利確",  IF(AND($R369&lt;&gt;"",$H369&gt;=$R369),"🟠TRAIL決済",  IF($H369&gt;=$N369,"🔴損切",  IF($W369&gt;=$AG$5,"⏱時間決済",  IF($H369&gt;=$F369*(1+$AG$2*0.7),"⚠️損切接近","保持継続"))))),  IF($H369&gt;=$M369,"🟢利確",  IF(AND($R369&lt;&gt;"",$H369&lt;=$R369),"🟠TRAIL決済",  IF($H369&lt;=$N369,"🔴損切",  IF($W369&gt;=$AG$5,"⏱時間決済",  IF($H369&lt;=$F369*(1-$AG$2*0.7),"⚠️損切接近","保持継続")))))))</f>
      </c>
      <c r="P369" s="445"/>
      <c r="R369" s="440">
        <f>IF(OR($F369="",$H369="",$N369=""),"",IF($S369="✅売却済","",IF($C369="売",  IF($H369&gt;$F369*(1-$AG$2),$N369,CEILING(MIN($N369,IF($Q369="",$N369,$Q369*1.03)),IF($N369&lt;=3000,1,IF($N369&lt;=5000,5,IF($N369&lt;=30000,10,IF($N369&lt;=50000,50,IF($N369&lt;=300000,100,500))))))),  IF($H369&lt;$F369*(1+$AG$2),$N369,FLOOR(MAX($N369,IF($P369="",$N369,$P369*0.97)),IF($N369&lt;=3000,1,IF($N369&lt;=5000,5,IF($N369&lt;=30000,10,IF($N369&lt;=50000,50,IF($N369&lt;=300000,100,500))))))))))</f>
      </c>
      <c r="S369" s="440" t="str">
        <f t="shared" si="123"/>
        <v/>
      </c>
      <c r="T369" s="597" t="str">
        <f t="shared" ca="1" si="112"/>
        <v/>
      </c>
      <c r="U369" s="599" t="str">
        <f t="shared" ca="1" si="113"/>
        <v/>
      </c>
      <c r="V369" s="704" t="str">
        <f t="shared" ca="1" si="124"/>
        <v/>
      </c>
      <c r="W369" s="440" t="str">
        <f t="shared" ca="1" si="114"/>
        <v/>
      </c>
      <c r="X369" s="440" t="str">
        <f t="shared" ca="1" si="115"/>
        <v/>
      </c>
      <c r="Y369">
        <f>IF($B369="","",IF(COUNTIFS($B$4:$B369,$B369,$C$4:$C369,$C369)&gt;1,"⛔重複"&amp;COUNTIFS($B$4:$B369,$B369,$C$4:$C369,$C369)&amp;"回目",""))</f>
      </c>
      <c r="AB369">
        <f>IF($F369="","",MAX(100,ROUNDDOWN($AG$4/($F369*$AG$2)/100,0)*100))</f>
      </c>
      <c r="AC369">
        <f>IF(OR($F369="",$G369="",$U369=""),"",ROUND($V369-($F369+$U369)*$G369*$AG$6-IF($C369="売",$F369*$G369*$AG$7*$W369/365,0),0))</f>
      </c>
      <c r="AD369" s="608"/>
      <c r="AE369" s="600" t="str">
        <f t="shared" si="116"/>
        <v/>
      </c>
      <c r="AF369" s="600"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00"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00" t="str">
        <f t="shared" ca="1" si="117"/>
        <v/>
      </c>
      <c r="AI369" s="600" t="str" cm="1">
        <f t="array" ref="AI369">IFERROR(INDEX(始値!$E$6:$BT$305,MATCH(TEXT($B369,"0"),TEXT(銘柄管理!$B$6:$B$305,"0"),0),MATCH($AE369,始値!$E$3:$BT$3,0)),"")</f>
        <v/>
      </c>
      <c r="AJ369" s="608" t="str">
        <f t="shared" ca="1" si="118"/>
        <v/>
      </c>
      <c r="AK369" s="600" t="str">
        <f t="shared" ca="1" si="119"/>
        <v/>
      </c>
    </row>
    <row r="370" spans="1:37" ht="17.25" customHeight="1">
      <c r="A370" s="622" t="str">
        <f t="shared" si="108"/>
        <v/>
      </c>
      <c r="D370" s="440" t="str" cm="1">
        <f t="array" ref="D370">_xll.RssMarket(B370, "銘柄名称")</f>
        <v/>
      </c>
      <c r="E370" s="717"/>
      <c r="F370" s="6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 t="shared" ca="1" si="120"/>
        <v/>
      </c>
      <c r="L370" s="709" t="str">
        <f t="shared" ca="1" si="121"/>
        <v/>
      </c>
      <c r="M370" s="599">
        <f>IF($F370="","",IF($C370="売",CEILING($F370*IF($C370="売",1-$AG$3,1+$AG$3),IF($F370*IF($C370="売",1-$AG$3,1+$AG$3)&lt;=3000,1,IF($F370*IF($C370="売",1-$AG$3,1+$AG$3)&lt;=5000,5,IF($F370*IF($C370="売",1-$AG$3,1+$AG$3)&lt;=30000,10,IF($F370*IF($C370="売",1-$AG$3,1+$AG$3)&lt;=50000,50,IF($F370*IF($C370="売",1-$AG$3,1+$AG$3)&lt;=300000,100,500)))))),FLOOR($F370*IF($C370="売",1-$AG$3,1+$AG$3),IF($F370*IF($C370="売",1-$AG$3,1+$AG$3)&lt;=3000,1,IF($F370*IF($C370="売",1-$AG$3,1+$AG$3)&lt;=5000,5,IF($F370*IF($C370="売",1-$AG$3,1+$AG$3)&lt;=30000,10,IF($F370*IF($C370="売",1-$AG$3,1+$AG$3)&lt;=50000,50,IF($F370*IF($C370="売",1-$AG$3,1+$AG$3)&lt;=300000,100,500))))))))</f>
      </c>
      <c r="N370" s="599">
        <f>IF($F370="","",IF($C370="売",CEILING($F370*IF($C370="売",1+$AG$2,1-$AG$2),IF($F370*IF($C370="売",1+$AG$2,1-$AG$2)&lt;=3000,1,IF($F370*IF($C370="売",1+$AG$2,1-$AG$2)&lt;=5000,5,IF($F370*IF($C370="売",1+$AG$2,1-$AG$2)&lt;=30000,10,IF($F370*IF($C370="売",1+$AG$2,1-$AG$2)&lt;=50000,50,IF($F370*IF($C370="売",1+$AG$2,1-$AG$2)&lt;=300000,100,500)))))),FLOOR($F370*IF($C370="売",1+$AG$2,1-$AG$2),IF($F370*IF($C370="売",1+$AG$2,1-$AG$2)&lt;=3000,1,IF($F370*IF($C370="売",1+$AG$2,1-$AG$2)&lt;=5000,5,IF($F370*IF($C370="売",1+$AG$2,1-$AG$2)&lt;=30000,10,IF($F370*IF($C370="売",1+$AG$2,1-$AG$2)&lt;=50000,50,IF($F370*IF($C370="売",1+$AG$2,1-$AG$2)&lt;=300000,100,500))))))))</f>
      </c>
      <c r="O370" s="478">
        <f>IF(OR($B370="",$F370="",$H370=""),"",IF($S370="✅売却済","―決済済―",IF($C370="売",  IF($H370&lt;=$M370,"🟢利確",  IF(AND($R370&lt;&gt;"",$H370&gt;=$R370),"🟠TRAIL決済",  IF($H370&gt;=$N370,"🔴損切",  IF($W370&gt;=$AG$5,"⏱時間決済",  IF($H370&gt;=$F370*(1+$AG$2*0.7),"⚠️損切接近","保持継続"))))),  IF($H370&gt;=$M370,"🟢利確",  IF(AND($R370&lt;&gt;"",$H370&lt;=$R370),"🟠TRAIL決済",  IF($H370&lt;=$N370,"🔴損切",  IF($W370&gt;=$AG$5,"⏱時間決済",  IF($H370&lt;=$F370*(1-$AG$2*0.7),"⚠️損切接近","保持継続")))))))</f>
      </c>
      <c r="P370" s="445"/>
      <c r="R370" s="440">
        <f>IF(OR($F370="",$H370="",$N370=""),"",IF($S370="✅売却済","",IF($C370="売",  IF($H370&gt;$F370*(1-$AG$2),$N370,CEILING(MIN($N370,IF($Q370="",$N370,$Q370*1.03)),IF($N370&lt;=3000,1,IF($N370&lt;=5000,5,IF($N370&lt;=30000,10,IF($N370&lt;=50000,50,IF($N370&lt;=300000,100,500))))))),  IF($H370&lt;$F370*(1+$AG$2),$N370,FLOOR(MAX($N370,IF($P370="",$N370,$P370*0.97)),IF($N370&lt;=3000,1,IF($N370&lt;=5000,5,IF($N370&lt;=30000,10,IF($N370&lt;=50000,50,IF($N370&lt;=300000,100,500))))))))))</f>
      </c>
      <c r="S370" s="440" t="str">
        <f t="shared" si="123"/>
        <v/>
      </c>
      <c r="T370" s="597" t="str">
        <f t="shared" ca="1" si="112"/>
        <v/>
      </c>
      <c r="U370" s="599" t="str">
        <f t="shared" ca="1" si="113"/>
        <v/>
      </c>
      <c r="V370" s="704" t="str">
        <f t="shared" ca="1" si="124"/>
        <v/>
      </c>
      <c r="W370" s="440" t="str">
        <f t="shared" ca="1" si="114"/>
        <v/>
      </c>
      <c r="X370" s="440" t="str">
        <f t="shared" ca="1" si="115"/>
        <v/>
      </c>
      <c r="Y370">
        <f>IF($B370="","",IF(COUNTIFS($B$4:$B370,$B370,$C$4:$C370,$C370)&gt;1,"⛔重複"&amp;COUNTIFS($B$4:$B370,$B370,$C$4:$C370,$C370)&amp;"回目",""))</f>
      </c>
      <c r="AB370">
        <f>IF($F370="","",MAX(100,ROUNDDOWN($AG$4/($F370*$AG$2)/100,0)*100))</f>
      </c>
      <c r="AC370">
        <f>IF(OR($F370="",$G370="",$U370=""),"",ROUND($V370-($F370+$U370)*$G370*$AG$6-IF($C370="売",$F370*$G370*$AG$7*$W370/365,0),0))</f>
      </c>
      <c r="AD370" s="608"/>
      <c r="AE370" s="600" t="str">
        <f t="shared" si="116"/>
        <v/>
      </c>
      <c r="AF370" s="600"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00"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00" t="str">
        <f t="shared" ca="1" si="117"/>
        <v/>
      </c>
      <c r="AI370" s="600" t="str" cm="1">
        <f t="array" ref="AI370">IFERROR(INDEX(始値!$E$6:$BT$305,MATCH(TEXT($B370,"0"),TEXT(銘柄管理!$B$6:$B$305,"0"),0),MATCH($AE370,始値!$E$3:$BT$3,0)),"")</f>
        <v/>
      </c>
      <c r="AJ370" s="608" t="str">
        <f t="shared" ca="1" si="118"/>
        <v/>
      </c>
      <c r="AK370" s="600" t="str">
        <f t="shared" ca="1" si="119"/>
        <v/>
      </c>
    </row>
    <row r="371" spans="1:37" ht="17.25" customHeight="1">
      <c r="A371" s="622" t="str">
        <f t="shared" si="108"/>
        <v/>
      </c>
      <c r="D371" s="440" t="str" cm="1">
        <f t="array" ref="D371">_xll.RssMarket(B371, "銘柄名称")</f>
        <v/>
      </c>
      <c r="E371" s="717"/>
      <c r="F371" s="6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 t="shared" ca="1" si="120"/>
        <v/>
      </c>
      <c r="L371" s="709" t="str">
        <f t="shared" ca="1" si="121"/>
        <v/>
      </c>
      <c r="M371" s="599">
        <f>IF($F371="","",IF($C371="売",CEILING($F371*IF($C371="売",1-$AG$3,1+$AG$3),IF($F371*IF($C371="売",1-$AG$3,1+$AG$3)&lt;=3000,1,IF($F371*IF($C371="売",1-$AG$3,1+$AG$3)&lt;=5000,5,IF($F371*IF($C371="売",1-$AG$3,1+$AG$3)&lt;=30000,10,IF($F371*IF($C371="売",1-$AG$3,1+$AG$3)&lt;=50000,50,IF($F371*IF($C371="売",1-$AG$3,1+$AG$3)&lt;=300000,100,500)))))),FLOOR($F371*IF($C371="売",1-$AG$3,1+$AG$3),IF($F371*IF($C371="売",1-$AG$3,1+$AG$3)&lt;=3000,1,IF($F371*IF($C371="売",1-$AG$3,1+$AG$3)&lt;=5000,5,IF($F371*IF($C371="売",1-$AG$3,1+$AG$3)&lt;=30000,10,IF($F371*IF($C371="売",1-$AG$3,1+$AG$3)&lt;=50000,50,IF($F371*IF($C371="売",1-$AG$3,1+$AG$3)&lt;=300000,100,500))))))))</f>
      </c>
      <c r="N371" s="599">
        <f>IF($F371="","",IF($C371="売",CEILING($F371*IF($C371="売",1+$AG$2,1-$AG$2),IF($F371*IF($C371="売",1+$AG$2,1-$AG$2)&lt;=3000,1,IF($F371*IF($C371="売",1+$AG$2,1-$AG$2)&lt;=5000,5,IF($F371*IF($C371="売",1+$AG$2,1-$AG$2)&lt;=30000,10,IF($F371*IF($C371="売",1+$AG$2,1-$AG$2)&lt;=50000,50,IF($F371*IF($C371="売",1+$AG$2,1-$AG$2)&lt;=300000,100,500)))))),FLOOR($F371*IF($C371="売",1+$AG$2,1-$AG$2),IF($F371*IF($C371="売",1+$AG$2,1-$AG$2)&lt;=3000,1,IF($F371*IF($C371="売",1+$AG$2,1-$AG$2)&lt;=5000,5,IF($F371*IF($C371="売",1+$AG$2,1-$AG$2)&lt;=30000,10,IF($F371*IF($C371="売",1+$AG$2,1-$AG$2)&lt;=50000,50,IF($F371*IF($C371="売",1+$AG$2,1-$AG$2)&lt;=300000,100,500))))))))</f>
      </c>
      <c r="O371" s="478">
        <f>IF(OR($B371="",$F371="",$H371=""),"",IF($S371="✅売却済","―決済済―",IF($C371="売",  IF($H371&lt;=$M371,"🟢利確",  IF(AND($R371&lt;&gt;"",$H371&gt;=$R371),"🟠TRAIL決済",  IF($H371&gt;=$N371,"🔴損切",  IF($W371&gt;=$AG$5,"⏱時間決済",  IF($H371&gt;=$F371*(1+$AG$2*0.7),"⚠️損切接近","保持継続"))))),  IF($H371&gt;=$M371,"🟢利確",  IF(AND($R371&lt;&gt;"",$H371&lt;=$R371),"🟠TRAIL決済",  IF($H371&lt;=$N371,"🔴損切",  IF($W371&gt;=$AG$5,"⏱時間決済",  IF($H371&lt;=$F371*(1-$AG$2*0.7),"⚠️損切接近","保持継続")))))))</f>
      </c>
      <c r="P371" s="445"/>
      <c r="R371" s="440">
        <f>IF(OR($F371="",$H371="",$N371=""),"",IF($S371="✅売却済","",IF($C371="売",  IF($H371&gt;$F371*(1-$AG$2),$N371,CEILING(MIN($N371,IF($Q371="",$N371,$Q371*1.03)),IF($N371&lt;=3000,1,IF($N371&lt;=5000,5,IF($N371&lt;=30000,10,IF($N371&lt;=50000,50,IF($N371&lt;=300000,100,500))))))),  IF($H371&lt;$F371*(1+$AG$2),$N371,FLOOR(MAX($N371,IF($P371="",$N371,$P371*0.97)),IF($N371&lt;=3000,1,IF($N371&lt;=5000,5,IF($N371&lt;=30000,10,IF($N371&lt;=50000,50,IF($N371&lt;=300000,100,500))))))))))</f>
      </c>
      <c r="S371" s="440" t="str">
        <f t="shared" si="123"/>
        <v/>
      </c>
      <c r="T371" s="597" t="str">
        <f t="shared" ca="1" si="112"/>
        <v/>
      </c>
      <c r="U371" s="599" t="str">
        <f t="shared" ca="1" si="113"/>
        <v/>
      </c>
      <c r="V371" s="704" t="str">
        <f t="shared" ca="1" si="124"/>
        <v/>
      </c>
      <c r="W371" s="440" t="str">
        <f t="shared" ca="1" si="114"/>
        <v/>
      </c>
      <c r="X371" s="440" t="str">
        <f t="shared" ca="1" si="115"/>
        <v/>
      </c>
      <c r="Y371">
        <f>IF($B371="","",IF(COUNTIFS($B$4:$B371,$B371,$C$4:$C371,$C371)&gt;1,"⛔重複"&amp;COUNTIFS($B$4:$B371,$B371,$C$4:$C371,$C371)&amp;"回目",""))</f>
      </c>
      <c r="AB371">
        <f>IF($F371="","",MAX(100,ROUNDDOWN($AG$4/($F371*$AG$2)/100,0)*100))</f>
      </c>
      <c r="AC371">
        <f>IF(OR($F371="",$G371="",$U371=""),"",ROUND($V371-($F371+$U371)*$G371*$AG$6-IF($C371="売",$F371*$G371*$AG$7*$W371/365,0),0))</f>
      </c>
      <c r="AD371" s="608"/>
      <c r="AE371" s="600" t="str">
        <f t="shared" si="116"/>
        <v/>
      </c>
      <c r="AF371" s="600"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00"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00" t="str">
        <f t="shared" ca="1" si="117"/>
        <v/>
      </c>
      <c r="AI371" s="600" t="str" cm="1">
        <f t="array" ref="AI371">IFERROR(INDEX(始値!$E$6:$BT$305,MATCH(TEXT($B371,"0"),TEXT(銘柄管理!$B$6:$B$305,"0"),0),MATCH($AE371,始値!$E$3:$BT$3,0)),"")</f>
        <v/>
      </c>
      <c r="AJ371" s="608" t="str">
        <f t="shared" ca="1" si="118"/>
        <v/>
      </c>
      <c r="AK371" s="600" t="str">
        <f t="shared" ca="1" si="119"/>
        <v/>
      </c>
    </row>
    <row r="372" spans="1:37" ht="17.25" customHeight="1">
      <c r="A372" s="622" t="str">
        <f t="shared" si="108"/>
        <v/>
      </c>
      <c r="D372" s="440" t="str" cm="1">
        <f t="array" ref="D372">_xll.RssMarket(B372, "銘柄名称")</f>
        <v/>
      </c>
      <c r="E372" s="717"/>
      <c r="F372" s="6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 t="shared" ca="1" si="120"/>
        <v/>
      </c>
      <c r="L372" s="709" t="str">
        <f t="shared" ca="1" si="121"/>
        <v/>
      </c>
      <c r="M372" s="599">
        <f>IF($F372="","",IF($C372="売",CEILING($F372*IF($C372="売",1-$AG$3,1+$AG$3),IF($F372*IF($C372="売",1-$AG$3,1+$AG$3)&lt;=3000,1,IF($F372*IF($C372="売",1-$AG$3,1+$AG$3)&lt;=5000,5,IF($F372*IF($C372="売",1-$AG$3,1+$AG$3)&lt;=30000,10,IF($F372*IF($C372="売",1-$AG$3,1+$AG$3)&lt;=50000,50,IF($F372*IF($C372="売",1-$AG$3,1+$AG$3)&lt;=300000,100,500)))))),FLOOR($F372*IF($C372="売",1-$AG$3,1+$AG$3),IF($F372*IF($C372="売",1-$AG$3,1+$AG$3)&lt;=3000,1,IF($F372*IF($C372="売",1-$AG$3,1+$AG$3)&lt;=5000,5,IF($F372*IF($C372="売",1-$AG$3,1+$AG$3)&lt;=30000,10,IF($F372*IF($C372="売",1-$AG$3,1+$AG$3)&lt;=50000,50,IF($F372*IF($C372="売",1-$AG$3,1+$AG$3)&lt;=300000,100,500))))))))</f>
      </c>
      <c r="N372" s="599">
        <f>IF($F372="","",IF($C372="売",CEILING($F372*IF($C372="売",1+$AG$2,1-$AG$2),IF($F372*IF($C372="売",1+$AG$2,1-$AG$2)&lt;=3000,1,IF($F372*IF($C372="売",1+$AG$2,1-$AG$2)&lt;=5000,5,IF($F372*IF($C372="売",1+$AG$2,1-$AG$2)&lt;=30000,10,IF($F372*IF($C372="売",1+$AG$2,1-$AG$2)&lt;=50000,50,IF($F372*IF($C372="売",1+$AG$2,1-$AG$2)&lt;=300000,100,500)))))),FLOOR($F372*IF($C372="売",1+$AG$2,1-$AG$2),IF($F372*IF($C372="売",1+$AG$2,1-$AG$2)&lt;=3000,1,IF($F372*IF($C372="売",1+$AG$2,1-$AG$2)&lt;=5000,5,IF($F372*IF($C372="売",1+$AG$2,1-$AG$2)&lt;=30000,10,IF($F372*IF($C372="売",1+$AG$2,1-$AG$2)&lt;=50000,50,IF($F372*IF($C372="売",1+$AG$2,1-$AG$2)&lt;=300000,100,500))))))))</f>
      </c>
      <c r="O372" s="478">
        <f>IF(OR($B372="",$F372="",$H372=""),"",IF($S372="✅売却済","―決済済―",IF($C372="売",  IF($H372&lt;=$M372,"🟢利確",  IF(AND($R372&lt;&gt;"",$H372&gt;=$R372),"🟠TRAIL決済",  IF($H372&gt;=$N372,"🔴損切",  IF($W372&gt;=$AG$5,"⏱時間決済",  IF($H372&gt;=$F372*(1+$AG$2*0.7),"⚠️損切接近","保持継続"))))),  IF($H372&gt;=$M372,"🟢利確",  IF(AND($R372&lt;&gt;"",$H372&lt;=$R372),"🟠TRAIL決済",  IF($H372&lt;=$N372,"🔴損切",  IF($W372&gt;=$AG$5,"⏱時間決済",  IF($H372&lt;=$F372*(1-$AG$2*0.7),"⚠️損切接近","保持継続")))))))</f>
      </c>
      <c r="P372" s="445"/>
      <c r="R372" s="440">
        <f>IF(OR($F372="",$H372="",$N372=""),"",IF($S372="✅売却済","",IF($C372="売",  IF($H372&gt;$F372*(1-$AG$2),$N372,CEILING(MIN($N372,IF($Q372="",$N372,$Q372*1.03)),IF($N372&lt;=3000,1,IF($N372&lt;=5000,5,IF($N372&lt;=30000,10,IF($N372&lt;=50000,50,IF($N372&lt;=300000,100,500))))))),  IF($H372&lt;$F372*(1+$AG$2),$N372,FLOOR(MAX($N372,IF($P372="",$N372,$P372*0.97)),IF($N372&lt;=3000,1,IF($N372&lt;=5000,5,IF($N372&lt;=30000,10,IF($N372&lt;=50000,50,IF($N372&lt;=300000,100,500))))))))))</f>
      </c>
      <c r="S372" s="440" t="str">
        <f t="shared" si="123"/>
        <v/>
      </c>
      <c r="T372" s="597" t="str">
        <f t="shared" ca="1" si="112"/>
        <v/>
      </c>
      <c r="U372" s="599" t="str">
        <f t="shared" ca="1" si="113"/>
        <v/>
      </c>
      <c r="V372" s="704" t="str">
        <f t="shared" ca="1" si="124"/>
        <v/>
      </c>
      <c r="W372" s="440" t="str">
        <f t="shared" ca="1" si="114"/>
        <v/>
      </c>
      <c r="X372" s="440" t="str">
        <f t="shared" ca="1" si="115"/>
        <v/>
      </c>
      <c r="Y372">
        <f>IF($B372="","",IF(COUNTIFS($B$4:$B372,$B372,$C$4:$C372,$C372)&gt;1,"⛔重複"&amp;COUNTIFS($B$4:$B372,$B372,$C$4:$C372,$C372)&amp;"回目",""))</f>
      </c>
      <c r="AB372">
        <f>IF($F372="","",MAX(100,ROUNDDOWN($AG$4/($F372*$AG$2)/100,0)*100))</f>
      </c>
      <c r="AC372">
        <f>IF(OR($F372="",$G372="",$U372=""),"",ROUND($V372-($F372+$U372)*$G372*$AG$6-IF($C372="売",$F372*$G372*$AG$7*$W372/365,0),0))</f>
      </c>
      <c r="AD372" s="608"/>
      <c r="AE372" s="600" t="str">
        <f t="shared" si="116"/>
        <v/>
      </c>
      <c r="AF372" s="600"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00"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00" t="str">
        <f t="shared" ca="1" si="117"/>
        <v/>
      </c>
      <c r="AI372" s="600" t="str" cm="1">
        <f t="array" ref="AI372">IFERROR(INDEX(始値!$E$6:$BT$305,MATCH(TEXT($B372,"0"),TEXT(銘柄管理!$B$6:$B$305,"0"),0),MATCH($AE372,始値!$E$3:$BT$3,0)),"")</f>
        <v/>
      </c>
      <c r="AJ372" s="608" t="str">
        <f t="shared" ca="1" si="118"/>
        <v/>
      </c>
      <c r="AK372" s="600" t="str">
        <f t="shared" ca="1" si="119"/>
        <v/>
      </c>
    </row>
    <row r="373" spans="1:37" ht="17.25" customHeight="1">
      <c r="A373" s="622" t="str">
        <f t="shared" si="108"/>
        <v/>
      </c>
      <c r="D373" s="440" t="str" cm="1">
        <f t="array" ref="D373">_xll.RssMarket(B373, "銘柄名称")</f>
        <v/>
      </c>
      <c r="E373" s="717"/>
      <c r="F373" s="6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 t="shared" ca="1" si="120"/>
        <v/>
      </c>
      <c r="L373" s="709" t="str">
        <f t="shared" ca="1" si="121"/>
        <v/>
      </c>
      <c r="M373" s="599">
        <f>IF($F373="","",IF($C373="売",CEILING($F373*IF($C373="売",1-$AG$3,1+$AG$3),IF($F373*IF($C373="売",1-$AG$3,1+$AG$3)&lt;=3000,1,IF($F373*IF($C373="売",1-$AG$3,1+$AG$3)&lt;=5000,5,IF($F373*IF($C373="売",1-$AG$3,1+$AG$3)&lt;=30000,10,IF($F373*IF($C373="売",1-$AG$3,1+$AG$3)&lt;=50000,50,IF($F373*IF($C373="売",1-$AG$3,1+$AG$3)&lt;=300000,100,500)))))),FLOOR($F373*IF($C373="売",1-$AG$3,1+$AG$3),IF($F373*IF($C373="売",1-$AG$3,1+$AG$3)&lt;=3000,1,IF($F373*IF($C373="売",1-$AG$3,1+$AG$3)&lt;=5000,5,IF($F373*IF($C373="売",1-$AG$3,1+$AG$3)&lt;=30000,10,IF($F373*IF($C373="売",1-$AG$3,1+$AG$3)&lt;=50000,50,IF($F373*IF($C373="売",1-$AG$3,1+$AG$3)&lt;=300000,100,500))))))))</f>
      </c>
      <c r="N373" s="599">
        <f>IF($F373="","",IF($C373="売",CEILING($F373*IF($C373="売",1+$AG$2,1-$AG$2),IF($F373*IF($C373="売",1+$AG$2,1-$AG$2)&lt;=3000,1,IF($F373*IF($C373="売",1+$AG$2,1-$AG$2)&lt;=5000,5,IF($F373*IF($C373="売",1+$AG$2,1-$AG$2)&lt;=30000,10,IF($F373*IF($C373="売",1+$AG$2,1-$AG$2)&lt;=50000,50,IF($F373*IF($C373="売",1+$AG$2,1-$AG$2)&lt;=300000,100,500)))))),FLOOR($F373*IF($C373="売",1+$AG$2,1-$AG$2),IF($F373*IF($C373="売",1+$AG$2,1-$AG$2)&lt;=3000,1,IF($F373*IF($C373="売",1+$AG$2,1-$AG$2)&lt;=5000,5,IF($F373*IF($C373="売",1+$AG$2,1-$AG$2)&lt;=30000,10,IF($F373*IF($C373="売",1+$AG$2,1-$AG$2)&lt;=50000,50,IF($F373*IF($C373="売",1+$AG$2,1-$AG$2)&lt;=300000,100,500))))))))</f>
      </c>
      <c r="O373" s="478">
        <f>IF(OR($B373="",$F373="",$H373=""),"",IF($S373="✅売却済","―決済済―",IF($C373="売",  IF($H373&lt;=$M373,"🟢利確",  IF(AND($R373&lt;&gt;"",$H373&gt;=$R373),"🟠TRAIL決済",  IF($H373&gt;=$N373,"🔴損切",  IF($W373&gt;=$AG$5,"⏱時間決済",  IF($H373&gt;=$F373*(1+$AG$2*0.7),"⚠️損切接近","保持継続"))))),  IF($H373&gt;=$M373,"🟢利確",  IF(AND($R373&lt;&gt;"",$H373&lt;=$R373),"🟠TRAIL決済",  IF($H373&lt;=$N373,"🔴損切",  IF($W373&gt;=$AG$5,"⏱時間決済",  IF($H373&lt;=$F373*(1-$AG$2*0.7),"⚠️損切接近","保持継続")))))))</f>
      </c>
      <c r="P373" s="445"/>
      <c r="R373" s="440">
        <f>IF(OR($F373="",$H373="",$N373=""),"",IF($S373="✅売却済","",IF($C373="売",  IF($H373&gt;$F373*(1-$AG$2),$N373,CEILING(MIN($N373,IF($Q373="",$N373,$Q373*1.03)),IF($N373&lt;=3000,1,IF($N373&lt;=5000,5,IF($N373&lt;=30000,10,IF($N373&lt;=50000,50,IF($N373&lt;=300000,100,500))))))),  IF($H373&lt;$F373*(1+$AG$2),$N373,FLOOR(MAX($N373,IF($P373="",$N373,$P373*0.97)),IF($N373&lt;=3000,1,IF($N373&lt;=5000,5,IF($N373&lt;=30000,10,IF($N373&lt;=50000,50,IF($N373&lt;=300000,100,500))))))))))</f>
      </c>
      <c r="S373" s="440" t="str">
        <f t="shared" si="123"/>
        <v/>
      </c>
      <c r="T373" s="597" t="str">
        <f t="shared" ca="1" si="112"/>
        <v/>
      </c>
      <c r="U373" s="599" t="str">
        <f t="shared" ca="1" si="113"/>
        <v/>
      </c>
      <c r="V373" s="704" t="str">
        <f t="shared" ca="1" si="124"/>
        <v/>
      </c>
      <c r="W373" s="440" t="str">
        <f t="shared" ca="1" si="114"/>
        <v/>
      </c>
      <c r="X373" s="440" t="str">
        <f t="shared" ca="1" si="115"/>
        <v/>
      </c>
      <c r="Y373">
        <f>IF($B373="","",IF(COUNTIFS($B$4:$B373,$B373,$C$4:$C373,$C373)&gt;1,"⛔重複"&amp;COUNTIFS($B$4:$B373,$B373,$C$4:$C373,$C373)&amp;"回目",""))</f>
      </c>
      <c r="AB373">
        <f>IF($F373="","",MAX(100,ROUNDDOWN($AG$4/($F373*$AG$2)/100,0)*100))</f>
      </c>
      <c r="AC373">
        <f>IF(OR($F373="",$G373="",$U373=""),"",ROUND($V373-($F373+$U373)*$G373*$AG$6-IF($C373="売",$F373*$G373*$AG$7*$W373/365,0),0))</f>
      </c>
      <c r="AD373" s="608"/>
      <c r="AE373" s="600" t="str">
        <f t="shared" si="116"/>
        <v/>
      </c>
      <c r="AF373" s="600"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00"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00" t="str">
        <f t="shared" ca="1" si="117"/>
        <v/>
      </c>
      <c r="AI373" s="600" t="str" cm="1">
        <f t="array" ref="AI373">IFERROR(INDEX(始値!$E$6:$BT$305,MATCH(TEXT($B373,"0"),TEXT(銘柄管理!$B$6:$B$305,"0"),0),MATCH($AE373,始値!$E$3:$BT$3,0)),"")</f>
        <v/>
      </c>
      <c r="AJ373" s="608" t="str">
        <f t="shared" ca="1" si="118"/>
        <v/>
      </c>
      <c r="AK373" s="600" t="str">
        <f t="shared" ca="1" si="119"/>
        <v/>
      </c>
    </row>
    <row r="374" spans="1:37" ht="17.25" customHeight="1">
      <c r="A374" s="622" t="str">
        <f t="shared" si="108"/>
        <v/>
      </c>
      <c r="D374" s="440" t="str" cm="1">
        <f t="array" ref="D374">_xll.RssMarket(B374, "銘柄名称")</f>
        <v/>
      </c>
      <c r="E374" s="717"/>
      <c r="F374" s="6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 t="shared" ca="1" si="120"/>
        <v/>
      </c>
      <c r="L374" s="709" t="str">
        <f t="shared" ca="1" si="121"/>
        <v/>
      </c>
      <c r="M374" s="599">
        <f>IF($F374="","",IF($C374="売",CEILING($F374*IF($C374="売",1-$AG$3,1+$AG$3),IF($F374*IF($C374="売",1-$AG$3,1+$AG$3)&lt;=3000,1,IF($F374*IF($C374="売",1-$AG$3,1+$AG$3)&lt;=5000,5,IF($F374*IF($C374="売",1-$AG$3,1+$AG$3)&lt;=30000,10,IF($F374*IF($C374="売",1-$AG$3,1+$AG$3)&lt;=50000,50,IF($F374*IF($C374="売",1-$AG$3,1+$AG$3)&lt;=300000,100,500)))))),FLOOR($F374*IF($C374="売",1-$AG$3,1+$AG$3),IF($F374*IF($C374="売",1-$AG$3,1+$AG$3)&lt;=3000,1,IF($F374*IF($C374="売",1-$AG$3,1+$AG$3)&lt;=5000,5,IF($F374*IF($C374="売",1-$AG$3,1+$AG$3)&lt;=30000,10,IF($F374*IF($C374="売",1-$AG$3,1+$AG$3)&lt;=50000,50,IF($F374*IF($C374="売",1-$AG$3,1+$AG$3)&lt;=300000,100,500))))))))</f>
      </c>
      <c r="N374" s="599">
        <f>IF($F374="","",IF($C374="売",CEILING($F374*IF($C374="売",1+$AG$2,1-$AG$2),IF($F374*IF($C374="売",1+$AG$2,1-$AG$2)&lt;=3000,1,IF($F374*IF($C374="売",1+$AG$2,1-$AG$2)&lt;=5000,5,IF($F374*IF($C374="売",1+$AG$2,1-$AG$2)&lt;=30000,10,IF($F374*IF($C374="売",1+$AG$2,1-$AG$2)&lt;=50000,50,IF($F374*IF($C374="売",1+$AG$2,1-$AG$2)&lt;=300000,100,500)))))),FLOOR($F374*IF($C374="売",1+$AG$2,1-$AG$2),IF($F374*IF($C374="売",1+$AG$2,1-$AG$2)&lt;=3000,1,IF($F374*IF($C374="売",1+$AG$2,1-$AG$2)&lt;=5000,5,IF($F374*IF($C374="売",1+$AG$2,1-$AG$2)&lt;=30000,10,IF($F374*IF($C374="売",1+$AG$2,1-$AG$2)&lt;=50000,50,IF($F374*IF($C374="売",1+$AG$2,1-$AG$2)&lt;=300000,100,500))))))))</f>
      </c>
      <c r="O374" s="478">
        <f>IF(OR($B374="",$F374="",$H374=""),"",IF($S374="✅売却済","―決済済―",IF($C374="売",  IF($H374&lt;=$M374,"🟢利確",  IF(AND($R374&lt;&gt;"",$H374&gt;=$R374),"🟠TRAIL決済",  IF($H374&gt;=$N374,"🔴損切",  IF($W374&gt;=$AG$5,"⏱時間決済",  IF($H374&gt;=$F374*(1+$AG$2*0.7),"⚠️損切接近","保持継続"))))),  IF($H374&gt;=$M374,"🟢利確",  IF(AND($R374&lt;&gt;"",$H374&lt;=$R374),"🟠TRAIL決済",  IF($H374&lt;=$N374,"🔴損切",  IF($W374&gt;=$AG$5,"⏱時間決済",  IF($H374&lt;=$F374*(1-$AG$2*0.7),"⚠️損切接近","保持継続")))))))</f>
      </c>
      <c r="P374" s="445"/>
      <c r="R374" s="440">
        <f>IF(OR($F374="",$H374="",$N374=""),"",IF($S374="✅売却済","",IF($C374="売",  IF($H374&gt;$F374*(1-$AG$2),$N374,CEILING(MIN($N374,IF($Q374="",$N374,$Q374*1.03)),IF($N374&lt;=3000,1,IF($N374&lt;=5000,5,IF($N374&lt;=30000,10,IF($N374&lt;=50000,50,IF($N374&lt;=300000,100,500))))))),  IF($H374&lt;$F374*(1+$AG$2),$N374,FLOOR(MAX($N374,IF($P374="",$N374,$P374*0.97)),IF($N374&lt;=3000,1,IF($N374&lt;=5000,5,IF($N374&lt;=30000,10,IF($N374&lt;=50000,50,IF($N374&lt;=300000,100,500))))))))))</f>
      </c>
      <c r="S374" s="440" t="str">
        <f t="shared" si="123"/>
        <v/>
      </c>
      <c r="T374" s="597" t="str">
        <f t="shared" ca="1" si="112"/>
        <v/>
      </c>
      <c r="U374" s="599" t="str">
        <f t="shared" ca="1" si="113"/>
        <v/>
      </c>
      <c r="V374" s="704" t="str">
        <f t="shared" ca="1" si="124"/>
        <v/>
      </c>
      <c r="W374" s="440" t="str">
        <f t="shared" ca="1" si="114"/>
        <v/>
      </c>
      <c r="X374" s="440" t="str">
        <f t="shared" ca="1" si="115"/>
        <v/>
      </c>
      <c r="Y374">
        <f>IF($B374="","",IF(COUNTIFS($B$4:$B374,$B374,$C$4:$C374,$C374)&gt;1,"⛔重複"&amp;COUNTIFS($B$4:$B374,$B374,$C$4:$C374,$C374)&amp;"回目",""))</f>
      </c>
      <c r="AB374">
        <f>IF($F374="","",MAX(100,ROUNDDOWN($AG$4/($F374*$AG$2)/100,0)*100))</f>
      </c>
      <c r="AC374">
        <f>IF(OR($F374="",$G374="",$U374=""),"",ROUND($V374-($F374+$U374)*$G374*$AG$6-IF($C374="売",$F374*$G374*$AG$7*$W374/365,0),0))</f>
      </c>
      <c r="AD374" s="608"/>
      <c r="AE374" s="600" t="str">
        <f t="shared" si="116"/>
        <v/>
      </c>
      <c r="AF374" s="600"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00"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00" t="str">
        <f t="shared" ca="1" si="117"/>
        <v/>
      </c>
      <c r="AI374" s="600" t="str" cm="1">
        <f t="array" ref="AI374">IFERROR(INDEX(始値!$E$6:$BT$305,MATCH(TEXT($B374,"0"),TEXT(銘柄管理!$B$6:$B$305,"0"),0),MATCH($AE374,始値!$E$3:$BT$3,0)),"")</f>
        <v/>
      </c>
      <c r="AJ374" s="608" t="str">
        <f t="shared" ca="1" si="118"/>
        <v/>
      </c>
      <c r="AK374" s="600" t="str">
        <f t="shared" ca="1" si="119"/>
        <v/>
      </c>
    </row>
    <row r="375" spans="1:37" ht="17.25" customHeight="1">
      <c r="A375" s="622" t="str">
        <f t="shared" si="108"/>
        <v/>
      </c>
      <c r="D375" s="440" t="str" cm="1">
        <f t="array" ref="D375">_xll.RssMarket(B375, "銘柄名称")</f>
        <v/>
      </c>
      <c r="E375" s="717"/>
      <c r="F375" s="6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 t="shared" ca="1" si="120"/>
        <v/>
      </c>
      <c r="L375" s="709" t="str">
        <f t="shared" ca="1" si="121"/>
        <v/>
      </c>
      <c r="M375" s="599">
        <f>IF($F375="","",IF($C375="売",CEILING($F375*IF($C375="売",1-$AG$3,1+$AG$3),IF($F375*IF($C375="売",1-$AG$3,1+$AG$3)&lt;=3000,1,IF($F375*IF($C375="売",1-$AG$3,1+$AG$3)&lt;=5000,5,IF($F375*IF($C375="売",1-$AG$3,1+$AG$3)&lt;=30000,10,IF($F375*IF($C375="売",1-$AG$3,1+$AG$3)&lt;=50000,50,IF($F375*IF($C375="売",1-$AG$3,1+$AG$3)&lt;=300000,100,500)))))),FLOOR($F375*IF($C375="売",1-$AG$3,1+$AG$3),IF($F375*IF($C375="売",1-$AG$3,1+$AG$3)&lt;=3000,1,IF($F375*IF($C375="売",1-$AG$3,1+$AG$3)&lt;=5000,5,IF($F375*IF($C375="売",1-$AG$3,1+$AG$3)&lt;=30000,10,IF($F375*IF($C375="売",1-$AG$3,1+$AG$3)&lt;=50000,50,IF($F375*IF($C375="売",1-$AG$3,1+$AG$3)&lt;=300000,100,500))))))))</f>
      </c>
      <c r="N375" s="599">
        <f>IF($F375="","",IF($C375="売",CEILING($F375*IF($C375="売",1+$AG$2,1-$AG$2),IF($F375*IF($C375="売",1+$AG$2,1-$AG$2)&lt;=3000,1,IF($F375*IF($C375="売",1+$AG$2,1-$AG$2)&lt;=5000,5,IF($F375*IF($C375="売",1+$AG$2,1-$AG$2)&lt;=30000,10,IF($F375*IF($C375="売",1+$AG$2,1-$AG$2)&lt;=50000,50,IF($F375*IF($C375="売",1+$AG$2,1-$AG$2)&lt;=300000,100,500)))))),FLOOR($F375*IF($C375="売",1+$AG$2,1-$AG$2),IF($F375*IF($C375="売",1+$AG$2,1-$AG$2)&lt;=3000,1,IF($F375*IF($C375="売",1+$AG$2,1-$AG$2)&lt;=5000,5,IF($F375*IF($C375="売",1+$AG$2,1-$AG$2)&lt;=30000,10,IF($F375*IF($C375="売",1+$AG$2,1-$AG$2)&lt;=50000,50,IF($F375*IF($C375="売",1+$AG$2,1-$AG$2)&lt;=300000,100,500))))))))</f>
      </c>
      <c r="O375" s="478">
        <f>IF(OR($B375="",$F375="",$H375=""),"",IF($S375="✅売却済","―決済済―",IF($C375="売",  IF($H375&lt;=$M375,"🟢利確",  IF(AND($R375&lt;&gt;"",$H375&gt;=$R375),"🟠TRAIL決済",  IF($H375&gt;=$N375,"🔴損切",  IF($W375&gt;=$AG$5,"⏱時間決済",  IF($H375&gt;=$F375*(1+$AG$2*0.7),"⚠️損切接近","保持継続"))))),  IF($H375&gt;=$M375,"🟢利確",  IF(AND($R375&lt;&gt;"",$H375&lt;=$R375),"🟠TRAIL決済",  IF($H375&lt;=$N375,"🔴損切",  IF($W375&gt;=$AG$5,"⏱時間決済",  IF($H375&lt;=$F375*(1-$AG$2*0.7),"⚠️損切接近","保持継続")))))))</f>
      </c>
      <c r="P375" s="445"/>
      <c r="R375" s="440">
        <f>IF(OR($F375="",$H375="",$N375=""),"",IF($S375="✅売却済","",IF($C375="売",  IF($H375&gt;$F375*(1-$AG$2),$N375,CEILING(MIN($N375,IF($Q375="",$N375,$Q375*1.03)),IF($N375&lt;=3000,1,IF($N375&lt;=5000,5,IF($N375&lt;=30000,10,IF($N375&lt;=50000,50,IF($N375&lt;=300000,100,500))))))),  IF($H375&lt;$F375*(1+$AG$2),$N375,FLOOR(MAX($N375,IF($P375="",$N375,$P375*0.97)),IF($N375&lt;=3000,1,IF($N375&lt;=5000,5,IF($N375&lt;=30000,10,IF($N375&lt;=50000,50,IF($N375&lt;=300000,100,500))))))))))</f>
      </c>
      <c r="S375" s="440" t="str">
        <f t="shared" si="123"/>
        <v/>
      </c>
      <c r="T375" s="597" t="str">
        <f t="shared" ca="1" si="112"/>
        <v/>
      </c>
      <c r="U375" s="599" t="str">
        <f t="shared" ca="1" si="113"/>
        <v/>
      </c>
      <c r="V375" s="704" t="str">
        <f t="shared" ca="1" si="124"/>
        <v/>
      </c>
      <c r="W375" s="440" t="str">
        <f t="shared" ca="1" si="114"/>
        <v/>
      </c>
      <c r="X375" s="440" t="str">
        <f t="shared" ca="1" si="115"/>
        <v/>
      </c>
      <c r="Y375">
        <f>IF($B375="","",IF(COUNTIFS($B$4:$B375,$B375,$C$4:$C375,$C375)&gt;1,"⛔重複"&amp;COUNTIFS($B$4:$B375,$B375,$C$4:$C375,$C375)&amp;"回目",""))</f>
      </c>
      <c r="AB375">
        <f>IF($F375="","",MAX(100,ROUNDDOWN($AG$4/($F375*$AG$2)/100,0)*100))</f>
      </c>
      <c r="AC375">
        <f>IF(OR($F375="",$G375="",$U375=""),"",ROUND($V375-($F375+$U375)*$G375*$AG$6-IF($C375="売",$F375*$G375*$AG$7*$W375/365,0),0))</f>
      </c>
      <c r="AD375" s="608"/>
      <c r="AE375" s="600" t="str">
        <f t="shared" si="116"/>
        <v/>
      </c>
      <c r="AF375" s="600"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00"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00" t="str">
        <f t="shared" ca="1" si="117"/>
        <v/>
      </c>
      <c r="AI375" s="600" t="str" cm="1">
        <f t="array" ref="AI375">IFERROR(INDEX(始値!$E$6:$BT$305,MATCH(TEXT($B375,"0"),TEXT(銘柄管理!$B$6:$B$305,"0"),0),MATCH($AE375,始値!$E$3:$BT$3,0)),"")</f>
        <v/>
      </c>
      <c r="AJ375" s="608" t="str">
        <f t="shared" ca="1" si="118"/>
        <v/>
      </c>
      <c r="AK375" s="600" t="str">
        <f t="shared" ca="1" si="119"/>
        <v/>
      </c>
    </row>
    <row r="376" spans="1:37" ht="17.25" customHeight="1">
      <c r="A376" s="622" t="str">
        <f t="shared" si="108"/>
        <v/>
      </c>
      <c r="D376" s="440" t="str" cm="1">
        <f t="array" ref="D376">_xll.RssMarket(B376, "銘柄名称")</f>
        <v/>
      </c>
      <c r="E376" s="717"/>
      <c r="F376" s="6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 t="shared" ca="1" si="120"/>
        <v/>
      </c>
      <c r="L376" s="709" t="str">
        <f t="shared" ca="1" si="121"/>
        <v/>
      </c>
      <c r="M376" s="599">
        <f>IF($F376="","",IF($C376="売",CEILING($F376*IF($C376="売",1-$AG$3,1+$AG$3),IF($F376*IF($C376="売",1-$AG$3,1+$AG$3)&lt;=3000,1,IF($F376*IF($C376="売",1-$AG$3,1+$AG$3)&lt;=5000,5,IF($F376*IF($C376="売",1-$AG$3,1+$AG$3)&lt;=30000,10,IF($F376*IF($C376="売",1-$AG$3,1+$AG$3)&lt;=50000,50,IF($F376*IF($C376="売",1-$AG$3,1+$AG$3)&lt;=300000,100,500)))))),FLOOR($F376*IF($C376="売",1-$AG$3,1+$AG$3),IF($F376*IF($C376="売",1-$AG$3,1+$AG$3)&lt;=3000,1,IF($F376*IF($C376="売",1-$AG$3,1+$AG$3)&lt;=5000,5,IF($F376*IF($C376="売",1-$AG$3,1+$AG$3)&lt;=30000,10,IF($F376*IF($C376="売",1-$AG$3,1+$AG$3)&lt;=50000,50,IF($F376*IF($C376="売",1-$AG$3,1+$AG$3)&lt;=300000,100,500))))))))</f>
      </c>
      <c r="N376" s="599">
        <f>IF($F376="","",IF($C376="売",CEILING($F376*IF($C376="売",1+$AG$2,1-$AG$2),IF($F376*IF($C376="売",1+$AG$2,1-$AG$2)&lt;=3000,1,IF($F376*IF($C376="売",1+$AG$2,1-$AG$2)&lt;=5000,5,IF($F376*IF($C376="売",1+$AG$2,1-$AG$2)&lt;=30000,10,IF($F376*IF($C376="売",1+$AG$2,1-$AG$2)&lt;=50000,50,IF($F376*IF($C376="売",1+$AG$2,1-$AG$2)&lt;=300000,100,500)))))),FLOOR($F376*IF($C376="売",1+$AG$2,1-$AG$2),IF($F376*IF($C376="売",1+$AG$2,1-$AG$2)&lt;=3000,1,IF($F376*IF($C376="売",1+$AG$2,1-$AG$2)&lt;=5000,5,IF($F376*IF($C376="売",1+$AG$2,1-$AG$2)&lt;=30000,10,IF($F376*IF($C376="売",1+$AG$2,1-$AG$2)&lt;=50000,50,IF($F376*IF($C376="売",1+$AG$2,1-$AG$2)&lt;=300000,100,500))))))))</f>
      </c>
      <c r="O376" s="478">
        <f>IF(OR($B376="",$F376="",$H376=""),"",IF($S376="✅売却済","―決済済―",IF($C376="売",  IF($H376&lt;=$M376,"🟢利確",  IF(AND($R376&lt;&gt;"",$H376&gt;=$R376),"🟠TRAIL決済",  IF($H376&gt;=$N376,"🔴損切",  IF($W376&gt;=$AG$5,"⏱時間決済",  IF($H376&gt;=$F376*(1+$AG$2*0.7),"⚠️損切接近","保持継続"))))),  IF($H376&gt;=$M376,"🟢利確",  IF(AND($R376&lt;&gt;"",$H376&lt;=$R376),"🟠TRAIL決済",  IF($H376&lt;=$N376,"🔴損切",  IF($W376&gt;=$AG$5,"⏱時間決済",  IF($H376&lt;=$F376*(1-$AG$2*0.7),"⚠️損切接近","保持継続")))))))</f>
      </c>
      <c r="P376" s="445"/>
      <c r="R376" s="440">
        <f>IF(OR($F376="",$H376="",$N376=""),"",IF($S376="✅売却済","",IF($C376="売",  IF($H376&gt;$F376*(1-$AG$2),$N376,CEILING(MIN($N376,IF($Q376="",$N376,$Q376*1.03)),IF($N376&lt;=3000,1,IF($N376&lt;=5000,5,IF($N376&lt;=30000,10,IF($N376&lt;=50000,50,IF($N376&lt;=300000,100,500))))))),  IF($H376&lt;$F376*(1+$AG$2),$N376,FLOOR(MAX($N376,IF($P376="",$N376,$P376*0.97)),IF($N376&lt;=3000,1,IF($N376&lt;=5000,5,IF($N376&lt;=30000,10,IF($N376&lt;=50000,50,IF($N376&lt;=300000,100,500))))))))))</f>
      </c>
      <c r="S376" s="440" t="str">
        <f t="shared" si="123"/>
        <v/>
      </c>
      <c r="T376" s="597" t="str">
        <f t="shared" ca="1" si="112"/>
        <v/>
      </c>
      <c r="U376" s="599" t="str">
        <f t="shared" ca="1" si="113"/>
        <v/>
      </c>
      <c r="V376" s="704" t="str">
        <f t="shared" ca="1" si="124"/>
        <v/>
      </c>
      <c r="W376" s="440" t="str">
        <f t="shared" ca="1" si="114"/>
        <v/>
      </c>
      <c r="X376" s="440" t="str">
        <f t="shared" ca="1" si="115"/>
        <v/>
      </c>
      <c r="Y376">
        <f>IF($B376="","",IF(COUNTIFS($B$4:$B376,$B376,$C$4:$C376,$C376)&gt;1,"⛔重複"&amp;COUNTIFS($B$4:$B376,$B376,$C$4:$C376,$C376)&amp;"回目",""))</f>
      </c>
      <c r="AB376">
        <f>IF($F376="","",MAX(100,ROUNDDOWN($AG$4/($F376*$AG$2)/100,0)*100))</f>
      </c>
      <c r="AC376">
        <f>IF(OR($F376="",$G376="",$U376=""),"",ROUND($V376-($F376+$U376)*$G376*$AG$6-IF($C376="売",$F376*$G376*$AG$7*$W376/365,0),0))</f>
      </c>
      <c r="AD376" s="608"/>
      <c r="AE376" s="600" t="str">
        <f t="shared" si="116"/>
        <v/>
      </c>
      <c r="AF376" s="600"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00"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00" t="str">
        <f t="shared" ca="1" si="117"/>
        <v/>
      </c>
      <c r="AI376" s="600" t="str" cm="1">
        <f t="array" ref="AI376">IFERROR(INDEX(始値!$E$6:$BT$305,MATCH(TEXT($B376,"0"),TEXT(銘柄管理!$B$6:$B$305,"0"),0),MATCH($AE376,始値!$E$3:$BT$3,0)),"")</f>
        <v/>
      </c>
      <c r="AJ376" s="608" t="str">
        <f t="shared" ca="1" si="118"/>
        <v/>
      </c>
      <c r="AK376" s="600" t="str">
        <f t="shared" ca="1" si="119"/>
        <v/>
      </c>
    </row>
    <row r="377" spans="1:37" ht="17.25" customHeight="1">
      <c r="A377" s="622" t="str">
        <f t="shared" si="108"/>
        <v/>
      </c>
      <c r="D377" s="440" t="str" cm="1">
        <f t="array" ref="D377">_xll.RssMarket(B377, "銘柄名称")</f>
        <v/>
      </c>
      <c r="E377" s="717"/>
      <c r="F377" s="6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 t="shared" ca="1" si="120"/>
        <v/>
      </c>
      <c r="L377" s="709" t="str">
        <f t="shared" ca="1" si="121"/>
        <v/>
      </c>
      <c r="M377" s="599">
        <f>IF($F377="","",IF($C377="売",CEILING($F377*IF($C377="売",1-$AG$3,1+$AG$3),IF($F377*IF($C377="売",1-$AG$3,1+$AG$3)&lt;=3000,1,IF($F377*IF($C377="売",1-$AG$3,1+$AG$3)&lt;=5000,5,IF($F377*IF($C377="売",1-$AG$3,1+$AG$3)&lt;=30000,10,IF($F377*IF($C377="売",1-$AG$3,1+$AG$3)&lt;=50000,50,IF($F377*IF($C377="売",1-$AG$3,1+$AG$3)&lt;=300000,100,500)))))),FLOOR($F377*IF($C377="売",1-$AG$3,1+$AG$3),IF($F377*IF($C377="売",1-$AG$3,1+$AG$3)&lt;=3000,1,IF($F377*IF($C377="売",1-$AG$3,1+$AG$3)&lt;=5000,5,IF($F377*IF($C377="売",1-$AG$3,1+$AG$3)&lt;=30000,10,IF($F377*IF($C377="売",1-$AG$3,1+$AG$3)&lt;=50000,50,IF($F377*IF($C377="売",1-$AG$3,1+$AG$3)&lt;=300000,100,500))))))))</f>
      </c>
      <c r="N377" s="599">
        <f>IF($F377="","",IF($C377="売",CEILING($F377*IF($C377="売",1+$AG$2,1-$AG$2),IF($F377*IF($C377="売",1+$AG$2,1-$AG$2)&lt;=3000,1,IF($F377*IF($C377="売",1+$AG$2,1-$AG$2)&lt;=5000,5,IF($F377*IF($C377="売",1+$AG$2,1-$AG$2)&lt;=30000,10,IF($F377*IF($C377="売",1+$AG$2,1-$AG$2)&lt;=50000,50,IF($F377*IF($C377="売",1+$AG$2,1-$AG$2)&lt;=300000,100,500)))))),FLOOR($F377*IF($C377="売",1+$AG$2,1-$AG$2),IF($F377*IF($C377="売",1+$AG$2,1-$AG$2)&lt;=3000,1,IF($F377*IF($C377="売",1+$AG$2,1-$AG$2)&lt;=5000,5,IF($F377*IF($C377="売",1+$AG$2,1-$AG$2)&lt;=30000,10,IF($F377*IF($C377="売",1+$AG$2,1-$AG$2)&lt;=50000,50,IF($F377*IF($C377="売",1+$AG$2,1-$AG$2)&lt;=300000,100,500))))))))</f>
      </c>
      <c r="O377" s="478">
        <f>IF(OR($B377="",$F377="",$H377=""),"",IF($S377="✅売却済","―決済済―",IF($C377="売",  IF($H377&lt;=$M377,"🟢利確",  IF(AND($R377&lt;&gt;"",$H377&gt;=$R377),"🟠TRAIL決済",  IF($H377&gt;=$N377,"🔴損切",  IF($W377&gt;=$AG$5,"⏱時間決済",  IF($H377&gt;=$F377*(1+$AG$2*0.7),"⚠️損切接近","保持継続"))))),  IF($H377&gt;=$M377,"🟢利確",  IF(AND($R377&lt;&gt;"",$H377&lt;=$R377),"🟠TRAIL決済",  IF($H377&lt;=$N377,"🔴損切",  IF($W377&gt;=$AG$5,"⏱時間決済",  IF($H377&lt;=$F377*(1-$AG$2*0.7),"⚠️損切接近","保持継続")))))))</f>
      </c>
      <c r="P377" s="445"/>
      <c r="R377" s="440">
        <f>IF(OR($F377="",$H377="",$N377=""),"",IF($S377="✅売却済","",IF($C377="売",  IF($H377&gt;$F377*(1-$AG$2),$N377,CEILING(MIN($N377,IF($Q377="",$N377,$Q377*1.03)),IF($N377&lt;=3000,1,IF($N377&lt;=5000,5,IF($N377&lt;=30000,10,IF($N377&lt;=50000,50,IF($N377&lt;=300000,100,500))))))),  IF($H377&lt;$F377*(1+$AG$2),$N377,FLOOR(MAX($N377,IF($P377="",$N377,$P377*0.97)),IF($N377&lt;=3000,1,IF($N377&lt;=5000,5,IF($N377&lt;=30000,10,IF($N377&lt;=50000,50,IF($N377&lt;=300000,100,500))))))))))</f>
      </c>
      <c r="S377" s="440" t="str">
        <f t="shared" si="123"/>
        <v/>
      </c>
      <c r="T377" s="597" t="str">
        <f t="shared" ca="1" si="112"/>
        <v/>
      </c>
      <c r="U377" s="599" t="str">
        <f t="shared" ca="1" si="113"/>
        <v/>
      </c>
      <c r="V377" s="704" t="str">
        <f t="shared" ca="1" si="124"/>
        <v/>
      </c>
      <c r="W377" s="440" t="str">
        <f t="shared" ca="1" si="114"/>
        <v/>
      </c>
      <c r="X377" s="440" t="str">
        <f t="shared" ca="1" si="115"/>
        <v/>
      </c>
      <c r="Y377">
        <f>IF($B377="","",IF(COUNTIFS($B$4:$B377,$B377,$C$4:$C377,$C377)&gt;1,"⛔重複"&amp;COUNTIFS($B$4:$B377,$B377,$C$4:$C377,$C377)&amp;"回目",""))</f>
      </c>
      <c r="AB377">
        <f>IF($F377="","",MAX(100,ROUNDDOWN($AG$4/($F377*$AG$2)/100,0)*100))</f>
      </c>
      <c r="AC377">
        <f>IF(OR($F377="",$G377="",$U377=""),"",ROUND($V377-($F377+$U377)*$G377*$AG$6-IF($C377="売",$F377*$G377*$AG$7*$W377/365,0),0))</f>
      </c>
      <c r="AD377" s="608"/>
      <c r="AE377" s="600" t="str">
        <f t="shared" si="116"/>
        <v/>
      </c>
      <c r="AF377" s="600"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00"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00" t="str">
        <f t="shared" ca="1" si="117"/>
        <v/>
      </c>
      <c r="AI377" s="600" t="str" cm="1">
        <f t="array" ref="AI377">IFERROR(INDEX(始値!$E$6:$BT$305,MATCH(TEXT($B377,"0"),TEXT(銘柄管理!$B$6:$B$305,"0"),0),MATCH($AE377,始値!$E$3:$BT$3,0)),"")</f>
        <v/>
      </c>
      <c r="AJ377" s="608" t="str">
        <f t="shared" ca="1" si="118"/>
        <v/>
      </c>
      <c r="AK377" s="600" t="str">
        <f t="shared" ca="1" si="119"/>
        <v/>
      </c>
    </row>
    <row r="378" spans="1:37" ht="17.25" customHeight="1">
      <c r="A378" s="622" t="str">
        <f t="shared" si="108"/>
        <v/>
      </c>
      <c r="D378" s="440" t="str" cm="1">
        <f t="array" ref="D378">_xll.RssMarket(B378, "銘柄名称")</f>
        <v/>
      </c>
      <c r="E378" s="717"/>
      <c r="F378" s="6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 t="shared" ca="1" si="120"/>
        <v/>
      </c>
      <c r="L378" s="709" t="str">
        <f t="shared" ca="1" si="121"/>
        <v/>
      </c>
      <c r="M378" s="599">
        <f>IF($F378="","",IF($C378="売",CEILING($F378*IF($C378="売",1-$AG$3,1+$AG$3),IF($F378*IF($C378="売",1-$AG$3,1+$AG$3)&lt;=3000,1,IF($F378*IF($C378="売",1-$AG$3,1+$AG$3)&lt;=5000,5,IF($F378*IF($C378="売",1-$AG$3,1+$AG$3)&lt;=30000,10,IF($F378*IF($C378="売",1-$AG$3,1+$AG$3)&lt;=50000,50,IF($F378*IF($C378="売",1-$AG$3,1+$AG$3)&lt;=300000,100,500)))))),FLOOR($F378*IF($C378="売",1-$AG$3,1+$AG$3),IF($F378*IF($C378="売",1-$AG$3,1+$AG$3)&lt;=3000,1,IF($F378*IF($C378="売",1-$AG$3,1+$AG$3)&lt;=5000,5,IF($F378*IF($C378="売",1-$AG$3,1+$AG$3)&lt;=30000,10,IF($F378*IF($C378="売",1-$AG$3,1+$AG$3)&lt;=50000,50,IF($F378*IF($C378="売",1-$AG$3,1+$AG$3)&lt;=300000,100,500))))))))</f>
      </c>
      <c r="N378" s="599">
        <f>IF($F378="","",IF($C378="売",CEILING($F378*IF($C378="売",1+$AG$2,1-$AG$2),IF($F378*IF($C378="売",1+$AG$2,1-$AG$2)&lt;=3000,1,IF($F378*IF($C378="売",1+$AG$2,1-$AG$2)&lt;=5000,5,IF($F378*IF($C378="売",1+$AG$2,1-$AG$2)&lt;=30000,10,IF($F378*IF($C378="売",1+$AG$2,1-$AG$2)&lt;=50000,50,IF($F378*IF($C378="売",1+$AG$2,1-$AG$2)&lt;=300000,100,500)))))),FLOOR($F378*IF($C378="売",1+$AG$2,1-$AG$2),IF($F378*IF($C378="売",1+$AG$2,1-$AG$2)&lt;=3000,1,IF($F378*IF($C378="売",1+$AG$2,1-$AG$2)&lt;=5000,5,IF($F378*IF($C378="売",1+$AG$2,1-$AG$2)&lt;=30000,10,IF($F378*IF($C378="売",1+$AG$2,1-$AG$2)&lt;=50000,50,IF($F378*IF($C378="売",1+$AG$2,1-$AG$2)&lt;=300000,100,500))))))))</f>
      </c>
      <c r="O378" s="478">
        <f>IF(OR($B378="",$F378="",$H378=""),"",IF($S378="✅売却済","―決済済―",IF($C378="売",  IF($H378&lt;=$M378,"🟢利確",  IF(AND($R378&lt;&gt;"",$H378&gt;=$R378),"🟠TRAIL決済",  IF($H378&gt;=$N378,"🔴損切",  IF($W378&gt;=$AG$5,"⏱時間決済",  IF($H378&gt;=$F378*(1+$AG$2*0.7),"⚠️損切接近","保持継続"))))),  IF($H378&gt;=$M378,"🟢利確",  IF(AND($R378&lt;&gt;"",$H378&lt;=$R378),"🟠TRAIL決済",  IF($H378&lt;=$N378,"🔴損切",  IF($W378&gt;=$AG$5,"⏱時間決済",  IF($H378&lt;=$F378*(1-$AG$2*0.7),"⚠️損切接近","保持継続")))))))</f>
      </c>
      <c r="P378" s="445"/>
      <c r="R378" s="440">
        <f>IF(OR($F378="",$H378="",$N378=""),"",IF($S378="✅売却済","",IF($C378="売",  IF($H378&gt;$F378*(1-$AG$2),$N378,CEILING(MIN($N378,IF($Q378="",$N378,$Q378*1.03)),IF($N378&lt;=3000,1,IF($N378&lt;=5000,5,IF($N378&lt;=30000,10,IF($N378&lt;=50000,50,IF($N378&lt;=300000,100,500))))))),  IF($H378&lt;$F378*(1+$AG$2),$N378,FLOOR(MAX($N378,IF($P378="",$N378,$P378*0.97)),IF($N378&lt;=3000,1,IF($N378&lt;=5000,5,IF($N378&lt;=30000,10,IF($N378&lt;=50000,50,IF($N378&lt;=300000,100,500))))))))))</f>
      </c>
      <c r="S378" s="440" t="str">
        <f t="shared" si="123"/>
        <v/>
      </c>
      <c r="T378" s="597" t="str">
        <f t="shared" ca="1" si="112"/>
        <v/>
      </c>
      <c r="U378" s="599" t="str">
        <f t="shared" ca="1" si="113"/>
        <v/>
      </c>
      <c r="V378" s="704" t="str">
        <f t="shared" ca="1" si="124"/>
        <v/>
      </c>
      <c r="W378" s="440" t="str">
        <f t="shared" ca="1" si="114"/>
        <v/>
      </c>
      <c r="X378" s="440" t="str">
        <f t="shared" ca="1" si="115"/>
        <v/>
      </c>
      <c r="Y378">
        <f>IF($B378="","",IF(COUNTIFS($B$4:$B378,$B378,$C$4:$C378,$C378)&gt;1,"⛔重複"&amp;COUNTIFS($B$4:$B378,$B378,$C$4:$C378,$C378)&amp;"回目",""))</f>
      </c>
      <c r="AB378">
        <f>IF($F378="","",MAX(100,ROUNDDOWN($AG$4/($F378*$AG$2)/100,0)*100))</f>
      </c>
      <c r="AC378">
        <f>IF(OR($F378="",$G378="",$U378=""),"",ROUND($V378-($F378+$U378)*$G378*$AG$6-IF($C378="売",$F378*$G378*$AG$7*$W378/365,0),0))</f>
      </c>
      <c r="AD378" s="608"/>
      <c r="AE378" s="600" t="str">
        <f t="shared" si="116"/>
        <v/>
      </c>
      <c r="AF378" s="600"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00"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00" t="str">
        <f t="shared" ca="1" si="117"/>
        <v/>
      </c>
      <c r="AI378" s="600" t="str" cm="1">
        <f t="array" ref="AI378">IFERROR(INDEX(始値!$E$6:$BT$305,MATCH(TEXT($B378,"0"),TEXT(銘柄管理!$B$6:$B$305,"0"),0),MATCH($AE378,始値!$E$3:$BT$3,0)),"")</f>
        <v/>
      </c>
      <c r="AJ378" s="608" t="str">
        <f t="shared" ca="1" si="118"/>
        <v/>
      </c>
      <c r="AK378" s="600" t="str">
        <f t="shared" ca="1" si="119"/>
        <v/>
      </c>
    </row>
    <row r="379" spans="1:37" ht="17.25" customHeight="1">
      <c r="A379" s="622" t="str">
        <f t="shared" si="108"/>
        <v/>
      </c>
      <c r="D379" s="440" t="str" cm="1">
        <f t="array" ref="D379">_xll.RssMarket(B379, "銘柄名称")</f>
        <v/>
      </c>
      <c r="E379" s="717"/>
      <c r="F379" s="6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 t="shared" ca="1" si="120"/>
        <v/>
      </c>
      <c r="L379" s="709" t="str">
        <f t="shared" ca="1" si="121"/>
        <v/>
      </c>
      <c r="M379" s="599">
        <f>IF($F379="","",IF($C379="売",CEILING($F379*IF($C379="売",1-$AG$3,1+$AG$3),IF($F379*IF($C379="売",1-$AG$3,1+$AG$3)&lt;=3000,1,IF($F379*IF($C379="売",1-$AG$3,1+$AG$3)&lt;=5000,5,IF($F379*IF($C379="売",1-$AG$3,1+$AG$3)&lt;=30000,10,IF($F379*IF($C379="売",1-$AG$3,1+$AG$3)&lt;=50000,50,IF($F379*IF($C379="売",1-$AG$3,1+$AG$3)&lt;=300000,100,500)))))),FLOOR($F379*IF($C379="売",1-$AG$3,1+$AG$3),IF($F379*IF($C379="売",1-$AG$3,1+$AG$3)&lt;=3000,1,IF($F379*IF($C379="売",1-$AG$3,1+$AG$3)&lt;=5000,5,IF($F379*IF($C379="売",1-$AG$3,1+$AG$3)&lt;=30000,10,IF($F379*IF($C379="売",1-$AG$3,1+$AG$3)&lt;=50000,50,IF($F379*IF($C379="売",1-$AG$3,1+$AG$3)&lt;=300000,100,500))))))))</f>
      </c>
      <c r="N379" s="599">
        <f>IF($F379="","",IF($C379="売",CEILING($F379*IF($C379="売",1+$AG$2,1-$AG$2),IF($F379*IF($C379="売",1+$AG$2,1-$AG$2)&lt;=3000,1,IF($F379*IF($C379="売",1+$AG$2,1-$AG$2)&lt;=5000,5,IF($F379*IF($C379="売",1+$AG$2,1-$AG$2)&lt;=30000,10,IF($F379*IF($C379="売",1+$AG$2,1-$AG$2)&lt;=50000,50,IF($F379*IF($C379="売",1+$AG$2,1-$AG$2)&lt;=300000,100,500)))))),FLOOR($F379*IF($C379="売",1+$AG$2,1-$AG$2),IF($F379*IF($C379="売",1+$AG$2,1-$AG$2)&lt;=3000,1,IF($F379*IF($C379="売",1+$AG$2,1-$AG$2)&lt;=5000,5,IF($F379*IF($C379="売",1+$AG$2,1-$AG$2)&lt;=30000,10,IF($F379*IF($C379="売",1+$AG$2,1-$AG$2)&lt;=50000,50,IF($F379*IF($C379="売",1+$AG$2,1-$AG$2)&lt;=300000,100,500))))))))</f>
      </c>
      <c r="O379" s="478">
        <f>IF(OR($B379="",$F379="",$H379=""),"",IF($S379="✅売却済","―決済済―",IF($C379="売",  IF($H379&lt;=$M379,"🟢利確",  IF(AND($R379&lt;&gt;"",$H379&gt;=$R379),"🟠TRAIL決済",  IF($H379&gt;=$N379,"🔴損切",  IF($W379&gt;=$AG$5,"⏱時間決済",  IF($H379&gt;=$F379*(1+$AG$2*0.7),"⚠️損切接近","保持継続"))))),  IF($H379&gt;=$M379,"🟢利確",  IF(AND($R379&lt;&gt;"",$H379&lt;=$R379),"🟠TRAIL決済",  IF($H379&lt;=$N379,"🔴損切",  IF($W379&gt;=$AG$5,"⏱時間決済",  IF($H379&lt;=$F379*(1-$AG$2*0.7),"⚠️損切接近","保持継続")))))))</f>
      </c>
      <c r="P379" s="445"/>
      <c r="R379" s="440">
        <f>IF(OR($F379="",$H379="",$N379=""),"",IF($S379="✅売却済","",IF($C379="売",  IF($H379&gt;$F379*(1-$AG$2),$N379,CEILING(MIN($N379,IF($Q379="",$N379,$Q379*1.03)),IF($N379&lt;=3000,1,IF($N379&lt;=5000,5,IF($N379&lt;=30000,10,IF($N379&lt;=50000,50,IF($N379&lt;=300000,100,500))))))),  IF($H379&lt;$F379*(1+$AG$2),$N379,FLOOR(MAX($N379,IF($P379="",$N379,$P379*0.97)),IF($N379&lt;=3000,1,IF($N379&lt;=5000,5,IF($N379&lt;=30000,10,IF($N379&lt;=50000,50,IF($N379&lt;=300000,100,500))))))))))</f>
      </c>
      <c r="S379" s="440" t="str">
        <f t="shared" si="123"/>
        <v/>
      </c>
      <c r="T379" s="597" t="str">
        <f t="shared" ca="1" si="112"/>
        <v/>
      </c>
      <c r="U379" s="599" t="str">
        <f t="shared" ca="1" si="113"/>
        <v/>
      </c>
      <c r="V379" s="704" t="str">
        <f t="shared" ca="1" si="124"/>
        <v/>
      </c>
      <c r="W379" s="440" t="str">
        <f t="shared" ca="1" si="114"/>
        <v/>
      </c>
      <c r="X379" s="440" t="str">
        <f t="shared" ca="1" si="115"/>
        <v/>
      </c>
      <c r="Y379">
        <f>IF($B379="","",IF(COUNTIFS($B$4:$B379,$B379,$C$4:$C379,$C379)&gt;1,"⛔重複"&amp;COUNTIFS($B$4:$B379,$B379,$C$4:$C379,$C379)&amp;"回目",""))</f>
      </c>
      <c r="AB379">
        <f>IF($F379="","",MAX(100,ROUNDDOWN($AG$4/($F379*$AG$2)/100,0)*100))</f>
      </c>
      <c r="AC379">
        <f>IF(OR($F379="",$G379="",$U379=""),"",ROUND($V379-($F379+$U379)*$G379*$AG$6-IF($C379="売",$F379*$G379*$AG$7*$W379/365,0),0))</f>
      </c>
      <c r="AD379" s="608"/>
      <c r="AE379" s="600" t="str">
        <f t="shared" si="116"/>
        <v/>
      </c>
      <c r="AF379" s="600"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00"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00" t="str">
        <f t="shared" ca="1" si="117"/>
        <v/>
      </c>
      <c r="AI379" s="600" t="str" cm="1">
        <f t="array" ref="AI379">IFERROR(INDEX(始値!$E$6:$BT$305,MATCH(TEXT($B379,"0"),TEXT(銘柄管理!$B$6:$B$305,"0"),0),MATCH($AE379,始値!$E$3:$BT$3,0)),"")</f>
        <v/>
      </c>
      <c r="AJ379" s="608" t="str">
        <f t="shared" ca="1" si="118"/>
        <v/>
      </c>
      <c r="AK379" s="600" t="str">
        <f t="shared" ca="1" si="119"/>
        <v/>
      </c>
    </row>
    <row r="380" spans="1:37" ht="17.25" customHeight="1">
      <c r="A380" s="622" t="str">
        <f t="shared" si="108"/>
        <v/>
      </c>
      <c r="D380" s="440" t="str" cm="1">
        <f t="array" ref="D380">_xll.RssMarket(B380, "銘柄名称")</f>
        <v/>
      </c>
      <c r="E380" s="717"/>
      <c r="F380" s="6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 t="shared" ca="1" si="120"/>
        <v/>
      </c>
      <c r="L380" s="709" t="str">
        <f t="shared" ca="1" si="121"/>
        <v/>
      </c>
      <c r="M380" s="599">
        <f>IF($F380="","",IF($C380="売",CEILING($F380*IF($C380="売",1-$AG$3,1+$AG$3),IF($F380*IF($C380="売",1-$AG$3,1+$AG$3)&lt;=3000,1,IF($F380*IF($C380="売",1-$AG$3,1+$AG$3)&lt;=5000,5,IF($F380*IF($C380="売",1-$AG$3,1+$AG$3)&lt;=30000,10,IF($F380*IF($C380="売",1-$AG$3,1+$AG$3)&lt;=50000,50,IF($F380*IF($C380="売",1-$AG$3,1+$AG$3)&lt;=300000,100,500)))))),FLOOR($F380*IF($C380="売",1-$AG$3,1+$AG$3),IF($F380*IF($C380="売",1-$AG$3,1+$AG$3)&lt;=3000,1,IF($F380*IF($C380="売",1-$AG$3,1+$AG$3)&lt;=5000,5,IF($F380*IF($C380="売",1-$AG$3,1+$AG$3)&lt;=30000,10,IF($F380*IF($C380="売",1-$AG$3,1+$AG$3)&lt;=50000,50,IF($F380*IF($C380="売",1-$AG$3,1+$AG$3)&lt;=300000,100,500))))))))</f>
      </c>
      <c r="N380" s="599">
        <f>IF($F380="","",IF($C380="売",CEILING($F380*IF($C380="売",1+$AG$2,1-$AG$2),IF($F380*IF($C380="売",1+$AG$2,1-$AG$2)&lt;=3000,1,IF($F380*IF($C380="売",1+$AG$2,1-$AG$2)&lt;=5000,5,IF($F380*IF($C380="売",1+$AG$2,1-$AG$2)&lt;=30000,10,IF($F380*IF($C380="売",1+$AG$2,1-$AG$2)&lt;=50000,50,IF($F380*IF($C380="売",1+$AG$2,1-$AG$2)&lt;=300000,100,500)))))),FLOOR($F380*IF($C380="売",1+$AG$2,1-$AG$2),IF($F380*IF($C380="売",1+$AG$2,1-$AG$2)&lt;=3000,1,IF($F380*IF($C380="売",1+$AG$2,1-$AG$2)&lt;=5000,5,IF($F380*IF($C380="売",1+$AG$2,1-$AG$2)&lt;=30000,10,IF($F380*IF($C380="売",1+$AG$2,1-$AG$2)&lt;=50000,50,IF($F380*IF($C380="売",1+$AG$2,1-$AG$2)&lt;=300000,100,500))))))))</f>
      </c>
      <c r="O380" s="478">
        <f>IF(OR($B380="",$F380="",$H380=""),"",IF($S380="✅売却済","―決済済―",IF($C380="売",  IF($H380&lt;=$M380,"🟢利確",  IF(AND($R380&lt;&gt;"",$H380&gt;=$R380),"🟠TRAIL決済",  IF($H380&gt;=$N380,"🔴損切",  IF($W380&gt;=$AG$5,"⏱時間決済",  IF($H380&gt;=$F380*(1+$AG$2*0.7),"⚠️損切接近","保持継続"))))),  IF($H380&gt;=$M380,"🟢利確",  IF(AND($R380&lt;&gt;"",$H380&lt;=$R380),"🟠TRAIL決済",  IF($H380&lt;=$N380,"🔴損切",  IF($W380&gt;=$AG$5,"⏱時間決済",  IF($H380&lt;=$F380*(1-$AG$2*0.7),"⚠️損切接近","保持継続")))))))</f>
      </c>
      <c r="P380" s="445"/>
      <c r="R380" s="440">
        <f>IF(OR($F380="",$H380="",$N380=""),"",IF($S380="✅売却済","",IF($C380="売",  IF($H380&gt;$F380*(1-$AG$2),$N380,CEILING(MIN($N380,IF($Q380="",$N380,$Q380*1.03)),IF($N380&lt;=3000,1,IF($N380&lt;=5000,5,IF($N380&lt;=30000,10,IF($N380&lt;=50000,50,IF($N380&lt;=300000,100,500))))))),  IF($H380&lt;$F380*(1+$AG$2),$N380,FLOOR(MAX($N380,IF($P380="",$N380,$P380*0.97)),IF($N380&lt;=3000,1,IF($N380&lt;=5000,5,IF($N380&lt;=30000,10,IF($N380&lt;=50000,50,IF($N380&lt;=300000,100,500))))))))))</f>
      </c>
      <c r="S380" s="440" t="str">
        <f t="shared" si="123"/>
        <v/>
      </c>
      <c r="T380" s="597" t="str">
        <f t="shared" ca="1" si="112"/>
        <v/>
      </c>
      <c r="U380" s="599" t="str">
        <f t="shared" ca="1" si="113"/>
        <v/>
      </c>
      <c r="V380" s="704" t="str">
        <f t="shared" ca="1" si="124"/>
        <v/>
      </c>
      <c r="W380" s="440" t="str">
        <f t="shared" ca="1" si="114"/>
        <v/>
      </c>
      <c r="X380" s="440" t="str">
        <f t="shared" ca="1" si="115"/>
        <v/>
      </c>
      <c r="Y380">
        <f>IF($B380="","",IF(COUNTIFS($B$4:$B380,$B380,$C$4:$C380,$C380)&gt;1,"⛔重複"&amp;COUNTIFS($B$4:$B380,$B380,$C$4:$C380,$C380)&amp;"回目",""))</f>
      </c>
      <c r="AB380">
        <f>IF($F380="","",MAX(100,ROUNDDOWN($AG$4/($F380*$AG$2)/100,0)*100))</f>
      </c>
      <c r="AC380">
        <f>IF(OR($F380="",$G380="",$U380=""),"",ROUND($V380-($F380+$U380)*$G380*$AG$6-IF($C380="売",$F380*$G380*$AG$7*$W380/365,0),0))</f>
      </c>
      <c r="AD380" s="608"/>
      <c r="AE380" s="600" t="str">
        <f t="shared" si="116"/>
        <v/>
      </c>
      <c r="AF380" s="600"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00"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00" t="str">
        <f t="shared" ca="1" si="117"/>
        <v/>
      </c>
      <c r="AI380" s="600" t="str" cm="1">
        <f t="array" ref="AI380">IFERROR(INDEX(始値!$E$6:$BT$305,MATCH(TEXT($B380,"0"),TEXT(銘柄管理!$B$6:$B$305,"0"),0),MATCH($AE380,始値!$E$3:$BT$3,0)),"")</f>
        <v/>
      </c>
      <c r="AJ380" s="608" t="str">
        <f t="shared" ca="1" si="118"/>
        <v/>
      </c>
      <c r="AK380" s="600" t="str">
        <f t="shared" ca="1" si="119"/>
        <v/>
      </c>
    </row>
    <row r="381" spans="1:37" ht="17.25" customHeight="1">
      <c r="A381" s="622" t="str">
        <f t="shared" si="108"/>
        <v/>
      </c>
      <c r="D381" s="440" t="str" cm="1">
        <f t="array" ref="D381">_xll.RssMarket(B381, "銘柄名称")</f>
        <v/>
      </c>
      <c r="E381" s="717"/>
      <c r="F381" s="6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 t="shared" ca="1" si="120"/>
        <v/>
      </c>
      <c r="L381" s="709" t="str">
        <f t="shared" ca="1" si="121"/>
        <v/>
      </c>
      <c r="M381" s="599">
        <f>IF($F381="","",IF($C381="売",CEILING($F381*IF($C381="売",1-$AG$3,1+$AG$3),IF($F381*IF($C381="売",1-$AG$3,1+$AG$3)&lt;=3000,1,IF($F381*IF($C381="売",1-$AG$3,1+$AG$3)&lt;=5000,5,IF($F381*IF($C381="売",1-$AG$3,1+$AG$3)&lt;=30000,10,IF($F381*IF($C381="売",1-$AG$3,1+$AG$3)&lt;=50000,50,IF($F381*IF($C381="売",1-$AG$3,1+$AG$3)&lt;=300000,100,500)))))),FLOOR($F381*IF($C381="売",1-$AG$3,1+$AG$3),IF($F381*IF($C381="売",1-$AG$3,1+$AG$3)&lt;=3000,1,IF($F381*IF($C381="売",1-$AG$3,1+$AG$3)&lt;=5000,5,IF($F381*IF($C381="売",1-$AG$3,1+$AG$3)&lt;=30000,10,IF($F381*IF($C381="売",1-$AG$3,1+$AG$3)&lt;=50000,50,IF($F381*IF($C381="売",1-$AG$3,1+$AG$3)&lt;=300000,100,500))))))))</f>
      </c>
      <c r="N381" s="599">
        <f>IF($F381="","",IF($C381="売",CEILING($F381*IF($C381="売",1+$AG$2,1-$AG$2),IF($F381*IF($C381="売",1+$AG$2,1-$AG$2)&lt;=3000,1,IF($F381*IF($C381="売",1+$AG$2,1-$AG$2)&lt;=5000,5,IF($F381*IF($C381="売",1+$AG$2,1-$AG$2)&lt;=30000,10,IF($F381*IF($C381="売",1+$AG$2,1-$AG$2)&lt;=50000,50,IF($F381*IF($C381="売",1+$AG$2,1-$AG$2)&lt;=300000,100,500)))))),FLOOR($F381*IF($C381="売",1+$AG$2,1-$AG$2),IF($F381*IF($C381="売",1+$AG$2,1-$AG$2)&lt;=3000,1,IF($F381*IF($C381="売",1+$AG$2,1-$AG$2)&lt;=5000,5,IF($F381*IF($C381="売",1+$AG$2,1-$AG$2)&lt;=30000,10,IF($F381*IF($C381="売",1+$AG$2,1-$AG$2)&lt;=50000,50,IF($F381*IF($C381="売",1+$AG$2,1-$AG$2)&lt;=300000,100,500))))))))</f>
      </c>
      <c r="O381" s="478">
        <f>IF(OR($B381="",$F381="",$H381=""),"",IF($S381="✅売却済","―決済済―",IF($C381="売",  IF($H381&lt;=$M381,"🟢利確",  IF(AND($R381&lt;&gt;"",$H381&gt;=$R381),"🟠TRAIL決済",  IF($H381&gt;=$N381,"🔴損切",  IF($W381&gt;=$AG$5,"⏱時間決済",  IF($H381&gt;=$F381*(1+$AG$2*0.7),"⚠️損切接近","保持継続"))))),  IF($H381&gt;=$M381,"🟢利確",  IF(AND($R381&lt;&gt;"",$H381&lt;=$R381),"🟠TRAIL決済",  IF($H381&lt;=$N381,"🔴損切",  IF($W381&gt;=$AG$5,"⏱時間決済",  IF($H381&lt;=$F381*(1-$AG$2*0.7),"⚠️損切接近","保持継続")))))))</f>
      </c>
      <c r="P381" s="445"/>
      <c r="R381" s="440">
        <f>IF(OR($F381="",$H381="",$N381=""),"",IF($S381="✅売却済","",IF($C381="売",  IF($H381&gt;$F381*(1-$AG$2),$N381,CEILING(MIN($N381,IF($Q381="",$N381,$Q381*1.03)),IF($N381&lt;=3000,1,IF($N381&lt;=5000,5,IF($N381&lt;=30000,10,IF($N381&lt;=50000,50,IF($N381&lt;=300000,100,500))))))),  IF($H381&lt;$F381*(1+$AG$2),$N381,FLOOR(MAX($N381,IF($P381="",$N381,$P381*0.97)),IF($N381&lt;=3000,1,IF($N381&lt;=5000,5,IF($N381&lt;=30000,10,IF($N381&lt;=50000,50,IF($N381&lt;=300000,100,500))))))))))</f>
      </c>
      <c r="S381" s="440" t="str">
        <f t="shared" si="123"/>
        <v/>
      </c>
      <c r="T381" s="597" t="str">
        <f t="shared" ca="1" si="112"/>
        <v/>
      </c>
      <c r="U381" s="599" t="str">
        <f t="shared" ca="1" si="113"/>
        <v/>
      </c>
      <c r="V381" s="704" t="str">
        <f t="shared" ca="1" si="124"/>
        <v/>
      </c>
      <c r="W381" s="440" t="str">
        <f t="shared" ca="1" si="114"/>
        <v/>
      </c>
      <c r="X381" s="440" t="str">
        <f t="shared" ca="1" si="115"/>
        <v/>
      </c>
      <c r="Y381">
        <f>IF($B381="","",IF(COUNTIFS($B$4:$B381,$B381,$C$4:$C381,$C381)&gt;1,"⛔重複"&amp;COUNTIFS($B$4:$B381,$B381,$C$4:$C381,$C381)&amp;"回目",""))</f>
      </c>
      <c r="AB381">
        <f>IF($F381="","",MAX(100,ROUNDDOWN($AG$4/($F381*$AG$2)/100,0)*100))</f>
      </c>
      <c r="AC381">
        <f>IF(OR($F381="",$G381="",$U381=""),"",ROUND($V381-($F381+$U381)*$G381*$AG$6-IF($C381="売",$F381*$G381*$AG$7*$W381/365,0),0))</f>
      </c>
      <c r="AD381" s="608"/>
      <c r="AE381" s="600" t="str">
        <f t="shared" si="116"/>
        <v/>
      </c>
      <c r="AF381" s="600"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00"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00" t="str">
        <f t="shared" ca="1" si="117"/>
        <v/>
      </c>
      <c r="AI381" s="600" t="str" cm="1">
        <f t="array" ref="AI381">IFERROR(INDEX(始値!$E$6:$BT$305,MATCH(TEXT($B381,"0"),TEXT(銘柄管理!$B$6:$B$305,"0"),0),MATCH($AE381,始値!$E$3:$BT$3,0)),"")</f>
        <v/>
      </c>
      <c r="AJ381" s="608" t="str">
        <f t="shared" ca="1" si="118"/>
        <v/>
      </c>
      <c r="AK381" s="600" t="str">
        <f t="shared" ca="1" si="119"/>
        <v/>
      </c>
    </row>
    <row r="382" spans="1:37" ht="17.25" customHeight="1">
      <c r="A382" s="622" t="str">
        <f t="shared" si="108"/>
        <v/>
      </c>
      <c r="D382" s="440" t="str" cm="1">
        <f t="array" ref="D382">_xll.RssMarket(B382, "銘柄名称")</f>
        <v/>
      </c>
      <c r="E382" s="717"/>
      <c r="F382" s="6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 t="shared" ca="1" si="120"/>
        <v/>
      </c>
      <c r="L382" s="709" t="str">
        <f t="shared" ca="1" si="121"/>
        <v/>
      </c>
      <c r="M382" s="599">
        <f>IF($F382="","",IF($C382="売",CEILING($F382*IF($C382="売",1-$AG$3,1+$AG$3),IF($F382*IF($C382="売",1-$AG$3,1+$AG$3)&lt;=3000,1,IF($F382*IF($C382="売",1-$AG$3,1+$AG$3)&lt;=5000,5,IF($F382*IF($C382="売",1-$AG$3,1+$AG$3)&lt;=30000,10,IF($F382*IF($C382="売",1-$AG$3,1+$AG$3)&lt;=50000,50,IF($F382*IF($C382="売",1-$AG$3,1+$AG$3)&lt;=300000,100,500)))))),FLOOR($F382*IF($C382="売",1-$AG$3,1+$AG$3),IF($F382*IF($C382="売",1-$AG$3,1+$AG$3)&lt;=3000,1,IF($F382*IF($C382="売",1-$AG$3,1+$AG$3)&lt;=5000,5,IF($F382*IF($C382="売",1-$AG$3,1+$AG$3)&lt;=30000,10,IF($F382*IF($C382="売",1-$AG$3,1+$AG$3)&lt;=50000,50,IF($F382*IF($C382="売",1-$AG$3,1+$AG$3)&lt;=300000,100,500))))))))</f>
      </c>
      <c r="N382" s="599">
        <f>IF($F382="","",IF($C382="売",CEILING($F382*IF($C382="売",1+$AG$2,1-$AG$2),IF($F382*IF($C382="売",1+$AG$2,1-$AG$2)&lt;=3000,1,IF($F382*IF($C382="売",1+$AG$2,1-$AG$2)&lt;=5000,5,IF($F382*IF($C382="売",1+$AG$2,1-$AG$2)&lt;=30000,10,IF($F382*IF($C382="売",1+$AG$2,1-$AG$2)&lt;=50000,50,IF($F382*IF($C382="売",1+$AG$2,1-$AG$2)&lt;=300000,100,500)))))),FLOOR($F382*IF($C382="売",1+$AG$2,1-$AG$2),IF($F382*IF($C382="売",1+$AG$2,1-$AG$2)&lt;=3000,1,IF($F382*IF($C382="売",1+$AG$2,1-$AG$2)&lt;=5000,5,IF($F382*IF($C382="売",1+$AG$2,1-$AG$2)&lt;=30000,10,IF($F382*IF($C382="売",1+$AG$2,1-$AG$2)&lt;=50000,50,IF($F382*IF($C382="売",1+$AG$2,1-$AG$2)&lt;=300000,100,500))))))))</f>
      </c>
      <c r="O382" s="478">
        <f>IF(OR($B382="",$F382="",$H382=""),"",IF($S382="✅売却済","―決済済―",IF($C382="売",  IF($H382&lt;=$M382,"🟢利確",  IF(AND($R382&lt;&gt;"",$H382&gt;=$R382),"🟠TRAIL決済",  IF($H382&gt;=$N382,"🔴損切",  IF($W382&gt;=$AG$5,"⏱時間決済",  IF($H382&gt;=$F382*(1+$AG$2*0.7),"⚠️損切接近","保持継続"))))),  IF($H382&gt;=$M382,"🟢利確",  IF(AND($R382&lt;&gt;"",$H382&lt;=$R382),"🟠TRAIL決済",  IF($H382&lt;=$N382,"🔴損切",  IF($W382&gt;=$AG$5,"⏱時間決済",  IF($H382&lt;=$F382*(1-$AG$2*0.7),"⚠️損切接近","保持継続")))))))</f>
      </c>
      <c r="P382" s="445"/>
      <c r="R382" s="440">
        <f>IF(OR($F382="",$H382="",$N382=""),"",IF($S382="✅売却済","",IF($C382="売",  IF($H382&gt;$F382*(1-$AG$2),$N382,CEILING(MIN($N382,IF($Q382="",$N382,$Q382*1.03)),IF($N382&lt;=3000,1,IF($N382&lt;=5000,5,IF($N382&lt;=30000,10,IF($N382&lt;=50000,50,IF($N382&lt;=300000,100,500))))))),  IF($H382&lt;$F382*(1+$AG$2),$N382,FLOOR(MAX($N382,IF($P382="",$N382,$P382*0.97)),IF($N382&lt;=3000,1,IF($N382&lt;=5000,5,IF($N382&lt;=30000,10,IF($N382&lt;=50000,50,IF($N382&lt;=300000,100,500))))))))))</f>
      </c>
      <c r="S382" s="440" t="str">
        <f t="shared" si="123"/>
        <v/>
      </c>
      <c r="T382" s="597" t="str">
        <f t="shared" ca="1" si="112"/>
        <v/>
      </c>
      <c r="U382" s="599" t="str">
        <f t="shared" ca="1" si="113"/>
        <v/>
      </c>
      <c r="V382" s="704" t="str">
        <f t="shared" ca="1" si="124"/>
        <v/>
      </c>
      <c r="W382" s="440" t="str">
        <f t="shared" ca="1" si="114"/>
        <v/>
      </c>
      <c r="X382" s="440" t="str">
        <f t="shared" ca="1" si="115"/>
        <v/>
      </c>
      <c r="Y382">
        <f>IF($B382="","",IF(COUNTIFS($B$4:$B382,$B382,$C$4:$C382,$C382)&gt;1,"⛔重複"&amp;COUNTIFS($B$4:$B382,$B382,$C$4:$C382,$C382)&amp;"回目",""))</f>
      </c>
      <c r="AB382">
        <f>IF($F382="","",MAX(100,ROUNDDOWN($AG$4/($F382*$AG$2)/100,0)*100))</f>
      </c>
      <c r="AC382">
        <f>IF(OR($F382="",$G382="",$U382=""),"",ROUND($V382-($F382+$U382)*$G382*$AG$6-IF($C382="売",$F382*$G382*$AG$7*$W382/365,0),0))</f>
      </c>
      <c r="AD382" s="608"/>
      <c r="AE382" s="600" t="str">
        <f t="shared" si="116"/>
        <v/>
      </c>
      <c r="AF382" s="600"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00"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00" t="str">
        <f t="shared" ca="1" si="117"/>
        <v/>
      </c>
      <c r="AI382" s="600" t="str" cm="1">
        <f t="array" ref="AI382">IFERROR(INDEX(始値!$E$6:$BT$305,MATCH(TEXT($B382,"0"),TEXT(銘柄管理!$B$6:$B$305,"0"),0),MATCH($AE382,始値!$E$3:$BT$3,0)),"")</f>
        <v/>
      </c>
      <c r="AJ382" s="608" t="str">
        <f t="shared" ca="1" si="118"/>
        <v/>
      </c>
      <c r="AK382" s="600" t="str">
        <f t="shared" ca="1" si="119"/>
        <v/>
      </c>
    </row>
    <row r="383" spans="1:37" ht="17.25" customHeight="1">
      <c r="A383" s="622" t="str">
        <f t="shared" si="108"/>
        <v/>
      </c>
      <c r="D383" s="440" t="str" cm="1">
        <f t="array" ref="D383">_xll.RssMarket(B383, "銘柄名称")</f>
        <v/>
      </c>
      <c r="E383" s="717"/>
      <c r="F383" s="6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 t="shared" ca="1" si="120"/>
        <v/>
      </c>
      <c r="L383" s="709" t="str">
        <f t="shared" ca="1" si="121"/>
        <v/>
      </c>
      <c r="M383" s="599">
        <f>IF($F383="","",IF($C383="売",CEILING($F383*IF($C383="売",1-$AG$3,1+$AG$3),IF($F383*IF($C383="売",1-$AG$3,1+$AG$3)&lt;=3000,1,IF($F383*IF($C383="売",1-$AG$3,1+$AG$3)&lt;=5000,5,IF($F383*IF($C383="売",1-$AG$3,1+$AG$3)&lt;=30000,10,IF($F383*IF($C383="売",1-$AG$3,1+$AG$3)&lt;=50000,50,IF($F383*IF($C383="売",1-$AG$3,1+$AG$3)&lt;=300000,100,500)))))),FLOOR($F383*IF($C383="売",1-$AG$3,1+$AG$3),IF($F383*IF($C383="売",1-$AG$3,1+$AG$3)&lt;=3000,1,IF($F383*IF($C383="売",1-$AG$3,1+$AG$3)&lt;=5000,5,IF($F383*IF($C383="売",1-$AG$3,1+$AG$3)&lt;=30000,10,IF($F383*IF($C383="売",1-$AG$3,1+$AG$3)&lt;=50000,50,IF($F383*IF($C383="売",1-$AG$3,1+$AG$3)&lt;=300000,100,500))))))))</f>
      </c>
      <c r="N383" s="599">
        <f>IF($F383="","",IF($C383="売",CEILING($F383*IF($C383="売",1+$AG$2,1-$AG$2),IF($F383*IF($C383="売",1+$AG$2,1-$AG$2)&lt;=3000,1,IF($F383*IF($C383="売",1+$AG$2,1-$AG$2)&lt;=5000,5,IF($F383*IF($C383="売",1+$AG$2,1-$AG$2)&lt;=30000,10,IF($F383*IF($C383="売",1+$AG$2,1-$AG$2)&lt;=50000,50,IF($F383*IF($C383="売",1+$AG$2,1-$AG$2)&lt;=300000,100,500)))))),FLOOR($F383*IF($C383="売",1+$AG$2,1-$AG$2),IF($F383*IF($C383="売",1+$AG$2,1-$AG$2)&lt;=3000,1,IF($F383*IF($C383="売",1+$AG$2,1-$AG$2)&lt;=5000,5,IF($F383*IF($C383="売",1+$AG$2,1-$AG$2)&lt;=30000,10,IF($F383*IF($C383="売",1+$AG$2,1-$AG$2)&lt;=50000,50,IF($F383*IF($C383="売",1+$AG$2,1-$AG$2)&lt;=300000,100,500))))))))</f>
      </c>
      <c r="O383" s="478">
        <f>IF(OR($B383="",$F383="",$H383=""),"",IF($S383="✅売却済","―決済済―",IF($C383="売",  IF($H383&lt;=$M383,"🟢利確",  IF(AND($R383&lt;&gt;"",$H383&gt;=$R383),"🟠TRAIL決済",  IF($H383&gt;=$N383,"🔴損切",  IF($W383&gt;=$AG$5,"⏱時間決済",  IF($H383&gt;=$F383*(1+$AG$2*0.7),"⚠️損切接近","保持継続"))))),  IF($H383&gt;=$M383,"🟢利確",  IF(AND($R383&lt;&gt;"",$H383&lt;=$R383),"🟠TRAIL決済",  IF($H383&lt;=$N383,"🔴損切",  IF($W383&gt;=$AG$5,"⏱時間決済",  IF($H383&lt;=$F383*(1-$AG$2*0.7),"⚠️損切接近","保持継続")))))))</f>
      </c>
      <c r="P383" s="445"/>
      <c r="R383" s="440">
        <f>IF(OR($F383="",$H383="",$N383=""),"",IF($S383="✅売却済","",IF($C383="売",  IF($H383&gt;$F383*(1-$AG$2),$N383,CEILING(MIN($N383,IF($Q383="",$N383,$Q383*1.03)),IF($N383&lt;=3000,1,IF($N383&lt;=5000,5,IF($N383&lt;=30000,10,IF($N383&lt;=50000,50,IF($N383&lt;=300000,100,500))))))),  IF($H383&lt;$F383*(1+$AG$2),$N383,FLOOR(MAX($N383,IF($P383="",$N383,$P383*0.97)),IF($N383&lt;=3000,1,IF($N383&lt;=5000,5,IF($N383&lt;=30000,10,IF($N383&lt;=50000,50,IF($N383&lt;=300000,100,500))))))))))</f>
      </c>
      <c r="S383" s="440" t="str">
        <f t="shared" si="123"/>
        <v/>
      </c>
      <c r="T383" s="597" t="str">
        <f t="shared" ca="1" si="112"/>
        <v/>
      </c>
      <c r="U383" s="599" t="str">
        <f t="shared" ca="1" si="113"/>
        <v/>
      </c>
      <c r="V383" s="704" t="str">
        <f t="shared" ca="1" si="124"/>
        <v/>
      </c>
      <c r="W383" s="440" t="str">
        <f t="shared" ca="1" si="114"/>
        <v/>
      </c>
      <c r="X383" s="440" t="str">
        <f t="shared" ca="1" si="115"/>
        <v/>
      </c>
      <c r="Y383">
        <f>IF($B383="","",IF(COUNTIFS($B$4:$B383,$B383,$C$4:$C383,$C383)&gt;1,"⛔重複"&amp;COUNTIFS($B$4:$B383,$B383,$C$4:$C383,$C383)&amp;"回目",""))</f>
      </c>
      <c r="AB383">
        <f>IF($F383="","",MAX(100,ROUNDDOWN($AG$4/($F383*$AG$2)/100,0)*100))</f>
      </c>
      <c r="AC383">
        <f>IF(OR($F383="",$G383="",$U383=""),"",ROUND($V383-($F383+$U383)*$G383*$AG$6-IF($C383="売",$F383*$G383*$AG$7*$W383/365,0),0))</f>
      </c>
      <c r="AD383" s="608"/>
      <c r="AE383" s="600" t="str">
        <f t="shared" si="116"/>
        <v/>
      </c>
      <c r="AF383" s="600"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00"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00" t="str">
        <f t="shared" ca="1" si="117"/>
        <v/>
      </c>
      <c r="AI383" s="600" t="str" cm="1">
        <f t="array" ref="AI383">IFERROR(INDEX(始値!$E$6:$BT$305,MATCH(TEXT($B383,"0"),TEXT(銘柄管理!$B$6:$B$305,"0"),0),MATCH($AE383,始値!$E$3:$BT$3,0)),"")</f>
        <v/>
      </c>
      <c r="AJ383" s="608" t="str">
        <f t="shared" ca="1" si="118"/>
        <v/>
      </c>
      <c r="AK383" s="600" t="str">
        <f t="shared" ca="1" si="119"/>
        <v/>
      </c>
    </row>
    <row r="384" spans="1:37" ht="17.25" customHeight="1">
      <c r="A384" s="622" t="str">
        <f t="shared" si="108"/>
        <v/>
      </c>
      <c r="D384" s="440" t="str" cm="1">
        <f t="array" ref="D384">_xll.RssMarket(B384, "銘柄名称")</f>
        <v/>
      </c>
      <c r="E384" s="717"/>
      <c r="F384" s="6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 t="shared" ca="1" si="120"/>
        <v/>
      </c>
      <c r="L384" s="709" t="str">
        <f t="shared" ca="1" si="121"/>
        <v/>
      </c>
      <c r="M384" s="599">
        <f>IF($F384="","",IF($C384="売",CEILING($F384*IF($C384="売",1-$AG$3,1+$AG$3),IF($F384*IF($C384="売",1-$AG$3,1+$AG$3)&lt;=3000,1,IF($F384*IF($C384="売",1-$AG$3,1+$AG$3)&lt;=5000,5,IF($F384*IF($C384="売",1-$AG$3,1+$AG$3)&lt;=30000,10,IF($F384*IF($C384="売",1-$AG$3,1+$AG$3)&lt;=50000,50,IF($F384*IF($C384="売",1-$AG$3,1+$AG$3)&lt;=300000,100,500)))))),FLOOR($F384*IF($C384="売",1-$AG$3,1+$AG$3),IF($F384*IF($C384="売",1-$AG$3,1+$AG$3)&lt;=3000,1,IF($F384*IF($C384="売",1-$AG$3,1+$AG$3)&lt;=5000,5,IF($F384*IF($C384="売",1-$AG$3,1+$AG$3)&lt;=30000,10,IF($F384*IF($C384="売",1-$AG$3,1+$AG$3)&lt;=50000,50,IF($F384*IF($C384="売",1-$AG$3,1+$AG$3)&lt;=300000,100,500))))))))</f>
      </c>
      <c r="N384" s="599">
        <f>IF($F384="","",IF($C384="売",CEILING($F384*IF($C384="売",1+$AG$2,1-$AG$2),IF($F384*IF($C384="売",1+$AG$2,1-$AG$2)&lt;=3000,1,IF($F384*IF($C384="売",1+$AG$2,1-$AG$2)&lt;=5000,5,IF($F384*IF($C384="売",1+$AG$2,1-$AG$2)&lt;=30000,10,IF($F384*IF($C384="売",1+$AG$2,1-$AG$2)&lt;=50000,50,IF($F384*IF($C384="売",1+$AG$2,1-$AG$2)&lt;=300000,100,500)))))),FLOOR($F384*IF($C384="売",1+$AG$2,1-$AG$2),IF($F384*IF($C384="売",1+$AG$2,1-$AG$2)&lt;=3000,1,IF($F384*IF($C384="売",1+$AG$2,1-$AG$2)&lt;=5000,5,IF($F384*IF($C384="売",1+$AG$2,1-$AG$2)&lt;=30000,10,IF($F384*IF($C384="売",1+$AG$2,1-$AG$2)&lt;=50000,50,IF($F384*IF($C384="売",1+$AG$2,1-$AG$2)&lt;=300000,100,500))))))))</f>
      </c>
      <c r="O384" s="478">
        <f>IF(OR($B384="",$F384="",$H384=""),"",IF($S384="✅売却済","―決済済―",IF($C384="売",  IF($H384&lt;=$M384,"🟢利確",  IF(AND($R384&lt;&gt;"",$H384&gt;=$R384),"🟠TRAIL決済",  IF($H384&gt;=$N384,"🔴損切",  IF($W384&gt;=$AG$5,"⏱時間決済",  IF($H384&gt;=$F384*(1+$AG$2*0.7),"⚠️損切接近","保持継続"))))),  IF($H384&gt;=$M384,"🟢利確",  IF(AND($R384&lt;&gt;"",$H384&lt;=$R384),"🟠TRAIL決済",  IF($H384&lt;=$N384,"🔴損切",  IF($W384&gt;=$AG$5,"⏱時間決済",  IF($H384&lt;=$F384*(1-$AG$2*0.7),"⚠️損切接近","保持継続")))))))</f>
      </c>
      <c r="P384" s="445"/>
      <c r="R384" s="440">
        <f>IF(OR($F384="",$H384="",$N384=""),"",IF($S384="✅売却済","",IF($C384="売",  IF($H384&gt;$F384*(1-$AG$2),$N384,CEILING(MIN($N384,IF($Q384="",$N384,$Q384*1.03)),IF($N384&lt;=3000,1,IF($N384&lt;=5000,5,IF($N384&lt;=30000,10,IF($N384&lt;=50000,50,IF($N384&lt;=300000,100,500))))))),  IF($H384&lt;$F384*(1+$AG$2),$N384,FLOOR(MAX($N384,IF($P384="",$N384,$P384*0.97)),IF($N384&lt;=3000,1,IF($N384&lt;=5000,5,IF($N384&lt;=30000,10,IF($N384&lt;=50000,50,IF($N384&lt;=300000,100,500))))))))))</f>
      </c>
      <c r="S384" s="440" t="str">
        <f t="shared" si="123"/>
        <v/>
      </c>
      <c r="T384" s="597" t="str">
        <f t="shared" ca="1" si="112"/>
        <v/>
      </c>
      <c r="U384" s="599" t="str">
        <f t="shared" ca="1" si="113"/>
        <v/>
      </c>
      <c r="V384" s="704" t="str">
        <f t="shared" ca="1" si="124"/>
        <v/>
      </c>
      <c r="W384" s="440" t="str">
        <f t="shared" ca="1" si="114"/>
        <v/>
      </c>
      <c r="X384" s="440" t="str">
        <f t="shared" ca="1" si="115"/>
        <v/>
      </c>
      <c r="Y384">
        <f>IF($B384="","",IF(COUNTIFS($B$4:$B384,$B384,$C$4:$C384,$C384)&gt;1,"⛔重複"&amp;COUNTIFS($B$4:$B384,$B384,$C$4:$C384,$C384)&amp;"回目",""))</f>
      </c>
      <c r="AB384">
        <f>IF($F384="","",MAX(100,ROUNDDOWN($AG$4/($F384*$AG$2)/100,0)*100))</f>
      </c>
      <c r="AC384">
        <f>IF(OR($F384="",$G384="",$U384=""),"",ROUND($V384-($F384+$U384)*$G384*$AG$6-IF($C384="売",$F384*$G384*$AG$7*$W384/365,0),0))</f>
      </c>
      <c r="AD384" s="608"/>
      <c r="AE384" s="600" t="str">
        <f t="shared" si="116"/>
        <v/>
      </c>
      <c r="AF384" s="600"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00"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00" t="str">
        <f t="shared" ca="1" si="117"/>
        <v/>
      </c>
      <c r="AI384" s="600" t="str" cm="1">
        <f t="array" ref="AI384">IFERROR(INDEX(始値!$E$6:$BT$305,MATCH(TEXT($B384,"0"),TEXT(銘柄管理!$B$6:$B$305,"0"),0),MATCH($AE384,始値!$E$3:$BT$3,0)),"")</f>
        <v/>
      </c>
      <c r="AJ384" s="608" t="str">
        <f t="shared" ca="1" si="118"/>
        <v/>
      </c>
      <c r="AK384" s="600" t="str">
        <f t="shared" ca="1" si="119"/>
        <v/>
      </c>
    </row>
    <row r="385" spans="1:37" ht="17.25" customHeight="1">
      <c r="A385" s="622" t="str">
        <f t="shared" si="108"/>
        <v/>
      </c>
      <c r="D385" s="440" t="str" cm="1">
        <f t="array" ref="D385">_xll.RssMarket(B385, "銘柄名称")</f>
        <v/>
      </c>
      <c r="E385" s="717"/>
      <c r="F385" s="6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 t="shared" ca="1" si="120"/>
        <v/>
      </c>
      <c r="L385" s="709" t="str">
        <f t="shared" ca="1" si="121"/>
        <v/>
      </c>
      <c r="M385" s="599">
        <f>IF($F385="","",IF($C385="売",CEILING($F385*IF($C385="売",1-$AG$3,1+$AG$3),IF($F385*IF($C385="売",1-$AG$3,1+$AG$3)&lt;=3000,1,IF($F385*IF($C385="売",1-$AG$3,1+$AG$3)&lt;=5000,5,IF($F385*IF($C385="売",1-$AG$3,1+$AG$3)&lt;=30000,10,IF($F385*IF($C385="売",1-$AG$3,1+$AG$3)&lt;=50000,50,IF($F385*IF($C385="売",1-$AG$3,1+$AG$3)&lt;=300000,100,500)))))),FLOOR($F385*IF($C385="売",1-$AG$3,1+$AG$3),IF($F385*IF($C385="売",1-$AG$3,1+$AG$3)&lt;=3000,1,IF($F385*IF($C385="売",1-$AG$3,1+$AG$3)&lt;=5000,5,IF($F385*IF($C385="売",1-$AG$3,1+$AG$3)&lt;=30000,10,IF($F385*IF($C385="売",1-$AG$3,1+$AG$3)&lt;=50000,50,IF($F385*IF($C385="売",1-$AG$3,1+$AG$3)&lt;=300000,100,500))))))))</f>
      </c>
      <c r="N385" s="599">
        <f>IF($F385="","",IF($C385="売",CEILING($F385*IF($C385="売",1+$AG$2,1-$AG$2),IF($F385*IF($C385="売",1+$AG$2,1-$AG$2)&lt;=3000,1,IF($F385*IF($C385="売",1+$AG$2,1-$AG$2)&lt;=5000,5,IF($F385*IF($C385="売",1+$AG$2,1-$AG$2)&lt;=30000,10,IF($F385*IF($C385="売",1+$AG$2,1-$AG$2)&lt;=50000,50,IF($F385*IF($C385="売",1+$AG$2,1-$AG$2)&lt;=300000,100,500)))))),FLOOR($F385*IF($C385="売",1+$AG$2,1-$AG$2),IF($F385*IF($C385="売",1+$AG$2,1-$AG$2)&lt;=3000,1,IF($F385*IF($C385="売",1+$AG$2,1-$AG$2)&lt;=5000,5,IF($F385*IF($C385="売",1+$AG$2,1-$AG$2)&lt;=30000,10,IF($F385*IF($C385="売",1+$AG$2,1-$AG$2)&lt;=50000,50,IF($F385*IF($C385="売",1+$AG$2,1-$AG$2)&lt;=300000,100,500))))))))</f>
      </c>
      <c r="O385" s="478">
        <f>IF(OR($B385="",$F385="",$H385=""),"",IF($S385="✅売却済","―決済済―",IF($C385="売",  IF($H385&lt;=$M385,"🟢利確",  IF(AND($R385&lt;&gt;"",$H385&gt;=$R385),"🟠TRAIL決済",  IF($H385&gt;=$N385,"🔴損切",  IF($W385&gt;=$AG$5,"⏱時間決済",  IF($H385&gt;=$F385*(1+$AG$2*0.7),"⚠️損切接近","保持継続"))))),  IF($H385&gt;=$M385,"🟢利確",  IF(AND($R385&lt;&gt;"",$H385&lt;=$R385),"🟠TRAIL決済",  IF($H385&lt;=$N385,"🔴損切",  IF($W385&gt;=$AG$5,"⏱時間決済",  IF($H385&lt;=$F385*(1-$AG$2*0.7),"⚠️損切接近","保持継続")))))))</f>
      </c>
      <c r="P385" s="445"/>
      <c r="R385" s="440">
        <f>IF(OR($F385="",$H385="",$N385=""),"",IF($S385="✅売却済","",IF($C385="売",  IF($H385&gt;$F385*(1-$AG$2),$N385,CEILING(MIN($N385,IF($Q385="",$N385,$Q385*1.03)),IF($N385&lt;=3000,1,IF($N385&lt;=5000,5,IF($N385&lt;=30000,10,IF($N385&lt;=50000,50,IF($N385&lt;=300000,100,500))))))),  IF($H385&lt;$F385*(1+$AG$2),$N385,FLOOR(MAX($N385,IF($P385="",$N385,$P385*0.97)),IF($N385&lt;=3000,1,IF($N385&lt;=5000,5,IF($N385&lt;=30000,10,IF($N385&lt;=50000,50,IF($N385&lt;=300000,100,500))))))))))</f>
      </c>
      <c r="S385" s="440" t="str">
        <f t="shared" si="123"/>
        <v/>
      </c>
      <c r="T385" s="597" t="str">
        <f t="shared" ca="1" si="112"/>
        <v/>
      </c>
      <c r="U385" s="599" t="str">
        <f t="shared" ca="1" si="113"/>
        <v/>
      </c>
      <c r="V385" s="704" t="str">
        <f t="shared" ca="1" si="124"/>
        <v/>
      </c>
      <c r="W385" s="440" t="str">
        <f t="shared" ca="1" si="114"/>
        <v/>
      </c>
      <c r="X385" s="440" t="str">
        <f t="shared" ca="1" si="115"/>
        <v/>
      </c>
      <c r="Y385">
        <f>IF($B385="","",IF(COUNTIFS($B$4:$B385,$B385,$C$4:$C385,$C385)&gt;1,"⛔重複"&amp;COUNTIFS($B$4:$B385,$B385,$C$4:$C385,$C385)&amp;"回目",""))</f>
      </c>
      <c r="AB385">
        <f>IF($F385="","",MAX(100,ROUNDDOWN($AG$4/($F385*$AG$2)/100,0)*100))</f>
      </c>
      <c r="AC385">
        <f>IF(OR($F385="",$G385="",$U385=""),"",ROUND($V385-($F385+$U385)*$G385*$AG$6-IF($C385="売",$F385*$G385*$AG$7*$W385/365,0),0))</f>
      </c>
      <c r="AD385" s="608"/>
      <c r="AE385" s="600" t="str">
        <f t="shared" si="116"/>
        <v/>
      </c>
      <c r="AF385" s="600"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00"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00" t="str">
        <f t="shared" ca="1" si="117"/>
        <v/>
      </c>
      <c r="AI385" s="600" t="str" cm="1">
        <f t="array" ref="AI385">IFERROR(INDEX(始値!$E$6:$BT$305,MATCH(TEXT($B385,"0"),TEXT(銘柄管理!$B$6:$B$305,"0"),0),MATCH($AE385,始値!$E$3:$BT$3,0)),"")</f>
        <v/>
      </c>
      <c r="AJ385" s="608" t="str">
        <f t="shared" ca="1" si="118"/>
        <v/>
      </c>
      <c r="AK385" s="600" t="str">
        <f t="shared" ca="1" si="119"/>
        <v/>
      </c>
    </row>
    <row r="386" spans="1:37" ht="17.25" customHeight="1">
      <c r="A386" s="622" t="str">
        <f t="shared" si="108"/>
        <v/>
      </c>
      <c r="D386" s="440" t="str" cm="1">
        <f t="array" ref="D386">_xll.RssMarket(B386, "銘柄名称")</f>
        <v/>
      </c>
      <c r="E386" s="717"/>
      <c r="F386" s="6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 t="shared" ca="1" si="120"/>
        <v/>
      </c>
      <c r="L386" s="709" t="str">
        <f t="shared" ca="1" si="121"/>
        <v/>
      </c>
      <c r="M386" s="599">
        <f>IF($F386="","",IF($C386="売",CEILING($F386*IF($C386="売",1-$AG$3,1+$AG$3),IF($F386*IF($C386="売",1-$AG$3,1+$AG$3)&lt;=3000,1,IF($F386*IF($C386="売",1-$AG$3,1+$AG$3)&lt;=5000,5,IF($F386*IF($C386="売",1-$AG$3,1+$AG$3)&lt;=30000,10,IF($F386*IF($C386="売",1-$AG$3,1+$AG$3)&lt;=50000,50,IF($F386*IF($C386="売",1-$AG$3,1+$AG$3)&lt;=300000,100,500)))))),FLOOR($F386*IF($C386="売",1-$AG$3,1+$AG$3),IF($F386*IF($C386="売",1-$AG$3,1+$AG$3)&lt;=3000,1,IF($F386*IF($C386="売",1-$AG$3,1+$AG$3)&lt;=5000,5,IF($F386*IF($C386="売",1-$AG$3,1+$AG$3)&lt;=30000,10,IF($F386*IF($C386="売",1-$AG$3,1+$AG$3)&lt;=50000,50,IF($F386*IF($C386="売",1-$AG$3,1+$AG$3)&lt;=300000,100,500))))))))</f>
      </c>
      <c r="N386" s="599">
        <f>IF($F386="","",IF($C386="売",CEILING($F386*IF($C386="売",1+$AG$2,1-$AG$2),IF($F386*IF($C386="売",1+$AG$2,1-$AG$2)&lt;=3000,1,IF($F386*IF($C386="売",1+$AG$2,1-$AG$2)&lt;=5000,5,IF($F386*IF($C386="売",1+$AG$2,1-$AG$2)&lt;=30000,10,IF($F386*IF($C386="売",1+$AG$2,1-$AG$2)&lt;=50000,50,IF($F386*IF($C386="売",1+$AG$2,1-$AG$2)&lt;=300000,100,500)))))),FLOOR($F386*IF($C386="売",1+$AG$2,1-$AG$2),IF($F386*IF($C386="売",1+$AG$2,1-$AG$2)&lt;=3000,1,IF($F386*IF($C386="売",1+$AG$2,1-$AG$2)&lt;=5000,5,IF($F386*IF($C386="売",1+$AG$2,1-$AG$2)&lt;=30000,10,IF($F386*IF($C386="売",1+$AG$2,1-$AG$2)&lt;=50000,50,IF($F386*IF($C386="売",1+$AG$2,1-$AG$2)&lt;=300000,100,500))))))))</f>
      </c>
      <c r="O386" s="478">
        <f>IF(OR($B386="",$F386="",$H386=""),"",IF($S386="✅売却済","―決済済―",IF($C386="売",  IF($H386&lt;=$M386,"🟢利確",  IF(AND($R386&lt;&gt;"",$H386&gt;=$R386),"🟠TRAIL決済",  IF($H386&gt;=$N386,"🔴損切",  IF($W386&gt;=$AG$5,"⏱時間決済",  IF($H386&gt;=$F386*(1+$AG$2*0.7),"⚠️損切接近","保持継続"))))),  IF($H386&gt;=$M386,"🟢利確",  IF(AND($R386&lt;&gt;"",$H386&lt;=$R386),"🟠TRAIL決済",  IF($H386&lt;=$N386,"🔴損切",  IF($W386&gt;=$AG$5,"⏱時間決済",  IF($H386&lt;=$F386*(1-$AG$2*0.7),"⚠️損切接近","保持継続")))))))</f>
      </c>
      <c r="P386" s="445"/>
      <c r="R386" s="440">
        <f>IF(OR($F386="",$H386="",$N386=""),"",IF($S386="✅売却済","",IF($C386="売",  IF($H386&gt;$F386*(1-$AG$2),$N386,CEILING(MIN($N386,IF($Q386="",$N386,$Q386*1.03)),IF($N386&lt;=3000,1,IF($N386&lt;=5000,5,IF($N386&lt;=30000,10,IF($N386&lt;=50000,50,IF($N386&lt;=300000,100,500))))))),  IF($H386&lt;$F386*(1+$AG$2),$N386,FLOOR(MAX($N386,IF($P386="",$N386,$P386*0.97)),IF($N386&lt;=3000,1,IF($N386&lt;=5000,5,IF($N386&lt;=30000,10,IF($N386&lt;=50000,50,IF($N386&lt;=300000,100,500))))))))))</f>
      </c>
      <c r="S386" s="440" t="str">
        <f t="shared" si="123"/>
        <v/>
      </c>
      <c r="T386" s="597" t="str">
        <f t="shared" ca="1" si="112"/>
        <v/>
      </c>
      <c r="U386" s="599" t="str">
        <f t="shared" ca="1" si="113"/>
        <v/>
      </c>
      <c r="V386" s="704" t="str">
        <f t="shared" ca="1" si="124"/>
        <v/>
      </c>
      <c r="W386" s="440" t="str">
        <f t="shared" ca="1" si="114"/>
        <v/>
      </c>
      <c r="X386" s="440" t="str">
        <f t="shared" ca="1" si="115"/>
        <v/>
      </c>
      <c r="Y386">
        <f>IF($B386="","",IF(COUNTIFS($B$4:$B386,$B386,$C$4:$C386,$C386)&gt;1,"⛔重複"&amp;COUNTIFS($B$4:$B386,$B386,$C$4:$C386,$C386)&amp;"回目",""))</f>
      </c>
      <c r="AB386">
        <f>IF($F386="","",MAX(100,ROUNDDOWN($AG$4/($F386*$AG$2)/100,0)*100))</f>
      </c>
      <c r="AC386">
        <f>IF(OR($F386="",$G386="",$U386=""),"",ROUND($V386-($F386+$U386)*$G386*$AG$6-IF($C386="売",$F386*$G386*$AG$7*$W386/365,0),0))</f>
      </c>
      <c r="AD386" s="608"/>
      <c r="AE386" s="600" t="str">
        <f t="shared" si="116"/>
        <v/>
      </c>
      <c r="AF386" s="600"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00"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00" t="str">
        <f t="shared" ca="1" si="117"/>
        <v/>
      </c>
      <c r="AI386" s="600" t="str" cm="1">
        <f t="array" ref="AI386">IFERROR(INDEX(始値!$E$6:$BT$305,MATCH(TEXT($B386,"0"),TEXT(銘柄管理!$B$6:$B$305,"0"),0),MATCH($AE386,始値!$E$3:$BT$3,0)),"")</f>
        <v/>
      </c>
      <c r="AJ386" s="608" t="str">
        <f t="shared" ca="1" si="118"/>
        <v/>
      </c>
      <c r="AK386" s="600" t="str">
        <f t="shared" ca="1" si="119"/>
        <v/>
      </c>
    </row>
    <row r="387" spans="1:37" ht="17.25" customHeight="1">
      <c r="A387" s="622" t="str">
        <f t="shared" si="108"/>
        <v/>
      </c>
      <c r="D387" s="440" t="str" cm="1">
        <f t="array" ref="D387">_xll.RssMarket(B387, "銘柄名称")</f>
        <v/>
      </c>
      <c r="E387" s="717"/>
      <c r="F387" s="6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 t="shared" ca="1" si="120"/>
        <v/>
      </c>
      <c r="L387" s="709" t="str">
        <f t="shared" ca="1" si="121"/>
        <v/>
      </c>
      <c r="M387" s="599">
        <f>IF($F387="","",IF($C387="売",CEILING($F387*IF($C387="売",1-$AG$3,1+$AG$3),IF($F387*IF($C387="売",1-$AG$3,1+$AG$3)&lt;=3000,1,IF($F387*IF($C387="売",1-$AG$3,1+$AG$3)&lt;=5000,5,IF($F387*IF($C387="売",1-$AG$3,1+$AG$3)&lt;=30000,10,IF($F387*IF($C387="売",1-$AG$3,1+$AG$3)&lt;=50000,50,IF($F387*IF($C387="売",1-$AG$3,1+$AG$3)&lt;=300000,100,500)))))),FLOOR($F387*IF($C387="売",1-$AG$3,1+$AG$3),IF($F387*IF($C387="売",1-$AG$3,1+$AG$3)&lt;=3000,1,IF($F387*IF($C387="売",1-$AG$3,1+$AG$3)&lt;=5000,5,IF($F387*IF($C387="売",1-$AG$3,1+$AG$3)&lt;=30000,10,IF($F387*IF($C387="売",1-$AG$3,1+$AG$3)&lt;=50000,50,IF($F387*IF($C387="売",1-$AG$3,1+$AG$3)&lt;=300000,100,500))))))))</f>
      </c>
      <c r="N387" s="599">
        <f>IF($F387="","",IF($C387="売",CEILING($F387*IF($C387="売",1+$AG$2,1-$AG$2),IF($F387*IF($C387="売",1+$AG$2,1-$AG$2)&lt;=3000,1,IF($F387*IF($C387="売",1+$AG$2,1-$AG$2)&lt;=5000,5,IF($F387*IF($C387="売",1+$AG$2,1-$AG$2)&lt;=30000,10,IF($F387*IF($C387="売",1+$AG$2,1-$AG$2)&lt;=50000,50,IF($F387*IF($C387="売",1+$AG$2,1-$AG$2)&lt;=300000,100,500)))))),FLOOR($F387*IF($C387="売",1+$AG$2,1-$AG$2),IF($F387*IF($C387="売",1+$AG$2,1-$AG$2)&lt;=3000,1,IF($F387*IF($C387="売",1+$AG$2,1-$AG$2)&lt;=5000,5,IF($F387*IF($C387="売",1+$AG$2,1-$AG$2)&lt;=30000,10,IF($F387*IF($C387="売",1+$AG$2,1-$AG$2)&lt;=50000,50,IF($F387*IF($C387="売",1+$AG$2,1-$AG$2)&lt;=300000,100,500))))))))</f>
      </c>
      <c r="O387" s="478">
        <f>IF(OR($B387="",$F387="",$H387=""),"",IF($S387="✅売却済","―決済済―",IF($C387="売",  IF($H387&lt;=$M387,"🟢利確",  IF(AND($R387&lt;&gt;"",$H387&gt;=$R387),"🟠TRAIL決済",  IF($H387&gt;=$N387,"🔴損切",  IF($W387&gt;=$AG$5,"⏱時間決済",  IF($H387&gt;=$F387*(1+$AG$2*0.7),"⚠️損切接近","保持継続"))))),  IF($H387&gt;=$M387,"🟢利確",  IF(AND($R387&lt;&gt;"",$H387&lt;=$R387),"🟠TRAIL決済",  IF($H387&lt;=$N387,"🔴損切",  IF($W387&gt;=$AG$5,"⏱時間決済",  IF($H387&lt;=$F387*(1-$AG$2*0.7),"⚠️損切接近","保持継続")))))))</f>
      </c>
      <c r="P387" s="445"/>
      <c r="R387" s="440">
        <f>IF(OR($F387="",$H387="",$N387=""),"",IF($S387="✅売却済","",IF($C387="売",  IF($H387&gt;$F387*(1-$AG$2),$N387,CEILING(MIN($N387,IF($Q387="",$N387,$Q387*1.03)),IF($N387&lt;=3000,1,IF($N387&lt;=5000,5,IF($N387&lt;=30000,10,IF($N387&lt;=50000,50,IF($N387&lt;=300000,100,500))))))),  IF($H387&lt;$F387*(1+$AG$2),$N387,FLOOR(MAX($N387,IF($P387="",$N387,$P387*0.97)),IF($N387&lt;=3000,1,IF($N387&lt;=5000,5,IF($N387&lt;=30000,10,IF($N387&lt;=50000,50,IF($N387&lt;=300000,100,500))))))))))</f>
      </c>
      <c r="S387" s="440" t="str">
        <f t="shared" si="123"/>
        <v/>
      </c>
      <c r="T387" s="597" t="str">
        <f t="shared" ca="1" si="112"/>
        <v/>
      </c>
      <c r="U387" s="599" t="str">
        <f t="shared" ca="1" si="113"/>
        <v/>
      </c>
      <c r="V387" s="704" t="str">
        <f t="shared" ca="1" si="124"/>
        <v/>
      </c>
      <c r="W387" s="440" t="str">
        <f t="shared" ca="1" si="114"/>
        <v/>
      </c>
      <c r="X387" s="440" t="str">
        <f t="shared" ca="1" si="115"/>
        <v/>
      </c>
      <c r="Y387">
        <f>IF($B387="","",IF(COUNTIFS($B$4:$B387,$B387,$C$4:$C387,$C387)&gt;1,"⛔重複"&amp;COUNTIFS($B$4:$B387,$B387,$C$4:$C387,$C387)&amp;"回目",""))</f>
      </c>
      <c r="AB387">
        <f>IF($F387="","",MAX(100,ROUNDDOWN($AG$4/($F387*$AG$2)/100,0)*100))</f>
      </c>
      <c r="AC387">
        <f>IF(OR($F387="",$G387="",$U387=""),"",ROUND($V387-($F387+$U387)*$G387*$AG$6-IF($C387="売",$F387*$G387*$AG$7*$W387/365,0),0))</f>
      </c>
      <c r="AD387" s="608"/>
      <c r="AE387" s="600" t="str">
        <f t="shared" si="116"/>
        <v/>
      </c>
      <c r="AF387" s="600"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00"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00" t="str">
        <f t="shared" ca="1" si="117"/>
        <v/>
      </c>
      <c r="AI387" s="600" t="str" cm="1">
        <f t="array" ref="AI387">IFERROR(INDEX(始値!$E$6:$BT$305,MATCH(TEXT($B387,"0"),TEXT(銘柄管理!$B$6:$B$305,"0"),0),MATCH($AE387,始値!$E$3:$BT$3,0)),"")</f>
        <v/>
      </c>
      <c r="AJ387" s="608" t="str">
        <f t="shared" ca="1" si="118"/>
        <v/>
      </c>
      <c r="AK387" s="600" t="str">
        <f t="shared" ca="1" si="119"/>
        <v/>
      </c>
    </row>
    <row r="388" spans="1:37" ht="17.25" customHeight="1">
      <c r="A388" s="622" t="str">
        <f t="shared" ref="A388:A451" si="125">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 t="shared" ca="1" si="120"/>
        <v/>
      </c>
      <c r="L388" s="709" t="str">
        <f t="shared" ca="1" si="121"/>
        <v/>
      </c>
      <c r="M388" s="599">
        <f>IF($F388="","",IF($C388="売",CEILING($F388*IF($C388="売",1-$AG$3,1+$AG$3),IF($F388*IF($C388="売",1-$AG$3,1+$AG$3)&lt;=3000,1,IF($F388*IF($C388="売",1-$AG$3,1+$AG$3)&lt;=5000,5,IF($F388*IF($C388="売",1-$AG$3,1+$AG$3)&lt;=30000,10,IF($F388*IF($C388="売",1-$AG$3,1+$AG$3)&lt;=50000,50,IF($F388*IF($C388="売",1-$AG$3,1+$AG$3)&lt;=300000,100,500)))))),FLOOR($F388*IF($C388="売",1-$AG$3,1+$AG$3),IF($F388*IF($C388="売",1-$AG$3,1+$AG$3)&lt;=3000,1,IF($F388*IF($C388="売",1-$AG$3,1+$AG$3)&lt;=5000,5,IF($F388*IF($C388="売",1-$AG$3,1+$AG$3)&lt;=30000,10,IF($F388*IF($C388="売",1-$AG$3,1+$AG$3)&lt;=50000,50,IF($F388*IF($C388="売",1-$AG$3,1+$AG$3)&lt;=300000,100,500))))))))</f>
      </c>
      <c r="N388" s="599">
        <f>IF($F388="","",IF($C388="売",CEILING($F388*IF($C388="売",1+$AG$2,1-$AG$2),IF($F388*IF($C388="売",1+$AG$2,1-$AG$2)&lt;=3000,1,IF($F388*IF($C388="売",1+$AG$2,1-$AG$2)&lt;=5000,5,IF($F388*IF($C388="売",1+$AG$2,1-$AG$2)&lt;=30000,10,IF($F388*IF($C388="売",1+$AG$2,1-$AG$2)&lt;=50000,50,IF($F388*IF($C388="売",1+$AG$2,1-$AG$2)&lt;=300000,100,500)))))),FLOOR($F388*IF($C388="売",1+$AG$2,1-$AG$2),IF($F388*IF($C388="売",1+$AG$2,1-$AG$2)&lt;=3000,1,IF($F388*IF($C388="売",1+$AG$2,1-$AG$2)&lt;=5000,5,IF($F388*IF($C388="売",1+$AG$2,1-$AG$2)&lt;=30000,10,IF($F388*IF($C388="売",1+$AG$2,1-$AG$2)&lt;=50000,50,IF($F388*IF($C388="売",1+$AG$2,1-$AG$2)&lt;=300000,100,500))))))))</f>
      </c>
      <c r="O388" s="478">
        <f>IF(OR($B388="",$F388="",$H388=""),"",IF($S388="✅売却済","―決済済―",IF($C388="売",  IF($H388&lt;=$M388,"🟢利確",  IF(AND($R388&lt;&gt;"",$H388&gt;=$R388),"🟠TRAIL決済",  IF($H388&gt;=$N388,"🔴損切",  IF($W388&gt;=$AG$5,"⏱時間決済",  IF($H388&gt;=$F388*(1+$AG$2*0.7),"⚠️損切接近","保持継続"))))),  IF($H388&gt;=$M388,"🟢利確",  IF(AND($R388&lt;&gt;"",$H388&lt;=$R388),"🟠TRAIL決済",  IF($H388&lt;=$N388,"🔴損切",  IF($W388&gt;=$AG$5,"⏱時間決済",  IF($H388&lt;=$F388*(1-$AG$2*0.7),"⚠️損切接近","保持継続")))))))</f>
      </c>
      <c r="P388" s="445"/>
      <c r="R388" s="440">
        <f>IF(OR($F388="",$H388="",$N388=""),"",IF($S388="✅売却済","",IF($C388="売",  IF($H388&gt;$F388*(1-$AG$2),$N388,CEILING(MIN($N388,IF($Q388="",$N388,$Q388*1.03)),IF($N388&lt;=3000,1,IF($N388&lt;=5000,5,IF($N388&lt;=30000,10,IF($N388&lt;=50000,50,IF($N388&lt;=300000,100,500))))))),  IF($H388&lt;$F388*(1+$AG$2),$N388,FLOOR(MAX($N388,IF($P388="",$N388,$P388*0.97)),IF($N388&lt;=3000,1,IF($N388&lt;=5000,5,IF($N388&lt;=30000,10,IF($N388&lt;=50000,50,IF($N388&lt;=300000,100,500))))))))))</f>
      </c>
      <c r="S388" s="440" t="str">
        <f t="shared" si="123"/>
        <v/>
      </c>
      <c r="T388" s="597" t="str">
        <f t="shared" ca="1" si="112"/>
        <v/>
      </c>
      <c r="U388" s="599" t="str">
        <f t="shared" ca="1" si="113"/>
        <v/>
      </c>
      <c r="V388" s="704" t="str">
        <f t="shared" ca="1" si="124"/>
        <v/>
      </c>
      <c r="W388" s="440" t="str">
        <f t="shared" ca="1" si="114"/>
        <v/>
      </c>
      <c r="X388" s="440" t="str">
        <f t="shared" ca="1" si="115"/>
        <v/>
      </c>
      <c r="Y388">
        <f>IF($B388="","",IF(COUNTIFS($B$4:$B388,$B388,$C$4:$C388,$C388)&gt;1,"⛔重複"&amp;COUNTIFS($B$4:$B388,$B388,$C$4:$C388,$C388)&amp;"回目",""))</f>
      </c>
      <c r="AB388">
        <f>IF($F388="","",MAX(100,ROUNDDOWN($AG$4/($F388*$AG$2)/100,0)*100))</f>
      </c>
      <c r="AC388">
        <f>IF(OR($F388="",$G388="",$U388=""),"",ROUND($V388-($F388+$U388)*$G388*$AG$6-IF($C388="売",$F388*$G388*$AG$7*$W388/365,0),0))</f>
      </c>
      <c r="AD388" s="608"/>
      <c r="AE388" s="600" t="str">
        <f t="shared" si="116"/>
        <v/>
      </c>
      <c r="AF388" s="600"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00"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00" t="str">
        <f t="shared" ca="1" si="117"/>
        <v/>
      </c>
      <c r="AI388" s="600" t="str" cm="1">
        <f t="array" ref="AI388">IFERROR(INDEX(始値!$E$6:$BT$305,MATCH(TEXT($B388,"0"),TEXT(銘柄管理!$B$6:$B$305,"0"),0),MATCH($AE388,始値!$E$3:$BT$3,0)),"")</f>
        <v/>
      </c>
      <c r="AJ388" s="608" t="str">
        <f t="shared" ca="1" si="118"/>
        <v/>
      </c>
      <c r="AK388" s="600" t="str">
        <f t="shared" ca="1" si="119"/>
        <v/>
      </c>
    </row>
    <row r="389" spans="1:37" ht="17.25" customHeight="1">
      <c r="A389" s="622" t="str">
        <f t="shared" si="125"/>
        <v/>
      </c>
      <c r="D389" s="440" t="str" cm="1">
        <f t="array" ref="D389">_xll.RssMarket(B389, "銘柄名称")</f>
        <v/>
      </c>
      <c r="E389" s="717"/>
      <c r="F389" s="6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 t="shared" ca="1" si="120"/>
        <v/>
      </c>
      <c r="L389" s="709" t="str">
        <f t="shared" ca="1" si="121"/>
        <v/>
      </c>
      <c r="M389" s="599">
        <f>IF($F389="","",IF($C389="売",CEILING($F389*IF($C389="売",1-$AG$3,1+$AG$3),IF($F389*IF($C389="売",1-$AG$3,1+$AG$3)&lt;=3000,1,IF($F389*IF($C389="売",1-$AG$3,1+$AG$3)&lt;=5000,5,IF($F389*IF($C389="売",1-$AG$3,1+$AG$3)&lt;=30000,10,IF($F389*IF($C389="売",1-$AG$3,1+$AG$3)&lt;=50000,50,IF($F389*IF($C389="売",1-$AG$3,1+$AG$3)&lt;=300000,100,500)))))),FLOOR($F389*IF($C389="売",1-$AG$3,1+$AG$3),IF($F389*IF($C389="売",1-$AG$3,1+$AG$3)&lt;=3000,1,IF($F389*IF($C389="売",1-$AG$3,1+$AG$3)&lt;=5000,5,IF($F389*IF($C389="売",1-$AG$3,1+$AG$3)&lt;=30000,10,IF($F389*IF($C389="売",1-$AG$3,1+$AG$3)&lt;=50000,50,IF($F389*IF($C389="売",1-$AG$3,1+$AG$3)&lt;=300000,100,500))))))))</f>
      </c>
      <c r="N389" s="599">
        <f>IF($F389="","",IF($C389="売",CEILING($F389*IF($C389="売",1+$AG$2,1-$AG$2),IF($F389*IF($C389="売",1+$AG$2,1-$AG$2)&lt;=3000,1,IF($F389*IF($C389="売",1+$AG$2,1-$AG$2)&lt;=5000,5,IF($F389*IF($C389="売",1+$AG$2,1-$AG$2)&lt;=30000,10,IF($F389*IF($C389="売",1+$AG$2,1-$AG$2)&lt;=50000,50,IF($F389*IF($C389="売",1+$AG$2,1-$AG$2)&lt;=300000,100,500)))))),FLOOR($F389*IF($C389="売",1+$AG$2,1-$AG$2),IF($F389*IF($C389="売",1+$AG$2,1-$AG$2)&lt;=3000,1,IF($F389*IF($C389="売",1+$AG$2,1-$AG$2)&lt;=5000,5,IF($F389*IF($C389="売",1+$AG$2,1-$AG$2)&lt;=30000,10,IF($F389*IF($C389="売",1+$AG$2,1-$AG$2)&lt;=50000,50,IF($F389*IF($C389="売",1+$AG$2,1-$AG$2)&lt;=300000,100,500))))))))</f>
      </c>
      <c r="O389" s="478">
        <f>IF(OR($B389="",$F389="",$H389=""),"",IF($S389="✅売却済","―決済済―",IF($C389="売",  IF($H389&lt;=$M389,"🟢利確",  IF(AND($R389&lt;&gt;"",$H389&gt;=$R389),"🟠TRAIL決済",  IF($H389&gt;=$N389,"🔴損切",  IF($W389&gt;=$AG$5,"⏱時間決済",  IF($H389&gt;=$F389*(1+$AG$2*0.7),"⚠️損切接近","保持継続"))))),  IF($H389&gt;=$M389,"🟢利確",  IF(AND($R389&lt;&gt;"",$H389&lt;=$R389),"🟠TRAIL決済",  IF($H389&lt;=$N389,"🔴損切",  IF($W389&gt;=$AG$5,"⏱時間決済",  IF($H389&lt;=$F389*(1-$AG$2*0.7),"⚠️損切接近","保持継続")))))))</f>
      </c>
      <c r="P389" s="445"/>
      <c r="R389" s="440">
        <f>IF(OR($F389="",$H389="",$N389=""),"",IF($S389="✅売却済","",IF($C389="売",  IF($H389&gt;$F389*(1-$AG$2),$N389,CEILING(MIN($N389,IF($Q389="",$N389,$Q389*1.03)),IF($N389&lt;=3000,1,IF($N389&lt;=5000,5,IF($N389&lt;=30000,10,IF($N389&lt;=50000,50,IF($N389&lt;=300000,100,500))))))),  IF($H389&lt;$F389*(1+$AG$2),$N389,FLOOR(MAX($N389,IF($P389="",$N389,$P389*0.97)),IF($N389&lt;=3000,1,IF($N389&lt;=5000,5,IF($N389&lt;=30000,10,IF($N389&lt;=50000,50,IF($N389&lt;=300000,100,500))))))))))</f>
      </c>
      <c r="S389" s="440" t="str">
        <f t="shared" si="123"/>
        <v/>
      </c>
      <c r="T389" s="597" t="str">
        <f t="shared" ref="T389:T452" ca="1" si="129">IF(OR($AH389="",$AH389="保有中"),"",IF($AH389="日数制限",$AE389,IF($AH389="損切確定",IF(N($AG389)=0,TODAY(),$AG389),IF(N($AF389)=0,TODAY(),$AF389))))</f>
        <v/>
      </c>
      <c r="U389" s="599" t="str">
        <f t="shared" ref="U389:U452" ca="1" si="130">IF(OR($AH389="",$AH389="保有中"),"",ROUND(IF($AH389="日数制限",$AI389,IF($AH389="利益確定",$M389,$N389)),0))</f>
        <v/>
      </c>
      <c r="V389" s="704" t="str">
        <f t="shared" ca="1" si="124"/>
        <v/>
      </c>
      <c r="W389" s="440" t="str">
        <f t="shared" ref="W389:W452" ca="1" si="131">IF(OR($E389="",$B389=""),"",IF($T389&lt;&gt;"",$T389-$E389,TODAY()-$E389)+1)</f>
        <v/>
      </c>
      <c r="X389" s="440" t="str">
        <f t="shared" ref="X389:X452" ca="1" si="132">IF(OR($AH389="",$AH389="保有中"),"",$AH389)</f>
        <v/>
      </c>
      <c r="Y389">
        <f>IF($B389="","",IF(COUNTIFS($B$4:$B389,$B389,$C$4:$C389,$C389)&gt;1,"⛔重複"&amp;COUNTIFS($B$4:$B389,$B389,$C$4:$C389,$C389)&amp;"回目",""))</f>
      </c>
      <c r="AB389">
        <f>IF($F389="","",MAX(100,ROUNDDOWN($AG$4/($F389*$AG$2)/100,0)*100))</f>
      </c>
      <c r="AC389">
        <f>IF(OR($F389="",$G389="",$U389=""),"",ROUND($V389-($F389+$U389)*$G389*$AG$6-IF($C389="売",$F389*$G389*$AG$7*$W389/365,0),0))</f>
      </c>
      <c r="AD389" s="608"/>
      <c r="AE389" s="600" t="str">
        <f t="shared" ref="AE389:AE452" si="133">IF($E389="","",WORKDAY($E389,12))</f>
        <v/>
      </c>
      <c r="AF389" s="600"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00"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00" t="str">
        <f t="shared" ref="AH389:AH452" ca="1" si="134">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IFERROR(INDEX(始値!$E$6:$BT$305,MATCH(TEXT($B389,"0"),TEXT(銘柄管理!$B$6:$B$305,"0"),0),MATCH($AE389,始値!$E$3:$BT$3,0)),"")</f>
        <v/>
      </c>
      <c r="AJ389" s="608" t="str">
        <f t="shared" ref="AJ389:AJ452" ca="1" si="135">IF(OR($V389="",$F389="",$G389=""),"",$V389/($F389*$G389))</f>
        <v/>
      </c>
      <c r="AK389" s="600" t="str">
        <f t="shared" ref="AK389:AK452" ca="1" si="136">IF($V389="","",IF($V389&gt;0,"○勝",IF($V389&lt;0,"●負","△引分")))</f>
        <v/>
      </c>
    </row>
    <row r="390" spans="1:37" ht="17.25" customHeight="1">
      <c r="A390" s="622" t="str">
        <f t="shared" si="125"/>
        <v/>
      </c>
      <c r="D390" s="440" t="str" cm="1">
        <f t="array" ref="D390">_xll.RssMarket(B390, "銘柄名称")</f>
        <v/>
      </c>
      <c r="E390" s="717"/>
      <c r="F390" s="6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 t="shared" ca="1" si="120"/>
        <v/>
      </c>
      <c r="L390" s="709" t="str">
        <f t="shared" ca="1" si="121"/>
        <v/>
      </c>
      <c r="M390" s="599">
        <f>IF($F390="","",IF($C390="売",CEILING($F390*IF($C390="売",1-$AG$3,1+$AG$3),IF($F390*IF($C390="売",1-$AG$3,1+$AG$3)&lt;=3000,1,IF($F390*IF($C390="売",1-$AG$3,1+$AG$3)&lt;=5000,5,IF($F390*IF($C390="売",1-$AG$3,1+$AG$3)&lt;=30000,10,IF($F390*IF($C390="売",1-$AG$3,1+$AG$3)&lt;=50000,50,IF($F390*IF($C390="売",1-$AG$3,1+$AG$3)&lt;=300000,100,500)))))),FLOOR($F390*IF($C390="売",1-$AG$3,1+$AG$3),IF($F390*IF($C390="売",1-$AG$3,1+$AG$3)&lt;=3000,1,IF($F390*IF($C390="売",1-$AG$3,1+$AG$3)&lt;=5000,5,IF($F390*IF($C390="売",1-$AG$3,1+$AG$3)&lt;=30000,10,IF($F390*IF($C390="売",1-$AG$3,1+$AG$3)&lt;=50000,50,IF($F390*IF($C390="売",1-$AG$3,1+$AG$3)&lt;=300000,100,500))))))))</f>
      </c>
      <c r="N390" s="599">
        <f>IF($F390="","",IF($C390="売",CEILING($F390*IF($C390="売",1+$AG$2,1-$AG$2),IF($F390*IF($C390="売",1+$AG$2,1-$AG$2)&lt;=3000,1,IF($F390*IF($C390="売",1+$AG$2,1-$AG$2)&lt;=5000,5,IF($F390*IF($C390="売",1+$AG$2,1-$AG$2)&lt;=30000,10,IF($F390*IF($C390="売",1+$AG$2,1-$AG$2)&lt;=50000,50,IF($F390*IF($C390="売",1+$AG$2,1-$AG$2)&lt;=300000,100,500)))))),FLOOR($F390*IF($C390="売",1+$AG$2,1-$AG$2),IF($F390*IF($C390="売",1+$AG$2,1-$AG$2)&lt;=3000,1,IF($F390*IF($C390="売",1+$AG$2,1-$AG$2)&lt;=5000,5,IF($F390*IF($C390="売",1+$AG$2,1-$AG$2)&lt;=30000,10,IF($F390*IF($C390="売",1+$AG$2,1-$AG$2)&lt;=50000,50,IF($F390*IF($C390="売",1+$AG$2,1-$AG$2)&lt;=300000,100,500))))))))</f>
      </c>
      <c r="O390" s="478">
        <f>IF(OR($B390="",$F390="",$H390=""),"",IF($S390="✅売却済","―決済済―",IF($C390="売",  IF($H390&lt;=$M390,"🟢利確",  IF(AND($R390&lt;&gt;"",$H390&gt;=$R390),"🟠TRAIL決済",  IF($H390&gt;=$N390,"🔴損切",  IF($W390&gt;=$AG$5,"⏱時間決済",  IF($H390&gt;=$F390*(1+$AG$2*0.7),"⚠️損切接近","保持継続"))))),  IF($H390&gt;=$M390,"🟢利確",  IF(AND($R390&lt;&gt;"",$H390&lt;=$R390),"🟠TRAIL決済",  IF($H390&lt;=$N390,"🔴損切",  IF($W390&gt;=$AG$5,"⏱時間決済",  IF($H390&lt;=$F390*(1-$AG$2*0.7),"⚠️損切接近","保持継続")))))))</f>
      </c>
      <c r="P390" s="445"/>
      <c r="R390" s="440">
        <f>IF(OR($F390="",$H390="",$N390=""),"",IF($S390="✅売却済","",IF($C390="売",  IF($H390&gt;$F390*(1-$AG$2),$N390,CEILING(MIN($N390,IF($Q390="",$N390,$Q390*1.03)),IF($N390&lt;=3000,1,IF($N390&lt;=5000,5,IF($N390&lt;=30000,10,IF($N390&lt;=50000,50,IF($N390&lt;=300000,100,500))))))),  IF($H390&lt;$F390*(1+$AG$2),$N390,FLOOR(MAX($N390,IF($P390="",$N390,$P390*0.97)),IF($N390&lt;=3000,1,IF($N390&lt;=5000,5,IF($N390&lt;=30000,10,IF($N390&lt;=50000,50,IF($N390&lt;=300000,100,500))))))))))</f>
      </c>
      <c r="S390" s="440" t="str">
        <f t="shared" si="123"/>
        <v/>
      </c>
      <c r="T390" s="597" t="str">
        <f t="shared" ca="1" si="129"/>
        <v/>
      </c>
      <c r="U390" s="599" t="str">
        <f t="shared" ca="1" si="130"/>
        <v/>
      </c>
      <c r="V390" s="704" t="str">
        <f t="shared" ca="1" si="124"/>
        <v/>
      </c>
      <c r="W390" s="440" t="str">
        <f t="shared" ca="1" si="131"/>
        <v/>
      </c>
      <c r="X390" s="440" t="str">
        <f t="shared" ca="1" si="132"/>
        <v/>
      </c>
      <c r="Y390">
        <f>IF($B390="","",IF(COUNTIFS($B$4:$B390,$B390,$C$4:$C390,$C390)&gt;1,"⛔重複"&amp;COUNTIFS($B$4:$B390,$B390,$C$4:$C390,$C390)&amp;"回目",""))</f>
      </c>
      <c r="AB390">
        <f>IF($F390="","",MAX(100,ROUNDDOWN($AG$4/($F390*$AG$2)/100,0)*100))</f>
      </c>
      <c r="AC390">
        <f>IF(OR($F390="",$G390="",$U390=""),"",ROUND($V390-($F390+$U390)*$G390*$AG$6-IF($C390="売",$F390*$G390*$AG$7*$W390/365,0),0))</f>
      </c>
      <c r="AD390" s="608"/>
      <c r="AE390" s="600" t="str">
        <f t="shared" si="133"/>
        <v/>
      </c>
      <c r="AF390" s="600"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00"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00" t="str">
        <f t="shared" ca="1" si="134"/>
        <v/>
      </c>
      <c r="AI390" s="600" t="str" cm="1">
        <f t="array" ref="AI390">IFERROR(INDEX(始値!$E$6:$BT$305,MATCH(TEXT($B390,"0"),TEXT(銘柄管理!$B$6:$B$305,"0"),0),MATCH($AE390,始値!$E$3:$BT$3,0)),"")</f>
        <v/>
      </c>
      <c r="AJ390" s="608" t="str">
        <f t="shared" ca="1" si="135"/>
        <v/>
      </c>
      <c r="AK390" s="600" t="str">
        <f t="shared" ca="1" si="136"/>
        <v/>
      </c>
    </row>
    <row r="391" spans="1:37" ht="17.25" customHeight="1">
      <c r="A391" s="622" t="str">
        <f t="shared" si="125"/>
        <v/>
      </c>
      <c r="D391" s="440" t="str" cm="1">
        <f t="array" ref="D391">_xll.RssMarket(B391, "銘柄名称")</f>
        <v/>
      </c>
      <c r="E391" s="717"/>
      <c r="F391" s="6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 t="shared" ca="1" si="120"/>
        <v/>
      </c>
      <c r="L391" s="709" t="str">
        <f t="shared" ca="1" si="121"/>
        <v/>
      </c>
      <c r="M391" s="599">
        <f>IF($F391="","",IF($C391="売",CEILING($F391*IF($C391="売",1-$AG$3,1+$AG$3),IF($F391*IF($C391="売",1-$AG$3,1+$AG$3)&lt;=3000,1,IF($F391*IF($C391="売",1-$AG$3,1+$AG$3)&lt;=5000,5,IF($F391*IF($C391="売",1-$AG$3,1+$AG$3)&lt;=30000,10,IF($F391*IF($C391="売",1-$AG$3,1+$AG$3)&lt;=50000,50,IF($F391*IF($C391="売",1-$AG$3,1+$AG$3)&lt;=300000,100,500)))))),FLOOR($F391*IF($C391="売",1-$AG$3,1+$AG$3),IF($F391*IF($C391="売",1-$AG$3,1+$AG$3)&lt;=3000,1,IF($F391*IF($C391="売",1-$AG$3,1+$AG$3)&lt;=5000,5,IF($F391*IF($C391="売",1-$AG$3,1+$AG$3)&lt;=30000,10,IF($F391*IF($C391="売",1-$AG$3,1+$AG$3)&lt;=50000,50,IF($F391*IF($C391="売",1-$AG$3,1+$AG$3)&lt;=300000,100,500))))))))</f>
      </c>
      <c r="N391" s="599">
        <f>IF($F391="","",IF($C391="売",CEILING($F391*IF($C391="売",1+$AG$2,1-$AG$2),IF($F391*IF($C391="売",1+$AG$2,1-$AG$2)&lt;=3000,1,IF($F391*IF($C391="売",1+$AG$2,1-$AG$2)&lt;=5000,5,IF($F391*IF($C391="売",1+$AG$2,1-$AG$2)&lt;=30000,10,IF($F391*IF($C391="売",1+$AG$2,1-$AG$2)&lt;=50000,50,IF($F391*IF($C391="売",1+$AG$2,1-$AG$2)&lt;=300000,100,500)))))),FLOOR($F391*IF($C391="売",1+$AG$2,1-$AG$2),IF($F391*IF($C391="売",1+$AG$2,1-$AG$2)&lt;=3000,1,IF($F391*IF($C391="売",1+$AG$2,1-$AG$2)&lt;=5000,5,IF($F391*IF($C391="売",1+$AG$2,1-$AG$2)&lt;=30000,10,IF($F391*IF($C391="売",1+$AG$2,1-$AG$2)&lt;=50000,50,IF($F391*IF($C391="売",1+$AG$2,1-$AG$2)&lt;=300000,100,500))))))))</f>
      </c>
      <c r="O391" s="478">
        <f>IF(OR($B391="",$F391="",$H391=""),"",IF($S391="✅売却済","―決済済―",IF($C391="売",  IF($H391&lt;=$M391,"🟢利確",  IF(AND($R391&lt;&gt;"",$H391&gt;=$R391),"🟠TRAIL決済",  IF($H391&gt;=$N391,"🔴損切",  IF($W391&gt;=$AG$5,"⏱時間決済",  IF($H391&gt;=$F391*(1+$AG$2*0.7),"⚠️損切接近","保持継続"))))),  IF($H391&gt;=$M391,"🟢利確",  IF(AND($R391&lt;&gt;"",$H391&lt;=$R391),"🟠TRAIL決済",  IF($H391&lt;=$N391,"🔴損切",  IF($W391&gt;=$AG$5,"⏱時間決済",  IF($H391&lt;=$F391*(1-$AG$2*0.7),"⚠️損切接近","保持継続")))))))</f>
      </c>
      <c r="P391" s="445"/>
      <c r="R391" s="440">
        <f>IF(OR($F391="",$H391="",$N391=""),"",IF($S391="✅売却済","",IF($C391="売",  IF($H391&gt;$F391*(1-$AG$2),$N391,CEILING(MIN($N391,IF($Q391="",$N391,$Q391*1.03)),IF($N391&lt;=3000,1,IF($N391&lt;=5000,5,IF($N391&lt;=30000,10,IF($N391&lt;=50000,50,IF($N391&lt;=300000,100,500))))))),  IF($H391&lt;$F391*(1+$AG$2),$N391,FLOOR(MAX($N391,IF($P391="",$N391,$P391*0.97)),IF($N391&lt;=3000,1,IF($N391&lt;=5000,5,IF($N391&lt;=30000,10,IF($N391&lt;=50000,50,IF($N391&lt;=300000,100,500))))))))))</f>
      </c>
      <c r="S391" s="440" t="str">
        <f t="shared" si="123"/>
        <v/>
      </c>
      <c r="T391" s="597" t="str">
        <f t="shared" ca="1" si="129"/>
        <v/>
      </c>
      <c r="U391" s="599" t="str">
        <f t="shared" ca="1" si="130"/>
        <v/>
      </c>
      <c r="V391" s="704" t="str">
        <f t="shared" ca="1" si="124"/>
        <v/>
      </c>
      <c r="W391" s="440" t="str">
        <f t="shared" ca="1" si="131"/>
        <v/>
      </c>
      <c r="X391" s="440" t="str">
        <f t="shared" ca="1" si="132"/>
        <v/>
      </c>
      <c r="Y391">
        <f>IF($B391="","",IF(COUNTIFS($B$4:$B391,$B391,$C$4:$C391,$C391)&gt;1,"⛔重複"&amp;COUNTIFS($B$4:$B391,$B391,$C$4:$C391,$C391)&amp;"回目",""))</f>
      </c>
      <c r="AB391">
        <f>IF($F391="","",MAX(100,ROUNDDOWN($AG$4/($F391*$AG$2)/100,0)*100))</f>
      </c>
      <c r="AC391">
        <f>IF(OR($F391="",$G391="",$U391=""),"",ROUND($V391-($F391+$U391)*$G391*$AG$6-IF($C391="売",$F391*$G391*$AG$7*$W391/365,0),0))</f>
      </c>
      <c r="AD391" s="608"/>
      <c r="AE391" s="600" t="str">
        <f t="shared" si="133"/>
        <v/>
      </c>
      <c r="AF391" s="600"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00"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00" t="str">
        <f t="shared" ca="1" si="134"/>
        <v/>
      </c>
      <c r="AI391" s="600" t="str" cm="1">
        <f t="array" ref="AI391">IFERROR(INDEX(始値!$E$6:$BT$305,MATCH(TEXT($B391,"0"),TEXT(銘柄管理!$B$6:$B$305,"0"),0),MATCH($AE391,始値!$E$3:$BT$3,0)),"")</f>
        <v/>
      </c>
      <c r="AJ391" s="608" t="str">
        <f t="shared" ca="1" si="135"/>
        <v/>
      </c>
      <c r="AK391" s="600" t="str">
        <f t="shared" ca="1" si="136"/>
        <v/>
      </c>
    </row>
    <row r="392" spans="1:37" ht="17.25" customHeight="1">
      <c r="A392" s="622" t="str">
        <f t="shared" si="125"/>
        <v/>
      </c>
      <c r="D392" s="440" t="str" cm="1">
        <f t="array" ref="D392">_xll.RssMarket(B392, "銘柄名称")</f>
        <v/>
      </c>
      <c r="E392" s="717"/>
      <c r="F392" s="6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 t="shared" ca="1" si="120"/>
        <v/>
      </c>
      <c r="L392" s="709" t="str">
        <f t="shared" ca="1" si="121"/>
        <v/>
      </c>
      <c r="M392" s="599">
        <f>IF($F392="","",IF($C392="売",CEILING($F392*IF($C392="売",1-$AG$3,1+$AG$3),IF($F392*IF($C392="売",1-$AG$3,1+$AG$3)&lt;=3000,1,IF($F392*IF($C392="売",1-$AG$3,1+$AG$3)&lt;=5000,5,IF($F392*IF($C392="売",1-$AG$3,1+$AG$3)&lt;=30000,10,IF($F392*IF($C392="売",1-$AG$3,1+$AG$3)&lt;=50000,50,IF($F392*IF($C392="売",1-$AG$3,1+$AG$3)&lt;=300000,100,500)))))),FLOOR($F392*IF($C392="売",1-$AG$3,1+$AG$3),IF($F392*IF($C392="売",1-$AG$3,1+$AG$3)&lt;=3000,1,IF($F392*IF($C392="売",1-$AG$3,1+$AG$3)&lt;=5000,5,IF($F392*IF($C392="売",1-$AG$3,1+$AG$3)&lt;=30000,10,IF($F392*IF($C392="売",1-$AG$3,1+$AG$3)&lt;=50000,50,IF($F392*IF($C392="売",1-$AG$3,1+$AG$3)&lt;=300000,100,500))))))))</f>
      </c>
      <c r="N392" s="599">
        <f>IF($F392="","",IF($C392="売",CEILING($F392*IF($C392="売",1+$AG$2,1-$AG$2),IF($F392*IF($C392="売",1+$AG$2,1-$AG$2)&lt;=3000,1,IF($F392*IF($C392="売",1+$AG$2,1-$AG$2)&lt;=5000,5,IF($F392*IF($C392="売",1+$AG$2,1-$AG$2)&lt;=30000,10,IF($F392*IF($C392="売",1+$AG$2,1-$AG$2)&lt;=50000,50,IF($F392*IF($C392="売",1+$AG$2,1-$AG$2)&lt;=300000,100,500)))))),FLOOR($F392*IF($C392="売",1+$AG$2,1-$AG$2),IF($F392*IF($C392="売",1+$AG$2,1-$AG$2)&lt;=3000,1,IF($F392*IF($C392="売",1+$AG$2,1-$AG$2)&lt;=5000,5,IF($F392*IF($C392="売",1+$AG$2,1-$AG$2)&lt;=30000,10,IF($F392*IF($C392="売",1+$AG$2,1-$AG$2)&lt;=50000,50,IF($F392*IF($C392="売",1+$AG$2,1-$AG$2)&lt;=300000,100,500))))))))</f>
      </c>
      <c r="O392" s="478">
        <f>IF(OR($B392="",$F392="",$H392=""),"",IF($S392="✅売却済","―決済済―",IF($C392="売",  IF($H392&lt;=$M392,"🟢利確",  IF(AND($R392&lt;&gt;"",$H392&gt;=$R392),"🟠TRAIL決済",  IF($H392&gt;=$N392,"🔴損切",  IF($W392&gt;=$AG$5,"⏱時間決済",  IF($H392&gt;=$F392*(1+$AG$2*0.7),"⚠️損切接近","保持継続"))))),  IF($H392&gt;=$M392,"🟢利確",  IF(AND($R392&lt;&gt;"",$H392&lt;=$R392),"🟠TRAIL決済",  IF($H392&lt;=$N392,"🔴損切",  IF($W392&gt;=$AG$5,"⏱時間決済",  IF($H392&lt;=$F392*(1-$AG$2*0.7),"⚠️損切接近","保持継続")))))))</f>
      </c>
      <c r="P392" s="445"/>
      <c r="R392" s="440">
        <f>IF(OR($F392="",$H392="",$N392=""),"",IF($S392="✅売却済","",IF($C392="売",  IF($H392&gt;$F392*(1-$AG$2),$N392,CEILING(MIN($N392,IF($Q392="",$N392,$Q392*1.03)),IF($N392&lt;=3000,1,IF($N392&lt;=5000,5,IF($N392&lt;=30000,10,IF($N392&lt;=50000,50,IF($N392&lt;=300000,100,500))))))),  IF($H392&lt;$F392*(1+$AG$2),$N392,FLOOR(MAX($N392,IF($P392="",$N392,$P392*0.97)),IF($N392&lt;=3000,1,IF($N392&lt;=5000,5,IF($N392&lt;=30000,10,IF($N392&lt;=50000,50,IF($N392&lt;=300000,100,500))))))))))</f>
      </c>
      <c r="S392" s="440" t="str">
        <f t="shared" si="123"/>
        <v/>
      </c>
      <c r="T392" s="597" t="str">
        <f t="shared" ca="1" si="129"/>
        <v/>
      </c>
      <c r="U392" s="599" t="str">
        <f t="shared" ca="1" si="130"/>
        <v/>
      </c>
      <c r="V392" s="704" t="str">
        <f t="shared" ca="1" si="124"/>
        <v/>
      </c>
      <c r="W392" s="440" t="str">
        <f t="shared" ca="1" si="131"/>
        <v/>
      </c>
      <c r="X392" s="440" t="str">
        <f t="shared" ca="1" si="132"/>
        <v/>
      </c>
      <c r="Y392">
        <f>IF($B392="","",IF(COUNTIFS($B$4:$B392,$B392,$C$4:$C392,$C392)&gt;1,"⛔重複"&amp;COUNTIFS($B$4:$B392,$B392,$C$4:$C392,$C392)&amp;"回目",""))</f>
      </c>
      <c r="AB392">
        <f>IF($F392="","",MAX(100,ROUNDDOWN($AG$4/($F392*$AG$2)/100,0)*100))</f>
      </c>
      <c r="AC392">
        <f>IF(OR($F392="",$G392="",$U392=""),"",ROUND($V392-($F392+$U392)*$G392*$AG$6-IF($C392="売",$F392*$G392*$AG$7*$W392/365,0),0))</f>
      </c>
      <c r="AD392" s="608"/>
      <c r="AE392" s="600" t="str">
        <f t="shared" si="133"/>
        <v/>
      </c>
      <c r="AF392" s="600"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00"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00" t="str">
        <f t="shared" ca="1" si="134"/>
        <v/>
      </c>
      <c r="AI392" s="600" t="str" cm="1">
        <f t="array" ref="AI392">IFERROR(INDEX(始値!$E$6:$BT$305,MATCH(TEXT($B392,"0"),TEXT(銘柄管理!$B$6:$B$305,"0"),0),MATCH($AE392,始値!$E$3:$BT$3,0)),"")</f>
        <v/>
      </c>
      <c r="AJ392" s="608" t="str">
        <f t="shared" ca="1" si="135"/>
        <v/>
      </c>
      <c r="AK392" s="600" t="str">
        <f t="shared" ca="1" si="136"/>
        <v/>
      </c>
    </row>
    <row r="393" spans="1:37" ht="17.25" customHeight="1">
      <c r="A393" s="622" t="str">
        <f t="shared" si="125"/>
        <v/>
      </c>
      <c r="D393" s="440" t="str" cm="1">
        <f t="array" ref="D393">_xll.RssMarket(B393, "銘柄名称")</f>
        <v/>
      </c>
      <c r="E393" s="717"/>
      <c r="F393" s="6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 t="shared" ca="1" si="120"/>
        <v/>
      </c>
      <c r="L393" s="709" t="str">
        <f t="shared" ca="1" si="121"/>
        <v/>
      </c>
      <c r="M393" s="599">
        <f>IF($F393="","",IF($C393="売",CEILING($F393*IF($C393="売",1-$AG$3,1+$AG$3),IF($F393*IF($C393="売",1-$AG$3,1+$AG$3)&lt;=3000,1,IF($F393*IF($C393="売",1-$AG$3,1+$AG$3)&lt;=5000,5,IF($F393*IF($C393="売",1-$AG$3,1+$AG$3)&lt;=30000,10,IF($F393*IF($C393="売",1-$AG$3,1+$AG$3)&lt;=50000,50,IF($F393*IF($C393="売",1-$AG$3,1+$AG$3)&lt;=300000,100,500)))))),FLOOR($F393*IF($C393="売",1-$AG$3,1+$AG$3),IF($F393*IF($C393="売",1-$AG$3,1+$AG$3)&lt;=3000,1,IF($F393*IF($C393="売",1-$AG$3,1+$AG$3)&lt;=5000,5,IF($F393*IF($C393="売",1-$AG$3,1+$AG$3)&lt;=30000,10,IF($F393*IF($C393="売",1-$AG$3,1+$AG$3)&lt;=50000,50,IF($F393*IF($C393="売",1-$AG$3,1+$AG$3)&lt;=300000,100,500))))))))</f>
      </c>
      <c r="N393" s="599">
        <f>IF($F393="","",IF($C393="売",CEILING($F393*IF($C393="売",1+$AG$2,1-$AG$2),IF($F393*IF($C393="売",1+$AG$2,1-$AG$2)&lt;=3000,1,IF($F393*IF($C393="売",1+$AG$2,1-$AG$2)&lt;=5000,5,IF($F393*IF($C393="売",1+$AG$2,1-$AG$2)&lt;=30000,10,IF($F393*IF($C393="売",1+$AG$2,1-$AG$2)&lt;=50000,50,IF($F393*IF($C393="売",1+$AG$2,1-$AG$2)&lt;=300000,100,500)))))),FLOOR($F393*IF($C393="売",1+$AG$2,1-$AG$2),IF($F393*IF($C393="売",1+$AG$2,1-$AG$2)&lt;=3000,1,IF($F393*IF($C393="売",1+$AG$2,1-$AG$2)&lt;=5000,5,IF($F393*IF($C393="売",1+$AG$2,1-$AG$2)&lt;=30000,10,IF($F393*IF($C393="売",1+$AG$2,1-$AG$2)&lt;=50000,50,IF($F393*IF($C393="売",1+$AG$2,1-$AG$2)&lt;=300000,100,500))))))))</f>
      </c>
      <c r="O393" s="478">
        <f>IF(OR($B393="",$F393="",$H393=""),"",IF($S393="✅売却済","―決済済―",IF($C393="売",  IF($H393&lt;=$M393,"🟢利確",  IF(AND($R393&lt;&gt;"",$H393&gt;=$R393),"🟠TRAIL決済",  IF($H393&gt;=$N393,"🔴損切",  IF($W393&gt;=$AG$5,"⏱時間決済",  IF($H393&gt;=$F393*(1+$AG$2*0.7),"⚠️損切接近","保持継続"))))),  IF($H393&gt;=$M393,"🟢利確",  IF(AND($R393&lt;&gt;"",$H393&lt;=$R393),"🟠TRAIL決済",  IF($H393&lt;=$N393,"🔴損切",  IF($W393&gt;=$AG$5,"⏱時間決済",  IF($H393&lt;=$F393*(1-$AG$2*0.7),"⚠️損切接近","保持継続")))))))</f>
      </c>
      <c r="P393" s="445"/>
      <c r="R393" s="440">
        <f>IF(OR($F393="",$H393="",$N393=""),"",IF($S393="✅売却済","",IF($C393="売",  IF($H393&gt;$F393*(1-$AG$2),$N393,CEILING(MIN($N393,IF($Q393="",$N393,$Q393*1.03)),IF($N393&lt;=3000,1,IF($N393&lt;=5000,5,IF($N393&lt;=30000,10,IF($N393&lt;=50000,50,IF($N393&lt;=300000,100,500))))))),  IF($H393&lt;$F393*(1+$AG$2),$N393,FLOOR(MAX($N393,IF($P393="",$N393,$P393*0.97)),IF($N393&lt;=3000,1,IF($N393&lt;=5000,5,IF($N393&lt;=30000,10,IF($N393&lt;=50000,50,IF($N393&lt;=300000,100,500))))))))))</f>
      </c>
      <c r="S393" s="440" t="str">
        <f t="shared" si="123"/>
        <v/>
      </c>
      <c r="T393" s="597" t="str">
        <f t="shared" ca="1" si="129"/>
        <v/>
      </c>
      <c r="U393" s="599" t="str">
        <f t="shared" ca="1" si="130"/>
        <v/>
      </c>
      <c r="V393" s="704" t="str">
        <f t="shared" ca="1" si="124"/>
        <v/>
      </c>
      <c r="W393" s="440" t="str">
        <f t="shared" ca="1" si="131"/>
        <v/>
      </c>
      <c r="X393" s="440" t="str">
        <f t="shared" ca="1" si="132"/>
        <v/>
      </c>
      <c r="Y393">
        <f>IF($B393="","",IF(COUNTIFS($B$4:$B393,$B393,$C$4:$C393,$C393)&gt;1,"⛔重複"&amp;COUNTIFS($B$4:$B393,$B393,$C$4:$C393,$C393)&amp;"回目",""))</f>
      </c>
      <c r="AB393">
        <f>IF($F393="","",MAX(100,ROUNDDOWN($AG$4/($F393*$AG$2)/100,0)*100))</f>
      </c>
      <c r="AC393">
        <f>IF(OR($F393="",$G393="",$U393=""),"",ROUND($V393-($F393+$U393)*$G393*$AG$6-IF($C393="売",$F393*$G393*$AG$7*$W393/365,0),0))</f>
      </c>
      <c r="AD393" s="608"/>
      <c r="AE393" s="600" t="str">
        <f t="shared" si="133"/>
        <v/>
      </c>
      <c r="AF393" s="600"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00"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00" t="str">
        <f t="shared" ca="1" si="134"/>
        <v/>
      </c>
      <c r="AI393" s="600" t="str" cm="1">
        <f t="array" ref="AI393">IFERROR(INDEX(始値!$E$6:$BT$305,MATCH(TEXT($B393,"0"),TEXT(銘柄管理!$B$6:$B$305,"0"),0),MATCH($AE393,始値!$E$3:$BT$3,0)),"")</f>
        <v/>
      </c>
      <c r="AJ393" s="608" t="str">
        <f t="shared" ca="1" si="135"/>
        <v/>
      </c>
      <c r="AK393" s="600" t="str">
        <f t="shared" ca="1" si="136"/>
        <v/>
      </c>
    </row>
    <row r="394" spans="1:37" ht="17.25" customHeight="1">
      <c r="A394" s="622" t="str">
        <f t="shared" si="125"/>
        <v/>
      </c>
      <c r="D394" s="440" t="str" cm="1">
        <f t="array" ref="D394">_xll.RssMarket(B394, "銘柄名称")</f>
        <v/>
      </c>
      <c r="E394" s="717"/>
      <c r="F394" s="6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 t="shared" ref="K394:K457" ca="1" si="137">IF(OR(F394="",G394="",H394=""),"",IF(C394="売",(F394-H394)*G394,(H394-F394)*G394))</f>
        <v/>
      </c>
      <c r="L394" s="709" t="str">
        <f t="shared" ref="L394:L457" ca="1" si="138">IF(OR(F394="",H394=""),"",IF(C394="売",(F394-H394)/F394,(H394-F394)/F394))</f>
        <v/>
      </c>
      <c r="M394" s="599">
        <f>IF($F394="","",IF($C394="売",CEILING($F394*IF($C394="売",1-$AG$3,1+$AG$3),IF($F394*IF($C394="売",1-$AG$3,1+$AG$3)&lt;=3000,1,IF($F394*IF($C394="売",1-$AG$3,1+$AG$3)&lt;=5000,5,IF($F394*IF($C394="売",1-$AG$3,1+$AG$3)&lt;=30000,10,IF($F394*IF($C394="売",1-$AG$3,1+$AG$3)&lt;=50000,50,IF($F394*IF($C394="売",1-$AG$3,1+$AG$3)&lt;=300000,100,500)))))),FLOOR($F394*IF($C394="売",1-$AG$3,1+$AG$3),IF($F394*IF($C394="売",1-$AG$3,1+$AG$3)&lt;=3000,1,IF($F394*IF($C394="売",1-$AG$3,1+$AG$3)&lt;=5000,5,IF($F394*IF($C394="売",1-$AG$3,1+$AG$3)&lt;=30000,10,IF($F394*IF($C394="売",1-$AG$3,1+$AG$3)&lt;=50000,50,IF($F394*IF($C394="売",1-$AG$3,1+$AG$3)&lt;=300000,100,500))))))))</f>
      </c>
      <c r="N394" s="599">
        <f>IF($F394="","",IF($C394="売",CEILING($F394*IF($C394="売",1+$AG$2,1-$AG$2),IF($F394*IF($C394="売",1+$AG$2,1-$AG$2)&lt;=3000,1,IF($F394*IF($C394="売",1+$AG$2,1-$AG$2)&lt;=5000,5,IF($F394*IF($C394="売",1+$AG$2,1-$AG$2)&lt;=30000,10,IF($F394*IF($C394="売",1+$AG$2,1-$AG$2)&lt;=50000,50,IF($F394*IF($C394="売",1+$AG$2,1-$AG$2)&lt;=300000,100,500)))))),FLOOR($F394*IF($C394="売",1+$AG$2,1-$AG$2),IF($F394*IF($C394="売",1+$AG$2,1-$AG$2)&lt;=3000,1,IF($F394*IF($C394="売",1+$AG$2,1-$AG$2)&lt;=5000,5,IF($F394*IF($C394="売",1+$AG$2,1-$AG$2)&lt;=30000,10,IF($F394*IF($C394="売",1+$AG$2,1-$AG$2)&lt;=50000,50,IF($F394*IF($C394="売",1+$AG$2,1-$AG$2)&lt;=300000,100,500))))))))</f>
      </c>
      <c r="O394" s="478">
        <f>IF(OR($B394="",$F394="",$H394=""),"",IF($S394="✅売却済","―決済済―",IF($C394="売",  IF($H394&lt;=$M394,"🟢利確",  IF(AND($R394&lt;&gt;"",$H394&gt;=$R394),"🟠TRAIL決済",  IF($H394&gt;=$N394,"🔴損切",  IF($W394&gt;=$AG$5,"⏱時間決済",  IF($H394&gt;=$F394*(1+$AG$2*0.7),"⚠️損切接近","保持継続"))))),  IF($H394&gt;=$M394,"🟢利確",  IF(AND($R394&lt;&gt;"",$H394&lt;=$R394),"🟠TRAIL決済",  IF($H394&lt;=$N394,"🔴損切",  IF($W394&gt;=$AG$5,"⏱時間決済",  IF($H394&lt;=$F394*(1-$AG$2*0.7),"⚠️損切接近","保持継続")))))))</f>
      </c>
      <c r="P394" s="445"/>
      <c r="R394" s="440">
        <f>IF(OR($F394="",$H394="",$N394=""),"",IF($S394="✅売却済","",IF($C394="売",  IF($H394&gt;$F394*(1-$AG$2),$N394,CEILING(MIN($N394,IF($Q394="",$N394,$Q394*1.03)),IF($N394&lt;=3000,1,IF($N394&lt;=5000,5,IF($N394&lt;=30000,10,IF($N394&lt;=50000,50,IF($N394&lt;=300000,100,500))))))),  IF($H394&lt;$F394*(1+$AG$2),$N394,FLOOR(MAX($N394,IF($P394="",$N394,$P394*0.97)),IF($N394&lt;=3000,1,IF($N394&lt;=5000,5,IF($N394&lt;=30000,10,IF($N394&lt;=50000,50,IF($N394&lt;=300000,100,500))))))))))</f>
      </c>
      <c r="S394" s="440" t="str">
        <f t="shared" ref="S394:S457" si="140">IF(B394="","",IF(T394&lt;&gt;"","✅売却済",IF(OR(H394="",L394=""),"📌保有中",IF(L394&gt;=0.06,"🟢利確推奨",IF(L394&gt;=0.05,"🟡利確直近",IF(L394&gt;=0.045,"🔵トレーリング検討",IF(L394&gt;-0.03,"📌保有中",IF(L394&gt;-0.04,"⚠️損切注意","🔴損切り"))))))))</f>
        <v/>
      </c>
      <c r="T394" s="597" t="str">
        <f t="shared" ca="1" si="129"/>
        <v/>
      </c>
      <c r="U394" s="599" t="str">
        <f t="shared" ca="1" si="130"/>
        <v/>
      </c>
      <c r="V394" s="704" t="str">
        <f t="shared" ref="V394:V457" ca="1" si="141">IF(OR(F394="",G394="",U394=""),"",IF(C394="売",(F394-U394)*G394,(U394-F394)*G394))</f>
        <v/>
      </c>
      <c r="W394" s="440" t="str">
        <f t="shared" ca="1" si="131"/>
        <v/>
      </c>
      <c r="X394" s="440" t="str">
        <f t="shared" ca="1" si="132"/>
        <v/>
      </c>
      <c r="Y394">
        <f>IF($B394="","",IF(COUNTIFS($B$4:$B394,$B394,$C$4:$C394,$C394)&gt;1,"⛔重複"&amp;COUNTIFS($B$4:$B394,$B394,$C$4:$C394,$C394)&amp;"回目",""))</f>
      </c>
      <c r="AB394">
        <f>IF($F394="","",MAX(100,ROUNDDOWN($AG$4/($F394*$AG$2)/100,0)*100))</f>
      </c>
      <c r="AC394">
        <f>IF(OR($F394="",$G394="",$U394=""),"",ROUND($V394-($F394+$U394)*$G394*$AG$6-IF($C394="売",$F394*$G394*$AG$7*$W394/365,0),0))</f>
      </c>
      <c r="AD394" s="608"/>
      <c r="AE394" s="600" t="str">
        <f t="shared" si="133"/>
        <v/>
      </c>
      <c r="AF394" s="600"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00"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00" t="str">
        <f t="shared" ca="1" si="134"/>
        <v/>
      </c>
      <c r="AI394" s="600" t="str" cm="1">
        <f t="array" ref="AI394">IFERROR(INDEX(始値!$E$6:$BT$305,MATCH(TEXT($B394,"0"),TEXT(銘柄管理!$B$6:$B$305,"0"),0),MATCH($AE394,始値!$E$3:$BT$3,0)),"")</f>
        <v/>
      </c>
      <c r="AJ394" s="608" t="str">
        <f t="shared" ca="1" si="135"/>
        <v/>
      </c>
      <c r="AK394" s="600" t="str">
        <f t="shared" ca="1" si="136"/>
        <v/>
      </c>
    </row>
    <row r="395" spans="1:37" ht="17.25" customHeight="1">
      <c r="A395" s="622" t="str">
        <f t="shared" si="125"/>
        <v/>
      </c>
      <c r="D395" s="440" t="str" cm="1">
        <f t="array" ref="D395">_xll.RssMarket(B395, "銘柄名称")</f>
        <v/>
      </c>
      <c r="E395" s="717"/>
      <c r="F395" s="6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 t="shared" ca="1" si="137"/>
        <v/>
      </c>
      <c r="L395" s="709" t="str">
        <f t="shared" ca="1" si="138"/>
        <v/>
      </c>
      <c r="M395" s="599">
        <f>IF($F395="","",IF($C395="売",CEILING($F395*IF($C395="売",1-$AG$3,1+$AG$3),IF($F395*IF($C395="売",1-$AG$3,1+$AG$3)&lt;=3000,1,IF($F395*IF($C395="売",1-$AG$3,1+$AG$3)&lt;=5000,5,IF($F395*IF($C395="売",1-$AG$3,1+$AG$3)&lt;=30000,10,IF($F395*IF($C395="売",1-$AG$3,1+$AG$3)&lt;=50000,50,IF($F395*IF($C395="売",1-$AG$3,1+$AG$3)&lt;=300000,100,500)))))),FLOOR($F395*IF($C395="売",1-$AG$3,1+$AG$3),IF($F395*IF($C395="売",1-$AG$3,1+$AG$3)&lt;=3000,1,IF($F395*IF($C395="売",1-$AG$3,1+$AG$3)&lt;=5000,5,IF($F395*IF($C395="売",1-$AG$3,1+$AG$3)&lt;=30000,10,IF($F395*IF($C395="売",1-$AG$3,1+$AG$3)&lt;=50000,50,IF($F395*IF($C395="売",1-$AG$3,1+$AG$3)&lt;=300000,100,500))))))))</f>
      </c>
      <c r="N395" s="599">
        <f>IF($F395="","",IF($C395="売",CEILING($F395*IF($C395="売",1+$AG$2,1-$AG$2),IF($F395*IF($C395="売",1+$AG$2,1-$AG$2)&lt;=3000,1,IF($F395*IF($C395="売",1+$AG$2,1-$AG$2)&lt;=5000,5,IF($F395*IF($C395="売",1+$AG$2,1-$AG$2)&lt;=30000,10,IF($F395*IF($C395="売",1+$AG$2,1-$AG$2)&lt;=50000,50,IF($F395*IF($C395="売",1+$AG$2,1-$AG$2)&lt;=300000,100,500)))))),FLOOR($F395*IF($C395="売",1+$AG$2,1-$AG$2),IF($F395*IF($C395="売",1+$AG$2,1-$AG$2)&lt;=3000,1,IF($F395*IF($C395="売",1+$AG$2,1-$AG$2)&lt;=5000,5,IF($F395*IF($C395="売",1+$AG$2,1-$AG$2)&lt;=30000,10,IF($F395*IF($C395="売",1+$AG$2,1-$AG$2)&lt;=50000,50,IF($F395*IF($C395="売",1+$AG$2,1-$AG$2)&lt;=300000,100,500))))))))</f>
      </c>
      <c r="O395" s="478">
        <f>IF(OR($B395="",$F395="",$H395=""),"",IF($S395="✅売却済","―決済済―",IF($C395="売",  IF($H395&lt;=$M395,"🟢利確",  IF(AND($R395&lt;&gt;"",$H395&gt;=$R395),"🟠TRAIL決済",  IF($H395&gt;=$N395,"🔴損切",  IF($W395&gt;=$AG$5,"⏱時間決済",  IF($H395&gt;=$F395*(1+$AG$2*0.7),"⚠️損切接近","保持継続"))))),  IF($H395&gt;=$M395,"🟢利確",  IF(AND($R395&lt;&gt;"",$H395&lt;=$R395),"🟠TRAIL決済",  IF($H395&lt;=$N395,"🔴損切",  IF($W395&gt;=$AG$5,"⏱時間決済",  IF($H395&lt;=$F395*(1-$AG$2*0.7),"⚠️損切接近","保持継続")))))))</f>
      </c>
      <c r="P395" s="445"/>
      <c r="R395" s="440">
        <f>IF(OR($F395="",$H395="",$N395=""),"",IF($S395="✅売却済","",IF($C395="売",  IF($H395&gt;$F395*(1-$AG$2),$N395,CEILING(MIN($N395,IF($Q395="",$N395,$Q395*1.03)),IF($N395&lt;=3000,1,IF($N395&lt;=5000,5,IF($N395&lt;=30000,10,IF($N395&lt;=50000,50,IF($N395&lt;=300000,100,500))))))),  IF($H395&lt;$F395*(1+$AG$2),$N395,FLOOR(MAX($N395,IF($P395="",$N395,$P395*0.97)),IF($N395&lt;=3000,1,IF($N395&lt;=5000,5,IF($N395&lt;=30000,10,IF($N395&lt;=50000,50,IF($N395&lt;=300000,100,500))))))))))</f>
      </c>
      <c r="S395" s="440" t="str">
        <f t="shared" si="140"/>
        <v/>
      </c>
      <c r="T395" s="597" t="str">
        <f t="shared" ca="1" si="129"/>
        <v/>
      </c>
      <c r="U395" s="599" t="str">
        <f t="shared" ca="1" si="130"/>
        <v/>
      </c>
      <c r="V395" s="704" t="str">
        <f t="shared" ca="1" si="141"/>
        <v/>
      </c>
      <c r="W395" s="440" t="str">
        <f t="shared" ca="1" si="131"/>
        <v/>
      </c>
      <c r="X395" s="440" t="str">
        <f t="shared" ca="1" si="132"/>
        <v/>
      </c>
      <c r="Y395">
        <f>IF($B395="","",IF(COUNTIFS($B$4:$B395,$B395,$C$4:$C395,$C395)&gt;1,"⛔重複"&amp;COUNTIFS($B$4:$B395,$B395,$C$4:$C395,$C395)&amp;"回目",""))</f>
      </c>
      <c r="AB395">
        <f>IF($F395="","",MAX(100,ROUNDDOWN($AG$4/($F395*$AG$2)/100,0)*100))</f>
      </c>
      <c r="AC395">
        <f>IF(OR($F395="",$G395="",$U395=""),"",ROUND($V395-($F395+$U395)*$G395*$AG$6-IF($C395="売",$F395*$G395*$AG$7*$W395/365,0),0))</f>
      </c>
      <c r="AD395" s="608"/>
      <c r="AE395" s="600" t="str">
        <f t="shared" si="133"/>
        <v/>
      </c>
      <c r="AF395" s="600"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00"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00" t="str">
        <f t="shared" ca="1" si="134"/>
        <v/>
      </c>
      <c r="AI395" s="600" t="str" cm="1">
        <f t="array" ref="AI395">IFERROR(INDEX(始値!$E$6:$BT$305,MATCH(TEXT($B395,"0"),TEXT(銘柄管理!$B$6:$B$305,"0"),0),MATCH($AE395,始値!$E$3:$BT$3,0)),"")</f>
        <v/>
      </c>
      <c r="AJ395" s="608" t="str">
        <f t="shared" ca="1" si="135"/>
        <v/>
      </c>
      <c r="AK395" s="600" t="str">
        <f t="shared" ca="1" si="136"/>
        <v/>
      </c>
    </row>
    <row r="396" spans="1:37" ht="17.25" customHeight="1">
      <c r="A396" s="622" t="str">
        <f t="shared" si="125"/>
        <v/>
      </c>
      <c r="D396" s="440" t="str" cm="1">
        <f t="array" ref="D396">_xll.RssMarket(B396, "銘柄名称")</f>
        <v/>
      </c>
      <c r="E396" s="717"/>
      <c r="F396" s="6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 t="shared" ca="1" si="137"/>
        <v/>
      </c>
      <c r="L396" s="709" t="str">
        <f t="shared" ca="1" si="138"/>
        <v/>
      </c>
      <c r="M396" s="599">
        <f>IF($F396="","",IF($C396="売",CEILING($F396*IF($C396="売",1-$AG$3,1+$AG$3),IF($F396*IF($C396="売",1-$AG$3,1+$AG$3)&lt;=3000,1,IF($F396*IF($C396="売",1-$AG$3,1+$AG$3)&lt;=5000,5,IF($F396*IF($C396="売",1-$AG$3,1+$AG$3)&lt;=30000,10,IF($F396*IF($C396="売",1-$AG$3,1+$AG$3)&lt;=50000,50,IF($F396*IF($C396="売",1-$AG$3,1+$AG$3)&lt;=300000,100,500)))))),FLOOR($F396*IF($C396="売",1-$AG$3,1+$AG$3),IF($F396*IF($C396="売",1-$AG$3,1+$AG$3)&lt;=3000,1,IF($F396*IF($C396="売",1-$AG$3,1+$AG$3)&lt;=5000,5,IF($F396*IF($C396="売",1-$AG$3,1+$AG$3)&lt;=30000,10,IF($F396*IF($C396="売",1-$AG$3,1+$AG$3)&lt;=50000,50,IF($F396*IF($C396="売",1-$AG$3,1+$AG$3)&lt;=300000,100,500))))))))</f>
      </c>
      <c r="N396" s="599">
        <f>IF($F396="","",IF($C396="売",CEILING($F396*IF($C396="売",1+$AG$2,1-$AG$2),IF($F396*IF($C396="売",1+$AG$2,1-$AG$2)&lt;=3000,1,IF($F396*IF($C396="売",1+$AG$2,1-$AG$2)&lt;=5000,5,IF($F396*IF($C396="売",1+$AG$2,1-$AG$2)&lt;=30000,10,IF($F396*IF($C396="売",1+$AG$2,1-$AG$2)&lt;=50000,50,IF($F396*IF($C396="売",1+$AG$2,1-$AG$2)&lt;=300000,100,500)))))),FLOOR($F396*IF($C396="売",1+$AG$2,1-$AG$2),IF($F396*IF($C396="売",1+$AG$2,1-$AG$2)&lt;=3000,1,IF($F396*IF($C396="売",1+$AG$2,1-$AG$2)&lt;=5000,5,IF($F396*IF($C396="売",1+$AG$2,1-$AG$2)&lt;=30000,10,IF($F396*IF($C396="売",1+$AG$2,1-$AG$2)&lt;=50000,50,IF($F396*IF($C396="売",1+$AG$2,1-$AG$2)&lt;=300000,100,500))))))))</f>
      </c>
      <c r="O396" s="478">
        <f>IF(OR($B396="",$F396="",$H396=""),"",IF($S396="✅売却済","―決済済―",IF($C396="売",  IF($H396&lt;=$M396,"🟢利確",  IF(AND($R396&lt;&gt;"",$H396&gt;=$R396),"🟠TRAIL決済",  IF($H396&gt;=$N396,"🔴損切",  IF($W396&gt;=$AG$5,"⏱時間決済",  IF($H396&gt;=$F396*(1+$AG$2*0.7),"⚠️損切接近","保持継続"))))),  IF($H396&gt;=$M396,"🟢利確",  IF(AND($R396&lt;&gt;"",$H396&lt;=$R396),"🟠TRAIL決済",  IF($H396&lt;=$N396,"🔴損切",  IF($W396&gt;=$AG$5,"⏱時間決済",  IF($H396&lt;=$F396*(1-$AG$2*0.7),"⚠️損切接近","保持継続")))))))</f>
      </c>
      <c r="P396" s="445"/>
      <c r="R396" s="440">
        <f>IF(OR($F396="",$H396="",$N396=""),"",IF($S396="✅売却済","",IF($C396="売",  IF($H396&gt;$F396*(1-$AG$2),$N396,CEILING(MIN($N396,IF($Q396="",$N396,$Q396*1.03)),IF($N396&lt;=3000,1,IF($N396&lt;=5000,5,IF($N396&lt;=30000,10,IF($N396&lt;=50000,50,IF($N396&lt;=300000,100,500))))))),  IF($H396&lt;$F396*(1+$AG$2),$N396,FLOOR(MAX($N396,IF($P396="",$N396,$P396*0.97)),IF($N396&lt;=3000,1,IF($N396&lt;=5000,5,IF($N396&lt;=30000,10,IF($N396&lt;=50000,50,IF($N396&lt;=300000,100,500))))))))))</f>
      </c>
      <c r="S396" s="440" t="str">
        <f t="shared" si="140"/>
        <v/>
      </c>
      <c r="T396" s="597" t="str">
        <f t="shared" ca="1" si="129"/>
        <v/>
      </c>
      <c r="U396" s="599" t="str">
        <f t="shared" ca="1" si="130"/>
        <v/>
      </c>
      <c r="V396" s="704" t="str">
        <f t="shared" ca="1" si="141"/>
        <v/>
      </c>
      <c r="W396" s="440" t="str">
        <f t="shared" ca="1" si="131"/>
        <v/>
      </c>
      <c r="X396" s="440" t="str">
        <f t="shared" ca="1" si="132"/>
        <v/>
      </c>
      <c r="Y396">
        <f>IF($B396="","",IF(COUNTIFS($B$4:$B396,$B396,$C$4:$C396,$C396)&gt;1,"⛔重複"&amp;COUNTIFS($B$4:$B396,$B396,$C$4:$C396,$C396)&amp;"回目",""))</f>
      </c>
      <c r="AB396">
        <f>IF($F396="","",MAX(100,ROUNDDOWN($AG$4/($F396*$AG$2)/100,0)*100))</f>
      </c>
      <c r="AC396">
        <f>IF(OR($F396="",$G396="",$U396=""),"",ROUND($V396-($F396+$U396)*$G396*$AG$6-IF($C396="売",$F396*$G396*$AG$7*$W396/365,0),0))</f>
      </c>
      <c r="AD396" s="608"/>
      <c r="AE396" s="600" t="str">
        <f t="shared" si="133"/>
        <v/>
      </c>
      <c r="AF396" s="600"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00"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00" t="str">
        <f t="shared" ca="1" si="134"/>
        <v/>
      </c>
      <c r="AI396" s="600" t="str" cm="1">
        <f t="array" ref="AI396">IFERROR(INDEX(始値!$E$6:$BT$305,MATCH(TEXT($B396,"0"),TEXT(銘柄管理!$B$6:$B$305,"0"),0),MATCH($AE396,始値!$E$3:$BT$3,0)),"")</f>
        <v/>
      </c>
      <c r="AJ396" s="608" t="str">
        <f t="shared" ca="1" si="135"/>
        <v/>
      </c>
      <c r="AK396" s="600" t="str">
        <f t="shared" ca="1" si="136"/>
        <v/>
      </c>
    </row>
    <row r="397" spans="1:37" ht="17.25" customHeight="1">
      <c r="A397" s="622" t="str">
        <f t="shared" si="125"/>
        <v/>
      </c>
      <c r="D397" s="440" t="str" cm="1">
        <f t="array" ref="D397">_xll.RssMarket(B397, "銘柄名称")</f>
        <v/>
      </c>
      <c r="E397" s="717"/>
      <c r="F397" s="6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 t="shared" ca="1" si="137"/>
        <v/>
      </c>
      <c r="L397" s="709" t="str">
        <f t="shared" ca="1" si="138"/>
        <v/>
      </c>
      <c r="M397" s="599">
        <f>IF($F397="","",IF($C397="売",CEILING($F397*IF($C397="売",1-$AG$3,1+$AG$3),IF($F397*IF($C397="売",1-$AG$3,1+$AG$3)&lt;=3000,1,IF($F397*IF($C397="売",1-$AG$3,1+$AG$3)&lt;=5000,5,IF($F397*IF($C397="売",1-$AG$3,1+$AG$3)&lt;=30000,10,IF($F397*IF($C397="売",1-$AG$3,1+$AG$3)&lt;=50000,50,IF($F397*IF($C397="売",1-$AG$3,1+$AG$3)&lt;=300000,100,500)))))),FLOOR($F397*IF($C397="売",1-$AG$3,1+$AG$3),IF($F397*IF($C397="売",1-$AG$3,1+$AG$3)&lt;=3000,1,IF($F397*IF($C397="売",1-$AG$3,1+$AG$3)&lt;=5000,5,IF($F397*IF($C397="売",1-$AG$3,1+$AG$3)&lt;=30000,10,IF($F397*IF($C397="売",1-$AG$3,1+$AG$3)&lt;=50000,50,IF($F397*IF($C397="売",1-$AG$3,1+$AG$3)&lt;=300000,100,500))))))))</f>
      </c>
      <c r="N397" s="599">
        <f>IF($F397="","",IF($C397="売",CEILING($F397*IF($C397="売",1+$AG$2,1-$AG$2),IF($F397*IF($C397="売",1+$AG$2,1-$AG$2)&lt;=3000,1,IF($F397*IF($C397="売",1+$AG$2,1-$AG$2)&lt;=5000,5,IF($F397*IF($C397="売",1+$AG$2,1-$AG$2)&lt;=30000,10,IF($F397*IF($C397="売",1+$AG$2,1-$AG$2)&lt;=50000,50,IF($F397*IF($C397="売",1+$AG$2,1-$AG$2)&lt;=300000,100,500)))))),FLOOR($F397*IF($C397="売",1+$AG$2,1-$AG$2),IF($F397*IF($C397="売",1+$AG$2,1-$AG$2)&lt;=3000,1,IF($F397*IF($C397="売",1+$AG$2,1-$AG$2)&lt;=5000,5,IF($F397*IF($C397="売",1+$AG$2,1-$AG$2)&lt;=30000,10,IF($F397*IF($C397="売",1+$AG$2,1-$AG$2)&lt;=50000,50,IF($F397*IF($C397="売",1+$AG$2,1-$AG$2)&lt;=300000,100,500))))))))</f>
      </c>
      <c r="O397" s="478">
        <f>IF(OR($B397="",$F397="",$H397=""),"",IF($S397="✅売却済","―決済済―",IF($C397="売",  IF($H397&lt;=$M397,"🟢利確",  IF(AND($R397&lt;&gt;"",$H397&gt;=$R397),"🟠TRAIL決済",  IF($H397&gt;=$N397,"🔴損切",  IF($W397&gt;=$AG$5,"⏱時間決済",  IF($H397&gt;=$F397*(1+$AG$2*0.7),"⚠️損切接近","保持継続"))))),  IF($H397&gt;=$M397,"🟢利確",  IF(AND($R397&lt;&gt;"",$H397&lt;=$R397),"🟠TRAIL決済",  IF($H397&lt;=$N397,"🔴損切",  IF($W397&gt;=$AG$5,"⏱時間決済",  IF($H397&lt;=$F397*(1-$AG$2*0.7),"⚠️損切接近","保持継続")))))))</f>
      </c>
      <c r="P397" s="445"/>
      <c r="R397" s="440">
        <f>IF(OR($F397="",$H397="",$N397=""),"",IF($S397="✅売却済","",IF($C397="売",  IF($H397&gt;$F397*(1-$AG$2),$N397,CEILING(MIN($N397,IF($Q397="",$N397,$Q397*1.03)),IF($N397&lt;=3000,1,IF($N397&lt;=5000,5,IF($N397&lt;=30000,10,IF($N397&lt;=50000,50,IF($N397&lt;=300000,100,500))))))),  IF($H397&lt;$F397*(1+$AG$2),$N397,FLOOR(MAX($N397,IF($P397="",$N397,$P397*0.97)),IF($N397&lt;=3000,1,IF($N397&lt;=5000,5,IF($N397&lt;=30000,10,IF($N397&lt;=50000,50,IF($N397&lt;=300000,100,500))))))))))</f>
      </c>
      <c r="S397" s="440" t="str">
        <f t="shared" si="140"/>
        <v/>
      </c>
      <c r="T397" s="597" t="str">
        <f t="shared" ca="1" si="129"/>
        <v/>
      </c>
      <c r="U397" s="599" t="str">
        <f t="shared" ca="1" si="130"/>
        <v/>
      </c>
      <c r="V397" s="704" t="str">
        <f t="shared" ca="1" si="141"/>
        <v/>
      </c>
      <c r="W397" s="440" t="str">
        <f t="shared" ca="1" si="131"/>
        <v/>
      </c>
      <c r="X397" s="440" t="str">
        <f t="shared" ca="1" si="132"/>
        <v/>
      </c>
      <c r="Y397">
        <f>IF($B397="","",IF(COUNTIFS($B$4:$B397,$B397,$C$4:$C397,$C397)&gt;1,"⛔重複"&amp;COUNTIFS($B$4:$B397,$B397,$C$4:$C397,$C397)&amp;"回目",""))</f>
      </c>
      <c r="AB397">
        <f>IF($F397="","",MAX(100,ROUNDDOWN($AG$4/($F397*$AG$2)/100,0)*100))</f>
      </c>
      <c r="AC397">
        <f>IF(OR($F397="",$G397="",$U397=""),"",ROUND($V397-($F397+$U397)*$G397*$AG$6-IF($C397="売",$F397*$G397*$AG$7*$W397/365,0),0))</f>
      </c>
      <c r="AD397" s="608"/>
      <c r="AE397" s="600" t="str">
        <f t="shared" si="133"/>
        <v/>
      </c>
      <c r="AF397" s="600"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00"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00" t="str">
        <f t="shared" ca="1" si="134"/>
        <v/>
      </c>
      <c r="AI397" s="600" t="str" cm="1">
        <f t="array" ref="AI397">IFERROR(INDEX(始値!$E$6:$BT$305,MATCH(TEXT($B397,"0"),TEXT(銘柄管理!$B$6:$B$305,"0"),0),MATCH($AE397,始値!$E$3:$BT$3,0)),"")</f>
        <v/>
      </c>
      <c r="AJ397" s="608" t="str">
        <f t="shared" ca="1" si="135"/>
        <v/>
      </c>
      <c r="AK397" s="600" t="str">
        <f t="shared" ca="1" si="136"/>
        <v/>
      </c>
    </row>
    <row r="398" spans="1:37" ht="17.25" customHeight="1">
      <c r="A398" s="622" t="str">
        <f t="shared" si="125"/>
        <v/>
      </c>
      <c r="D398" s="440" t="str" cm="1">
        <f t="array" ref="D398">_xll.RssMarket(B398, "銘柄名称")</f>
        <v/>
      </c>
      <c r="E398" s="717"/>
      <c r="F398" s="6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 t="shared" ca="1" si="137"/>
        <v/>
      </c>
      <c r="L398" s="709" t="str">
        <f t="shared" ca="1" si="138"/>
        <v/>
      </c>
      <c r="M398" s="599">
        <f>IF($F398="","",IF($C398="売",CEILING($F398*IF($C398="売",1-$AG$3,1+$AG$3),IF($F398*IF($C398="売",1-$AG$3,1+$AG$3)&lt;=3000,1,IF($F398*IF($C398="売",1-$AG$3,1+$AG$3)&lt;=5000,5,IF($F398*IF($C398="売",1-$AG$3,1+$AG$3)&lt;=30000,10,IF($F398*IF($C398="売",1-$AG$3,1+$AG$3)&lt;=50000,50,IF($F398*IF($C398="売",1-$AG$3,1+$AG$3)&lt;=300000,100,500)))))),FLOOR($F398*IF($C398="売",1-$AG$3,1+$AG$3),IF($F398*IF($C398="売",1-$AG$3,1+$AG$3)&lt;=3000,1,IF($F398*IF($C398="売",1-$AG$3,1+$AG$3)&lt;=5000,5,IF($F398*IF($C398="売",1-$AG$3,1+$AG$3)&lt;=30000,10,IF($F398*IF($C398="売",1-$AG$3,1+$AG$3)&lt;=50000,50,IF($F398*IF($C398="売",1-$AG$3,1+$AG$3)&lt;=300000,100,500))))))))</f>
      </c>
      <c r="N398" s="599">
        <f>IF($F398="","",IF($C398="売",CEILING($F398*IF($C398="売",1+$AG$2,1-$AG$2),IF($F398*IF($C398="売",1+$AG$2,1-$AG$2)&lt;=3000,1,IF($F398*IF($C398="売",1+$AG$2,1-$AG$2)&lt;=5000,5,IF($F398*IF($C398="売",1+$AG$2,1-$AG$2)&lt;=30000,10,IF($F398*IF($C398="売",1+$AG$2,1-$AG$2)&lt;=50000,50,IF($F398*IF($C398="売",1+$AG$2,1-$AG$2)&lt;=300000,100,500)))))),FLOOR($F398*IF($C398="売",1+$AG$2,1-$AG$2),IF($F398*IF($C398="売",1+$AG$2,1-$AG$2)&lt;=3000,1,IF($F398*IF($C398="売",1+$AG$2,1-$AG$2)&lt;=5000,5,IF($F398*IF($C398="売",1+$AG$2,1-$AG$2)&lt;=30000,10,IF($F398*IF($C398="売",1+$AG$2,1-$AG$2)&lt;=50000,50,IF($F398*IF($C398="売",1+$AG$2,1-$AG$2)&lt;=300000,100,500))))))))</f>
      </c>
      <c r="O398" s="478">
        <f>IF(OR($B398="",$F398="",$H398=""),"",IF($S398="✅売却済","―決済済―",IF($C398="売",  IF($H398&lt;=$M398,"🟢利確",  IF(AND($R398&lt;&gt;"",$H398&gt;=$R398),"🟠TRAIL決済",  IF($H398&gt;=$N398,"🔴損切",  IF($W398&gt;=$AG$5,"⏱時間決済",  IF($H398&gt;=$F398*(1+$AG$2*0.7),"⚠️損切接近","保持継続"))))),  IF($H398&gt;=$M398,"🟢利確",  IF(AND($R398&lt;&gt;"",$H398&lt;=$R398),"🟠TRAIL決済",  IF($H398&lt;=$N398,"🔴損切",  IF($W398&gt;=$AG$5,"⏱時間決済",  IF($H398&lt;=$F398*(1-$AG$2*0.7),"⚠️損切接近","保持継続")))))))</f>
      </c>
      <c r="P398" s="445"/>
      <c r="R398" s="440">
        <f>IF(OR($F398="",$H398="",$N398=""),"",IF($S398="✅売却済","",IF($C398="売",  IF($H398&gt;$F398*(1-$AG$2),$N398,CEILING(MIN($N398,IF($Q398="",$N398,$Q398*1.03)),IF($N398&lt;=3000,1,IF($N398&lt;=5000,5,IF($N398&lt;=30000,10,IF($N398&lt;=50000,50,IF($N398&lt;=300000,100,500))))))),  IF($H398&lt;$F398*(1+$AG$2),$N398,FLOOR(MAX($N398,IF($P398="",$N398,$P398*0.97)),IF($N398&lt;=3000,1,IF($N398&lt;=5000,5,IF($N398&lt;=30000,10,IF($N398&lt;=50000,50,IF($N398&lt;=300000,100,500))))))))))</f>
      </c>
      <c r="S398" s="440" t="str">
        <f t="shared" si="140"/>
        <v/>
      </c>
      <c r="T398" s="597" t="str">
        <f t="shared" ca="1" si="129"/>
        <v/>
      </c>
      <c r="U398" s="599" t="str">
        <f t="shared" ca="1" si="130"/>
        <v/>
      </c>
      <c r="V398" s="704" t="str">
        <f t="shared" ca="1" si="141"/>
        <v/>
      </c>
      <c r="W398" s="440" t="str">
        <f t="shared" ca="1" si="131"/>
        <v/>
      </c>
      <c r="X398" s="440" t="str">
        <f t="shared" ca="1" si="132"/>
        <v/>
      </c>
      <c r="Y398">
        <f>IF($B398="","",IF(COUNTIFS($B$4:$B398,$B398,$C$4:$C398,$C398)&gt;1,"⛔重複"&amp;COUNTIFS($B$4:$B398,$B398,$C$4:$C398,$C398)&amp;"回目",""))</f>
      </c>
      <c r="AB398">
        <f>IF($F398="","",MAX(100,ROUNDDOWN($AG$4/($F398*$AG$2)/100,0)*100))</f>
      </c>
      <c r="AC398">
        <f>IF(OR($F398="",$G398="",$U398=""),"",ROUND($V398-($F398+$U398)*$G398*$AG$6-IF($C398="売",$F398*$G398*$AG$7*$W398/365,0),0))</f>
      </c>
      <c r="AD398" s="608"/>
      <c r="AE398" s="600" t="str">
        <f t="shared" si="133"/>
        <v/>
      </c>
      <c r="AF398" s="600"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00"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00" t="str">
        <f t="shared" ca="1" si="134"/>
        <v/>
      </c>
      <c r="AI398" s="600" t="str" cm="1">
        <f t="array" ref="AI398">IFERROR(INDEX(始値!$E$6:$BT$305,MATCH(TEXT($B398,"0"),TEXT(銘柄管理!$B$6:$B$305,"0"),0),MATCH($AE398,始値!$E$3:$BT$3,0)),"")</f>
        <v/>
      </c>
      <c r="AJ398" s="608" t="str">
        <f t="shared" ca="1" si="135"/>
        <v/>
      </c>
      <c r="AK398" s="600" t="str">
        <f t="shared" ca="1" si="136"/>
        <v/>
      </c>
    </row>
    <row r="399" spans="1:37" ht="17.25" customHeight="1">
      <c r="A399" s="622" t="str">
        <f t="shared" si="125"/>
        <v/>
      </c>
      <c r="D399" s="440" t="str" cm="1">
        <f t="array" ref="D399">_xll.RssMarket(B399, "銘柄名称")</f>
        <v/>
      </c>
      <c r="E399" s="717"/>
      <c r="F399" s="6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 t="shared" ca="1" si="137"/>
        <v/>
      </c>
      <c r="L399" s="709" t="str">
        <f t="shared" ca="1" si="138"/>
        <v/>
      </c>
      <c r="M399" s="599">
        <f>IF($F399="","",IF($C399="売",CEILING($F399*IF($C399="売",1-$AG$3,1+$AG$3),IF($F399*IF($C399="売",1-$AG$3,1+$AG$3)&lt;=3000,1,IF($F399*IF($C399="売",1-$AG$3,1+$AG$3)&lt;=5000,5,IF($F399*IF($C399="売",1-$AG$3,1+$AG$3)&lt;=30000,10,IF($F399*IF($C399="売",1-$AG$3,1+$AG$3)&lt;=50000,50,IF($F399*IF($C399="売",1-$AG$3,1+$AG$3)&lt;=300000,100,500)))))),FLOOR($F399*IF($C399="売",1-$AG$3,1+$AG$3),IF($F399*IF($C399="売",1-$AG$3,1+$AG$3)&lt;=3000,1,IF($F399*IF($C399="売",1-$AG$3,1+$AG$3)&lt;=5000,5,IF($F399*IF($C399="売",1-$AG$3,1+$AG$3)&lt;=30000,10,IF($F399*IF($C399="売",1-$AG$3,1+$AG$3)&lt;=50000,50,IF($F399*IF($C399="売",1-$AG$3,1+$AG$3)&lt;=300000,100,500))))))))</f>
      </c>
      <c r="N399" s="599">
        <f>IF($F399="","",IF($C399="売",CEILING($F399*IF($C399="売",1+$AG$2,1-$AG$2),IF($F399*IF($C399="売",1+$AG$2,1-$AG$2)&lt;=3000,1,IF($F399*IF($C399="売",1+$AG$2,1-$AG$2)&lt;=5000,5,IF($F399*IF($C399="売",1+$AG$2,1-$AG$2)&lt;=30000,10,IF($F399*IF($C399="売",1+$AG$2,1-$AG$2)&lt;=50000,50,IF($F399*IF($C399="売",1+$AG$2,1-$AG$2)&lt;=300000,100,500)))))),FLOOR($F399*IF($C399="売",1+$AG$2,1-$AG$2),IF($F399*IF($C399="売",1+$AG$2,1-$AG$2)&lt;=3000,1,IF($F399*IF($C399="売",1+$AG$2,1-$AG$2)&lt;=5000,5,IF($F399*IF($C399="売",1+$AG$2,1-$AG$2)&lt;=30000,10,IF($F399*IF($C399="売",1+$AG$2,1-$AG$2)&lt;=50000,50,IF($F399*IF($C399="売",1+$AG$2,1-$AG$2)&lt;=300000,100,500))))))))</f>
      </c>
      <c r="O399" s="478">
        <f>IF(OR($B399="",$F399="",$H399=""),"",IF($S399="✅売却済","―決済済―",IF($C399="売",  IF($H399&lt;=$M399,"🟢利確",  IF(AND($R399&lt;&gt;"",$H399&gt;=$R399),"🟠TRAIL決済",  IF($H399&gt;=$N399,"🔴損切",  IF($W399&gt;=$AG$5,"⏱時間決済",  IF($H399&gt;=$F399*(1+$AG$2*0.7),"⚠️損切接近","保持継続"))))),  IF($H399&gt;=$M399,"🟢利確",  IF(AND($R399&lt;&gt;"",$H399&lt;=$R399),"🟠TRAIL決済",  IF($H399&lt;=$N399,"🔴損切",  IF($W399&gt;=$AG$5,"⏱時間決済",  IF($H399&lt;=$F399*(1-$AG$2*0.7),"⚠️損切接近","保持継続")))))))</f>
      </c>
      <c r="P399" s="445"/>
      <c r="R399" s="440">
        <f>IF(OR($F399="",$H399="",$N399=""),"",IF($S399="✅売却済","",IF($C399="売",  IF($H399&gt;$F399*(1-$AG$2),$N399,CEILING(MIN($N399,IF($Q399="",$N399,$Q399*1.03)),IF($N399&lt;=3000,1,IF($N399&lt;=5000,5,IF($N399&lt;=30000,10,IF($N399&lt;=50000,50,IF($N399&lt;=300000,100,500))))))),  IF($H399&lt;$F399*(1+$AG$2),$N399,FLOOR(MAX($N399,IF($P399="",$N399,$P399*0.97)),IF($N399&lt;=3000,1,IF($N399&lt;=5000,5,IF($N399&lt;=30000,10,IF($N399&lt;=50000,50,IF($N399&lt;=300000,100,500))))))))))</f>
      </c>
      <c r="S399" s="440" t="str">
        <f t="shared" si="140"/>
        <v/>
      </c>
      <c r="T399" s="597" t="str">
        <f t="shared" ca="1" si="129"/>
        <v/>
      </c>
      <c r="U399" s="599" t="str">
        <f t="shared" ca="1" si="130"/>
        <v/>
      </c>
      <c r="V399" s="704" t="str">
        <f t="shared" ca="1" si="141"/>
        <v/>
      </c>
      <c r="W399" s="440" t="str">
        <f t="shared" ca="1" si="131"/>
        <v/>
      </c>
      <c r="X399" s="440" t="str">
        <f t="shared" ca="1" si="132"/>
        <v/>
      </c>
      <c r="Y399">
        <f>IF($B399="","",IF(COUNTIFS($B$4:$B399,$B399,$C$4:$C399,$C399)&gt;1,"⛔重複"&amp;COUNTIFS($B$4:$B399,$B399,$C$4:$C399,$C399)&amp;"回目",""))</f>
      </c>
      <c r="AB399">
        <f>IF($F399="","",MAX(100,ROUNDDOWN($AG$4/($F399*$AG$2)/100,0)*100))</f>
      </c>
      <c r="AC399">
        <f>IF(OR($F399="",$G399="",$U399=""),"",ROUND($V399-($F399+$U399)*$G399*$AG$6-IF($C399="売",$F399*$G399*$AG$7*$W399/365,0),0))</f>
      </c>
      <c r="AD399" s="608"/>
      <c r="AE399" s="600" t="str">
        <f t="shared" si="133"/>
        <v/>
      </c>
      <c r="AF399" s="600"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00"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00" t="str">
        <f t="shared" ca="1" si="134"/>
        <v/>
      </c>
      <c r="AI399" s="600" t="str" cm="1">
        <f t="array" ref="AI399">IFERROR(INDEX(始値!$E$6:$BT$305,MATCH(TEXT($B399,"0"),TEXT(銘柄管理!$B$6:$B$305,"0"),0),MATCH($AE399,始値!$E$3:$BT$3,0)),"")</f>
        <v/>
      </c>
      <c r="AJ399" s="608" t="str">
        <f t="shared" ca="1" si="135"/>
        <v/>
      </c>
      <c r="AK399" s="600" t="str">
        <f t="shared" ca="1" si="136"/>
        <v/>
      </c>
    </row>
    <row r="400" spans="1:37" ht="17.25" customHeight="1">
      <c r="A400" s="622" t="str">
        <f t="shared" si="125"/>
        <v/>
      </c>
      <c r="D400" s="440" t="str" cm="1">
        <f t="array" ref="D400">_xll.RssMarket(B400, "銘柄名称")</f>
        <v/>
      </c>
      <c r="E400" s="717"/>
      <c r="F400" s="6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 t="shared" ca="1" si="137"/>
        <v/>
      </c>
      <c r="L400" s="709" t="str">
        <f t="shared" ca="1" si="138"/>
        <v/>
      </c>
      <c r="M400" s="599">
        <f>IF($F400="","",IF($C400="売",CEILING($F400*IF($C400="売",1-$AG$3,1+$AG$3),IF($F400*IF($C400="売",1-$AG$3,1+$AG$3)&lt;=3000,1,IF($F400*IF($C400="売",1-$AG$3,1+$AG$3)&lt;=5000,5,IF($F400*IF($C400="売",1-$AG$3,1+$AG$3)&lt;=30000,10,IF($F400*IF($C400="売",1-$AG$3,1+$AG$3)&lt;=50000,50,IF($F400*IF($C400="売",1-$AG$3,1+$AG$3)&lt;=300000,100,500)))))),FLOOR($F400*IF($C400="売",1-$AG$3,1+$AG$3),IF($F400*IF($C400="売",1-$AG$3,1+$AG$3)&lt;=3000,1,IF($F400*IF($C400="売",1-$AG$3,1+$AG$3)&lt;=5000,5,IF($F400*IF($C400="売",1-$AG$3,1+$AG$3)&lt;=30000,10,IF($F400*IF($C400="売",1-$AG$3,1+$AG$3)&lt;=50000,50,IF($F400*IF($C400="売",1-$AG$3,1+$AG$3)&lt;=300000,100,500))))))))</f>
      </c>
      <c r="N400" s="599">
        <f>IF($F400="","",IF($C400="売",CEILING($F400*IF($C400="売",1+$AG$2,1-$AG$2),IF($F400*IF($C400="売",1+$AG$2,1-$AG$2)&lt;=3000,1,IF($F400*IF($C400="売",1+$AG$2,1-$AG$2)&lt;=5000,5,IF($F400*IF($C400="売",1+$AG$2,1-$AG$2)&lt;=30000,10,IF($F400*IF($C400="売",1+$AG$2,1-$AG$2)&lt;=50000,50,IF($F400*IF($C400="売",1+$AG$2,1-$AG$2)&lt;=300000,100,500)))))),FLOOR($F400*IF($C400="売",1+$AG$2,1-$AG$2),IF($F400*IF($C400="売",1+$AG$2,1-$AG$2)&lt;=3000,1,IF($F400*IF($C400="売",1+$AG$2,1-$AG$2)&lt;=5000,5,IF($F400*IF($C400="売",1+$AG$2,1-$AG$2)&lt;=30000,10,IF($F400*IF($C400="売",1+$AG$2,1-$AG$2)&lt;=50000,50,IF($F400*IF($C400="売",1+$AG$2,1-$AG$2)&lt;=300000,100,500))))))))</f>
      </c>
      <c r="O400" s="478">
        <f>IF(OR($B400="",$F400="",$H400=""),"",IF($S400="✅売却済","―決済済―",IF($C400="売",  IF($H400&lt;=$M400,"🟢利確",  IF(AND($R400&lt;&gt;"",$H400&gt;=$R400),"🟠TRAIL決済",  IF($H400&gt;=$N400,"🔴損切",  IF($W400&gt;=$AG$5,"⏱時間決済",  IF($H400&gt;=$F400*(1+$AG$2*0.7),"⚠️損切接近","保持継続"))))),  IF($H400&gt;=$M400,"🟢利確",  IF(AND($R400&lt;&gt;"",$H400&lt;=$R400),"🟠TRAIL決済",  IF($H400&lt;=$N400,"🔴損切",  IF($W400&gt;=$AG$5,"⏱時間決済",  IF($H400&lt;=$F400*(1-$AG$2*0.7),"⚠️損切接近","保持継続")))))))</f>
      </c>
      <c r="P400" s="445"/>
      <c r="R400" s="440">
        <f>IF(OR($F400="",$H400="",$N400=""),"",IF($S400="✅売却済","",IF($C400="売",  IF($H400&gt;$F400*(1-$AG$2),$N400,CEILING(MIN($N400,IF($Q400="",$N400,$Q400*1.03)),IF($N400&lt;=3000,1,IF($N400&lt;=5000,5,IF($N400&lt;=30000,10,IF($N400&lt;=50000,50,IF($N400&lt;=300000,100,500))))))),  IF($H400&lt;$F400*(1+$AG$2),$N400,FLOOR(MAX($N400,IF($P400="",$N400,$P400*0.97)),IF($N400&lt;=3000,1,IF($N400&lt;=5000,5,IF($N400&lt;=30000,10,IF($N400&lt;=50000,50,IF($N400&lt;=300000,100,500))))))))))</f>
      </c>
      <c r="S400" s="440" t="str">
        <f t="shared" si="140"/>
        <v/>
      </c>
      <c r="T400" s="597" t="str">
        <f t="shared" ca="1" si="129"/>
        <v/>
      </c>
      <c r="U400" s="599" t="str">
        <f t="shared" ca="1" si="130"/>
        <v/>
      </c>
      <c r="V400" s="704" t="str">
        <f t="shared" ca="1" si="141"/>
        <v/>
      </c>
      <c r="W400" s="440" t="str">
        <f t="shared" ca="1" si="131"/>
        <v/>
      </c>
      <c r="X400" s="440" t="str">
        <f t="shared" ca="1" si="132"/>
        <v/>
      </c>
      <c r="Y400">
        <f>IF($B400="","",IF(COUNTIFS($B$4:$B400,$B400,$C$4:$C400,$C400)&gt;1,"⛔重複"&amp;COUNTIFS($B$4:$B400,$B400,$C$4:$C400,$C400)&amp;"回目",""))</f>
      </c>
      <c r="AB400">
        <f>IF($F400="","",MAX(100,ROUNDDOWN($AG$4/($F400*$AG$2)/100,0)*100))</f>
      </c>
      <c r="AC400">
        <f>IF(OR($F400="",$G400="",$U400=""),"",ROUND($V400-($F400+$U400)*$G400*$AG$6-IF($C400="売",$F400*$G400*$AG$7*$W400/365,0),0))</f>
      </c>
      <c r="AD400" s="608"/>
      <c r="AE400" s="600" t="str">
        <f t="shared" si="133"/>
        <v/>
      </c>
      <c r="AF400" s="600"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00"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00" t="str">
        <f t="shared" ca="1" si="134"/>
        <v/>
      </c>
      <c r="AI400" s="600" t="str" cm="1">
        <f t="array" ref="AI400">IFERROR(INDEX(始値!$E$6:$BT$305,MATCH(TEXT($B400,"0"),TEXT(銘柄管理!$B$6:$B$305,"0"),0),MATCH($AE400,始値!$E$3:$BT$3,0)),"")</f>
        <v/>
      </c>
      <c r="AJ400" s="608" t="str">
        <f t="shared" ca="1" si="135"/>
        <v/>
      </c>
      <c r="AK400" s="600" t="str">
        <f t="shared" ca="1" si="136"/>
        <v/>
      </c>
    </row>
    <row r="401" spans="1:37" ht="17.25" customHeight="1">
      <c r="A401" s="622" t="str">
        <f t="shared" si="125"/>
        <v/>
      </c>
      <c r="D401" s="440" t="str" cm="1">
        <f t="array" ref="D401">_xll.RssMarket(B401, "銘柄名称")</f>
        <v/>
      </c>
      <c r="E401" s="717"/>
      <c r="F401" s="6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 t="shared" ca="1" si="137"/>
        <v/>
      </c>
      <c r="L401" s="709" t="str">
        <f t="shared" ca="1" si="138"/>
        <v/>
      </c>
      <c r="M401" s="599">
        <f>IF($F401="","",IF($C401="売",CEILING($F401*IF($C401="売",1-$AG$3,1+$AG$3),IF($F401*IF($C401="売",1-$AG$3,1+$AG$3)&lt;=3000,1,IF($F401*IF($C401="売",1-$AG$3,1+$AG$3)&lt;=5000,5,IF($F401*IF($C401="売",1-$AG$3,1+$AG$3)&lt;=30000,10,IF($F401*IF($C401="売",1-$AG$3,1+$AG$3)&lt;=50000,50,IF($F401*IF($C401="売",1-$AG$3,1+$AG$3)&lt;=300000,100,500)))))),FLOOR($F401*IF($C401="売",1-$AG$3,1+$AG$3),IF($F401*IF($C401="売",1-$AG$3,1+$AG$3)&lt;=3000,1,IF($F401*IF($C401="売",1-$AG$3,1+$AG$3)&lt;=5000,5,IF($F401*IF($C401="売",1-$AG$3,1+$AG$3)&lt;=30000,10,IF($F401*IF($C401="売",1-$AG$3,1+$AG$3)&lt;=50000,50,IF($F401*IF($C401="売",1-$AG$3,1+$AG$3)&lt;=300000,100,500))))))))</f>
      </c>
      <c r="N401" s="599">
        <f>IF($F401="","",IF($C401="売",CEILING($F401*IF($C401="売",1+$AG$2,1-$AG$2),IF($F401*IF($C401="売",1+$AG$2,1-$AG$2)&lt;=3000,1,IF($F401*IF($C401="売",1+$AG$2,1-$AG$2)&lt;=5000,5,IF($F401*IF($C401="売",1+$AG$2,1-$AG$2)&lt;=30000,10,IF($F401*IF($C401="売",1+$AG$2,1-$AG$2)&lt;=50000,50,IF($F401*IF($C401="売",1+$AG$2,1-$AG$2)&lt;=300000,100,500)))))),FLOOR($F401*IF($C401="売",1+$AG$2,1-$AG$2),IF($F401*IF($C401="売",1+$AG$2,1-$AG$2)&lt;=3000,1,IF($F401*IF($C401="売",1+$AG$2,1-$AG$2)&lt;=5000,5,IF($F401*IF($C401="売",1+$AG$2,1-$AG$2)&lt;=30000,10,IF($F401*IF($C401="売",1+$AG$2,1-$AG$2)&lt;=50000,50,IF($F401*IF($C401="売",1+$AG$2,1-$AG$2)&lt;=300000,100,500))))))))</f>
      </c>
      <c r="O401" s="478">
        <f>IF(OR($B401="",$F401="",$H401=""),"",IF($S401="✅売却済","―決済済―",IF($C401="売",  IF($H401&lt;=$M401,"🟢利確",  IF(AND($R401&lt;&gt;"",$H401&gt;=$R401),"🟠TRAIL決済",  IF($H401&gt;=$N401,"🔴損切",  IF($W401&gt;=$AG$5,"⏱時間決済",  IF($H401&gt;=$F401*(1+$AG$2*0.7),"⚠️損切接近","保持継続"))))),  IF($H401&gt;=$M401,"🟢利確",  IF(AND($R401&lt;&gt;"",$H401&lt;=$R401),"🟠TRAIL決済",  IF($H401&lt;=$N401,"🔴損切",  IF($W401&gt;=$AG$5,"⏱時間決済",  IF($H401&lt;=$F401*(1-$AG$2*0.7),"⚠️損切接近","保持継続")))))))</f>
      </c>
      <c r="P401" s="445"/>
      <c r="R401" s="440">
        <f>IF(OR($F401="",$H401="",$N401=""),"",IF($S401="✅売却済","",IF($C401="売",  IF($H401&gt;$F401*(1-$AG$2),$N401,CEILING(MIN($N401,IF($Q401="",$N401,$Q401*1.03)),IF($N401&lt;=3000,1,IF($N401&lt;=5000,5,IF($N401&lt;=30000,10,IF($N401&lt;=50000,50,IF($N401&lt;=300000,100,500))))))),  IF($H401&lt;$F401*(1+$AG$2),$N401,FLOOR(MAX($N401,IF($P401="",$N401,$P401*0.97)),IF($N401&lt;=3000,1,IF($N401&lt;=5000,5,IF($N401&lt;=30000,10,IF($N401&lt;=50000,50,IF($N401&lt;=300000,100,500))))))))))</f>
      </c>
      <c r="S401" s="440" t="str">
        <f t="shared" si="140"/>
        <v/>
      </c>
      <c r="T401" s="597" t="str">
        <f t="shared" ca="1" si="129"/>
        <v/>
      </c>
      <c r="U401" s="599" t="str">
        <f t="shared" ca="1" si="130"/>
        <v/>
      </c>
      <c r="V401" s="704" t="str">
        <f t="shared" ca="1" si="141"/>
        <v/>
      </c>
      <c r="W401" s="440" t="str">
        <f t="shared" ca="1" si="131"/>
        <v/>
      </c>
      <c r="X401" s="440" t="str">
        <f t="shared" ca="1" si="132"/>
        <v/>
      </c>
      <c r="Y401">
        <f>IF($B401="","",IF(COUNTIFS($B$4:$B401,$B401,$C$4:$C401,$C401)&gt;1,"⛔重複"&amp;COUNTIFS($B$4:$B401,$B401,$C$4:$C401,$C401)&amp;"回目",""))</f>
      </c>
      <c r="AB401">
        <f>IF($F401="","",MAX(100,ROUNDDOWN($AG$4/($F401*$AG$2)/100,0)*100))</f>
      </c>
      <c r="AC401">
        <f>IF(OR($F401="",$G401="",$U401=""),"",ROUND($V401-($F401+$U401)*$G401*$AG$6-IF($C401="売",$F401*$G401*$AG$7*$W401/365,0),0))</f>
      </c>
      <c r="AD401" s="608"/>
      <c r="AE401" s="600" t="str">
        <f t="shared" si="133"/>
        <v/>
      </c>
      <c r="AF401" s="600"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00"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00" t="str">
        <f t="shared" ca="1" si="134"/>
        <v/>
      </c>
      <c r="AI401" s="600" t="str" cm="1">
        <f t="array" ref="AI401">IFERROR(INDEX(始値!$E$6:$BT$305,MATCH(TEXT($B401,"0"),TEXT(銘柄管理!$B$6:$B$305,"0"),0),MATCH($AE401,始値!$E$3:$BT$3,0)),"")</f>
        <v/>
      </c>
      <c r="AJ401" s="608" t="str">
        <f t="shared" ca="1" si="135"/>
        <v/>
      </c>
      <c r="AK401" s="600" t="str">
        <f t="shared" ca="1" si="136"/>
        <v/>
      </c>
    </row>
    <row r="402" spans="1:37" ht="17.25" customHeight="1">
      <c r="A402" s="622" t="str">
        <f t="shared" si="125"/>
        <v/>
      </c>
      <c r="D402" s="440" t="str" cm="1">
        <f t="array" ref="D402">_xll.RssMarket(B402, "銘柄名称")</f>
        <v/>
      </c>
      <c r="E402" s="717"/>
      <c r="F402" s="6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 t="shared" ca="1" si="137"/>
        <v/>
      </c>
      <c r="L402" s="709" t="str">
        <f t="shared" ca="1" si="138"/>
        <v/>
      </c>
      <c r="M402" s="599">
        <f>IF($F402="","",IF($C402="売",CEILING($F402*IF($C402="売",1-$AG$3,1+$AG$3),IF($F402*IF($C402="売",1-$AG$3,1+$AG$3)&lt;=3000,1,IF($F402*IF($C402="売",1-$AG$3,1+$AG$3)&lt;=5000,5,IF($F402*IF($C402="売",1-$AG$3,1+$AG$3)&lt;=30000,10,IF($F402*IF($C402="売",1-$AG$3,1+$AG$3)&lt;=50000,50,IF($F402*IF($C402="売",1-$AG$3,1+$AG$3)&lt;=300000,100,500)))))),FLOOR($F402*IF($C402="売",1-$AG$3,1+$AG$3),IF($F402*IF($C402="売",1-$AG$3,1+$AG$3)&lt;=3000,1,IF($F402*IF($C402="売",1-$AG$3,1+$AG$3)&lt;=5000,5,IF($F402*IF($C402="売",1-$AG$3,1+$AG$3)&lt;=30000,10,IF($F402*IF($C402="売",1-$AG$3,1+$AG$3)&lt;=50000,50,IF($F402*IF($C402="売",1-$AG$3,1+$AG$3)&lt;=300000,100,500))))))))</f>
      </c>
      <c r="N402" s="599">
        <f>IF($F402="","",IF($C402="売",CEILING($F402*IF($C402="売",1+$AG$2,1-$AG$2),IF($F402*IF($C402="売",1+$AG$2,1-$AG$2)&lt;=3000,1,IF($F402*IF($C402="売",1+$AG$2,1-$AG$2)&lt;=5000,5,IF($F402*IF($C402="売",1+$AG$2,1-$AG$2)&lt;=30000,10,IF($F402*IF($C402="売",1+$AG$2,1-$AG$2)&lt;=50000,50,IF($F402*IF($C402="売",1+$AG$2,1-$AG$2)&lt;=300000,100,500)))))),FLOOR($F402*IF($C402="売",1+$AG$2,1-$AG$2),IF($F402*IF($C402="売",1+$AG$2,1-$AG$2)&lt;=3000,1,IF($F402*IF($C402="売",1+$AG$2,1-$AG$2)&lt;=5000,5,IF($F402*IF($C402="売",1+$AG$2,1-$AG$2)&lt;=30000,10,IF($F402*IF($C402="売",1+$AG$2,1-$AG$2)&lt;=50000,50,IF($F402*IF($C402="売",1+$AG$2,1-$AG$2)&lt;=300000,100,500))))))))</f>
      </c>
      <c r="O402" s="478">
        <f>IF(OR($B402="",$F402="",$H402=""),"",IF($S402="✅売却済","―決済済―",IF($C402="売",  IF($H402&lt;=$M402,"🟢利確",  IF(AND($R402&lt;&gt;"",$H402&gt;=$R402),"🟠TRAIL決済",  IF($H402&gt;=$N402,"🔴損切",  IF($W402&gt;=$AG$5,"⏱時間決済",  IF($H402&gt;=$F402*(1+$AG$2*0.7),"⚠️損切接近","保持継続"))))),  IF($H402&gt;=$M402,"🟢利確",  IF(AND($R402&lt;&gt;"",$H402&lt;=$R402),"🟠TRAIL決済",  IF($H402&lt;=$N402,"🔴損切",  IF($W402&gt;=$AG$5,"⏱時間決済",  IF($H402&lt;=$F402*(1-$AG$2*0.7),"⚠️損切接近","保持継続")))))))</f>
      </c>
      <c r="P402" s="445"/>
      <c r="R402" s="440">
        <f>IF(OR($F402="",$H402="",$N402=""),"",IF($S402="✅売却済","",IF($C402="売",  IF($H402&gt;$F402*(1-$AG$2),$N402,CEILING(MIN($N402,IF($Q402="",$N402,$Q402*1.03)),IF($N402&lt;=3000,1,IF($N402&lt;=5000,5,IF($N402&lt;=30000,10,IF($N402&lt;=50000,50,IF($N402&lt;=300000,100,500))))))),  IF($H402&lt;$F402*(1+$AG$2),$N402,FLOOR(MAX($N402,IF($P402="",$N402,$P402*0.97)),IF($N402&lt;=3000,1,IF($N402&lt;=5000,5,IF($N402&lt;=30000,10,IF($N402&lt;=50000,50,IF($N402&lt;=300000,100,500))))))))))</f>
      </c>
      <c r="S402" s="440" t="str">
        <f t="shared" si="140"/>
        <v/>
      </c>
      <c r="T402" s="597" t="str">
        <f t="shared" ca="1" si="129"/>
        <v/>
      </c>
      <c r="U402" s="599" t="str">
        <f t="shared" ca="1" si="130"/>
        <v/>
      </c>
      <c r="V402" s="704" t="str">
        <f t="shared" ca="1" si="141"/>
        <v/>
      </c>
      <c r="W402" s="440" t="str">
        <f t="shared" ca="1" si="131"/>
        <v/>
      </c>
      <c r="X402" s="440" t="str">
        <f t="shared" ca="1" si="132"/>
        <v/>
      </c>
      <c r="Y402">
        <f>IF($B402="","",IF(COUNTIFS($B$4:$B402,$B402,$C$4:$C402,$C402)&gt;1,"⛔重複"&amp;COUNTIFS($B$4:$B402,$B402,$C$4:$C402,$C402)&amp;"回目",""))</f>
      </c>
      <c r="AB402">
        <f>IF($F402="","",MAX(100,ROUNDDOWN($AG$4/($F402*$AG$2)/100,0)*100))</f>
      </c>
      <c r="AC402">
        <f>IF(OR($F402="",$G402="",$U402=""),"",ROUND($V402-($F402+$U402)*$G402*$AG$6-IF($C402="売",$F402*$G402*$AG$7*$W402/365,0),0))</f>
      </c>
      <c r="AD402" s="608"/>
      <c r="AE402" s="600" t="str">
        <f t="shared" si="133"/>
        <v/>
      </c>
      <c r="AF402" s="600"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00"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00" t="str">
        <f t="shared" ca="1" si="134"/>
        <v/>
      </c>
      <c r="AI402" s="600" t="str" cm="1">
        <f t="array" ref="AI402">IFERROR(INDEX(始値!$E$6:$BT$305,MATCH(TEXT($B402,"0"),TEXT(銘柄管理!$B$6:$B$305,"0"),0),MATCH($AE402,始値!$E$3:$BT$3,0)),"")</f>
        <v/>
      </c>
      <c r="AJ402" s="608" t="str">
        <f t="shared" ca="1" si="135"/>
        <v/>
      </c>
      <c r="AK402" s="600" t="str">
        <f t="shared" ca="1" si="136"/>
        <v/>
      </c>
    </row>
    <row r="403" spans="1:37" ht="17.25" customHeight="1">
      <c r="A403" s="622" t="str">
        <f t="shared" si="125"/>
        <v/>
      </c>
      <c r="D403" s="440" t="str" cm="1">
        <f t="array" ref="D403">_xll.RssMarket(B403, "銘柄名称")</f>
        <v/>
      </c>
      <c r="E403" s="717"/>
      <c r="F403" s="6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 t="shared" ca="1" si="137"/>
        <v/>
      </c>
      <c r="L403" s="709" t="str">
        <f t="shared" ca="1" si="138"/>
        <v/>
      </c>
      <c r="M403" s="599">
        <f>IF($F403="","",IF($C403="売",CEILING($F403*IF($C403="売",1-$AG$3,1+$AG$3),IF($F403*IF($C403="売",1-$AG$3,1+$AG$3)&lt;=3000,1,IF($F403*IF($C403="売",1-$AG$3,1+$AG$3)&lt;=5000,5,IF($F403*IF($C403="売",1-$AG$3,1+$AG$3)&lt;=30000,10,IF($F403*IF($C403="売",1-$AG$3,1+$AG$3)&lt;=50000,50,IF($F403*IF($C403="売",1-$AG$3,1+$AG$3)&lt;=300000,100,500)))))),FLOOR($F403*IF($C403="売",1-$AG$3,1+$AG$3),IF($F403*IF($C403="売",1-$AG$3,1+$AG$3)&lt;=3000,1,IF($F403*IF($C403="売",1-$AG$3,1+$AG$3)&lt;=5000,5,IF($F403*IF($C403="売",1-$AG$3,1+$AG$3)&lt;=30000,10,IF($F403*IF($C403="売",1-$AG$3,1+$AG$3)&lt;=50000,50,IF($F403*IF($C403="売",1-$AG$3,1+$AG$3)&lt;=300000,100,500))))))))</f>
      </c>
      <c r="N403" s="599">
        <f>IF($F403="","",IF($C403="売",CEILING($F403*IF($C403="売",1+$AG$2,1-$AG$2),IF($F403*IF($C403="売",1+$AG$2,1-$AG$2)&lt;=3000,1,IF($F403*IF($C403="売",1+$AG$2,1-$AG$2)&lt;=5000,5,IF($F403*IF($C403="売",1+$AG$2,1-$AG$2)&lt;=30000,10,IF($F403*IF($C403="売",1+$AG$2,1-$AG$2)&lt;=50000,50,IF($F403*IF($C403="売",1+$AG$2,1-$AG$2)&lt;=300000,100,500)))))),FLOOR($F403*IF($C403="売",1+$AG$2,1-$AG$2),IF($F403*IF($C403="売",1+$AG$2,1-$AG$2)&lt;=3000,1,IF($F403*IF($C403="売",1+$AG$2,1-$AG$2)&lt;=5000,5,IF($F403*IF($C403="売",1+$AG$2,1-$AG$2)&lt;=30000,10,IF($F403*IF($C403="売",1+$AG$2,1-$AG$2)&lt;=50000,50,IF($F403*IF($C403="売",1+$AG$2,1-$AG$2)&lt;=300000,100,500))))))))</f>
      </c>
      <c r="O403" s="478">
        <f>IF(OR($B403="",$F403="",$H403=""),"",IF($S403="✅売却済","―決済済―",IF($C403="売",  IF($H403&lt;=$M403,"🟢利確",  IF(AND($R403&lt;&gt;"",$H403&gt;=$R403),"🟠TRAIL決済",  IF($H403&gt;=$N403,"🔴損切",  IF($W403&gt;=$AG$5,"⏱時間決済",  IF($H403&gt;=$F403*(1+$AG$2*0.7),"⚠️損切接近","保持継続"))))),  IF($H403&gt;=$M403,"🟢利確",  IF(AND($R403&lt;&gt;"",$H403&lt;=$R403),"🟠TRAIL決済",  IF($H403&lt;=$N403,"🔴損切",  IF($W403&gt;=$AG$5,"⏱時間決済",  IF($H403&lt;=$F403*(1-$AG$2*0.7),"⚠️損切接近","保持継続")))))))</f>
      </c>
      <c r="P403" s="445"/>
      <c r="R403" s="440">
        <f>IF(OR($F403="",$H403="",$N403=""),"",IF($S403="✅売却済","",IF($C403="売",  IF($H403&gt;$F403*(1-$AG$2),$N403,CEILING(MIN($N403,IF($Q403="",$N403,$Q403*1.03)),IF($N403&lt;=3000,1,IF($N403&lt;=5000,5,IF($N403&lt;=30000,10,IF($N403&lt;=50000,50,IF($N403&lt;=300000,100,500))))))),  IF($H403&lt;$F403*(1+$AG$2),$N403,FLOOR(MAX($N403,IF($P403="",$N403,$P403*0.97)),IF($N403&lt;=3000,1,IF($N403&lt;=5000,5,IF($N403&lt;=30000,10,IF($N403&lt;=50000,50,IF($N403&lt;=300000,100,500))))))))))</f>
      </c>
      <c r="S403" s="440" t="str">
        <f t="shared" si="140"/>
        <v/>
      </c>
      <c r="T403" s="597" t="str">
        <f t="shared" ca="1" si="129"/>
        <v/>
      </c>
      <c r="U403" s="599" t="str">
        <f t="shared" ca="1" si="130"/>
        <v/>
      </c>
      <c r="V403" s="704" t="str">
        <f t="shared" ca="1" si="141"/>
        <v/>
      </c>
      <c r="W403" s="440" t="str">
        <f t="shared" ca="1" si="131"/>
        <v/>
      </c>
      <c r="X403" s="440" t="str">
        <f t="shared" ca="1" si="132"/>
        <v/>
      </c>
      <c r="Y403">
        <f>IF($B403="","",IF(COUNTIFS($B$4:$B403,$B403,$C$4:$C403,$C403)&gt;1,"⛔重複"&amp;COUNTIFS($B$4:$B403,$B403,$C$4:$C403,$C403)&amp;"回目",""))</f>
      </c>
      <c r="AB403">
        <f>IF($F403="","",MAX(100,ROUNDDOWN($AG$4/($F403*$AG$2)/100,0)*100))</f>
      </c>
      <c r="AC403">
        <f>IF(OR($F403="",$G403="",$U403=""),"",ROUND($V403-($F403+$U403)*$G403*$AG$6-IF($C403="売",$F403*$G403*$AG$7*$W403/365,0),0))</f>
      </c>
      <c r="AD403" s="608"/>
      <c r="AE403" s="600" t="str">
        <f t="shared" si="133"/>
        <v/>
      </c>
      <c r="AF403" s="600"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00"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00" t="str">
        <f t="shared" ca="1" si="134"/>
        <v/>
      </c>
      <c r="AI403" s="600" t="str" cm="1">
        <f t="array" ref="AI403">IFERROR(INDEX(始値!$E$6:$BT$305,MATCH(TEXT($B403,"0"),TEXT(銘柄管理!$B$6:$B$305,"0"),0),MATCH($AE403,始値!$E$3:$BT$3,0)),"")</f>
        <v/>
      </c>
      <c r="AJ403" s="608" t="str">
        <f t="shared" ca="1" si="135"/>
        <v/>
      </c>
      <c r="AK403" s="600" t="str">
        <f t="shared" ca="1" si="136"/>
        <v/>
      </c>
    </row>
    <row r="404" spans="1:37" ht="17.25" customHeight="1">
      <c r="A404" s="622" t="str">
        <f t="shared" si="125"/>
        <v/>
      </c>
      <c r="D404" s="440" t="str" cm="1">
        <f t="array" ref="D404">_xll.RssMarket(B404, "銘柄名称")</f>
        <v/>
      </c>
      <c r="E404" s="717"/>
      <c r="F404" s="6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 t="shared" ca="1" si="137"/>
        <v/>
      </c>
      <c r="L404" s="709" t="str">
        <f t="shared" ca="1" si="138"/>
        <v/>
      </c>
      <c r="M404" s="599">
        <f>IF($F404="","",IF($C404="売",CEILING($F404*IF($C404="売",1-$AG$3,1+$AG$3),IF($F404*IF($C404="売",1-$AG$3,1+$AG$3)&lt;=3000,1,IF($F404*IF($C404="売",1-$AG$3,1+$AG$3)&lt;=5000,5,IF($F404*IF($C404="売",1-$AG$3,1+$AG$3)&lt;=30000,10,IF($F404*IF($C404="売",1-$AG$3,1+$AG$3)&lt;=50000,50,IF($F404*IF($C404="売",1-$AG$3,1+$AG$3)&lt;=300000,100,500)))))),FLOOR($F404*IF($C404="売",1-$AG$3,1+$AG$3),IF($F404*IF($C404="売",1-$AG$3,1+$AG$3)&lt;=3000,1,IF($F404*IF($C404="売",1-$AG$3,1+$AG$3)&lt;=5000,5,IF($F404*IF($C404="売",1-$AG$3,1+$AG$3)&lt;=30000,10,IF($F404*IF($C404="売",1-$AG$3,1+$AG$3)&lt;=50000,50,IF($F404*IF($C404="売",1-$AG$3,1+$AG$3)&lt;=300000,100,500))))))))</f>
      </c>
      <c r="N404" s="599">
        <f>IF($F404="","",IF($C404="売",CEILING($F404*IF($C404="売",1+$AG$2,1-$AG$2),IF($F404*IF($C404="売",1+$AG$2,1-$AG$2)&lt;=3000,1,IF($F404*IF($C404="売",1+$AG$2,1-$AG$2)&lt;=5000,5,IF($F404*IF($C404="売",1+$AG$2,1-$AG$2)&lt;=30000,10,IF($F404*IF($C404="売",1+$AG$2,1-$AG$2)&lt;=50000,50,IF($F404*IF($C404="売",1+$AG$2,1-$AG$2)&lt;=300000,100,500)))))),FLOOR($F404*IF($C404="売",1+$AG$2,1-$AG$2),IF($F404*IF($C404="売",1+$AG$2,1-$AG$2)&lt;=3000,1,IF($F404*IF($C404="売",1+$AG$2,1-$AG$2)&lt;=5000,5,IF($F404*IF($C404="売",1+$AG$2,1-$AG$2)&lt;=30000,10,IF($F404*IF($C404="売",1+$AG$2,1-$AG$2)&lt;=50000,50,IF($F404*IF($C404="売",1+$AG$2,1-$AG$2)&lt;=300000,100,500))))))))</f>
      </c>
      <c r="O404" s="478">
        <f>IF(OR($B404="",$F404="",$H404=""),"",IF($S404="✅売却済","―決済済―",IF($C404="売",  IF($H404&lt;=$M404,"🟢利確",  IF(AND($R404&lt;&gt;"",$H404&gt;=$R404),"🟠TRAIL決済",  IF($H404&gt;=$N404,"🔴損切",  IF($W404&gt;=$AG$5,"⏱時間決済",  IF($H404&gt;=$F404*(1+$AG$2*0.7),"⚠️損切接近","保持継続"))))),  IF($H404&gt;=$M404,"🟢利確",  IF(AND($R404&lt;&gt;"",$H404&lt;=$R404),"🟠TRAIL決済",  IF($H404&lt;=$N404,"🔴損切",  IF($W404&gt;=$AG$5,"⏱時間決済",  IF($H404&lt;=$F404*(1-$AG$2*0.7),"⚠️損切接近","保持継続")))))))</f>
      </c>
      <c r="P404" s="445"/>
      <c r="R404" s="440">
        <f>IF(OR($F404="",$H404="",$N404=""),"",IF($S404="✅売却済","",IF($C404="売",  IF($H404&gt;$F404*(1-$AG$2),$N404,CEILING(MIN($N404,IF($Q404="",$N404,$Q404*1.03)),IF($N404&lt;=3000,1,IF($N404&lt;=5000,5,IF($N404&lt;=30000,10,IF($N404&lt;=50000,50,IF($N404&lt;=300000,100,500))))))),  IF($H404&lt;$F404*(1+$AG$2),$N404,FLOOR(MAX($N404,IF($P404="",$N404,$P404*0.97)),IF($N404&lt;=3000,1,IF($N404&lt;=5000,5,IF($N404&lt;=30000,10,IF($N404&lt;=50000,50,IF($N404&lt;=300000,100,500))))))))))</f>
      </c>
      <c r="S404" s="440" t="str">
        <f t="shared" si="140"/>
        <v/>
      </c>
      <c r="T404" s="597" t="str">
        <f t="shared" ca="1" si="129"/>
        <v/>
      </c>
      <c r="U404" s="599" t="str">
        <f t="shared" ca="1" si="130"/>
        <v/>
      </c>
      <c r="V404" s="704" t="str">
        <f t="shared" ca="1" si="141"/>
        <v/>
      </c>
      <c r="W404" s="440" t="str">
        <f t="shared" ca="1" si="131"/>
        <v/>
      </c>
      <c r="X404" s="440" t="str">
        <f t="shared" ca="1" si="132"/>
        <v/>
      </c>
      <c r="Y404">
        <f>IF($B404="","",IF(COUNTIFS($B$4:$B404,$B404,$C$4:$C404,$C404)&gt;1,"⛔重複"&amp;COUNTIFS($B$4:$B404,$B404,$C$4:$C404,$C404)&amp;"回目",""))</f>
      </c>
      <c r="AB404">
        <f>IF($F404="","",MAX(100,ROUNDDOWN($AG$4/($F404*$AG$2)/100,0)*100))</f>
      </c>
      <c r="AC404">
        <f>IF(OR($F404="",$G404="",$U404=""),"",ROUND($V404-($F404+$U404)*$G404*$AG$6-IF($C404="売",$F404*$G404*$AG$7*$W404/365,0),0))</f>
      </c>
      <c r="AD404" s="608"/>
      <c r="AE404" s="600" t="str">
        <f t="shared" si="133"/>
        <v/>
      </c>
      <c r="AF404" s="600"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00"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00" t="str">
        <f t="shared" ca="1" si="134"/>
        <v/>
      </c>
      <c r="AI404" s="600" t="str" cm="1">
        <f t="array" ref="AI404">IFERROR(INDEX(始値!$E$6:$BT$305,MATCH(TEXT($B404,"0"),TEXT(銘柄管理!$B$6:$B$305,"0"),0),MATCH($AE404,始値!$E$3:$BT$3,0)),"")</f>
        <v/>
      </c>
      <c r="AJ404" s="608" t="str">
        <f t="shared" ca="1" si="135"/>
        <v/>
      </c>
      <c r="AK404" s="600" t="str">
        <f t="shared" ca="1" si="136"/>
        <v/>
      </c>
    </row>
    <row r="405" spans="1:37" ht="17.25" customHeight="1">
      <c r="A405" s="622" t="str">
        <f t="shared" si="125"/>
        <v/>
      </c>
      <c r="D405" s="440" t="str" cm="1">
        <f t="array" ref="D405">_xll.RssMarket(B405, "銘柄名称")</f>
        <v/>
      </c>
      <c r="E405" s="717"/>
      <c r="F405" s="6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 t="shared" ca="1" si="137"/>
        <v/>
      </c>
      <c r="L405" s="709" t="str">
        <f t="shared" ca="1" si="138"/>
        <v/>
      </c>
      <c r="M405" s="599">
        <f>IF($F405="","",IF($C405="売",CEILING($F405*IF($C405="売",1-$AG$3,1+$AG$3),IF($F405*IF($C405="売",1-$AG$3,1+$AG$3)&lt;=3000,1,IF($F405*IF($C405="売",1-$AG$3,1+$AG$3)&lt;=5000,5,IF($F405*IF($C405="売",1-$AG$3,1+$AG$3)&lt;=30000,10,IF($F405*IF($C405="売",1-$AG$3,1+$AG$3)&lt;=50000,50,IF($F405*IF($C405="売",1-$AG$3,1+$AG$3)&lt;=300000,100,500)))))),FLOOR($F405*IF($C405="売",1-$AG$3,1+$AG$3),IF($F405*IF($C405="売",1-$AG$3,1+$AG$3)&lt;=3000,1,IF($F405*IF($C405="売",1-$AG$3,1+$AG$3)&lt;=5000,5,IF($F405*IF($C405="売",1-$AG$3,1+$AG$3)&lt;=30000,10,IF($F405*IF($C405="売",1-$AG$3,1+$AG$3)&lt;=50000,50,IF($F405*IF($C405="売",1-$AG$3,1+$AG$3)&lt;=300000,100,500))))))))</f>
      </c>
      <c r="N405" s="599">
        <f>IF($F405="","",IF($C405="売",CEILING($F405*IF($C405="売",1+$AG$2,1-$AG$2),IF($F405*IF($C405="売",1+$AG$2,1-$AG$2)&lt;=3000,1,IF($F405*IF($C405="売",1+$AG$2,1-$AG$2)&lt;=5000,5,IF($F405*IF($C405="売",1+$AG$2,1-$AG$2)&lt;=30000,10,IF($F405*IF($C405="売",1+$AG$2,1-$AG$2)&lt;=50000,50,IF($F405*IF($C405="売",1+$AG$2,1-$AG$2)&lt;=300000,100,500)))))),FLOOR($F405*IF($C405="売",1+$AG$2,1-$AG$2),IF($F405*IF($C405="売",1+$AG$2,1-$AG$2)&lt;=3000,1,IF($F405*IF($C405="売",1+$AG$2,1-$AG$2)&lt;=5000,5,IF($F405*IF($C405="売",1+$AG$2,1-$AG$2)&lt;=30000,10,IF($F405*IF($C405="売",1+$AG$2,1-$AG$2)&lt;=50000,50,IF($F405*IF($C405="売",1+$AG$2,1-$AG$2)&lt;=300000,100,500))))))))</f>
      </c>
      <c r="O405" s="478">
        <f>IF(OR($B405="",$F405="",$H405=""),"",IF($S405="✅売却済","―決済済―",IF($C405="売",  IF($H405&lt;=$M405,"🟢利確",  IF(AND($R405&lt;&gt;"",$H405&gt;=$R405),"🟠TRAIL決済",  IF($H405&gt;=$N405,"🔴損切",  IF($W405&gt;=$AG$5,"⏱時間決済",  IF($H405&gt;=$F405*(1+$AG$2*0.7),"⚠️損切接近","保持継続"))))),  IF($H405&gt;=$M405,"🟢利確",  IF(AND($R405&lt;&gt;"",$H405&lt;=$R405),"🟠TRAIL決済",  IF($H405&lt;=$N405,"🔴損切",  IF($W405&gt;=$AG$5,"⏱時間決済",  IF($H405&lt;=$F405*(1-$AG$2*0.7),"⚠️損切接近","保持継続")))))))</f>
      </c>
      <c r="P405" s="445"/>
      <c r="R405" s="440">
        <f>IF(OR($F405="",$H405="",$N405=""),"",IF($S405="✅売却済","",IF($C405="売",  IF($H405&gt;$F405*(1-$AG$2),$N405,CEILING(MIN($N405,IF($Q405="",$N405,$Q405*1.03)),IF($N405&lt;=3000,1,IF($N405&lt;=5000,5,IF($N405&lt;=30000,10,IF($N405&lt;=50000,50,IF($N405&lt;=300000,100,500))))))),  IF($H405&lt;$F405*(1+$AG$2),$N405,FLOOR(MAX($N405,IF($P405="",$N405,$P405*0.97)),IF($N405&lt;=3000,1,IF($N405&lt;=5000,5,IF($N405&lt;=30000,10,IF($N405&lt;=50000,50,IF($N405&lt;=300000,100,500))))))))))</f>
      </c>
      <c r="S405" s="440" t="str">
        <f t="shared" si="140"/>
        <v/>
      </c>
      <c r="T405" s="597" t="str">
        <f t="shared" ca="1" si="129"/>
        <v/>
      </c>
      <c r="U405" s="599" t="str">
        <f t="shared" ca="1" si="130"/>
        <v/>
      </c>
      <c r="V405" s="704" t="str">
        <f t="shared" ca="1" si="141"/>
        <v/>
      </c>
      <c r="W405" s="440" t="str">
        <f t="shared" ca="1" si="131"/>
        <v/>
      </c>
      <c r="X405" s="440" t="str">
        <f t="shared" ca="1" si="132"/>
        <v/>
      </c>
      <c r="Y405">
        <f>IF($B405="","",IF(COUNTIFS($B$4:$B405,$B405,$C$4:$C405,$C405)&gt;1,"⛔重複"&amp;COUNTIFS($B$4:$B405,$B405,$C$4:$C405,$C405)&amp;"回目",""))</f>
      </c>
      <c r="AB405">
        <f>IF($F405="","",MAX(100,ROUNDDOWN($AG$4/($F405*$AG$2)/100,0)*100))</f>
      </c>
      <c r="AC405">
        <f>IF(OR($F405="",$G405="",$U405=""),"",ROUND($V405-($F405+$U405)*$G405*$AG$6-IF($C405="売",$F405*$G405*$AG$7*$W405/365,0),0))</f>
      </c>
      <c r="AD405" s="608"/>
      <c r="AE405" s="600" t="str">
        <f t="shared" si="133"/>
        <v/>
      </c>
      <c r="AF405" s="600"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00"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00" t="str">
        <f t="shared" ca="1" si="134"/>
        <v/>
      </c>
      <c r="AI405" s="600" t="str" cm="1">
        <f t="array" ref="AI405">IFERROR(INDEX(始値!$E$6:$BT$305,MATCH(TEXT($B405,"0"),TEXT(銘柄管理!$B$6:$B$305,"0"),0),MATCH($AE405,始値!$E$3:$BT$3,0)),"")</f>
        <v/>
      </c>
      <c r="AJ405" s="608" t="str">
        <f t="shared" ca="1" si="135"/>
        <v/>
      </c>
      <c r="AK405" s="600" t="str">
        <f t="shared" ca="1" si="136"/>
        <v/>
      </c>
    </row>
    <row r="406" spans="1:37" ht="17.25" customHeight="1">
      <c r="A406" s="622" t="str">
        <f t="shared" si="125"/>
        <v/>
      </c>
      <c r="D406" s="440" t="str" cm="1">
        <f t="array" ref="D406">_xll.RssMarket(B406, "銘柄名称")</f>
        <v/>
      </c>
      <c r="E406" s="717"/>
      <c r="F406" s="6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 t="shared" ca="1" si="137"/>
        <v/>
      </c>
      <c r="L406" s="709" t="str">
        <f t="shared" ca="1" si="138"/>
        <v/>
      </c>
      <c r="M406" s="599">
        <f>IF($F406="","",IF($C406="売",CEILING($F406*IF($C406="売",1-$AG$3,1+$AG$3),IF($F406*IF($C406="売",1-$AG$3,1+$AG$3)&lt;=3000,1,IF($F406*IF($C406="売",1-$AG$3,1+$AG$3)&lt;=5000,5,IF($F406*IF($C406="売",1-$AG$3,1+$AG$3)&lt;=30000,10,IF($F406*IF($C406="売",1-$AG$3,1+$AG$3)&lt;=50000,50,IF($F406*IF($C406="売",1-$AG$3,1+$AG$3)&lt;=300000,100,500)))))),FLOOR($F406*IF($C406="売",1-$AG$3,1+$AG$3),IF($F406*IF($C406="売",1-$AG$3,1+$AG$3)&lt;=3000,1,IF($F406*IF($C406="売",1-$AG$3,1+$AG$3)&lt;=5000,5,IF($F406*IF($C406="売",1-$AG$3,1+$AG$3)&lt;=30000,10,IF($F406*IF($C406="売",1-$AG$3,1+$AG$3)&lt;=50000,50,IF($F406*IF($C406="売",1-$AG$3,1+$AG$3)&lt;=300000,100,500))))))))</f>
      </c>
      <c r="N406" s="599">
        <f>IF($F406="","",IF($C406="売",CEILING($F406*IF($C406="売",1+$AG$2,1-$AG$2),IF($F406*IF($C406="売",1+$AG$2,1-$AG$2)&lt;=3000,1,IF($F406*IF($C406="売",1+$AG$2,1-$AG$2)&lt;=5000,5,IF($F406*IF($C406="売",1+$AG$2,1-$AG$2)&lt;=30000,10,IF($F406*IF($C406="売",1+$AG$2,1-$AG$2)&lt;=50000,50,IF($F406*IF($C406="売",1+$AG$2,1-$AG$2)&lt;=300000,100,500)))))),FLOOR($F406*IF($C406="売",1+$AG$2,1-$AG$2),IF($F406*IF($C406="売",1+$AG$2,1-$AG$2)&lt;=3000,1,IF($F406*IF($C406="売",1+$AG$2,1-$AG$2)&lt;=5000,5,IF($F406*IF($C406="売",1+$AG$2,1-$AG$2)&lt;=30000,10,IF($F406*IF($C406="売",1+$AG$2,1-$AG$2)&lt;=50000,50,IF($F406*IF($C406="売",1+$AG$2,1-$AG$2)&lt;=300000,100,500))))))))</f>
      </c>
      <c r="O406" s="478">
        <f>IF(OR($B406="",$F406="",$H406=""),"",IF($S406="✅売却済","―決済済―",IF($C406="売",  IF($H406&lt;=$M406,"🟢利確",  IF(AND($R406&lt;&gt;"",$H406&gt;=$R406),"🟠TRAIL決済",  IF($H406&gt;=$N406,"🔴損切",  IF($W406&gt;=$AG$5,"⏱時間決済",  IF($H406&gt;=$F406*(1+$AG$2*0.7),"⚠️損切接近","保持継続"))))),  IF($H406&gt;=$M406,"🟢利確",  IF(AND($R406&lt;&gt;"",$H406&lt;=$R406),"🟠TRAIL決済",  IF($H406&lt;=$N406,"🔴損切",  IF($W406&gt;=$AG$5,"⏱時間決済",  IF($H406&lt;=$F406*(1-$AG$2*0.7),"⚠️損切接近","保持継続")))))))</f>
      </c>
      <c r="P406" s="445"/>
      <c r="R406" s="440">
        <f>IF(OR($F406="",$H406="",$N406=""),"",IF($S406="✅売却済","",IF($C406="売",  IF($H406&gt;$F406*(1-$AG$2),$N406,CEILING(MIN($N406,IF($Q406="",$N406,$Q406*1.03)),IF($N406&lt;=3000,1,IF($N406&lt;=5000,5,IF($N406&lt;=30000,10,IF($N406&lt;=50000,50,IF($N406&lt;=300000,100,500))))))),  IF($H406&lt;$F406*(1+$AG$2),$N406,FLOOR(MAX($N406,IF($P406="",$N406,$P406*0.97)),IF($N406&lt;=3000,1,IF($N406&lt;=5000,5,IF($N406&lt;=30000,10,IF($N406&lt;=50000,50,IF($N406&lt;=300000,100,500))))))))))</f>
      </c>
      <c r="S406" s="440" t="str">
        <f t="shared" si="140"/>
        <v/>
      </c>
      <c r="T406" s="597" t="str">
        <f t="shared" ca="1" si="129"/>
        <v/>
      </c>
      <c r="U406" s="599" t="str">
        <f t="shared" ca="1" si="130"/>
        <v/>
      </c>
      <c r="V406" s="704" t="str">
        <f t="shared" ca="1" si="141"/>
        <v/>
      </c>
      <c r="W406" s="440" t="str">
        <f t="shared" ca="1" si="131"/>
        <v/>
      </c>
      <c r="X406" s="440" t="str">
        <f t="shared" ca="1" si="132"/>
        <v/>
      </c>
      <c r="Y406">
        <f>IF($B406="","",IF(COUNTIFS($B$4:$B406,$B406,$C$4:$C406,$C406)&gt;1,"⛔重複"&amp;COUNTIFS($B$4:$B406,$B406,$C$4:$C406,$C406)&amp;"回目",""))</f>
      </c>
      <c r="AB406">
        <f>IF($F406="","",MAX(100,ROUNDDOWN($AG$4/($F406*$AG$2)/100,0)*100))</f>
      </c>
      <c r="AC406">
        <f>IF(OR($F406="",$G406="",$U406=""),"",ROUND($V406-($F406+$U406)*$G406*$AG$6-IF($C406="売",$F406*$G406*$AG$7*$W406/365,0),0))</f>
      </c>
      <c r="AD406" s="608"/>
      <c r="AE406" s="600" t="str">
        <f t="shared" si="133"/>
        <v/>
      </c>
      <c r="AF406" s="600"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00"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00" t="str">
        <f t="shared" ca="1" si="134"/>
        <v/>
      </c>
      <c r="AI406" s="600" t="str" cm="1">
        <f t="array" ref="AI406">IFERROR(INDEX(始値!$E$6:$BT$305,MATCH(TEXT($B406,"0"),TEXT(銘柄管理!$B$6:$B$305,"0"),0),MATCH($AE406,始値!$E$3:$BT$3,0)),"")</f>
        <v/>
      </c>
      <c r="AJ406" s="608" t="str">
        <f t="shared" ca="1" si="135"/>
        <v/>
      </c>
      <c r="AK406" s="600" t="str">
        <f t="shared" ca="1" si="136"/>
        <v/>
      </c>
    </row>
    <row r="407" spans="1:37" ht="17.25" customHeight="1">
      <c r="A407" s="622" t="str">
        <f t="shared" si="125"/>
        <v/>
      </c>
      <c r="D407" s="440" t="str" cm="1">
        <f t="array" ref="D407">_xll.RssMarket(B407, "銘柄名称")</f>
        <v/>
      </c>
      <c r="E407" s="717"/>
      <c r="F407" s="6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 t="shared" ca="1" si="137"/>
        <v/>
      </c>
      <c r="L407" s="709" t="str">
        <f t="shared" ca="1" si="138"/>
        <v/>
      </c>
      <c r="M407" s="599">
        <f>IF($F407="","",IF($C407="売",CEILING($F407*IF($C407="売",1-$AG$3,1+$AG$3),IF($F407*IF($C407="売",1-$AG$3,1+$AG$3)&lt;=3000,1,IF($F407*IF($C407="売",1-$AG$3,1+$AG$3)&lt;=5000,5,IF($F407*IF($C407="売",1-$AG$3,1+$AG$3)&lt;=30000,10,IF($F407*IF($C407="売",1-$AG$3,1+$AG$3)&lt;=50000,50,IF($F407*IF($C407="売",1-$AG$3,1+$AG$3)&lt;=300000,100,500)))))),FLOOR($F407*IF($C407="売",1-$AG$3,1+$AG$3),IF($F407*IF($C407="売",1-$AG$3,1+$AG$3)&lt;=3000,1,IF($F407*IF($C407="売",1-$AG$3,1+$AG$3)&lt;=5000,5,IF($F407*IF($C407="売",1-$AG$3,1+$AG$3)&lt;=30000,10,IF($F407*IF($C407="売",1-$AG$3,1+$AG$3)&lt;=50000,50,IF($F407*IF($C407="売",1-$AG$3,1+$AG$3)&lt;=300000,100,500))))))))</f>
      </c>
      <c r="N407" s="599">
        <f>IF($F407="","",IF($C407="売",CEILING($F407*IF($C407="売",1+$AG$2,1-$AG$2),IF($F407*IF($C407="売",1+$AG$2,1-$AG$2)&lt;=3000,1,IF($F407*IF($C407="売",1+$AG$2,1-$AG$2)&lt;=5000,5,IF($F407*IF($C407="売",1+$AG$2,1-$AG$2)&lt;=30000,10,IF($F407*IF($C407="売",1+$AG$2,1-$AG$2)&lt;=50000,50,IF($F407*IF($C407="売",1+$AG$2,1-$AG$2)&lt;=300000,100,500)))))),FLOOR($F407*IF($C407="売",1+$AG$2,1-$AG$2),IF($F407*IF($C407="売",1+$AG$2,1-$AG$2)&lt;=3000,1,IF($F407*IF($C407="売",1+$AG$2,1-$AG$2)&lt;=5000,5,IF($F407*IF($C407="売",1+$AG$2,1-$AG$2)&lt;=30000,10,IF($F407*IF($C407="売",1+$AG$2,1-$AG$2)&lt;=50000,50,IF($F407*IF($C407="売",1+$AG$2,1-$AG$2)&lt;=300000,100,500))))))))</f>
      </c>
      <c r="O407" s="478">
        <f>IF(OR($B407="",$F407="",$H407=""),"",IF($S407="✅売却済","―決済済―",IF($C407="売",  IF($H407&lt;=$M407,"🟢利確",  IF(AND($R407&lt;&gt;"",$H407&gt;=$R407),"🟠TRAIL決済",  IF($H407&gt;=$N407,"🔴損切",  IF($W407&gt;=$AG$5,"⏱時間決済",  IF($H407&gt;=$F407*(1+$AG$2*0.7),"⚠️損切接近","保持継続"))))),  IF($H407&gt;=$M407,"🟢利確",  IF(AND($R407&lt;&gt;"",$H407&lt;=$R407),"🟠TRAIL決済",  IF($H407&lt;=$N407,"🔴損切",  IF($W407&gt;=$AG$5,"⏱時間決済",  IF($H407&lt;=$F407*(1-$AG$2*0.7),"⚠️損切接近","保持継続")))))))</f>
      </c>
      <c r="P407" s="445"/>
      <c r="R407" s="440">
        <f>IF(OR($F407="",$H407="",$N407=""),"",IF($S407="✅売却済","",IF($C407="売",  IF($H407&gt;$F407*(1-$AG$2),$N407,CEILING(MIN($N407,IF($Q407="",$N407,$Q407*1.03)),IF($N407&lt;=3000,1,IF($N407&lt;=5000,5,IF($N407&lt;=30000,10,IF($N407&lt;=50000,50,IF($N407&lt;=300000,100,500))))))),  IF($H407&lt;$F407*(1+$AG$2),$N407,FLOOR(MAX($N407,IF($P407="",$N407,$P407*0.97)),IF($N407&lt;=3000,1,IF($N407&lt;=5000,5,IF($N407&lt;=30000,10,IF($N407&lt;=50000,50,IF($N407&lt;=300000,100,500))))))))))</f>
      </c>
      <c r="S407" s="440" t="str">
        <f t="shared" si="140"/>
        <v/>
      </c>
      <c r="T407" s="597" t="str">
        <f t="shared" ca="1" si="129"/>
        <v/>
      </c>
      <c r="U407" s="599" t="str">
        <f t="shared" ca="1" si="130"/>
        <v/>
      </c>
      <c r="V407" s="704" t="str">
        <f t="shared" ca="1" si="141"/>
        <v/>
      </c>
      <c r="W407" s="440" t="str">
        <f t="shared" ca="1" si="131"/>
        <v/>
      </c>
      <c r="X407" s="440" t="str">
        <f t="shared" ca="1" si="132"/>
        <v/>
      </c>
      <c r="Y407">
        <f>IF($B407="","",IF(COUNTIFS($B$4:$B407,$B407,$C$4:$C407,$C407)&gt;1,"⛔重複"&amp;COUNTIFS($B$4:$B407,$B407,$C$4:$C407,$C407)&amp;"回目",""))</f>
      </c>
      <c r="AB407">
        <f>IF($F407="","",MAX(100,ROUNDDOWN($AG$4/($F407*$AG$2)/100,0)*100))</f>
      </c>
      <c r="AC407">
        <f>IF(OR($F407="",$G407="",$U407=""),"",ROUND($V407-($F407+$U407)*$G407*$AG$6-IF($C407="売",$F407*$G407*$AG$7*$W407/365,0),0))</f>
      </c>
      <c r="AD407" s="608"/>
      <c r="AE407" s="600" t="str">
        <f t="shared" si="133"/>
        <v/>
      </c>
      <c r="AF407" s="600"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00"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00" t="str">
        <f t="shared" ca="1" si="134"/>
        <v/>
      </c>
      <c r="AI407" s="600" t="str" cm="1">
        <f t="array" ref="AI407">IFERROR(INDEX(始値!$E$6:$BT$305,MATCH(TEXT($B407,"0"),TEXT(銘柄管理!$B$6:$B$305,"0"),0),MATCH($AE407,始値!$E$3:$BT$3,0)),"")</f>
        <v/>
      </c>
      <c r="AJ407" s="608" t="str">
        <f t="shared" ca="1" si="135"/>
        <v/>
      </c>
      <c r="AK407" s="600" t="str">
        <f t="shared" ca="1" si="136"/>
        <v/>
      </c>
    </row>
    <row r="408" spans="1:37" ht="17.25" customHeight="1">
      <c r="A408" s="622" t="str">
        <f t="shared" si="125"/>
        <v/>
      </c>
      <c r="D408" s="440" t="str" cm="1">
        <f t="array" ref="D408">_xll.RssMarket(B408, "銘柄名称")</f>
        <v/>
      </c>
      <c r="E408" s="717"/>
      <c r="F408" s="6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 t="shared" ca="1" si="137"/>
        <v/>
      </c>
      <c r="L408" s="709" t="str">
        <f t="shared" ca="1" si="138"/>
        <v/>
      </c>
      <c r="M408" s="599">
        <f>IF($F408="","",IF($C408="売",CEILING($F408*IF($C408="売",1-$AG$3,1+$AG$3),IF($F408*IF($C408="売",1-$AG$3,1+$AG$3)&lt;=3000,1,IF($F408*IF($C408="売",1-$AG$3,1+$AG$3)&lt;=5000,5,IF($F408*IF($C408="売",1-$AG$3,1+$AG$3)&lt;=30000,10,IF($F408*IF($C408="売",1-$AG$3,1+$AG$3)&lt;=50000,50,IF($F408*IF($C408="売",1-$AG$3,1+$AG$3)&lt;=300000,100,500)))))),FLOOR($F408*IF($C408="売",1-$AG$3,1+$AG$3),IF($F408*IF($C408="売",1-$AG$3,1+$AG$3)&lt;=3000,1,IF($F408*IF($C408="売",1-$AG$3,1+$AG$3)&lt;=5000,5,IF($F408*IF($C408="売",1-$AG$3,1+$AG$3)&lt;=30000,10,IF($F408*IF($C408="売",1-$AG$3,1+$AG$3)&lt;=50000,50,IF($F408*IF($C408="売",1-$AG$3,1+$AG$3)&lt;=300000,100,500))))))))</f>
      </c>
      <c r="N408" s="599">
        <f>IF($F408="","",IF($C408="売",CEILING($F408*IF($C408="売",1+$AG$2,1-$AG$2),IF($F408*IF($C408="売",1+$AG$2,1-$AG$2)&lt;=3000,1,IF($F408*IF($C408="売",1+$AG$2,1-$AG$2)&lt;=5000,5,IF($F408*IF($C408="売",1+$AG$2,1-$AG$2)&lt;=30000,10,IF($F408*IF($C408="売",1+$AG$2,1-$AG$2)&lt;=50000,50,IF($F408*IF($C408="売",1+$AG$2,1-$AG$2)&lt;=300000,100,500)))))),FLOOR($F408*IF($C408="売",1+$AG$2,1-$AG$2),IF($F408*IF($C408="売",1+$AG$2,1-$AG$2)&lt;=3000,1,IF($F408*IF($C408="売",1+$AG$2,1-$AG$2)&lt;=5000,5,IF($F408*IF($C408="売",1+$AG$2,1-$AG$2)&lt;=30000,10,IF($F408*IF($C408="売",1+$AG$2,1-$AG$2)&lt;=50000,50,IF($F408*IF($C408="売",1+$AG$2,1-$AG$2)&lt;=300000,100,500))))))))</f>
      </c>
      <c r="O408" s="478">
        <f>IF(OR($B408="",$F408="",$H408=""),"",IF($S408="✅売却済","―決済済―",IF($C408="売",  IF($H408&lt;=$M408,"🟢利確",  IF(AND($R408&lt;&gt;"",$H408&gt;=$R408),"🟠TRAIL決済",  IF($H408&gt;=$N408,"🔴損切",  IF($W408&gt;=$AG$5,"⏱時間決済",  IF($H408&gt;=$F408*(1+$AG$2*0.7),"⚠️損切接近","保持継続"))))),  IF($H408&gt;=$M408,"🟢利確",  IF(AND($R408&lt;&gt;"",$H408&lt;=$R408),"🟠TRAIL決済",  IF($H408&lt;=$N408,"🔴損切",  IF($W408&gt;=$AG$5,"⏱時間決済",  IF($H408&lt;=$F408*(1-$AG$2*0.7),"⚠️損切接近","保持継続")))))))</f>
      </c>
      <c r="P408" s="445"/>
      <c r="R408" s="440">
        <f>IF(OR($F408="",$H408="",$N408=""),"",IF($S408="✅売却済","",IF($C408="売",  IF($H408&gt;$F408*(1-$AG$2),$N408,CEILING(MIN($N408,IF($Q408="",$N408,$Q408*1.03)),IF($N408&lt;=3000,1,IF($N408&lt;=5000,5,IF($N408&lt;=30000,10,IF($N408&lt;=50000,50,IF($N408&lt;=300000,100,500))))))),  IF($H408&lt;$F408*(1+$AG$2),$N408,FLOOR(MAX($N408,IF($P408="",$N408,$P408*0.97)),IF($N408&lt;=3000,1,IF($N408&lt;=5000,5,IF($N408&lt;=30000,10,IF($N408&lt;=50000,50,IF($N408&lt;=300000,100,500))))))))))</f>
      </c>
      <c r="S408" s="440" t="str">
        <f t="shared" si="140"/>
        <v/>
      </c>
      <c r="T408" s="597" t="str">
        <f t="shared" ca="1" si="129"/>
        <v/>
      </c>
      <c r="U408" s="599" t="str">
        <f t="shared" ca="1" si="130"/>
        <v/>
      </c>
      <c r="V408" s="704" t="str">
        <f t="shared" ca="1" si="141"/>
        <v/>
      </c>
      <c r="W408" s="440" t="str">
        <f t="shared" ca="1" si="131"/>
        <v/>
      </c>
      <c r="X408" s="440" t="str">
        <f t="shared" ca="1" si="132"/>
        <v/>
      </c>
      <c r="Y408">
        <f>IF($B408="","",IF(COUNTIFS($B$4:$B408,$B408,$C$4:$C408,$C408)&gt;1,"⛔重複"&amp;COUNTIFS($B$4:$B408,$B408,$C$4:$C408,$C408)&amp;"回目",""))</f>
      </c>
      <c r="AB408">
        <f>IF($F408="","",MAX(100,ROUNDDOWN($AG$4/($F408*$AG$2)/100,0)*100))</f>
      </c>
      <c r="AC408">
        <f>IF(OR($F408="",$G408="",$U408=""),"",ROUND($V408-($F408+$U408)*$G408*$AG$6-IF($C408="売",$F408*$G408*$AG$7*$W408/365,0),0))</f>
      </c>
      <c r="AD408" s="608"/>
      <c r="AE408" s="600" t="str">
        <f t="shared" si="133"/>
        <v/>
      </c>
      <c r="AF408" s="600"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00"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00" t="str">
        <f t="shared" ca="1" si="134"/>
        <v/>
      </c>
      <c r="AI408" s="600" t="str" cm="1">
        <f t="array" ref="AI408">IFERROR(INDEX(始値!$E$6:$BT$305,MATCH(TEXT($B408,"0"),TEXT(銘柄管理!$B$6:$B$305,"0"),0),MATCH($AE408,始値!$E$3:$BT$3,0)),"")</f>
        <v/>
      </c>
      <c r="AJ408" s="608" t="str">
        <f t="shared" ca="1" si="135"/>
        <v/>
      </c>
      <c r="AK408" s="600" t="str">
        <f t="shared" ca="1" si="136"/>
        <v/>
      </c>
    </row>
    <row r="409" spans="1:37" ht="17.25" customHeight="1">
      <c r="A409" s="622" t="str">
        <f t="shared" si="125"/>
        <v/>
      </c>
      <c r="D409" s="440" t="str" cm="1">
        <f t="array" ref="D409">_xll.RssMarket(B409, "銘柄名称")</f>
        <v/>
      </c>
      <c r="E409" s="717"/>
      <c r="F409" s="6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 t="shared" ca="1" si="137"/>
        <v/>
      </c>
      <c r="L409" s="709" t="str">
        <f t="shared" ca="1" si="138"/>
        <v/>
      </c>
      <c r="M409" s="599">
        <f>IF($F409="","",IF($C409="売",CEILING($F409*IF($C409="売",1-$AG$3,1+$AG$3),IF($F409*IF($C409="売",1-$AG$3,1+$AG$3)&lt;=3000,1,IF($F409*IF($C409="売",1-$AG$3,1+$AG$3)&lt;=5000,5,IF($F409*IF($C409="売",1-$AG$3,1+$AG$3)&lt;=30000,10,IF($F409*IF($C409="売",1-$AG$3,1+$AG$3)&lt;=50000,50,IF($F409*IF($C409="売",1-$AG$3,1+$AG$3)&lt;=300000,100,500)))))),FLOOR($F409*IF($C409="売",1-$AG$3,1+$AG$3),IF($F409*IF($C409="売",1-$AG$3,1+$AG$3)&lt;=3000,1,IF($F409*IF($C409="売",1-$AG$3,1+$AG$3)&lt;=5000,5,IF($F409*IF($C409="売",1-$AG$3,1+$AG$3)&lt;=30000,10,IF($F409*IF($C409="売",1-$AG$3,1+$AG$3)&lt;=50000,50,IF($F409*IF($C409="売",1-$AG$3,1+$AG$3)&lt;=300000,100,500))))))))</f>
      </c>
      <c r="N409" s="599">
        <f>IF($F409="","",IF($C409="売",CEILING($F409*IF($C409="売",1+$AG$2,1-$AG$2),IF($F409*IF($C409="売",1+$AG$2,1-$AG$2)&lt;=3000,1,IF($F409*IF($C409="売",1+$AG$2,1-$AG$2)&lt;=5000,5,IF($F409*IF($C409="売",1+$AG$2,1-$AG$2)&lt;=30000,10,IF($F409*IF($C409="売",1+$AG$2,1-$AG$2)&lt;=50000,50,IF($F409*IF($C409="売",1+$AG$2,1-$AG$2)&lt;=300000,100,500)))))),FLOOR($F409*IF($C409="売",1+$AG$2,1-$AG$2),IF($F409*IF($C409="売",1+$AG$2,1-$AG$2)&lt;=3000,1,IF($F409*IF($C409="売",1+$AG$2,1-$AG$2)&lt;=5000,5,IF($F409*IF($C409="売",1+$AG$2,1-$AG$2)&lt;=30000,10,IF($F409*IF($C409="売",1+$AG$2,1-$AG$2)&lt;=50000,50,IF($F409*IF($C409="売",1+$AG$2,1-$AG$2)&lt;=300000,100,500))))))))</f>
      </c>
      <c r="O409" s="478">
        <f>IF(OR($B409="",$F409="",$H409=""),"",IF($S409="✅売却済","―決済済―",IF($C409="売",  IF($H409&lt;=$M409,"🟢利確",  IF(AND($R409&lt;&gt;"",$H409&gt;=$R409),"🟠TRAIL決済",  IF($H409&gt;=$N409,"🔴損切",  IF($W409&gt;=$AG$5,"⏱時間決済",  IF($H409&gt;=$F409*(1+$AG$2*0.7),"⚠️損切接近","保持継続"))))),  IF($H409&gt;=$M409,"🟢利確",  IF(AND($R409&lt;&gt;"",$H409&lt;=$R409),"🟠TRAIL決済",  IF($H409&lt;=$N409,"🔴損切",  IF($W409&gt;=$AG$5,"⏱時間決済",  IF($H409&lt;=$F409*(1-$AG$2*0.7),"⚠️損切接近","保持継続")))))))</f>
      </c>
      <c r="P409" s="445"/>
      <c r="R409" s="440">
        <f>IF(OR($F409="",$H409="",$N409=""),"",IF($S409="✅売却済","",IF($C409="売",  IF($H409&gt;$F409*(1-$AG$2),$N409,CEILING(MIN($N409,IF($Q409="",$N409,$Q409*1.03)),IF($N409&lt;=3000,1,IF($N409&lt;=5000,5,IF($N409&lt;=30000,10,IF($N409&lt;=50000,50,IF($N409&lt;=300000,100,500))))))),  IF($H409&lt;$F409*(1+$AG$2),$N409,FLOOR(MAX($N409,IF($P409="",$N409,$P409*0.97)),IF($N409&lt;=3000,1,IF($N409&lt;=5000,5,IF($N409&lt;=30000,10,IF($N409&lt;=50000,50,IF($N409&lt;=300000,100,500))))))))))</f>
      </c>
      <c r="S409" s="440" t="str">
        <f t="shared" si="140"/>
        <v/>
      </c>
      <c r="T409" s="597" t="str">
        <f t="shared" ca="1" si="129"/>
        <v/>
      </c>
      <c r="U409" s="599" t="str">
        <f t="shared" ca="1" si="130"/>
        <v/>
      </c>
      <c r="V409" s="704" t="str">
        <f t="shared" ca="1" si="141"/>
        <v/>
      </c>
      <c r="W409" s="440" t="str">
        <f t="shared" ca="1" si="131"/>
        <v/>
      </c>
      <c r="X409" s="440" t="str">
        <f t="shared" ca="1" si="132"/>
        <v/>
      </c>
      <c r="Y409">
        <f>IF($B409="","",IF(COUNTIFS($B$4:$B409,$B409,$C$4:$C409,$C409)&gt;1,"⛔重複"&amp;COUNTIFS($B$4:$B409,$B409,$C$4:$C409,$C409)&amp;"回目",""))</f>
      </c>
      <c r="AB409">
        <f>IF($F409="","",MAX(100,ROUNDDOWN($AG$4/($F409*$AG$2)/100,0)*100))</f>
      </c>
      <c r="AC409">
        <f>IF(OR($F409="",$G409="",$U409=""),"",ROUND($V409-($F409+$U409)*$G409*$AG$6-IF($C409="売",$F409*$G409*$AG$7*$W409/365,0),0))</f>
      </c>
      <c r="AD409" s="608"/>
      <c r="AE409" s="600" t="str">
        <f t="shared" si="133"/>
        <v/>
      </c>
      <c r="AF409" s="600"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00"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00" t="str">
        <f t="shared" ca="1" si="134"/>
        <v/>
      </c>
      <c r="AI409" s="600" t="str" cm="1">
        <f t="array" ref="AI409">IFERROR(INDEX(始値!$E$6:$BT$305,MATCH(TEXT($B409,"0"),TEXT(銘柄管理!$B$6:$B$305,"0"),0),MATCH($AE409,始値!$E$3:$BT$3,0)),"")</f>
        <v/>
      </c>
      <c r="AJ409" s="608" t="str">
        <f t="shared" ca="1" si="135"/>
        <v/>
      </c>
      <c r="AK409" s="600" t="str">
        <f t="shared" ca="1" si="136"/>
        <v/>
      </c>
    </row>
    <row r="410" spans="1:37" ht="17.25" customHeight="1">
      <c r="A410" s="622" t="str">
        <f t="shared" si="125"/>
        <v/>
      </c>
      <c r="D410" s="440" t="str" cm="1">
        <f t="array" ref="D410">_xll.RssMarket(B410, "銘柄名称")</f>
        <v/>
      </c>
      <c r="E410" s="717"/>
      <c r="F410" s="6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 t="shared" ca="1" si="137"/>
        <v/>
      </c>
      <c r="L410" s="709" t="str">
        <f t="shared" ca="1" si="138"/>
        <v/>
      </c>
      <c r="M410" s="599">
        <f>IF($F410="","",IF($C410="売",CEILING($F410*IF($C410="売",1-$AG$3,1+$AG$3),IF($F410*IF($C410="売",1-$AG$3,1+$AG$3)&lt;=3000,1,IF($F410*IF($C410="売",1-$AG$3,1+$AG$3)&lt;=5000,5,IF($F410*IF($C410="売",1-$AG$3,1+$AG$3)&lt;=30000,10,IF($F410*IF($C410="売",1-$AG$3,1+$AG$3)&lt;=50000,50,IF($F410*IF($C410="売",1-$AG$3,1+$AG$3)&lt;=300000,100,500)))))),FLOOR($F410*IF($C410="売",1-$AG$3,1+$AG$3),IF($F410*IF($C410="売",1-$AG$3,1+$AG$3)&lt;=3000,1,IF($F410*IF($C410="売",1-$AG$3,1+$AG$3)&lt;=5000,5,IF($F410*IF($C410="売",1-$AG$3,1+$AG$3)&lt;=30000,10,IF($F410*IF($C410="売",1-$AG$3,1+$AG$3)&lt;=50000,50,IF($F410*IF($C410="売",1-$AG$3,1+$AG$3)&lt;=300000,100,500))))))))</f>
      </c>
      <c r="N410" s="599">
        <f>IF($F410="","",IF($C410="売",CEILING($F410*IF($C410="売",1+$AG$2,1-$AG$2),IF($F410*IF($C410="売",1+$AG$2,1-$AG$2)&lt;=3000,1,IF($F410*IF($C410="売",1+$AG$2,1-$AG$2)&lt;=5000,5,IF($F410*IF($C410="売",1+$AG$2,1-$AG$2)&lt;=30000,10,IF($F410*IF($C410="売",1+$AG$2,1-$AG$2)&lt;=50000,50,IF($F410*IF($C410="売",1+$AG$2,1-$AG$2)&lt;=300000,100,500)))))),FLOOR($F410*IF($C410="売",1+$AG$2,1-$AG$2),IF($F410*IF($C410="売",1+$AG$2,1-$AG$2)&lt;=3000,1,IF($F410*IF($C410="売",1+$AG$2,1-$AG$2)&lt;=5000,5,IF($F410*IF($C410="売",1+$AG$2,1-$AG$2)&lt;=30000,10,IF($F410*IF($C410="売",1+$AG$2,1-$AG$2)&lt;=50000,50,IF($F410*IF($C410="売",1+$AG$2,1-$AG$2)&lt;=300000,100,500))))))))</f>
      </c>
      <c r="O410" s="478">
        <f>IF(OR($B410="",$F410="",$H410=""),"",IF($S410="✅売却済","―決済済―",IF($C410="売",  IF($H410&lt;=$M410,"🟢利確",  IF(AND($R410&lt;&gt;"",$H410&gt;=$R410),"🟠TRAIL決済",  IF($H410&gt;=$N410,"🔴損切",  IF($W410&gt;=$AG$5,"⏱時間決済",  IF($H410&gt;=$F410*(1+$AG$2*0.7),"⚠️損切接近","保持継続"))))),  IF($H410&gt;=$M410,"🟢利確",  IF(AND($R410&lt;&gt;"",$H410&lt;=$R410),"🟠TRAIL決済",  IF($H410&lt;=$N410,"🔴損切",  IF($W410&gt;=$AG$5,"⏱時間決済",  IF($H410&lt;=$F410*(1-$AG$2*0.7),"⚠️損切接近","保持継続")))))))</f>
      </c>
      <c r="P410" s="445"/>
      <c r="R410" s="440">
        <f>IF(OR($F410="",$H410="",$N410=""),"",IF($S410="✅売却済","",IF($C410="売",  IF($H410&gt;$F410*(1-$AG$2),$N410,CEILING(MIN($N410,IF($Q410="",$N410,$Q410*1.03)),IF($N410&lt;=3000,1,IF($N410&lt;=5000,5,IF($N410&lt;=30000,10,IF($N410&lt;=50000,50,IF($N410&lt;=300000,100,500))))))),  IF($H410&lt;$F410*(1+$AG$2),$N410,FLOOR(MAX($N410,IF($P410="",$N410,$P410*0.97)),IF($N410&lt;=3000,1,IF($N410&lt;=5000,5,IF($N410&lt;=30000,10,IF($N410&lt;=50000,50,IF($N410&lt;=300000,100,500))))))))))</f>
      </c>
      <c r="S410" s="440" t="str">
        <f t="shared" si="140"/>
        <v/>
      </c>
      <c r="T410" s="597" t="str">
        <f t="shared" ca="1" si="129"/>
        <v/>
      </c>
      <c r="U410" s="599" t="str">
        <f t="shared" ca="1" si="130"/>
        <v/>
      </c>
      <c r="V410" s="704" t="str">
        <f t="shared" ca="1" si="141"/>
        <v/>
      </c>
      <c r="W410" s="440" t="str">
        <f t="shared" ca="1" si="131"/>
        <v/>
      </c>
      <c r="X410" s="440" t="str">
        <f t="shared" ca="1" si="132"/>
        <v/>
      </c>
      <c r="Y410">
        <f>IF($B410="","",IF(COUNTIFS($B$4:$B410,$B410,$C$4:$C410,$C410)&gt;1,"⛔重複"&amp;COUNTIFS($B$4:$B410,$B410,$C$4:$C410,$C410)&amp;"回目",""))</f>
      </c>
      <c r="AB410">
        <f>IF($F410="","",MAX(100,ROUNDDOWN($AG$4/($F410*$AG$2)/100,0)*100))</f>
      </c>
      <c r="AC410">
        <f>IF(OR($F410="",$G410="",$U410=""),"",ROUND($V410-($F410+$U410)*$G410*$AG$6-IF($C410="売",$F410*$G410*$AG$7*$W410/365,0),0))</f>
      </c>
      <c r="AD410" s="608"/>
      <c r="AE410" s="600" t="str">
        <f t="shared" si="133"/>
        <v/>
      </c>
      <c r="AF410" s="600"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00"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00" t="str">
        <f t="shared" ca="1" si="134"/>
        <v/>
      </c>
      <c r="AI410" s="600" t="str" cm="1">
        <f t="array" ref="AI410">IFERROR(INDEX(始値!$E$6:$BT$305,MATCH(TEXT($B410,"0"),TEXT(銘柄管理!$B$6:$B$305,"0"),0),MATCH($AE410,始値!$E$3:$BT$3,0)),"")</f>
        <v/>
      </c>
      <c r="AJ410" s="608" t="str">
        <f t="shared" ca="1" si="135"/>
        <v/>
      </c>
      <c r="AK410" s="600" t="str">
        <f t="shared" ca="1" si="136"/>
        <v/>
      </c>
    </row>
    <row r="411" spans="1:37" ht="17.25" customHeight="1">
      <c r="A411" s="622" t="str">
        <f t="shared" si="125"/>
        <v/>
      </c>
      <c r="D411" s="440" t="str" cm="1">
        <f t="array" ref="D411">_xll.RssMarket(B411, "銘柄名称")</f>
        <v/>
      </c>
      <c r="E411" s="717"/>
      <c r="F411" s="6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 t="shared" ca="1" si="137"/>
        <v/>
      </c>
      <c r="L411" s="709" t="str">
        <f t="shared" ca="1" si="138"/>
        <v/>
      </c>
      <c r="M411" s="599">
        <f>IF($F411="","",IF($C411="売",CEILING($F411*IF($C411="売",1-$AG$3,1+$AG$3),IF($F411*IF($C411="売",1-$AG$3,1+$AG$3)&lt;=3000,1,IF($F411*IF($C411="売",1-$AG$3,1+$AG$3)&lt;=5000,5,IF($F411*IF($C411="売",1-$AG$3,1+$AG$3)&lt;=30000,10,IF($F411*IF($C411="売",1-$AG$3,1+$AG$3)&lt;=50000,50,IF($F411*IF($C411="売",1-$AG$3,1+$AG$3)&lt;=300000,100,500)))))),FLOOR($F411*IF($C411="売",1-$AG$3,1+$AG$3),IF($F411*IF($C411="売",1-$AG$3,1+$AG$3)&lt;=3000,1,IF($F411*IF($C411="売",1-$AG$3,1+$AG$3)&lt;=5000,5,IF($F411*IF($C411="売",1-$AG$3,1+$AG$3)&lt;=30000,10,IF($F411*IF($C411="売",1-$AG$3,1+$AG$3)&lt;=50000,50,IF($F411*IF($C411="売",1-$AG$3,1+$AG$3)&lt;=300000,100,500))))))))</f>
      </c>
      <c r="N411" s="599">
        <f>IF($F411="","",IF($C411="売",CEILING($F411*IF($C411="売",1+$AG$2,1-$AG$2),IF($F411*IF($C411="売",1+$AG$2,1-$AG$2)&lt;=3000,1,IF($F411*IF($C411="売",1+$AG$2,1-$AG$2)&lt;=5000,5,IF($F411*IF($C411="売",1+$AG$2,1-$AG$2)&lt;=30000,10,IF($F411*IF($C411="売",1+$AG$2,1-$AG$2)&lt;=50000,50,IF($F411*IF($C411="売",1+$AG$2,1-$AG$2)&lt;=300000,100,500)))))),FLOOR($F411*IF($C411="売",1+$AG$2,1-$AG$2),IF($F411*IF($C411="売",1+$AG$2,1-$AG$2)&lt;=3000,1,IF($F411*IF($C411="売",1+$AG$2,1-$AG$2)&lt;=5000,5,IF($F411*IF($C411="売",1+$AG$2,1-$AG$2)&lt;=30000,10,IF($F411*IF($C411="売",1+$AG$2,1-$AG$2)&lt;=50000,50,IF($F411*IF($C411="売",1+$AG$2,1-$AG$2)&lt;=300000,100,500))))))))</f>
      </c>
      <c r="O411" s="478">
        <f>IF(OR($B411="",$F411="",$H411=""),"",IF($S411="✅売却済","―決済済―",IF($C411="売",  IF($H411&lt;=$M411,"🟢利確",  IF(AND($R411&lt;&gt;"",$H411&gt;=$R411),"🟠TRAIL決済",  IF($H411&gt;=$N411,"🔴損切",  IF($W411&gt;=$AG$5,"⏱時間決済",  IF($H411&gt;=$F411*(1+$AG$2*0.7),"⚠️損切接近","保持継続"))))),  IF($H411&gt;=$M411,"🟢利確",  IF(AND($R411&lt;&gt;"",$H411&lt;=$R411),"🟠TRAIL決済",  IF($H411&lt;=$N411,"🔴損切",  IF($W411&gt;=$AG$5,"⏱時間決済",  IF($H411&lt;=$F411*(1-$AG$2*0.7),"⚠️損切接近","保持継続")))))))</f>
      </c>
      <c r="P411" s="445"/>
      <c r="R411" s="440">
        <f>IF(OR($F411="",$H411="",$N411=""),"",IF($S411="✅売却済","",IF($C411="売",  IF($H411&gt;$F411*(1-$AG$2),$N411,CEILING(MIN($N411,IF($Q411="",$N411,$Q411*1.03)),IF($N411&lt;=3000,1,IF($N411&lt;=5000,5,IF($N411&lt;=30000,10,IF($N411&lt;=50000,50,IF($N411&lt;=300000,100,500))))))),  IF($H411&lt;$F411*(1+$AG$2),$N411,FLOOR(MAX($N411,IF($P411="",$N411,$P411*0.97)),IF($N411&lt;=3000,1,IF($N411&lt;=5000,5,IF($N411&lt;=30000,10,IF($N411&lt;=50000,50,IF($N411&lt;=300000,100,500))))))))))</f>
      </c>
      <c r="S411" s="440" t="str">
        <f t="shared" si="140"/>
        <v/>
      </c>
      <c r="T411" s="597" t="str">
        <f t="shared" ca="1" si="129"/>
        <v/>
      </c>
      <c r="U411" s="599" t="str">
        <f t="shared" ca="1" si="130"/>
        <v/>
      </c>
      <c r="V411" s="704" t="str">
        <f t="shared" ca="1" si="141"/>
        <v/>
      </c>
      <c r="W411" s="440" t="str">
        <f t="shared" ca="1" si="131"/>
        <v/>
      </c>
      <c r="X411" s="440" t="str">
        <f t="shared" ca="1" si="132"/>
        <v/>
      </c>
      <c r="Y411">
        <f>IF($B411="","",IF(COUNTIFS($B$4:$B411,$B411,$C$4:$C411,$C411)&gt;1,"⛔重複"&amp;COUNTIFS($B$4:$B411,$B411,$C$4:$C411,$C411)&amp;"回目",""))</f>
      </c>
      <c r="AB411">
        <f>IF($F411="","",MAX(100,ROUNDDOWN($AG$4/($F411*$AG$2)/100,0)*100))</f>
      </c>
      <c r="AC411">
        <f>IF(OR($F411="",$G411="",$U411=""),"",ROUND($V411-($F411+$U411)*$G411*$AG$6-IF($C411="売",$F411*$G411*$AG$7*$W411/365,0),0))</f>
      </c>
      <c r="AD411" s="608"/>
      <c r="AE411" s="600" t="str">
        <f t="shared" si="133"/>
        <v/>
      </c>
      <c r="AF411" s="600"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00"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00" t="str">
        <f t="shared" ca="1" si="134"/>
        <v/>
      </c>
      <c r="AI411" s="600" t="str" cm="1">
        <f t="array" ref="AI411">IFERROR(INDEX(始値!$E$6:$BT$305,MATCH(TEXT($B411,"0"),TEXT(銘柄管理!$B$6:$B$305,"0"),0),MATCH($AE411,始値!$E$3:$BT$3,0)),"")</f>
        <v/>
      </c>
      <c r="AJ411" s="608" t="str">
        <f t="shared" ca="1" si="135"/>
        <v/>
      </c>
      <c r="AK411" s="600" t="str">
        <f t="shared" ca="1" si="136"/>
        <v/>
      </c>
    </row>
    <row r="412" spans="1:37" ht="17.25" customHeight="1">
      <c r="A412" s="622" t="str">
        <f t="shared" si="125"/>
        <v/>
      </c>
      <c r="D412" s="440" t="str" cm="1">
        <f t="array" ref="D412">_xll.RssMarket(B412, "銘柄名称")</f>
        <v/>
      </c>
      <c r="E412" s="717"/>
      <c r="F412" s="6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 t="shared" ca="1" si="137"/>
        <v/>
      </c>
      <c r="L412" s="709" t="str">
        <f t="shared" ca="1" si="138"/>
        <v/>
      </c>
      <c r="M412" s="599">
        <f>IF($F412="","",IF($C412="売",CEILING($F412*IF($C412="売",1-$AG$3,1+$AG$3),IF($F412*IF($C412="売",1-$AG$3,1+$AG$3)&lt;=3000,1,IF($F412*IF($C412="売",1-$AG$3,1+$AG$3)&lt;=5000,5,IF($F412*IF($C412="売",1-$AG$3,1+$AG$3)&lt;=30000,10,IF($F412*IF($C412="売",1-$AG$3,1+$AG$3)&lt;=50000,50,IF($F412*IF($C412="売",1-$AG$3,1+$AG$3)&lt;=300000,100,500)))))),FLOOR($F412*IF($C412="売",1-$AG$3,1+$AG$3),IF($F412*IF($C412="売",1-$AG$3,1+$AG$3)&lt;=3000,1,IF($F412*IF($C412="売",1-$AG$3,1+$AG$3)&lt;=5000,5,IF($F412*IF($C412="売",1-$AG$3,1+$AG$3)&lt;=30000,10,IF($F412*IF($C412="売",1-$AG$3,1+$AG$3)&lt;=50000,50,IF($F412*IF($C412="売",1-$AG$3,1+$AG$3)&lt;=300000,100,500))))))))</f>
      </c>
      <c r="N412" s="599">
        <f>IF($F412="","",IF($C412="売",CEILING($F412*IF($C412="売",1+$AG$2,1-$AG$2),IF($F412*IF($C412="売",1+$AG$2,1-$AG$2)&lt;=3000,1,IF($F412*IF($C412="売",1+$AG$2,1-$AG$2)&lt;=5000,5,IF($F412*IF($C412="売",1+$AG$2,1-$AG$2)&lt;=30000,10,IF($F412*IF($C412="売",1+$AG$2,1-$AG$2)&lt;=50000,50,IF($F412*IF($C412="売",1+$AG$2,1-$AG$2)&lt;=300000,100,500)))))),FLOOR($F412*IF($C412="売",1+$AG$2,1-$AG$2),IF($F412*IF($C412="売",1+$AG$2,1-$AG$2)&lt;=3000,1,IF($F412*IF($C412="売",1+$AG$2,1-$AG$2)&lt;=5000,5,IF($F412*IF($C412="売",1+$AG$2,1-$AG$2)&lt;=30000,10,IF($F412*IF($C412="売",1+$AG$2,1-$AG$2)&lt;=50000,50,IF($F412*IF($C412="売",1+$AG$2,1-$AG$2)&lt;=300000,100,500))))))))</f>
      </c>
      <c r="O412" s="478">
        <f>IF(OR($B412="",$F412="",$H412=""),"",IF($S412="✅売却済","―決済済―",IF($C412="売",  IF($H412&lt;=$M412,"🟢利確",  IF(AND($R412&lt;&gt;"",$H412&gt;=$R412),"🟠TRAIL決済",  IF($H412&gt;=$N412,"🔴損切",  IF($W412&gt;=$AG$5,"⏱時間決済",  IF($H412&gt;=$F412*(1+$AG$2*0.7),"⚠️損切接近","保持継続"))))),  IF($H412&gt;=$M412,"🟢利確",  IF(AND($R412&lt;&gt;"",$H412&lt;=$R412),"🟠TRAIL決済",  IF($H412&lt;=$N412,"🔴損切",  IF($W412&gt;=$AG$5,"⏱時間決済",  IF($H412&lt;=$F412*(1-$AG$2*0.7),"⚠️損切接近","保持継続")))))))</f>
      </c>
      <c r="P412" s="445"/>
      <c r="R412" s="440">
        <f>IF(OR($F412="",$H412="",$N412=""),"",IF($S412="✅売却済","",IF($C412="売",  IF($H412&gt;$F412*(1-$AG$2),$N412,CEILING(MIN($N412,IF($Q412="",$N412,$Q412*1.03)),IF($N412&lt;=3000,1,IF($N412&lt;=5000,5,IF($N412&lt;=30000,10,IF($N412&lt;=50000,50,IF($N412&lt;=300000,100,500))))))),  IF($H412&lt;$F412*(1+$AG$2),$N412,FLOOR(MAX($N412,IF($P412="",$N412,$P412*0.97)),IF($N412&lt;=3000,1,IF($N412&lt;=5000,5,IF($N412&lt;=30000,10,IF($N412&lt;=50000,50,IF($N412&lt;=300000,100,500))))))))))</f>
      </c>
      <c r="S412" s="440" t="str">
        <f t="shared" si="140"/>
        <v/>
      </c>
      <c r="T412" s="597" t="str">
        <f t="shared" ca="1" si="129"/>
        <v/>
      </c>
      <c r="U412" s="599" t="str">
        <f t="shared" ca="1" si="130"/>
        <v/>
      </c>
      <c r="V412" s="704" t="str">
        <f t="shared" ca="1" si="141"/>
        <v/>
      </c>
      <c r="W412" s="440" t="str">
        <f t="shared" ca="1" si="131"/>
        <v/>
      </c>
      <c r="X412" s="440" t="str">
        <f t="shared" ca="1" si="132"/>
        <v/>
      </c>
      <c r="Y412">
        <f>IF($B412="","",IF(COUNTIFS($B$4:$B412,$B412,$C$4:$C412,$C412)&gt;1,"⛔重複"&amp;COUNTIFS($B$4:$B412,$B412,$C$4:$C412,$C412)&amp;"回目",""))</f>
      </c>
      <c r="AB412">
        <f>IF($F412="","",MAX(100,ROUNDDOWN($AG$4/($F412*$AG$2)/100,0)*100))</f>
      </c>
      <c r="AC412">
        <f>IF(OR($F412="",$G412="",$U412=""),"",ROUND($V412-($F412+$U412)*$G412*$AG$6-IF($C412="売",$F412*$G412*$AG$7*$W412/365,0),0))</f>
      </c>
      <c r="AD412" s="608"/>
      <c r="AE412" s="600" t="str">
        <f t="shared" si="133"/>
        <v/>
      </c>
      <c r="AF412" s="600"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00"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00" t="str">
        <f t="shared" ca="1" si="134"/>
        <v/>
      </c>
      <c r="AI412" s="600" t="str" cm="1">
        <f t="array" ref="AI412">IFERROR(INDEX(始値!$E$6:$BT$305,MATCH(TEXT($B412,"0"),TEXT(銘柄管理!$B$6:$B$305,"0"),0),MATCH($AE412,始値!$E$3:$BT$3,0)),"")</f>
        <v/>
      </c>
      <c r="AJ412" s="608" t="str">
        <f t="shared" ca="1" si="135"/>
        <v/>
      </c>
      <c r="AK412" s="600" t="str">
        <f t="shared" ca="1" si="136"/>
        <v/>
      </c>
    </row>
    <row r="413" spans="1:37" ht="17.25" customHeight="1">
      <c r="A413" s="622" t="str">
        <f t="shared" si="125"/>
        <v/>
      </c>
      <c r="D413" s="440" t="str" cm="1">
        <f t="array" ref="D413">_xll.RssMarket(B413, "銘柄名称")</f>
        <v/>
      </c>
      <c r="E413" s="717"/>
      <c r="F413" s="6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 t="shared" ca="1" si="137"/>
        <v/>
      </c>
      <c r="L413" s="709" t="str">
        <f t="shared" ca="1" si="138"/>
        <v/>
      </c>
      <c r="M413" s="599">
        <f>IF($F413="","",IF($C413="売",CEILING($F413*IF($C413="売",1-$AG$3,1+$AG$3),IF($F413*IF($C413="売",1-$AG$3,1+$AG$3)&lt;=3000,1,IF($F413*IF($C413="売",1-$AG$3,1+$AG$3)&lt;=5000,5,IF($F413*IF($C413="売",1-$AG$3,1+$AG$3)&lt;=30000,10,IF($F413*IF($C413="売",1-$AG$3,1+$AG$3)&lt;=50000,50,IF($F413*IF($C413="売",1-$AG$3,1+$AG$3)&lt;=300000,100,500)))))),FLOOR($F413*IF($C413="売",1-$AG$3,1+$AG$3),IF($F413*IF($C413="売",1-$AG$3,1+$AG$3)&lt;=3000,1,IF($F413*IF($C413="売",1-$AG$3,1+$AG$3)&lt;=5000,5,IF($F413*IF($C413="売",1-$AG$3,1+$AG$3)&lt;=30000,10,IF($F413*IF($C413="売",1-$AG$3,1+$AG$3)&lt;=50000,50,IF($F413*IF($C413="売",1-$AG$3,1+$AG$3)&lt;=300000,100,500))))))))</f>
      </c>
      <c r="N413" s="599">
        <f>IF($F413="","",IF($C413="売",CEILING($F413*IF($C413="売",1+$AG$2,1-$AG$2),IF($F413*IF($C413="売",1+$AG$2,1-$AG$2)&lt;=3000,1,IF($F413*IF($C413="売",1+$AG$2,1-$AG$2)&lt;=5000,5,IF($F413*IF($C413="売",1+$AG$2,1-$AG$2)&lt;=30000,10,IF($F413*IF($C413="売",1+$AG$2,1-$AG$2)&lt;=50000,50,IF($F413*IF($C413="売",1+$AG$2,1-$AG$2)&lt;=300000,100,500)))))),FLOOR($F413*IF($C413="売",1+$AG$2,1-$AG$2),IF($F413*IF($C413="売",1+$AG$2,1-$AG$2)&lt;=3000,1,IF($F413*IF($C413="売",1+$AG$2,1-$AG$2)&lt;=5000,5,IF($F413*IF($C413="売",1+$AG$2,1-$AG$2)&lt;=30000,10,IF($F413*IF($C413="売",1+$AG$2,1-$AG$2)&lt;=50000,50,IF($F413*IF($C413="売",1+$AG$2,1-$AG$2)&lt;=300000,100,500))))))))</f>
      </c>
      <c r="O413" s="478">
        <f>IF(OR($B413="",$F413="",$H413=""),"",IF($S413="✅売却済","―決済済―",IF($C413="売",  IF($H413&lt;=$M413,"🟢利確",  IF(AND($R413&lt;&gt;"",$H413&gt;=$R413),"🟠TRAIL決済",  IF($H413&gt;=$N413,"🔴損切",  IF($W413&gt;=$AG$5,"⏱時間決済",  IF($H413&gt;=$F413*(1+$AG$2*0.7),"⚠️損切接近","保持継続"))))),  IF($H413&gt;=$M413,"🟢利確",  IF(AND($R413&lt;&gt;"",$H413&lt;=$R413),"🟠TRAIL決済",  IF($H413&lt;=$N413,"🔴損切",  IF($W413&gt;=$AG$5,"⏱時間決済",  IF($H413&lt;=$F413*(1-$AG$2*0.7),"⚠️損切接近","保持継続")))))))</f>
      </c>
      <c r="P413" s="445"/>
      <c r="R413" s="440">
        <f>IF(OR($F413="",$H413="",$N413=""),"",IF($S413="✅売却済","",IF($C413="売",  IF($H413&gt;$F413*(1-$AG$2),$N413,CEILING(MIN($N413,IF($Q413="",$N413,$Q413*1.03)),IF($N413&lt;=3000,1,IF($N413&lt;=5000,5,IF($N413&lt;=30000,10,IF($N413&lt;=50000,50,IF($N413&lt;=300000,100,500))))))),  IF($H413&lt;$F413*(1+$AG$2),$N413,FLOOR(MAX($N413,IF($P413="",$N413,$P413*0.97)),IF($N413&lt;=3000,1,IF($N413&lt;=5000,5,IF($N413&lt;=30000,10,IF($N413&lt;=50000,50,IF($N413&lt;=300000,100,500))))))))))</f>
      </c>
      <c r="S413" s="440" t="str">
        <f t="shared" si="140"/>
        <v/>
      </c>
      <c r="T413" s="597" t="str">
        <f t="shared" ca="1" si="129"/>
        <v/>
      </c>
      <c r="U413" s="599" t="str">
        <f t="shared" ca="1" si="130"/>
        <v/>
      </c>
      <c r="V413" s="704" t="str">
        <f t="shared" ca="1" si="141"/>
        <v/>
      </c>
      <c r="W413" s="440" t="str">
        <f t="shared" ca="1" si="131"/>
        <v/>
      </c>
      <c r="X413" s="440" t="str">
        <f t="shared" ca="1" si="132"/>
        <v/>
      </c>
      <c r="Y413">
        <f>IF($B413="","",IF(COUNTIFS($B$4:$B413,$B413,$C$4:$C413,$C413)&gt;1,"⛔重複"&amp;COUNTIFS($B$4:$B413,$B413,$C$4:$C413,$C413)&amp;"回目",""))</f>
      </c>
      <c r="AB413">
        <f>IF($F413="","",MAX(100,ROUNDDOWN($AG$4/($F413*$AG$2)/100,0)*100))</f>
      </c>
      <c r="AC413">
        <f>IF(OR($F413="",$G413="",$U413=""),"",ROUND($V413-($F413+$U413)*$G413*$AG$6-IF($C413="売",$F413*$G413*$AG$7*$W413/365,0),0))</f>
      </c>
      <c r="AD413" s="608"/>
      <c r="AE413" s="600" t="str">
        <f t="shared" si="133"/>
        <v/>
      </c>
      <c r="AF413" s="600"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00"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00" t="str">
        <f t="shared" ca="1" si="134"/>
        <v/>
      </c>
      <c r="AI413" s="600" t="str" cm="1">
        <f t="array" ref="AI413">IFERROR(INDEX(始値!$E$6:$BT$305,MATCH(TEXT($B413,"0"),TEXT(銘柄管理!$B$6:$B$305,"0"),0),MATCH($AE413,始値!$E$3:$BT$3,0)),"")</f>
        <v/>
      </c>
      <c r="AJ413" s="608" t="str">
        <f t="shared" ca="1" si="135"/>
        <v/>
      </c>
      <c r="AK413" s="600" t="str">
        <f t="shared" ca="1" si="136"/>
        <v/>
      </c>
    </row>
    <row r="414" spans="1:37" ht="17.25" customHeight="1">
      <c r="A414" s="622" t="str">
        <f t="shared" si="125"/>
        <v/>
      </c>
      <c r="D414" s="440" t="str" cm="1">
        <f t="array" ref="D414">_xll.RssMarket(B414, "銘柄名称")</f>
        <v/>
      </c>
      <c r="E414" s="717"/>
      <c r="F414" s="6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 t="shared" ca="1" si="137"/>
        <v/>
      </c>
      <c r="L414" s="709" t="str">
        <f t="shared" ca="1" si="138"/>
        <v/>
      </c>
      <c r="M414" s="599">
        <f>IF($F414="","",IF($C414="売",CEILING($F414*IF($C414="売",1-$AG$3,1+$AG$3),IF($F414*IF($C414="売",1-$AG$3,1+$AG$3)&lt;=3000,1,IF($F414*IF($C414="売",1-$AG$3,1+$AG$3)&lt;=5000,5,IF($F414*IF($C414="売",1-$AG$3,1+$AG$3)&lt;=30000,10,IF($F414*IF($C414="売",1-$AG$3,1+$AG$3)&lt;=50000,50,IF($F414*IF($C414="売",1-$AG$3,1+$AG$3)&lt;=300000,100,500)))))),FLOOR($F414*IF($C414="売",1-$AG$3,1+$AG$3),IF($F414*IF($C414="売",1-$AG$3,1+$AG$3)&lt;=3000,1,IF($F414*IF($C414="売",1-$AG$3,1+$AG$3)&lt;=5000,5,IF($F414*IF($C414="売",1-$AG$3,1+$AG$3)&lt;=30000,10,IF($F414*IF($C414="売",1-$AG$3,1+$AG$3)&lt;=50000,50,IF($F414*IF($C414="売",1-$AG$3,1+$AG$3)&lt;=300000,100,500))))))))</f>
      </c>
      <c r="N414" s="599">
        <f>IF($F414="","",IF($C414="売",CEILING($F414*IF($C414="売",1+$AG$2,1-$AG$2),IF($F414*IF($C414="売",1+$AG$2,1-$AG$2)&lt;=3000,1,IF($F414*IF($C414="売",1+$AG$2,1-$AG$2)&lt;=5000,5,IF($F414*IF($C414="売",1+$AG$2,1-$AG$2)&lt;=30000,10,IF($F414*IF($C414="売",1+$AG$2,1-$AG$2)&lt;=50000,50,IF($F414*IF($C414="売",1+$AG$2,1-$AG$2)&lt;=300000,100,500)))))),FLOOR($F414*IF($C414="売",1+$AG$2,1-$AG$2),IF($F414*IF($C414="売",1+$AG$2,1-$AG$2)&lt;=3000,1,IF($F414*IF($C414="売",1+$AG$2,1-$AG$2)&lt;=5000,5,IF($F414*IF($C414="売",1+$AG$2,1-$AG$2)&lt;=30000,10,IF($F414*IF($C414="売",1+$AG$2,1-$AG$2)&lt;=50000,50,IF($F414*IF($C414="売",1+$AG$2,1-$AG$2)&lt;=300000,100,500))))))))</f>
      </c>
      <c r="O414" s="478">
        <f>IF(OR($B414="",$F414="",$H414=""),"",IF($S414="✅売却済","―決済済―",IF($C414="売",  IF($H414&lt;=$M414,"🟢利確",  IF(AND($R414&lt;&gt;"",$H414&gt;=$R414),"🟠TRAIL決済",  IF($H414&gt;=$N414,"🔴損切",  IF($W414&gt;=$AG$5,"⏱時間決済",  IF($H414&gt;=$F414*(1+$AG$2*0.7),"⚠️損切接近","保持継続"))))),  IF($H414&gt;=$M414,"🟢利確",  IF(AND($R414&lt;&gt;"",$H414&lt;=$R414),"🟠TRAIL決済",  IF($H414&lt;=$N414,"🔴損切",  IF($W414&gt;=$AG$5,"⏱時間決済",  IF($H414&lt;=$F414*(1-$AG$2*0.7),"⚠️損切接近","保持継続")))))))</f>
      </c>
      <c r="P414" s="445"/>
      <c r="R414" s="440">
        <f>IF(OR($F414="",$H414="",$N414=""),"",IF($S414="✅売却済","",IF($C414="売",  IF($H414&gt;$F414*(1-$AG$2),$N414,CEILING(MIN($N414,IF($Q414="",$N414,$Q414*1.03)),IF($N414&lt;=3000,1,IF($N414&lt;=5000,5,IF($N414&lt;=30000,10,IF($N414&lt;=50000,50,IF($N414&lt;=300000,100,500))))))),  IF($H414&lt;$F414*(1+$AG$2),$N414,FLOOR(MAX($N414,IF($P414="",$N414,$P414*0.97)),IF($N414&lt;=3000,1,IF($N414&lt;=5000,5,IF($N414&lt;=30000,10,IF($N414&lt;=50000,50,IF($N414&lt;=300000,100,500))))))))))</f>
      </c>
      <c r="S414" s="440" t="str">
        <f t="shared" si="140"/>
        <v/>
      </c>
      <c r="T414" s="597" t="str">
        <f t="shared" ca="1" si="129"/>
        <v/>
      </c>
      <c r="U414" s="599" t="str">
        <f t="shared" ca="1" si="130"/>
        <v/>
      </c>
      <c r="V414" s="704" t="str">
        <f t="shared" ca="1" si="141"/>
        <v/>
      </c>
      <c r="W414" s="440" t="str">
        <f t="shared" ca="1" si="131"/>
        <v/>
      </c>
      <c r="X414" s="440" t="str">
        <f t="shared" ca="1" si="132"/>
        <v/>
      </c>
      <c r="Y414">
        <f>IF($B414="","",IF(COUNTIFS($B$4:$B414,$B414,$C$4:$C414,$C414)&gt;1,"⛔重複"&amp;COUNTIFS($B$4:$B414,$B414,$C$4:$C414,$C414)&amp;"回目",""))</f>
      </c>
      <c r="AB414">
        <f>IF($F414="","",MAX(100,ROUNDDOWN($AG$4/($F414*$AG$2)/100,0)*100))</f>
      </c>
      <c r="AC414">
        <f>IF(OR($F414="",$G414="",$U414=""),"",ROUND($V414-($F414+$U414)*$G414*$AG$6-IF($C414="売",$F414*$G414*$AG$7*$W414/365,0),0))</f>
      </c>
      <c r="AD414" s="608"/>
      <c r="AE414" s="600" t="str">
        <f t="shared" si="133"/>
        <v/>
      </c>
      <c r="AF414" s="600"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00"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00" t="str">
        <f t="shared" ca="1" si="134"/>
        <v/>
      </c>
      <c r="AI414" s="600" t="str" cm="1">
        <f t="array" ref="AI414">IFERROR(INDEX(始値!$E$6:$BT$305,MATCH(TEXT($B414,"0"),TEXT(銘柄管理!$B$6:$B$305,"0"),0),MATCH($AE414,始値!$E$3:$BT$3,0)),"")</f>
        <v/>
      </c>
      <c r="AJ414" s="608" t="str">
        <f t="shared" ca="1" si="135"/>
        <v/>
      </c>
      <c r="AK414" s="600" t="str">
        <f t="shared" ca="1" si="136"/>
        <v/>
      </c>
    </row>
    <row r="415" spans="1:37" ht="17.25" customHeight="1">
      <c r="A415" s="622" t="str">
        <f t="shared" si="125"/>
        <v/>
      </c>
      <c r="D415" s="440" t="str" cm="1">
        <f t="array" ref="D415">_xll.RssMarket(B415, "銘柄名称")</f>
        <v/>
      </c>
      <c r="E415" s="717"/>
      <c r="F415" s="6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 t="shared" ca="1" si="137"/>
        <v/>
      </c>
      <c r="L415" s="709" t="str">
        <f t="shared" ca="1" si="138"/>
        <v/>
      </c>
      <c r="M415" s="599">
        <f>IF($F415="","",IF($C415="売",CEILING($F415*IF($C415="売",1-$AG$3,1+$AG$3),IF($F415*IF($C415="売",1-$AG$3,1+$AG$3)&lt;=3000,1,IF($F415*IF($C415="売",1-$AG$3,1+$AG$3)&lt;=5000,5,IF($F415*IF($C415="売",1-$AG$3,1+$AG$3)&lt;=30000,10,IF($F415*IF($C415="売",1-$AG$3,1+$AG$3)&lt;=50000,50,IF($F415*IF($C415="売",1-$AG$3,1+$AG$3)&lt;=300000,100,500)))))),FLOOR($F415*IF($C415="売",1-$AG$3,1+$AG$3),IF($F415*IF($C415="売",1-$AG$3,1+$AG$3)&lt;=3000,1,IF($F415*IF($C415="売",1-$AG$3,1+$AG$3)&lt;=5000,5,IF($F415*IF($C415="売",1-$AG$3,1+$AG$3)&lt;=30000,10,IF($F415*IF($C415="売",1-$AG$3,1+$AG$3)&lt;=50000,50,IF($F415*IF($C415="売",1-$AG$3,1+$AG$3)&lt;=300000,100,500))))))))</f>
      </c>
      <c r="N415" s="599">
        <f>IF($F415="","",IF($C415="売",CEILING($F415*IF($C415="売",1+$AG$2,1-$AG$2),IF($F415*IF($C415="売",1+$AG$2,1-$AG$2)&lt;=3000,1,IF($F415*IF($C415="売",1+$AG$2,1-$AG$2)&lt;=5000,5,IF($F415*IF($C415="売",1+$AG$2,1-$AG$2)&lt;=30000,10,IF($F415*IF($C415="売",1+$AG$2,1-$AG$2)&lt;=50000,50,IF($F415*IF($C415="売",1+$AG$2,1-$AG$2)&lt;=300000,100,500)))))),FLOOR($F415*IF($C415="売",1+$AG$2,1-$AG$2),IF($F415*IF($C415="売",1+$AG$2,1-$AG$2)&lt;=3000,1,IF($F415*IF($C415="売",1+$AG$2,1-$AG$2)&lt;=5000,5,IF($F415*IF($C415="売",1+$AG$2,1-$AG$2)&lt;=30000,10,IF($F415*IF($C415="売",1+$AG$2,1-$AG$2)&lt;=50000,50,IF($F415*IF($C415="売",1+$AG$2,1-$AG$2)&lt;=300000,100,500))))))))</f>
      </c>
      <c r="O415" s="478">
        <f>IF(OR($B415="",$F415="",$H415=""),"",IF($S415="✅売却済","―決済済―",IF($C415="売",  IF($H415&lt;=$M415,"🟢利確",  IF(AND($R415&lt;&gt;"",$H415&gt;=$R415),"🟠TRAIL決済",  IF($H415&gt;=$N415,"🔴損切",  IF($W415&gt;=$AG$5,"⏱時間決済",  IF($H415&gt;=$F415*(1+$AG$2*0.7),"⚠️損切接近","保持継続"))))),  IF($H415&gt;=$M415,"🟢利確",  IF(AND($R415&lt;&gt;"",$H415&lt;=$R415),"🟠TRAIL決済",  IF($H415&lt;=$N415,"🔴損切",  IF($W415&gt;=$AG$5,"⏱時間決済",  IF($H415&lt;=$F415*(1-$AG$2*0.7),"⚠️損切接近","保持継続")))))))</f>
      </c>
      <c r="P415" s="445"/>
      <c r="R415" s="440">
        <f>IF(OR($F415="",$H415="",$N415=""),"",IF($S415="✅売却済","",IF($C415="売",  IF($H415&gt;$F415*(1-$AG$2),$N415,CEILING(MIN($N415,IF($Q415="",$N415,$Q415*1.03)),IF($N415&lt;=3000,1,IF($N415&lt;=5000,5,IF($N415&lt;=30000,10,IF($N415&lt;=50000,50,IF($N415&lt;=300000,100,500))))))),  IF($H415&lt;$F415*(1+$AG$2),$N415,FLOOR(MAX($N415,IF($P415="",$N415,$P415*0.97)),IF($N415&lt;=3000,1,IF($N415&lt;=5000,5,IF($N415&lt;=30000,10,IF($N415&lt;=50000,50,IF($N415&lt;=300000,100,500))))))))))</f>
      </c>
      <c r="S415" s="440" t="str">
        <f t="shared" si="140"/>
        <v/>
      </c>
      <c r="T415" s="597" t="str">
        <f t="shared" ca="1" si="129"/>
        <v/>
      </c>
      <c r="U415" s="599" t="str">
        <f t="shared" ca="1" si="130"/>
        <v/>
      </c>
      <c r="V415" s="704" t="str">
        <f t="shared" ca="1" si="141"/>
        <v/>
      </c>
      <c r="W415" s="440" t="str">
        <f t="shared" ca="1" si="131"/>
        <v/>
      </c>
      <c r="X415" s="440" t="str">
        <f t="shared" ca="1" si="132"/>
        <v/>
      </c>
      <c r="Y415">
        <f>IF($B415="","",IF(COUNTIFS($B$4:$B415,$B415,$C$4:$C415,$C415)&gt;1,"⛔重複"&amp;COUNTIFS($B$4:$B415,$B415,$C$4:$C415,$C415)&amp;"回目",""))</f>
      </c>
      <c r="AB415">
        <f>IF($F415="","",MAX(100,ROUNDDOWN($AG$4/($F415*$AG$2)/100,0)*100))</f>
      </c>
      <c r="AC415">
        <f>IF(OR($F415="",$G415="",$U415=""),"",ROUND($V415-($F415+$U415)*$G415*$AG$6-IF($C415="売",$F415*$G415*$AG$7*$W415/365,0),0))</f>
      </c>
      <c r="AD415" s="608"/>
      <c r="AE415" s="600" t="str">
        <f t="shared" si="133"/>
        <v/>
      </c>
      <c r="AF415" s="600"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00"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00" t="str">
        <f t="shared" ca="1" si="134"/>
        <v/>
      </c>
      <c r="AI415" s="600" t="str" cm="1">
        <f t="array" ref="AI415">IFERROR(INDEX(始値!$E$6:$BT$305,MATCH(TEXT($B415,"0"),TEXT(銘柄管理!$B$6:$B$305,"0"),0),MATCH($AE415,始値!$E$3:$BT$3,0)),"")</f>
        <v/>
      </c>
      <c r="AJ415" s="608" t="str">
        <f t="shared" ca="1" si="135"/>
        <v/>
      </c>
      <c r="AK415" s="600" t="str">
        <f t="shared" ca="1" si="136"/>
        <v/>
      </c>
    </row>
    <row r="416" spans="1:37" ht="17.25" customHeight="1">
      <c r="A416" s="622" t="str">
        <f t="shared" si="125"/>
        <v/>
      </c>
      <c r="D416" s="440" t="str" cm="1">
        <f t="array" ref="D416">_xll.RssMarket(B416, "銘柄名称")</f>
        <v/>
      </c>
      <c r="E416" s="717"/>
      <c r="F416" s="6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 t="shared" ca="1" si="137"/>
        <v/>
      </c>
      <c r="L416" s="709" t="str">
        <f t="shared" ca="1" si="138"/>
        <v/>
      </c>
      <c r="M416" s="599">
        <f>IF($F416="","",IF($C416="売",CEILING($F416*IF($C416="売",1-$AG$3,1+$AG$3),IF($F416*IF($C416="売",1-$AG$3,1+$AG$3)&lt;=3000,1,IF($F416*IF($C416="売",1-$AG$3,1+$AG$3)&lt;=5000,5,IF($F416*IF($C416="売",1-$AG$3,1+$AG$3)&lt;=30000,10,IF($F416*IF($C416="売",1-$AG$3,1+$AG$3)&lt;=50000,50,IF($F416*IF($C416="売",1-$AG$3,1+$AG$3)&lt;=300000,100,500)))))),FLOOR($F416*IF($C416="売",1-$AG$3,1+$AG$3),IF($F416*IF($C416="売",1-$AG$3,1+$AG$3)&lt;=3000,1,IF($F416*IF($C416="売",1-$AG$3,1+$AG$3)&lt;=5000,5,IF($F416*IF($C416="売",1-$AG$3,1+$AG$3)&lt;=30000,10,IF($F416*IF($C416="売",1-$AG$3,1+$AG$3)&lt;=50000,50,IF($F416*IF($C416="売",1-$AG$3,1+$AG$3)&lt;=300000,100,500))))))))</f>
      </c>
      <c r="N416" s="599">
        <f>IF($F416="","",IF($C416="売",CEILING($F416*IF($C416="売",1+$AG$2,1-$AG$2),IF($F416*IF($C416="売",1+$AG$2,1-$AG$2)&lt;=3000,1,IF($F416*IF($C416="売",1+$AG$2,1-$AG$2)&lt;=5000,5,IF($F416*IF($C416="売",1+$AG$2,1-$AG$2)&lt;=30000,10,IF($F416*IF($C416="売",1+$AG$2,1-$AG$2)&lt;=50000,50,IF($F416*IF($C416="売",1+$AG$2,1-$AG$2)&lt;=300000,100,500)))))),FLOOR($F416*IF($C416="売",1+$AG$2,1-$AG$2),IF($F416*IF($C416="売",1+$AG$2,1-$AG$2)&lt;=3000,1,IF($F416*IF($C416="売",1+$AG$2,1-$AG$2)&lt;=5000,5,IF($F416*IF($C416="売",1+$AG$2,1-$AG$2)&lt;=30000,10,IF($F416*IF($C416="売",1+$AG$2,1-$AG$2)&lt;=50000,50,IF($F416*IF($C416="売",1+$AG$2,1-$AG$2)&lt;=300000,100,500))))))))</f>
      </c>
      <c r="O416" s="478">
        <f>IF(OR($B416="",$F416="",$H416=""),"",IF($S416="✅売却済","―決済済―",IF($C416="売",  IF($H416&lt;=$M416,"🟢利確",  IF(AND($R416&lt;&gt;"",$H416&gt;=$R416),"🟠TRAIL決済",  IF($H416&gt;=$N416,"🔴損切",  IF($W416&gt;=$AG$5,"⏱時間決済",  IF($H416&gt;=$F416*(1+$AG$2*0.7),"⚠️損切接近","保持継続"))))),  IF($H416&gt;=$M416,"🟢利確",  IF(AND($R416&lt;&gt;"",$H416&lt;=$R416),"🟠TRAIL決済",  IF($H416&lt;=$N416,"🔴損切",  IF($W416&gt;=$AG$5,"⏱時間決済",  IF($H416&lt;=$F416*(1-$AG$2*0.7),"⚠️損切接近","保持継続")))))))</f>
      </c>
      <c r="P416" s="445"/>
      <c r="R416" s="440">
        <f>IF(OR($F416="",$H416="",$N416=""),"",IF($S416="✅売却済","",IF($C416="売",  IF($H416&gt;$F416*(1-$AG$2),$N416,CEILING(MIN($N416,IF($Q416="",$N416,$Q416*1.03)),IF($N416&lt;=3000,1,IF($N416&lt;=5000,5,IF($N416&lt;=30000,10,IF($N416&lt;=50000,50,IF($N416&lt;=300000,100,500))))))),  IF($H416&lt;$F416*(1+$AG$2),$N416,FLOOR(MAX($N416,IF($P416="",$N416,$P416*0.97)),IF($N416&lt;=3000,1,IF($N416&lt;=5000,5,IF($N416&lt;=30000,10,IF($N416&lt;=50000,50,IF($N416&lt;=300000,100,500))))))))))</f>
      </c>
      <c r="S416" s="440" t="str">
        <f t="shared" si="140"/>
        <v/>
      </c>
      <c r="T416" s="597" t="str">
        <f t="shared" ca="1" si="129"/>
        <v/>
      </c>
      <c r="U416" s="599" t="str">
        <f t="shared" ca="1" si="130"/>
        <v/>
      </c>
      <c r="V416" s="704" t="str">
        <f t="shared" ca="1" si="141"/>
        <v/>
      </c>
      <c r="W416" s="440" t="str">
        <f t="shared" ca="1" si="131"/>
        <v/>
      </c>
      <c r="X416" s="440" t="str">
        <f t="shared" ca="1" si="132"/>
        <v/>
      </c>
      <c r="Y416">
        <f>IF($B416="","",IF(COUNTIFS($B$4:$B416,$B416,$C$4:$C416,$C416)&gt;1,"⛔重複"&amp;COUNTIFS($B$4:$B416,$B416,$C$4:$C416,$C416)&amp;"回目",""))</f>
      </c>
      <c r="AB416">
        <f>IF($F416="","",MAX(100,ROUNDDOWN($AG$4/($F416*$AG$2)/100,0)*100))</f>
      </c>
      <c r="AC416">
        <f>IF(OR($F416="",$G416="",$U416=""),"",ROUND($V416-($F416+$U416)*$G416*$AG$6-IF($C416="売",$F416*$G416*$AG$7*$W416/365,0),0))</f>
      </c>
      <c r="AD416" s="608"/>
      <c r="AE416" s="600" t="str">
        <f t="shared" si="133"/>
        <v/>
      </c>
      <c r="AF416" s="600"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00"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00" t="str">
        <f t="shared" ca="1" si="134"/>
        <v/>
      </c>
      <c r="AI416" s="600" t="str" cm="1">
        <f t="array" ref="AI416">IFERROR(INDEX(始値!$E$6:$BT$305,MATCH(TEXT($B416,"0"),TEXT(銘柄管理!$B$6:$B$305,"0"),0),MATCH($AE416,始値!$E$3:$BT$3,0)),"")</f>
        <v/>
      </c>
      <c r="AJ416" s="608" t="str">
        <f t="shared" ca="1" si="135"/>
        <v/>
      </c>
      <c r="AK416" s="600" t="str">
        <f t="shared" ca="1" si="136"/>
        <v/>
      </c>
    </row>
    <row r="417" spans="1:37" ht="17.25" customHeight="1">
      <c r="A417" s="622" t="str">
        <f t="shared" si="125"/>
        <v/>
      </c>
      <c r="D417" s="440" t="str" cm="1">
        <f t="array" ref="D417">_xll.RssMarket(B417, "銘柄名称")</f>
        <v/>
      </c>
      <c r="E417" s="717"/>
      <c r="F417" s="6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 t="shared" ca="1" si="137"/>
        <v/>
      </c>
      <c r="L417" s="709" t="str">
        <f t="shared" ca="1" si="138"/>
        <v/>
      </c>
      <c r="M417" s="599">
        <f>IF($F417="","",IF($C417="売",CEILING($F417*IF($C417="売",1-$AG$3,1+$AG$3),IF($F417*IF($C417="売",1-$AG$3,1+$AG$3)&lt;=3000,1,IF($F417*IF($C417="売",1-$AG$3,1+$AG$3)&lt;=5000,5,IF($F417*IF($C417="売",1-$AG$3,1+$AG$3)&lt;=30000,10,IF($F417*IF($C417="売",1-$AG$3,1+$AG$3)&lt;=50000,50,IF($F417*IF($C417="売",1-$AG$3,1+$AG$3)&lt;=300000,100,500)))))),FLOOR($F417*IF($C417="売",1-$AG$3,1+$AG$3),IF($F417*IF($C417="売",1-$AG$3,1+$AG$3)&lt;=3000,1,IF($F417*IF($C417="売",1-$AG$3,1+$AG$3)&lt;=5000,5,IF($F417*IF($C417="売",1-$AG$3,1+$AG$3)&lt;=30000,10,IF($F417*IF($C417="売",1-$AG$3,1+$AG$3)&lt;=50000,50,IF($F417*IF($C417="売",1-$AG$3,1+$AG$3)&lt;=300000,100,500))))))))</f>
      </c>
      <c r="N417" s="599">
        <f>IF($F417="","",IF($C417="売",CEILING($F417*IF($C417="売",1+$AG$2,1-$AG$2),IF($F417*IF($C417="売",1+$AG$2,1-$AG$2)&lt;=3000,1,IF($F417*IF($C417="売",1+$AG$2,1-$AG$2)&lt;=5000,5,IF($F417*IF($C417="売",1+$AG$2,1-$AG$2)&lt;=30000,10,IF($F417*IF($C417="売",1+$AG$2,1-$AG$2)&lt;=50000,50,IF($F417*IF($C417="売",1+$AG$2,1-$AG$2)&lt;=300000,100,500)))))),FLOOR($F417*IF($C417="売",1+$AG$2,1-$AG$2),IF($F417*IF($C417="売",1+$AG$2,1-$AG$2)&lt;=3000,1,IF($F417*IF($C417="売",1+$AG$2,1-$AG$2)&lt;=5000,5,IF($F417*IF($C417="売",1+$AG$2,1-$AG$2)&lt;=30000,10,IF($F417*IF($C417="売",1+$AG$2,1-$AG$2)&lt;=50000,50,IF($F417*IF($C417="売",1+$AG$2,1-$AG$2)&lt;=300000,100,500))))))))</f>
      </c>
      <c r="O417" s="478">
        <f>IF(OR($B417="",$F417="",$H417=""),"",IF($S417="✅売却済","―決済済―",IF($C417="売",  IF($H417&lt;=$M417,"🟢利確",  IF(AND($R417&lt;&gt;"",$H417&gt;=$R417),"🟠TRAIL決済",  IF($H417&gt;=$N417,"🔴損切",  IF($W417&gt;=$AG$5,"⏱時間決済",  IF($H417&gt;=$F417*(1+$AG$2*0.7),"⚠️損切接近","保持継続"))))),  IF($H417&gt;=$M417,"🟢利確",  IF(AND($R417&lt;&gt;"",$H417&lt;=$R417),"🟠TRAIL決済",  IF($H417&lt;=$N417,"🔴損切",  IF($W417&gt;=$AG$5,"⏱時間決済",  IF($H417&lt;=$F417*(1-$AG$2*0.7),"⚠️損切接近","保持継続")))))))</f>
      </c>
      <c r="P417" s="445"/>
      <c r="R417" s="440">
        <f>IF(OR($F417="",$H417="",$N417=""),"",IF($S417="✅売却済","",IF($C417="売",  IF($H417&gt;$F417*(1-$AG$2),$N417,CEILING(MIN($N417,IF($Q417="",$N417,$Q417*1.03)),IF($N417&lt;=3000,1,IF($N417&lt;=5000,5,IF($N417&lt;=30000,10,IF($N417&lt;=50000,50,IF($N417&lt;=300000,100,500))))))),  IF($H417&lt;$F417*(1+$AG$2),$N417,FLOOR(MAX($N417,IF($P417="",$N417,$P417*0.97)),IF($N417&lt;=3000,1,IF($N417&lt;=5000,5,IF($N417&lt;=30000,10,IF($N417&lt;=50000,50,IF($N417&lt;=300000,100,500))))))))))</f>
      </c>
      <c r="S417" s="440" t="str">
        <f t="shared" si="140"/>
        <v/>
      </c>
      <c r="T417" s="597" t="str">
        <f t="shared" ca="1" si="129"/>
        <v/>
      </c>
      <c r="U417" s="599" t="str">
        <f t="shared" ca="1" si="130"/>
        <v/>
      </c>
      <c r="V417" s="704" t="str">
        <f t="shared" ca="1" si="141"/>
        <v/>
      </c>
      <c r="W417" s="440" t="str">
        <f t="shared" ca="1" si="131"/>
        <v/>
      </c>
      <c r="X417" s="440" t="str">
        <f t="shared" ca="1" si="132"/>
        <v/>
      </c>
      <c r="Y417">
        <f>IF($B417="","",IF(COUNTIFS($B$4:$B417,$B417,$C$4:$C417,$C417)&gt;1,"⛔重複"&amp;COUNTIFS($B$4:$B417,$B417,$C$4:$C417,$C417)&amp;"回目",""))</f>
      </c>
      <c r="AB417">
        <f>IF($F417="","",MAX(100,ROUNDDOWN($AG$4/($F417*$AG$2)/100,0)*100))</f>
      </c>
      <c r="AC417">
        <f>IF(OR($F417="",$G417="",$U417=""),"",ROUND($V417-($F417+$U417)*$G417*$AG$6-IF($C417="売",$F417*$G417*$AG$7*$W417/365,0),0))</f>
      </c>
      <c r="AD417" s="608"/>
      <c r="AE417" s="600" t="str">
        <f t="shared" si="133"/>
        <v/>
      </c>
      <c r="AF417" s="600"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00"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00" t="str">
        <f t="shared" ca="1" si="134"/>
        <v/>
      </c>
      <c r="AI417" s="600" t="str" cm="1">
        <f t="array" ref="AI417">IFERROR(INDEX(始値!$E$6:$BT$305,MATCH(TEXT($B417,"0"),TEXT(銘柄管理!$B$6:$B$305,"0"),0),MATCH($AE417,始値!$E$3:$BT$3,0)),"")</f>
        <v/>
      </c>
      <c r="AJ417" s="608" t="str">
        <f t="shared" ca="1" si="135"/>
        <v/>
      </c>
      <c r="AK417" s="600" t="str">
        <f t="shared" ca="1" si="136"/>
        <v/>
      </c>
    </row>
    <row r="418" spans="1:37" ht="17.25" customHeight="1">
      <c r="A418" s="622" t="str">
        <f t="shared" si="125"/>
        <v/>
      </c>
      <c r="D418" s="440" t="str" cm="1">
        <f t="array" ref="D418">_xll.RssMarket(B418, "銘柄名称")</f>
        <v/>
      </c>
      <c r="E418" s="717"/>
      <c r="F418" s="6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 t="shared" ca="1" si="137"/>
        <v/>
      </c>
      <c r="L418" s="709" t="str">
        <f t="shared" ca="1" si="138"/>
        <v/>
      </c>
      <c r="M418" s="599">
        <f>IF($F418="","",IF($C418="売",CEILING($F418*IF($C418="売",1-$AG$3,1+$AG$3),IF($F418*IF($C418="売",1-$AG$3,1+$AG$3)&lt;=3000,1,IF($F418*IF($C418="売",1-$AG$3,1+$AG$3)&lt;=5000,5,IF($F418*IF($C418="売",1-$AG$3,1+$AG$3)&lt;=30000,10,IF($F418*IF($C418="売",1-$AG$3,1+$AG$3)&lt;=50000,50,IF($F418*IF($C418="売",1-$AG$3,1+$AG$3)&lt;=300000,100,500)))))),FLOOR($F418*IF($C418="売",1-$AG$3,1+$AG$3),IF($F418*IF($C418="売",1-$AG$3,1+$AG$3)&lt;=3000,1,IF($F418*IF($C418="売",1-$AG$3,1+$AG$3)&lt;=5000,5,IF($F418*IF($C418="売",1-$AG$3,1+$AG$3)&lt;=30000,10,IF($F418*IF($C418="売",1-$AG$3,1+$AG$3)&lt;=50000,50,IF($F418*IF($C418="売",1-$AG$3,1+$AG$3)&lt;=300000,100,500))))))))</f>
      </c>
      <c r="N418" s="599">
        <f>IF($F418="","",IF($C418="売",CEILING($F418*IF($C418="売",1+$AG$2,1-$AG$2),IF($F418*IF($C418="売",1+$AG$2,1-$AG$2)&lt;=3000,1,IF($F418*IF($C418="売",1+$AG$2,1-$AG$2)&lt;=5000,5,IF($F418*IF($C418="売",1+$AG$2,1-$AG$2)&lt;=30000,10,IF($F418*IF($C418="売",1+$AG$2,1-$AG$2)&lt;=50000,50,IF($F418*IF($C418="売",1+$AG$2,1-$AG$2)&lt;=300000,100,500)))))),FLOOR($F418*IF($C418="売",1+$AG$2,1-$AG$2),IF($F418*IF($C418="売",1+$AG$2,1-$AG$2)&lt;=3000,1,IF($F418*IF($C418="売",1+$AG$2,1-$AG$2)&lt;=5000,5,IF($F418*IF($C418="売",1+$AG$2,1-$AG$2)&lt;=30000,10,IF($F418*IF($C418="売",1+$AG$2,1-$AG$2)&lt;=50000,50,IF($F418*IF($C418="売",1+$AG$2,1-$AG$2)&lt;=300000,100,500))))))))</f>
      </c>
      <c r="O418" s="478">
        <f>IF(OR($B418="",$F418="",$H418=""),"",IF($S418="✅売却済","―決済済―",IF($C418="売",  IF($H418&lt;=$M418,"🟢利確",  IF(AND($R418&lt;&gt;"",$H418&gt;=$R418),"🟠TRAIL決済",  IF($H418&gt;=$N418,"🔴損切",  IF($W418&gt;=$AG$5,"⏱時間決済",  IF($H418&gt;=$F418*(1+$AG$2*0.7),"⚠️損切接近","保持継続"))))),  IF($H418&gt;=$M418,"🟢利確",  IF(AND($R418&lt;&gt;"",$H418&lt;=$R418),"🟠TRAIL決済",  IF($H418&lt;=$N418,"🔴損切",  IF($W418&gt;=$AG$5,"⏱時間決済",  IF($H418&lt;=$F418*(1-$AG$2*0.7),"⚠️損切接近","保持継続")))))))</f>
      </c>
      <c r="P418" s="445"/>
      <c r="R418" s="440">
        <f>IF(OR($F418="",$H418="",$N418=""),"",IF($S418="✅売却済","",IF($C418="売",  IF($H418&gt;$F418*(1-$AG$2),$N418,CEILING(MIN($N418,IF($Q418="",$N418,$Q418*1.03)),IF($N418&lt;=3000,1,IF($N418&lt;=5000,5,IF($N418&lt;=30000,10,IF($N418&lt;=50000,50,IF($N418&lt;=300000,100,500))))))),  IF($H418&lt;$F418*(1+$AG$2),$N418,FLOOR(MAX($N418,IF($P418="",$N418,$P418*0.97)),IF($N418&lt;=3000,1,IF($N418&lt;=5000,5,IF($N418&lt;=30000,10,IF($N418&lt;=50000,50,IF($N418&lt;=300000,100,500))))))))))</f>
      </c>
      <c r="S418" s="440" t="str">
        <f t="shared" si="140"/>
        <v/>
      </c>
      <c r="T418" s="597" t="str">
        <f t="shared" ca="1" si="129"/>
        <v/>
      </c>
      <c r="U418" s="599" t="str">
        <f t="shared" ca="1" si="130"/>
        <v/>
      </c>
      <c r="V418" s="704" t="str">
        <f t="shared" ca="1" si="141"/>
        <v/>
      </c>
      <c r="W418" s="440" t="str">
        <f t="shared" ca="1" si="131"/>
        <v/>
      </c>
      <c r="X418" s="440" t="str">
        <f t="shared" ca="1" si="132"/>
        <v/>
      </c>
      <c r="Y418">
        <f>IF($B418="","",IF(COUNTIFS($B$4:$B418,$B418,$C$4:$C418,$C418)&gt;1,"⛔重複"&amp;COUNTIFS($B$4:$B418,$B418,$C$4:$C418,$C418)&amp;"回目",""))</f>
      </c>
      <c r="AB418">
        <f>IF($F418="","",MAX(100,ROUNDDOWN($AG$4/($F418*$AG$2)/100,0)*100))</f>
      </c>
      <c r="AC418">
        <f>IF(OR($F418="",$G418="",$U418=""),"",ROUND($V418-($F418+$U418)*$G418*$AG$6-IF($C418="売",$F418*$G418*$AG$7*$W418/365,0),0))</f>
      </c>
      <c r="AD418" s="608"/>
      <c r="AE418" s="600" t="str">
        <f t="shared" si="133"/>
        <v/>
      </c>
      <c r="AF418" s="600"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00"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00" t="str">
        <f t="shared" ca="1" si="134"/>
        <v/>
      </c>
      <c r="AI418" s="600" t="str" cm="1">
        <f t="array" ref="AI418">IFERROR(INDEX(始値!$E$6:$BT$305,MATCH(TEXT($B418,"0"),TEXT(銘柄管理!$B$6:$B$305,"0"),0),MATCH($AE418,始値!$E$3:$BT$3,0)),"")</f>
        <v/>
      </c>
      <c r="AJ418" s="608" t="str">
        <f t="shared" ca="1" si="135"/>
        <v/>
      </c>
      <c r="AK418" s="600" t="str">
        <f t="shared" ca="1" si="136"/>
        <v/>
      </c>
    </row>
    <row r="419" spans="1:37" ht="17.25" customHeight="1">
      <c r="A419" s="622" t="str">
        <f t="shared" si="125"/>
        <v/>
      </c>
      <c r="D419" s="440" t="str" cm="1">
        <f t="array" ref="D419">_xll.RssMarket(B419, "銘柄名称")</f>
        <v/>
      </c>
      <c r="E419" s="717"/>
      <c r="F419" s="6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 t="shared" ca="1" si="137"/>
        <v/>
      </c>
      <c r="L419" s="709" t="str">
        <f t="shared" ca="1" si="138"/>
        <v/>
      </c>
      <c r="M419" s="599">
        <f>IF($F419="","",IF($C419="売",CEILING($F419*IF($C419="売",1-$AG$3,1+$AG$3),IF($F419*IF($C419="売",1-$AG$3,1+$AG$3)&lt;=3000,1,IF($F419*IF($C419="売",1-$AG$3,1+$AG$3)&lt;=5000,5,IF($F419*IF($C419="売",1-$AG$3,1+$AG$3)&lt;=30000,10,IF($F419*IF($C419="売",1-$AG$3,1+$AG$3)&lt;=50000,50,IF($F419*IF($C419="売",1-$AG$3,1+$AG$3)&lt;=300000,100,500)))))),FLOOR($F419*IF($C419="売",1-$AG$3,1+$AG$3),IF($F419*IF($C419="売",1-$AG$3,1+$AG$3)&lt;=3000,1,IF($F419*IF($C419="売",1-$AG$3,1+$AG$3)&lt;=5000,5,IF($F419*IF($C419="売",1-$AG$3,1+$AG$3)&lt;=30000,10,IF($F419*IF($C419="売",1-$AG$3,1+$AG$3)&lt;=50000,50,IF($F419*IF($C419="売",1-$AG$3,1+$AG$3)&lt;=300000,100,500))))))))</f>
      </c>
      <c r="N419" s="599">
        <f>IF($F419="","",IF($C419="売",CEILING($F419*IF($C419="売",1+$AG$2,1-$AG$2),IF($F419*IF($C419="売",1+$AG$2,1-$AG$2)&lt;=3000,1,IF($F419*IF($C419="売",1+$AG$2,1-$AG$2)&lt;=5000,5,IF($F419*IF($C419="売",1+$AG$2,1-$AG$2)&lt;=30000,10,IF($F419*IF($C419="売",1+$AG$2,1-$AG$2)&lt;=50000,50,IF($F419*IF($C419="売",1+$AG$2,1-$AG$2)&lt;=300000,100,500)))))),FLOOR($F419*IF($C419="売",1+$AG$2,1-$AG$2),IF($F419*IF($C419="売",1+$AG$2,1-$AG$2)&lt;=3000,1,IF($F419*IF($C419="売",1+$AG$2,1-$AG$2)&lt;=5000,5,IF($F419*IF($C419="売",1+$AG$2,1-$AG$2)&lt;=30000,10,IF($F419*IF($C419="売",1+$AG$2,1-$AG$2)&lt;=50000,50,IF($F419*IF($C419="売",1+$AG$2,1-$AG$2)&lt;=300000,100,500))))))))</f>
      </c>
      <c r="O419" s="478">
        <f>IF(OR($B419="",$F419="",$H419=""),"",IF($S419="✅売却済","―決済済―",IF($C419="売",  IF($H419&lt;=$M419,"🟢利確",  IF(AND($R419&lt;&gt;"",$H419&gt;=$R419),"🟠TRAIL決済",  IF($H419&gt;=$N419,"🔴損切",  IF($W419&gt;=$AG$5,"⏱時間決済",  IF($H419&gt;=$F419*(1+$AG$2*0.7),"⚠️損切接近","保持継続"))))),  IF($H419&gt;=$M419,"🟢利確",  IF(AND($R419&lt;&gt;"",$H419&lt;=$R419),"🟠TRAIL決済",  IF($H419&lt;=$N419,"🔴損切",  IF($W419&gt;=$AG$5,"⏱時間決済",  IF($H419&lt;=$F419*(1-$AG$2*0.7),"⚠️損切接近","保持継続")))))))</f>
      </c>
      <c r="P419" s="445"/>
      <c r="R419" s="440">
        <f>IF(OR($F419="",$H419="",$N419=""),"",IF($S419="✅売却済","",IF($C419="売",  IF($H419&gt;$F419*(1-$AG$2),$N419,CEILING(MIN($N419,IF($Q419="",$N419,$Q419*1.03)),IF($N419&lt;=3000,1,IF($N419&lt;=5000,5,IF($N419&lt;=30000,10,IF($N419&lt;=50000,50,IF($N419&lt;=300000,100,500))))))),  IF($H419&lt;$F419*(1+$AG$2),$N419,FLOOR(MAX($N419,IF($P419="",$N419,$P419*0.97)),IF($N419&lt;=3000,1,IF($N419&lt;=5000,5,IF($N419&lt;=30000,10,IF($N419&lt;=50000,50,IF($N419&lt;=300000,100,500))))))))))</f>
      </c>
      <c r="S419" s="440" t="str">
        <f t="shared" si="140"/>
        <v/>
      </c>
      <c r="T419" s="597" t="str">
        <f t="shared" ca="1" si="129"/>
        <v/>
      </c>
      <c r="U419" s="599" t="str">
        <f t="shared" ca="1" si="130"/>
        <v/>
      </c>
      <c r="V419" s="704" t="str">
        <f t="shared" ca="1" si="141"/>
        <v/>
      </c>
      <c r="W419" s="440" t="str">
        <f t="shared" ca="1" si="131"/>
        <v/>
      </c>
      <c r="X419" s="440" t="str">
        <f t="shared" ca="1" si="132"/>
        <v/>
      </c>
      <c r="Y419">
        <f>IF($B419="","",IF(COUNTIFS($B$4:$B419,$B419,$C$4:$C419,$C419)&gt;1,"⛔重複"&amp;COUNTIFS($B$4:$B419,$B419,$C$4:$C419,$C419)&amp;"回目",""))</f>
      </c>
      <c r="AB419">
        <f>IF($F419="","",MAX(100,ROUNDDOWN($AG$4/($F419*$AG$2)/100,0)*100))</f>
      </c>
      <c r="AC419">
        <f>IF(OR($F419="",$G419="",$U419=""),"",ROUND($V419-($F419+$U419)*$G419*$AG$6-IF($C419="売",$F419*$G419*$AG$7*$W419/365,0),0))</f>
      </c>
      <c r="AD419" s="608"/>
      <c r="AE419" s="600" t="str">
        <f t="shared" si="133"/>
        <v/>
      </c>
      <c r="AF419" s="600"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00"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00" t="str">
        <f t="shared" ca="1" si="134"/>
        <v/>
      </c>
      <c r="AI419" s="600" t="str" cm="1">
        <f t="array" ref="AI419">IFERROR(INDEX(始値!$E$6:$BT$305,MATCH(TEXT($B419,"0"),TEXT(銘柄管理!$B$6:$B$305,"0"),0),MATCH($AE419,始値!$E$3:$BT$3,0)),"")</f>
        <v/>
      </c>
      <c r="AJ419" s="608" t="str">
        <f t="shared" ca="1" si="135"/>
        <v/>
      </c>
      <c r="AK419" s="600" t="str">
        <f t="shared" ca="1" si="136"/>
        <v/>
      </c>
    </row>
    <row r="420" spans="1:37" ht="17.25" customHeight="1">
      <c r="A420" s="622" t="str">
        <f t="shared" si="125"/>
        <v/>
      </c>
      <c r="D420" s="440" t="str" cm="1">
        <f t="array" ref="D420">_xll.RssMarket(B420, "銘柄名称")</f>
        <v/>
      </c>
      <c r="E420" s="717"/>
      <c r="F420" s="6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 t="shared" ca="1" si="137"/>
        <v/>
      </c>
      <c r="L420" s="709" t="str">
        <f t="shared" ca="1" si="138"/>
        <v/>
      </c>
      <c r="M420" s="599">
        <f>IF($F420="","",IF($C420="売",CEILING($F420*IF($C420="売",1-$AG$3,1+$AG$3),IF($F420*IF($C420="売",1-$AG$3,1+$AG$3)&lt;=3000,1,IF($F420*IF($C420="売",1-$AG$3,1+$AG$3)&lt;=5000,5,IF($F420*IF($C420="売",1-$AG$3,1+$AG$3)&lt;=30000,10,IF($F420*IF($C420="売",1-$AG$3,1+$AG$3)&lt;=50000,50,IF($F420*IF($C420="売",1-$AG$3,1+$AG$3)&lt;=300000,100,500)))))),FLOOR($F420*IF($C420="売",1-$AG$3,1+$AG$3),IF($F420*IF($C420="売",1-$AG$3,1+$AG$3)&lt;=3000,1,IF($F420*IF($C420="売",1-$AG$3,1+$AG$3)&lt;=5000,5,IF($F420*IF($C420="売",1-$AG$3,1+$AG$3)&lt;=30000,10,IF($F420*IF($C420="売",1-$AG$3,1+$AG$3)&lt;=50000,50,IF($F420*IF($C420="売",1-$AG$3,1+$AG$3)&lt;=300000,100,500))))))))</f>
      </c>
      <c r="N420" s="599">
        <f>IF($F420="","",IF($C420="売",CEILING($F420*IF($C420="売",1+$AG$2,1-$AG$2),IF($F420*IF($C420="売",1+$AG$2,1-$AG$2)&lt;=3000,1,IF($F420*IF($C420="売",1+$AG$2,1-$AG$2)&lt;=5000,5,IF($F420*IF($C420="売",1+$AG$2,1-$AG$2)&lt;=30000,10,IF($F420*IF($C420="売",1+$AG$2,1-$AG$2)&lt;=50000,50,IF($F420*IF($C420="売",1+$AG$2,1-$AG$2)&lt;=300000,100,500)))))),FLOOR($F420*IF($C420="売",1+$AG$2,1-$AG$2),IF($F420*IF($C420="売",1+$AG$2,1-$AG$2)&lt;=3000,1,IF($F420*IF($C420="売",1+$AG$2,1-$AG$2)&lt;=5000,5,IF($F420*IF($C420="売",1+$AG$2,1-$AG$2)&lt;=30000,10,IF($F420*IF($C420="売",1+$AG$2,1-$AG$2)&lt;=50000,50,IF($F420*IF($C420="売",1+$AG$2,1-$AG$2)&lt;=300000,100,500))))))))</f>
      </c>
      <c r="O420" s="478">
        <f>IF(OR($B420="",$F420="",$H420=""),"",IF($S420="✅売却済","―決済済―",IF($C420="売",  IF($H420&lt;=$M420,"🟢利確",  IF(AND($R420&lt;&gt;"",$H420&gt;=$R420),"🟠TRAIL決済",  IF($H420&gt;=$N420,"🔴損切",  IF($W420&gt;=$AG$5,"⏱時間決済",  IF($H420&gt;=$F420*(1+$AG$2*0.7),"⚠️損切接近","保持継続"))))),  IF($H420&gt;=$M420,"🟢利確",  IF(AND($R420&lt;&gt;"",$H420&lt;=$R420),"🟠TRAIL決済",  IF($H420&lt;=$N420,"🔴損切",  IF($W420&gt;=$AG$5,"⏱時間決済",  IF($H420&lt;=$F420*(1-$AG$2*0.7),"⚠️損切接近","保持継続")))))))</f>
      </c>
      <c r="P420" s="445"/>
      <c r="R420" s="440">
        <f>IF(OR($F420="",$H420="",$N420=""),"",IF($S420="✅売却済","",IF($C420="売",  IF($H420&gt;$F420*(1-$AG$2),$N420,CEILING(MIN($N420,IF($Q420="",$N420,$Q420*1.03)),IF($N420&lt;=3000,1,IF($N420&lt;=5000,5,IF($N420&lt;=30000,10,IF($N420&lt;=50000,50,IF($N420&lt;=300000,100,500))))))),  IF($H420&lt;$F420*(1+$AG$2),$N420,FLOOR(MAX($N420,IF($P420="",$N420,$P420*0.97)),IF($N420&lt;=3000,1,IF($N420&lt;=5000,5,IF($N420&lt;=30000,10,IF($N420&lt;=50000,50,IF($N420&lt;=300000,100,500))))))))))</f>
      </c>
      <c r="S420" s="440" t="str">
        <f t="shared" si="140"/>
        <v/>
      </c>
      <c r="T420" s="597" t="str">
        <f t="shared" ca="1" si="129"/>
        <v/>
      </c>
      <c r="U420" s="599" t="str">
        <f t="shared" ca="1" si="130"/>
        <v/>
      </c>
      <c r="V420" s="704" t="str">
        <f t="shared" ca="1" si="141"/>
        <v/>
      </c>
      <c r="W420" s="440" t="str">
        <f t="shared" ca="1" si="131"/>
        <v/>
      </c>
      <c r="X420" s="440" t="str">
        <f t="shared" ca="1" si="132"/>
        <v/>
      </c>
      <c r="Y420">
        <f>IF($B420="","",IF(COUNTIFS($B$4:$B420,$B420,$C$4:$C420,$C420)&gt;1,"⛔重複"&amp;COUNTIFS($B$4:$B420,$B420,$C$4:$C420,$C420)&amp;"回目",""))</f>
      </c>
      <c r="AB420">
        <f>IF($F420="","",MAX(100,ROUNDDOWN($AG$4/($F420*$AG$2)/100,0)*100))</f>
      </c>
      <c r="AC420">
        <f>IF(OR($F420="",$G420="",$U420=""),"",ROUND($V420-($F420+$U420)*$G420*$AG$6-IF($C420="売",$F420*$G420*$AG$7*$W420/365,0),0))</f>
      </c>
      <c r="AD420" s="608"/>
      <c r="AE420" s="600" t="str">
        <f t="shared" si="133"/>
        <v/>
      </c>
      <c r="AF420" s="600"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00"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00" t="str">
        <f t="shared" ca="1" si="134"/>
        <v/>
      </c>
      <c r="AI420" s="600" t="str" cm="1">
        <f t="array" ref="AI420">IFERROR(INDEX(始値!$E$6:$BT$305,MATCH(TEXT($B420,"0"),TEXT(銘柄管理!$B$6:$B$305,"0"),0),MATCH($AE420,始値!$E$3:$BT$3,0)),"")</f>
        <v/>
      </c>
      <c r="AJ420" s="608" t="str">
        <f t="shared" ca="1" si="135"/>
        <v/>
      </c>
      <c r="AK420" s="600" t="str">
        <f t="shared" ca="1" si="136"/>
        <v/>
      </c>
    </row>
    <row r="421" spans="1:37" ht="17.25" customHeight="1">
      <c r="A421" s="622" t="str">
        <f t="shared" si="125"/>
        <v/>
      </c>
      <c r="D421" s="440" t="str" cm="1">
        <f t="array" ref="D421">_xll.RssMarket(B421, "銘柄名称")</f>
        <v/>
      </c>
      <c r="E421" s="717"/>
      <c r="F421" s="6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 t="shared" ca="1" si="137"/>
        <v/>
      </c>
      <c r="L421" s="709" t="str">
        <f t="shared" ca="1" si="138"/>
        <v/>
      </c>
      <c r="M421" s="599">
        <f>IF($F421="","",IF($C421="売",CEILING($F421*IF($C421="売",1-$AG$3,1+$AG$3),IF($F421*IF($C421="売",1-$AG$3,1+$AG$3)&lt;=3000,1,IF($F421*IF($C421="売",1-$AG$3,1+$AG$3)&lt;=5000,5,IF($F421*IF($C421="売",1-$AG$3,1+$AG$3)&lt;=30000,10,IF($F421*IF($C421="売",1-$AG$3,1+$AG$3)&lt;=50000,50,IF($F421*IF($C421="売",1-$AG$3,1+$AG$3)&lt;=300000,100,500)))))),FLOOR($F421*IF($C421="売",1-$AG$3,1+$AG$3),IF($F421*IF($C421="売",1-$AG$3,1+$AG$3)&lt;=3000,1,IF($F421*IF($C421="売",1-$AG$3,1+$AG$3)&lt;=5000,5,IF($F421*IF($C421="売",1-$AG$3,1+$AG$3)&lt;=30000,10,IF($F421*IF($C421="売",1-$AG$3,1+$AG$3)&lt;=50000,50,IF($F421*IF($C421="売",1-$AG$3,1+$AG$3)&lt;=300000,100,500))))))))</f>
      </c>
      <c r="N421" s="599">
        <f>IF($F421="","",IF($C421="売",CEILING($F421*IF($C421="売",1+$AG$2,1-$AG$2),IF($F421*IF($C421="売",1+$AG$2,1-$AG$2)&lt;=3000,1,IF($F421*IF($C421="売",1+$AG$2,1-$AG$2)&lt;=5000,5,IF($F421*IF($C421="売",1+$AG$2,1-$AG$2)&lt;=30000,10,IF($F421*IF($C421="売",1+$AG$2,1-$AG$2)&lt;=50000,50,IF($F421*IF($C421="売",1+$AG$2,1-$AG$2)&lt;=300000,100,500)))))),FLOOR($F421*IF($C421="売",1+$AG$2,1-$AG$2),IF($F421*IF($C421="売",1+$AG$2,1-$AG$2)&lt;=3000,1,IF($F421*IF($C421="売",1+$AG$2,1-$AG$2)&lt;=5000,5,IF($F421*IF($C421="売",1+$AG$2,1-$AG$2)&lt;=30000,10,IF($F421*IF($C421="売",1+$AG$2,1-$AG$2)&lt;=50000,50,IF($F421*IF($C421="売",1+$AG$2,1-$AG$2)&lt;=300000,100,500))))))))</f>
      </c>
      <c r="O421" s="478">
        <f>IF(OR($B421="",$F421="",$H421=""),"",IF($S421="✅売却済","―決済済―",IF($C421="売",  IF($H421&lt;=$M421,"🟢利確",  IF(AND($R421&lt;&gt;"",$H421&gt;=$R421),"🟠TRAIL決済",  IF($H421&gt;=$N421,"🔴損切",  IF($W421&gt;=$AG$5,"⏱時間決済",  IF($H421&gt;=$F421*(1+$AG$2*0.7),"⚠️損切接近","保持継続"))))),  IF($H421&gt;=$M421,"🟢利確",  IF(AND($R421&lt;&gt;"",$H421&lt;=$R421),"🟠TRAIL決済",  IF($H421&lt;=$N421,"🔴損切",  IF($W421&gt;=$AG$5,"⏱時間決済",  IF($H421&lt;=$F421*(1-$AG$2*0.7),"⚠️損切接近","保持継続")))))))</f>
      </c>
      <c r="P421" s="445"/>
      <c r="R421" s="440">
        <f>IF(OR($F421="",$H421="",$N421=""),"",IF($S421="✅売却済","",IF($C421="売",  IF($H421&gt;$F421*(1-$AG$2),$N421,CEILING(MIN($N421,IF($Q421="",$N421,$Q421*1.03)),IF($N421&lt;=3000,1,IF($N421&lt;=5000,5,IF($N421&lt;=30000,10,IF($N421&lt;=50000,50,IF($N421&lt;=300000,100,500))))))),  IF($H421&lt;$F421*(1+$AG$2),$N421,FLOOR(MAX($N421,IF($P421="",$N421,$P421*0.97)),IF($N421&lt;=3000,1,IF($N421&lt;=5000,5,IF($N421&lt;=30000,10,IF($N421&lt;=50000,50,IF($N421&lt;=300000,100,500))))))))))</f>
      </c>
      <c r="S421" s="440" t="str">
        <f t="shared" si="140"/>
        <v/>
      </c>
      <c r="T421" s="597" t="str">
        <f t="shared" ca="1" si="129"/>
        <v/>
      </c>
      <c r="U421" s="599" t="str">
        <f t="shared" ca="1" si="130"/>
        <v/>
      </c>
      <c r="V421" s="704" t="str">
        <f t="shared" ca="1" si="141"/>
        <v/>
      </c>
      <c r="W421" s="440" t="str">
        <f t="shared" ca="1" si="131"/>
        <v/>
      </c>
      <c r="X421" s="440" t="str">
        <f t="shared" ca="1" si="132"/>
        <v/>
      </c>
      <c r="Y421">
        <f>IF($B421="","",IF(COUNTIFS($B$4:$B421,$B421,$C$4:$C421,$C421)&gt;1,"⛔重複"&amp;COUNTIFS($B$4:$B421,$B421,$C$4:$C421,$C421)&amp;"回目",""))</f>
      </c>
      <c r="AB421">
        <f>IF($F421="","",MAX(100,ROUNDDOWN($AG$4/($F421*$AG$2)/100,0)*100))</f>
      </c>
      <c r="AC421">
        <f>IF(OR($F421="",$G421="",$U421=""),"",ROUND($V421-($F421+$U421)*$G421*$AG$6-IF($C421="売",$F421*$G421*$AG$7*$W421/365,0),0))</f>
      </c>
      <c r="AD421" s="608"/>
      <c r="AE421" s="600" t="str">
        <f t="shared" si="133"/>
        <v/>
      </c>
      <c r="AF421" s="600"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00"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00" t="str">
        <f t="shared" ca="1" si="134"/>
        <v/>
      </c>
      <c r="AI421" s="600" t="str" cm="1">
        <f t="array" ref="AI421">IFERROR(INDEX(始値!$E$6:$BT$305,MATCH(TEXT($B421,"0"),TEXT(銘柄管理!$B$6:$B$305,"0"),0),MATCH($AE421,始値!$E$3:$BT$3,0)),"")</f>
        <v/>
      </c>
      <c r="AJ421" s="608" t="str">
        <f t="shared" ca="1" si="135"/>
        <v/>
      </c>
      <c r="AK421" s="600" t="str">
        <f t="shared" ca="1" si="136"/>
        <v/>
      </c>
    </row>
    <row r="422" spans="1:37" ht="17.25" customHeight="1">
      <c r="A422" s="622" t="str">
        <f t="shared" si="125"/>
        <v/>
      </c>
      <c r="D422" s="440" t="str" cm="1">
        <f t="array" ref="D422">_xll.RssMarket(B422, "銘柄名称")</f>
        <v/>
      </c>
      <c r="E422" s="717"/>
      <c r="F422" s="6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 t="shared" ca="1" si="137"/>
        <v/>
      </c>
      <c r="L422" s="709" t="str">
        <f t="shared" ca="1" si="138"/>
        <v/>
      </c>
      <c r="M422" s="599">
        <f>IF($F422="","",IF($C422="売",CEILING($F422*IF($C422="売",1-$AG$3,1+$AG$3),IF($F422*IF($C422="売",1-$AG$3,1+$AG$3)&lt;=3000,1,IF($F422*IF($C422="売",1-$AG$3,1+$AG$3)&lt;=5000,5,IF($F422*IF($C422="売",1-$AG$3,1+$AG$3)&lt;=30000,10,IF($F422*IF($C422="売",1-$AG$3,1+$AG$3)&lt;=50000,50,IF($F422*IF($C422="売",1-$AG$3,1+$AG$3)&lt;=300000,100,500)))))),FLOOR($F422*IF($C422="売",1-$AG$3,1+$AG$3),IF($F422*IF($C422="売",1-$AG$3,1+$AG$3)&lt;=3000,1,IF($F422*IF($C422="売",1-$AG$3,1+$AG$3)&lt;=5000,5,IF($F422*IF($C422="売",1-$AG$3,1+$AG$3)&lt;=30000,10,IF($F422*IF($C422="売",1-$AG$3,1+$AG$3)&lt;=50000,50,IF($F422*IF($C422="売",1-$AG$3,1+$AG$3)&lt;=300000,100,500))))))))</f>
      </c>
      <c r="N422" s="599">
        <f>IF($F422="","",IF($C422="売",CEILING($F422*IF($C422="売",1+$AG$2,1-$AG$2),IF($F422*IF($C422="売",1+$AG$2,1-$AG$2)&lt;=3000,1,IF($F422*IF($C422="売",1+$AG$2,1-$AG$2)&lt;=5000,5,IF($F422*IF($C422="売",1+$AG$2,1-$AG$2)&lt;=30000,10,IF($F422*IF($C422="売",1+$AG$2,1-$AG$2)&lt;=50000,50,IF($F422*IF($C422="売",1+$AG$2,1-$AG$2)&lt;=300000,100,500)))))),FLOOR($F422*IF($C422="売",1+$AG$2,1-$AG$2),IF($F422*IF($C422="売",1+$AG$2,1-$AG$2)&lt;=3000,1,IF($F422*IF($C422="売",1+$AG$2,1-$AG$2)&lt;=5000,5,IF($F422*IF($C422="売",1+$AG$2,1-$AG$2)&lt;=30000,10,IF($F422*IF($C422="売",1+$AG$2,1-$AG$2)&lt;=50000,50,IF($F422*IF($C422="売",1+$AG$2,1-$AG$2)&lt;=300000,100,500))))))))</f>
      </c>
      <c r="O422" s="478">
        <f>IF(OR($B422="",$F422="",$H422=""),"",IF($S422="✅売却済","―決済済―",IF($C422="売",  IF($H422&lt;=$M422,"🟢利確",  IF(AND($R422&lt;&gt;"",$H422&gt;=$R422),"🟠TRAIL決済",  IF($H422&gt;=$N422,"🔴損切",  IF($W422&gt;=$AG$5,"⏱時間決済",  IF($H422&gt;=$F422*(1+$AG$2*0.7),"⚠️損切接近","保持継続"))))),  IF($H422&gt;=$M422,"🟢利確",  IF(AND($R422&lt;&gt;"",$H422&lt;=$R422),"🟠TRAIL決済",  IF($H422&lt;=$N422,"🔴損切",  IF($W422&gt;=$AG$5,"⏱時間決済",  IF($H422&lt;=$F422*(1-$AG$2*0.7),"⚠️損切接近","保持継続")))))))</f>
      </c>
      <c r="P422" s="445"/>
      <c r="R422" s="440">
        <f>IF(OR($F422="",$H422="",$N422=""),"",IF($S422="✅売却済","",IF($C422="売",  IF($H422&gt;$F422*(1-$AG$2),$N422,CEILING(MIN($N422,IF($Q422="",$N422,$Q422*1.03)),IF($N422&lt;=3000,1,IF($N422&lt;=5000,5,IF($N422&lt;=30000,10,IF($N422&lt;=50000,50,IF($N422&lt;=300000,100,500))))))),  IF($H422&lt;$F422*(1+$AG$2),$N422,FLOOR(MAX($N422,IF($P422="",$N422,$P422*0.97)),IF($N422&lt;=3000,1,IF($N422&lt;=5000,5,IF($N422&lt;=30000,10,IF($N422&lt;=50000,50,IF($N422&lt;=300000,100,500))))))))))</f>
      </c>
      <c r="S422" s="440" t="str">
        <f t="shared" si="140"/>
        <v/>
      </c>
      <c r="T422" s="597" t="str">
        <f t="shared" ca="1" si="129"/>
        <v/>
      </c>
      <c r="U422" s="599" t="str">
        <f t="shared" ca="1" si="130"/>
        <v/>
      </c>
      <c r="V422" s="704" t="str">
        <f t="shared" ca="1" si="141"/>
        <v/>
      </c>
      <c r="W422" s="440" t="str">
        <f t="shared" ca="1" si="131"/>
        <v/>
      </c>
      <c r="X422" s="440" t="str">
        <f t="shared" ca="1" si="132"/>
        <v/>
      </c>
      <c r="Y422">
        <f>IF($B422="","",IF(COUNTIFS($B$4:$B422,$B422,$C$4:$C422,$C422)&gt;1,"⛔重複"&amp;COUNTIFS($B$4:$B422,$B422,$C$4:$C422,$C422)&amp;"回目",""))</f>
      </c>
      <c r="AB422">
        <f>IF($F422="","",MAX(100,ROUNDDOWN($AG$4/($F422*$AG$2)/100,0)*100))</f>
      </c>
      <c r="AC422">
        <f>IF(OR($F422="",$G422="",$U422=""),"",ROUND($V422-($F422+$U422)*$G422*$AG$6-IF($C422="売",$F422*$G422*$AG$7*$W422/365,0),0))</f>
      </c>
      <c r="AD422" s="608"/>
      <c r="AE422" s="600" t="str">
        <f t="shared" si="133"/>
        <v/>
      </c>
      <c r="AF422" s="600"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00"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00" t="str">
        <f t="shared" ca="1" si="134"/>
        <v/>
      </c>
      <c r="AI422" s="600" t="str" cm="1">
        <f t="array" ref="AI422">IFERROR(INDEX(始値!$E$6:$BT$305,MATCH(TEXT($B422,"0"),TEXT(銘柄管理!$B$6:$B$305,"0"),0),MATCH($AE422,始値!$E$3:$BT$3,0)),"")</f>
        <v/>
      </c>
      <c r="AJ422" s="608" t="str">
        <f t="shared" ca="1" si="135"/>
        <v/>
      </c>
      <c r="AK422" s="600" t="str">
        <f t="shared" ca="1" si="136"/>
        <v/>
      </c>
    </row>
    <row r="423" spans="1:37" ht="17.25" customHeight="1">
      <c r="A423" s="622" t="str">
        <f t="shared" si="125"/>
        <v/>
      </c>
      <c r="D423" s="440" t="str" cm="1">
        <f t="array" ref="D423">_xll.RssMarket(B423, "銘柄名称")</f>
        <v/>
      </c>
      <c r="E423" s="717"/>
      <c r="F423" s="6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 t="shared" ca="1" si="137"/>
        <v/>
      </c>
      <c r="L423" s="709" t="str">
        <f t="shared" ca="1" si="138"/>
        <v/>
      </c>
      <c r="M423" s="599">
        <f>IF($F423="","",IF($C423="売",CEILING($F423*IF($C423="売",1-$AG$3,1+$AG$3),IF($F423*IF($C423="売",1-$AG$3,1+$AG$3)&lt;=3000,1,IF($F423*IF($C423="売",1-$AG$3,1+$AG$3)&lt;=5000,5,IF($F423*IF($C423="売",1-$AG$3,1+$AG$3)&lt;=30000,10,IF($F423*IF($C423="売",1-$AG$3,1+$AG$3)&lt;=50000,50,IF($F423*IF($C423="売",1-$AG$3,1+$AG$3)&lt;=300000,100,500)))))),FLOOR($F423*IF($C423="売",1-$AG$3,1+$AG$3),IF($F423*IF($C423="売",1-$AG$3,1+$AG$3)&lt;=3000,1,IF($F423*IF($C423="売",1-$AG$3,1+$AG$3)&lt;=5000,5,IF($F423*IF($C423="売",1-$AG$3,1+$AG$3)&lt;=30000,10,IF($F423*IF($C423="売",1-$AG$3,1+$AG$3)&lt;=50000,50,IF($F423*IF($C423="売",1-$AG$3,1+$AG$3)&lt;=300000,100,500))))))))</f>
      </c>
      <c r="N423" s="599">
        <f>IF($F423="","",IF($C423="売",CEILING($F423*IF($C423="売",1+$AG$2,1-$AG$2),IF($F423*IF($C423="売",1+$AG$2,1-$AG$2)&lt;=3000,1,IF($F423*IF($C423="売",1+$AG$2,1-$AG$2)&lt;=5000,5,IF($F423*IF($C423="売",1+$AG$2,1-$AG$2)&lt;=30000,10,IF($F423*IF($C423="売",1+$AG$2,1-$AG$2)&lt;=50000,50,IF($F423*IF($C423="売",1+$AG$2,1-$AG$2)&lt;=300000,100,500)))))),FLOOR($F423*IF($C423="売",1+$AG$2,1-$AG$2),IF($F423*IF($C423="売",1+$AG$2,1-$AG$2)&lt;=3000,1,IF($F423*IF($C423="売",1+$AG$2,1-$AG$2)&lt;=5000,5,IF($F423*IF($C423="売",1+$AG$2,1-$AG$2)&lt;=30000,10,IF($F423*IF($C423="売",1+$AG$2,1-$AG$2)&lt;=50000,50,IF($F423*IF($C423="売",1+$AG$2,1-$AG$2)&lt;=300000,100,500))))))))</f>
      </c>
      <c r="O423" s="478">
        <f>IF(OR($B423="",$F423="",$H423=""),"",IF($S423="✅売却済","―決済済―",IF($C423="売",  IF($H423&lt;=$M423,"🟢利確",  IF(AND($R423&lt;&gt;"",$H423&gt;=$R423),"🟠TRAIL決済",  IF($H423&gt;=$N423,"🔴損切",  IF($W423&gt;=$AG$5,"⏱時間決済",  IF($H423&gt;=$F423*(1+$AG$2*0.7),"⚠️損切接近","保持継続"))))),  IF($H423&gt;=$M423,"🟢利確",  IF(AND($R423&lt;&gt;"",$H423&lt;=$R423),"🟠TRAIL決済",  IF($H423&lt;=$N423,"🔴損切",  IF($W423&gt;=$AG$5,"⏱時間決済",  IF($H423&lt;=$F423*(1-$AG$2*0.7),"⚠️損切接近","保持継続")))))))</f>
      </c>
      <c r="P423" s="445"/>
      <c r="R423" s="440">
        <f>IF(OR($F423="",$H423="",$N423=""),"",IF($S423="✅売却済","",IF($C423="売",  IF($H423&gt;$F423*(1-$AG$2),$N423,CEILING(MIN($N423,IF($Q423="",$N423,$Q423*1.03)),IF($N423&lt;=3000,1,IF($N423&lt;=5000,5,IF($N423&lt;=30000,10,IF($N423&lt;=50000,50,IF($N423&lt;=300000,100,500))))))),  IF($H423&lt;$F423*(1+$AG$2),$N423,FLOOR(MAX($N423,IF($P423="",$N423,$P423*0.97)),IF($N423&lt;=3000,1,IF($N423&lt;=5000,5,IF($N423&lt;=30000,10,IF($N423&lt;=50000,50,IF($N423&lt;=300000,100,500))))))))))</f>
      </c>
      <c r="S423" s="440" t="str">
        <f t="shared" si="140"/>
        <v/>
      </c>
      <c r="T423" s="597" t="str">
        <f t="shared" ca="1" si="129"/>
        <v/>
      </c>
      <c r="U423" s="599" t="str">
        <f t="shared" ca="1" si="130"/>
        <v/>
      </c>
      <c r="V423" s="704" t="str">
        <f t="shared" ca="1" si="141"/>
        <v/>
      </c>
      <c r="W423" s="440" t="str">
        <f t="shared" ca="1" si="131"/>
        <v/>
      </c>
      <c r="X423" s="440" t="str">
        <f t="shared" ca="1" si="132"/>
        <v/>
      </c>
      <c r="Y423">
        <f>IF($B423="","",IF(COUNTIFS($B$4:$B423,$B423,$C$4:$C423,$C423)&gt;1,"⛔重複"&amp;COUNTIFS($B$4:$B423,$B423,$C$4:$C423,$C423)&amp;"回目",""))</f>
      </c>
      <c r="AB423">
        <f>IF($F423="","",MAX(100,ROUNDDOWN($AG$4/($F423*$AG$2)/100,0)*100))</f>
      </c>
      <c r="AC423">
        <f>IF(OR($F423="",$G423="",$U423=""),"",ROUND($V423-($F423+$U423)*$G423*$AG$6-IF($C423="売",$F423*$G423*$AG$7*$W423/365,0),0))</f>
      </c>
      <c r="AD423" s="608"/>
      <c r="AE423" s="600" t="str">
        <f t="shared" si="133"/>
        <v/>
      </c>
      <c r="AF423" s="600"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00"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00" t="str">
        <f t="shared" ca="1" si="134"/>
        <v/>
      </c>
      <c r="AI423" s="600" t="str" cm="1">
        <f t="array" ref="AI423">IFERROR(INDEX(始値!$E$6:$BT$305,MATCH(TEXT($B423,"0"),TEXT(銘柄管理!$B$6:$B$305,"0"),0),MATCH($AE423,始値!$E$3:$BT$3,0)),"")</f>
        <v/>
      </c>
      <c r="AJ423" s="608" t="str">
        <f t="shared" ca="1" si="135"/>
        <v/>
      </c>
      <c r="AK423" s="600" t="str">
        <f t="shared" ca="1" si="136"/>
        <v/>
      </c>
    </row>
    <row r="424" spans="1:37" ht="17.25" customHeight="1">
      <c r="A424" s="622" t="str">
        <f t="shared" si="125"/>
        <v/>
      </c>
      <c r="D424" s="440" t="str" cm="1">
        <f t="array" ref="D424">_xll.RssMarket(B424, "銘柄名称")</f>
        <v/>
      </c>
      <c r="E424" s="717"/>
      <c r="F424" s="6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 t="shared" ca="1" si="137"/>
        <v/>
      </c>
      <c r="L424" s="709" t="str">
        <f t="shared" ca="1" si="138"/>
        <v/>
      </c>
      <c r="M424" s="599">
        <f>IF($F424="","",IF($C424="売",CEILING($F424*IF($C424="売",1-$AG$3,1+$AG$3),IF($F424*IF($C424="売",1-$AG$3,1+$AG$3)&lt;=3000,1,IF($F424*IF($C424="売",1-$AG$3,1+$AG$3)&lt;=5000,5,IF($F424*IF($C424="売",1-$AG$3,1+$AG$3)&lt;=30000,10,IF($F424*IF($C424="売",1-$AG$3,1+$AG$3)&lt;=50000,50,IF($F424*IF($C424="売",1-$AG$3,1+$AG$3)&lt;=300000,100,500)))))),FLOOR($F424*IF($C424="売",1-$AG$3,1+$AG$3),IF($F424*IF($C424="売",1-$AG$3,1+$AG$3)&lt;=3000,1,IF($F424*IF($C424="売",1-$AG$3,1+$AG$3)&lt;=5000,5,IF($F424*IF($C424="売",1-$AG$3,1+$AG$3)&lt;=30000,10,IF($F424*IF($C424="売",1-$AG$3,1+$AG$3)&lt;=50000,50,IF($F424*IF($C424="売",1-$AG$3,1+$AG$3)&lt;=300000,100,500))))))))</f>
      </c>
      <c r="N424" s="599">
        <f>IF($F424="","",IF($C424="売",CEILING($F424*IF($C424="売",1+$AG$2,1-$AG$2),IF($F424*IF($C424="売",1+$AG$2,1-$AG$2)&lt;=3000,1,IF($F424*IF($C424="売",1+$AG$2,1-$AG$2)&lt;=5000,5,IF($F424*IF($C424="売",1+$AG$2,1-$AG$2)&lt;=30000,10,IF($F424*IF($C424="売",1+$AG$2,1-$AG$2)&lt;=50000,50,IF($F424*IF($C424="売",1+$AG$2,1-$AG$2)&lt;=300000,100,500)))))),FLOOR($F424*IF($C424="売",1+$AG$2,1-$AG$2),IF($F424*IF($C424="売",1+$AG$2,1-$AG$2)&lt;=3000,1,IF($F424*IF($C424="売",1+$AG$2,1-$AG$2)&lt;=5000,5,IF($F424*IF($C424="売",1+$AG$2,1-$AG$2)&lt;=30000,10,IF($F424*IF($C424="売",1+$AG$2,1-$AG$2)&lt;=50000,50,IF($F424*IF($C424="売",1+$AG$2,1-$AG$2)&lt;=300000,100,500))))))))</f>
      </c>
      <c r="O424" s="478">
        <f>IF(OR($B424="",$F424="",$H424=""),"",IF($S424="✅売却済","―決済済―",IF($C424="売",  IF($H424&lt;=$M424,"🟢利確",  IF(AND($R424&lt;&gt;"",$H424&gt;=$R424),"🟠TRAIL決済",  IF($H424&gt;=$N424,"🔴損切",  IF($W424&gt;=$AG$5,"⏱時間決済",  IF($H424&gt;=$F424*(1+$AG$2*0.7),"⚠️損切接近","保持継続"))))),  IF($H424&gt;=$M424,"🟢利確",  IF(AND($R424&lt;&gt;"",$H424&lt;=$R424),"🟠TRAIL決済",  IF($H424&lt;=$N424,"🔴損切",  IF($W424&gt;=$AG$5,"⏱時間決済",  IF($H424&lt;=$F424*(1-$AG$2*0.7),"⚠️損切接近","保持継続")))))))</f>
      </c>
      <c r="P424" s="445"/>
      <c r="R424" s="440">
        <f>IF(OR($F424="",$H424="",$N424=""),"",IF($S424="✅売却済","",IF($C424="売",  IF($H424&gt;$F424*(1-$AG$2),$N424,CEILING(MIN($N424,IF($Q424="",$N424,$Q424*1.03)),IF($N424&lt;=3000,1,IF($N424&lt;=5000,5,IF($N424&lt;=30000,10,IF($N424&lt;=50000,50,IF($N424&lt;=300000,100,500))))))),  IF($H424&lt;$F424*(1+$AG$2),$N424,FLOOR(MAX($N424,IF($P424="",$N424,$P424*0.97)),IF($N424&lt;=3000,1,IF($N424&lt;=5000,5,IF($N424&lt;=30000,10,IF($N424&lt;=50000,50,IF($N424&lt;=300000,100,500))))))))))</f>
      </c>
      <c r="S424" s="440" t="str">
        <f t="shared" si="140"/>
        <v/>
      </c>
      <c r="T424" s="597" t="str">
        <f t="shared" ca="1" si="129"/>
        <v/>
      </c>
      <c r="U424" s="599" t="str">
        <f t="shared" ca="1" si="130"/>
        <v/>
      </c>
      <c r="V424" s="704" t="str">
        <f t="shared" ca="1" si="141"/>
        <v/>
      </c>
      <c r="W424" s="440" t="str">
        <f t="shared" ca="1" si="131"/>
        <v/>
      </c>
      <c r="X424" s="440" t="str">
        <f t="shared" ca="1" si="132"/>
        <v/>
      </c>
      <c r="Y424">
        <f>IF($B424="","",IF(COUNTIFS($B$4:$B424,$B424,$C$4:$C424,$C424)&gt;1,"⛔重複"&amp;COUNTIFS($B$4:$B424,$B424,$C$4:$C424,$C424)&amp;"回目",""))</f>
      </c>
      <c r="AB424">
        <f>IF($F424="","",MAX(100,ROUNDDOWN($AG$4/($F424*$AG$2)/100,0)*100))</f>
      </c>
      <c r="AC424">
        <f>IF(OR($F424="",$G424="",$U424=""),"",ROUND($V424-($F424+$U424)*$G424*$AG$6-IF($C424="売",$F424*$G424*$AG$7*$W424/365,0),0))</f>
      </c>
      <c r="AD424" s="608"/>
      <c r="AE424" s="600" t="str">
        <f t="shared" si="133"/>
        <v/>
      </c>
      <c r="AF424" s="600"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00"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00" t="str">
        <f t="shared" ca="1" si="134"/>
        <v/>
      </c>
      <c r="AI424" s="600" t="str" cm="1">
        <f t="array" ref="AI424">IFERROR(INDEX(始値!$E$6:$BT$305,MATCH(TEXT($B424,"0"),TEXT(銘柄管理!$B$6:$B$305,"0"),0),MATCH($AE424,始値!$E$3:$BT$3,0)),"")</f>
        <v/>
      </c>
      <c r="AJ424" s="608" t="str">
        <f t="shared" ca="1" si="135"/>
        <v/>
      </c>
      <c r="AK424" s="600" t="str">
        <f t="shared" ca="1" si="136"/>
        <v/>
      </c>
    </row>
    <row r="425" spans="1:37" ht="17.25" customHeight="1">
      <c r="A425" s="622" t="str">
        <f t="shared" si="125"/>
        <v/>
      </c>
      <c r="D425" s="440" t="str" cm="1">
        <f t="array" ref="D425">_xll.RssMarket(B425, "銘柄名称")</f>
        <v/>
      </c>
      <c r="E425" s="717"/>
      <c r="F425" s="6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 t="shared" ca="1" si="137"/>
        <v/>
      </c>
      <c r="L425" s="709" t="str">
        <f t="shared" ca="1" si="138"/>
        <v/>
      </c>
      <c r="M425" s="599">
        <f>IF($F425="","",IF($C425="売",CEILING($F425*IF($C425="売",1-$AG$3,1+$AG$3),IF($F425*IF($C425="売",1-$AG$3,1+$AG$3)&lt;=3000,1,IF($F425*IF($C425="売",1-$AG$3,1+$AG$3)&lt;=5000,5,IF($F425*IF($C425="売",1-$AG$3,1+$AG$3)&lt;=30000,10,IF($F425*IF($C425="売",1-$AG$3,1+$AG$3)&lt;=50000,50,IF($F425*IF($C425="売",1-$AG$3,1+$AG$3)&lt;=300000,100,500)))))),FLOOR($F425*IF($C425="売",1-$AG$3,1+$AG$3),IF($F425*IF($C425="売",1-$AG$3,1+$AG$3)&lt;=3000,1,IF($F425*IF($C425="売",1-$AG$3,1+$AG$3)&lt;=5000,5,IF($F425*IF($C425="売",1-$AG$3,1+$AG$3)&lt;=30000,10,IF($F425*IF($C425="売",1-$AG$3,1+$AG$3)&lt;=50000,50,IF($F425*IF($C425="売",1-$AG$3,1+$AG$3)&lt;=300000,100,500))))))))</f>
      </c>
      <c r="N425" s="599">
        <f>IF($F425="","",IF($C425="売",CEILING($F425*IF($C425="売",1+$AG$2,1-$AG$2),IF($F425*IF($C425="売",1+$AG$2,1-$AG$2)&lt;=3000,1,IF($F425*IF($C425="売",1+$AG$2,1-$AG$2)&lt;=5000,5,IF($F425*IF($C425="売",1+$AG$2,1-$AG$2)&lt;=30000,10,IF($F425*IF($C425="売",1+$AG$2,1-$AG$2)&lt;=50000,50,IF($F425*IF($C425="売",1+$AG$2,1-$AG$2)&lt;=300000,100,500)))))),FLOOR($F425*IF($C425="売",1+$AG$2,1-$AG$2),IF($F425*IF($C425="売",1+$AG$2,1-$AG$2)&lt;=3000,1,IF($F425*IF($C425="売",1+$AG$2,1-$AG$2)&lt;=5000,5,IF($F425*IF($C425="売",1+$AG$2,1-$AG$2)&lt;=30000,10,IF($F425*IF($C425="売",1+$AG$2,1-$AG$2)&lt;=50000,50,IF($F425*IF($C425="売",1+$AG$2,1-$AG$2)&lt;=300000,100,500))))))))</f>
      </c>
      <c r="O425" s="478">
        <f>IF(OR($B425="",$F425="",$H425=""),"",IF($S425="✅売却済","―決済済―",IF($C425="売",  IF($H425&lt;=$M425,"🟢利確",  IF(AND($R425&lt;&gt;"",$H425&gt;=$R425),"🟠TRAIL決済",  IF($H425&gt;=$N425,"🔴損切",  IF($W425&gt;=$AG$5,"⏱時間決済",  IF($H425&gt;=$F425*(1+$AG$2*0.7),"⚠️損切接近","保持継続"))))),  IF($H425&gt;=$M425,"🟢利確",  IF(AND($R425&lt;&gt;"",$H425&lt;=$R425),"🟠TRAIL決済",  IF($H425&lt;=$N425,"🔴損切",  IF($W425&gt;=$AG$5,"⏱時間決済",  IF($H425&lt;=$F425*(1-$AG$2*0.7),"⚠️損切接近","保持継続")))))))</f>
      </c>
      <c r="P425" s="445"/>
      <c r="R425" s="440">
        <f>IF(OR($F425="",$H425="",$N425=""),"",IF($S425="✅売却済","",IF($C425="売",  IF($H425&gt;$F425*(1-$AG$2),$N425,CEILING(MIN($N425,IF($Q425="",$N425,$Q425*1.03)),IF($N425&lt;=3000,1,IF($N425&lt;=5000,5,IF($N425&lt;=30000,10,IF($N425&lt;=50000,50,IF($N425&lt;=300000,100,500))))))),  IF($H425&lt;$F425*(1+$AG$2),$N425,FLOOR(MAX($N425,IF($P425="",$N425,$P425*0.97)),IF($N425&lt;=3000,1,IF($N425&lt;=5000,5,IF($N425&lt;=30000,10,IF($N425&lt;=50000,50,IF($N425&lt;=300000,100,500))))))))))</f>
      </c>
      <c r="S425" s="440" t="str">
        <f t="shared" si="140"/>
        <v/>
      </c>
      <c r="T425" s="597" t="str">
        <f t="shared" ca="1" si="129"/>
        <v/>
      </c>
      <c r="U425" s="599" t="str">
        <f t="shared" ca="1" si="130"/>
        <v/>
      </c>
      <c r="V425" s="704" t="str">
        <f t="shared" ca="1" si="141"/>
        <v/>
      </c>
      <c r="W425" s="440" t="str">
        <f t="shared" ca="1" si="131"/>
        <v/>
      </c>
      <c r="X425" s="440" t="str">
        <f t="shared" ca="1" si="132"/>
        <v/>
      </c>
      <c r="Y425">
        <f>IF($B425="","",IF(COUNTIFS($B$4:$B425,$B425,$C$4:$C425,$C425)&gt;1,"⛔重複"&amp;COUNTIFS($B$4:$B425,$B425,$C$4:$C425,$C425)&amp;"回目",""))</f>
      </c>
      <c r="AB425">
        <f>IF($F425="","",MAX(100,ROUNDDOWN($AG$4/($F425*$AG$2)/100,0)*100))</f>
      </c>
      <c r="AC425">
        <f>IF(OR($F425="",$G425="",$U425=""),"",ROUND($V425-($F425+$U425)*$G425*$AG$6-IF($C425="売",$F425*$G425*$AG$7*$W425/365,0),0))</f>
      </c>
      <c r="AD425" s="608"/>
      <c r="AE425" s="600" t="str">
        <f t="shared" si="133"/>
        <v/>
      </c>
      <c r="AF425" s="600"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00"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00" t="str">
        <f t="shared" ca="1" si="134"/>
        <v/>
      </c>
      <c r="AI425" s="600" t="str" cm="1">
        <f t="array" ref="AI425">IFERROR(INDEX(始値!$E$6:$BT$305,MATCH(TEXT($B425,"0"),TEXT(銘柄管理!$B$6:$B$305,"0"),0),MATCH($AE425,始値!$E$3:$BT$3,0)),"")</f>
        <v/>
      </c>
      <c r="AJ425" s="608" t="str">
        <f t="shared" ca="1" si="135"/>
        <v/>
      </c>
      <c r="AK425" s="600" t="str">
        <f t="shared" ca="1" si="136"/>
        <v/>
      </c>
    </row>
    <row r="426" spans="1:37" ht="17.25" customHeight="1">
      <c r="A426" s="622" t="str">
        <f t="shared" si="125"/>
        <v/>
      </c>
      <c r="D426" s="440" t="str" cm="1">
        <f t="array" ref="D426">_xll.RssMarket(B426, "銘柄名称")</f>
        <v/>
      </c>
      <c r="E426" s="717"/>
      <c r="F426" s="6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 t="shared" ca="1" si="137"/>
        <v/>
      </c>
      <c r="L426" s="709" t="str">
        <f t="shared" ca="1" si="138"/>
        <v/>
      </c>
      <c r="M426" s="599">
        <f>IF($F426="","",IF($C426="売",CEILING($F426*IF($C426="売",1-$AG$3,1+$AG$3),IF($F426*IF($C426="売",1-$AG$3,1+$AG$3)&lt;=3000,1,IF($F426*IF($C426="売",1-$AG$3,1+$AG$3)&lt;=5000,5,IF($F426*IF($C426="売",1-$AG$3,1+$AG$3)&lt;=30000,10,IF($F426*IF($C426="売",1-$AG$3,1+$AG$3)&lt;=50000,50,IF($F426*IF($C426="売",1-$AG$3,1+$AG$3)&lt;=300000,100,500)))))),FLOOR($F426*IF($C426="売",1-$AG$3,1+$AG$3),IF($F426*IF($C426="売",1-$AG$3,1+$AG$3)&lt;=3000,1,IF($F426*IF($C426="売",1-$AG$3,1+$AG$3)&lt;=5000,5,IF($F426*IF($C426="売",1-$AG$3,1+$AG$3)&lt;=30000,10,IF($F426*IF($C426="売",1-$AG$3,1+$AG$3)&lt;=50000,50,IF($F426*IF($C426="売",1-$AG$3,1+$AG$3)&lt;=300000,100,500))))))))</f>
      </c>
      <c r="N426" s="599">
        <f>IF($F426="","",IF($C426="売",CEILING($F426*IF($C426="売",1+$AG$2,1-$AG$2),IF($F426*IF($C426="売",1+$AG$2,1-$AG$2)&lt;=3000,1,IF($F426*IF($C426="売",1+$AG$2,1-$AG$2)&lt;=5000,5,IF($F426*IF($C426="売",1+$AG$2,1-$AG$2)&lt;=30000,10,IF($F426*IF($C426="売",1+$AG$2,1-$AG$2)&lt;=50000,50,IF($F426*IF($C426="売",1+$AG$2,1-$AG$2)&lt;=300000,100,500)))))),FLOOR($F426*IF($C426="売",1+$AG$2,1-$AG$2),IF($F426*IF($C426="売",1+$AG$2,1-$AG$2)&lt;=3000,1,IF($F426*IF($C426="売",1+$AG$2,1-$AG$2)&lt;=5000,5,IF($F426*IF($C426="売",1+$AG$2,1-$AG$2)&lt;=30000,10,IF($F426*IF($C426="売",1+$AG$2,1-$AG$2)&lt;=50000,50,IF($F426*IF($C426="売",1+$AG$2,1-$AG$2)&lt;=300000,100,500))))))))</f>
      </c>
      <c r="O426" s="478">
        <f>IF(OR($B426="",$F426="",$H426=""),"",IF($S426="✅売却済","―決済済―",IF($C426="売",  IF($H426&lt;=$M426,"🟢利確",  IF(AND($R426&lt;&gt;"",$H426&gt;=$R426),"🟠TRAIL決済",  IF($H426&gt;=$N426,"🔴損切",  IF($W426&gt;=$AG$5,"⏱時間決済",  IF($H426&gt;=$F426*(1+$AG$2*0.7),"⚠️損切接近","保持継続"))))),  IF($H426&gt;=$M426,"🟢利確",  IF(AND($R426&lt;&gt;"",$H426&lt;=$R426),"🟠TRAIL決済",  IF($H426&lt;=$N426,"🔴損切",  IF($W426&gt;=$AG$5,"⏱時間決済",  IF($H426&lt;=$F426*(1-$AG$2*0.7),"⚠️損切接近","保持継続")))))))</f>
      </c>
      <c r="P426" s="445"/>
      <c r="R426" s="440">
        <f>IF(OR($F426="",$H426="",$N426=""),"",IF($S426="✅売却済","",IF($C426="売",  IF($H426&gt;$F426*(1-$AG$2),$N426,CEILING(MIN($N426,IF($Q426="",$N426,$Q426*1.03)),IF($N426&lt;=3000,1,IF($N426&lt;=5000,5,IF($N426&lt;=30000,10,IF($N426&lt;=50000,50,IF($N426&lt;=300000,100,500))))))),  IF($H426&lt;$F426*(1+$AG$2),$N426,FLOOR(MAX($N426,IF($P426="",$N426,$P426*0.97)),IF($N426&lt;=3000,1,IF($N426&lt;=5000,5,IF($N426&lt;=30000,10,IF($N426&lt;=50000,50,IF($N426&lt;=300000,100,500))))))))))</f>
      </c>
      <c r="S426" s="440" t="str">
        <f t="shared" si="140"/>
        <v/>
      </c>
      <c r="T426" s="597" t="str">
        <f t="shared" ca="1" si="129"/>
        <v/>
      </c>
      <c r="U426" s="599" t="str">
        <f t="shared" ca="1" si="130"/>
        <v/>
      </c>
      <c r="V426" s="704" t="str">
        <f t="shared" ca="1" si="141"/>
        <v/>
      </c>
      <c r="W426" s="440" t="str">
        <f t="shared" ca="1" si="131"/>
        <v/>
      </c>
      <c r="X426" s="440" t="str">
        <f t="shared" ca="1" si="132"/>
        <v/>
      </c>
      <c r="Y426">
        <f>IF($B426="","",IF(COUNTIFS($B$4:$B426,$B426,$C$4:$C426,$C426)&gt;1,"⛔重複"&amp;COUNTIFS($B$4:$B426,$B426,$C$4:$C426,$C426)&amp;"回目",""))</f>
      </c>
      <c r="AB426">
        <f>IF($F426="","",MAX(100,ROUNDDOWN($AG$4/($F426*$AG$2)/100,0)*100))</f>
      </c>
      <c r="AC426">
        <f>IF(OR($F426="",$G426="",$U426=""),"",ROUND($V426-($F426+$U426)*$G426*$AG$6-IF($C426="売",$F426*$G426*$AG$7*$W426/365,0),0))</f>
      </c>
      <c r="AD426" s="608"/>
      <c r="AE426" s="600" t="str">
        <f t="shared" si="133"/>
        <v/>
      </c>
      <c r="AF426" s="600"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00"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00" t="str">
        <f t="shared" ca="1" si="134"/>
        <v/>
      </c>
      <c r="AI426" s="600" t="str" cm="1">
        <f t="array" ref="AI426">IFERROR(INDEX(始値!$E$6:$BT$305,MATCH(TEXT($B426,"0"),TEXT(銘柄管理!$B$6:$B$305,"0"),0),MATCH($AE426,始値!$E$3:$BT$3,0)),"")</f>
        <v/>
      </c>
      <c r="AJ426" s="608" t="str">
        <f t="shared" ca="1" si="135"/>
        <v/>
      </c>
      <c r="AK426" s="600" t="str">
        <f t="shared" ca="1" si="136"/>
        <v/>
      </c>
    </row>
    <row r="427" spans="1:37" ht="17.25" customHeight="1">
      <c r="A427" s="622" t="str">
        <f t="shared" si="125"/>
        <v/>
      </c>
      <c r="D427" s="440" t="str" cm="1">
        <f t="array" ref="D427">_xll.RssMarket(B427, "銘柄名称")</f>
        <v/>
      </c>
      <c r="E427" s="717"/>
      <c r="F427" s="6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 t="shared" ca="1" si="137"/>
        <v/>
      </c>
      <c r="L427" s="709" t="str">
        <f t="shared" ca="1" si="138"/>
        <v/>
      </c>
      <c r="M427" s="599">
        <f>IF($F427="","",IF($C427="売",CEILING($F427*IF($C427="売",1-$AG$3,1+$AG$3),IF($F427*IF($C427="売",1-$AG$3,1+$AG$3)&lt;=3000,1,IF($F427*IF($C427="売",1-$AG$3,1+$AG$3)&lt;=5000,5,IF($F427*IF($C427="売",1-$AG$3,1+$AG$3)&lt;=30000,10,IF($F427*IF($C427="売",1-$AG$3,1+$AG$3)&lt;=50000,50,IF($F427*IF($C427="売",1-$AG$3,1+$AG$3)&lt;=300000,100,500)))))),FLOOR($F427*IF($C427="売",1-$AG$3,1+$AG$3),IF($F427*IF($C427="売",1-$AG$3,1+$AG$3)&lt;=3000,1,IF($F427*IF($C427="売",1-$AG$3,1+$AG$3)&lt;=5000,5,IF($F427*IF($C427="売",1-$AG$3,1+$AG$3)&lt;=30000,10,IF($F427*IF($C427="売",1-$AG$3,1+$AG$3)&lt;=50000,50,IF($F427*IF($C427="売",1-$AG$3,1+$AG$3)&lt;=300000,100,500))))))))</f>
      </c>
      <c r="N427" s="599">
        <f>IF($F427="","",IF($C427="売",CEILING($F427*IF($C427="売",1+$AG$2,1-$AG$2),IF($F427*IF($C427="売",1+$AG$2,1-$AG$2)&lt;=3000,1,IF($F427*IF($C427="売",1+$AG$2,1-$AG$2)&lt;=5000,5,IF($F427*IF($C427="売",1+$AG$2,1-$AG$2)&lt;=30000,10,IF($F427*IF($C427="売",1+$AG$2,1-$AG$2)&lt;=50000,50,IF($F427*IF($C427="売",1+$AG$2,1-$AG$2)&lt;=300000,100,500)))))),FLOOR($F427*IF($C427="売",1+$AG$2,1-$AG$2),IF($F427*IF($C427="売",1+$AG$2,1-$AG$2)&lt;=3000,1,IF($F427*IF($C427="売",1+$AG$2,1-$AG$2)&lt;=5000,5,IF($F427*IF($C427="売",1+$AG$2,1-$AG$2)&lt;=30000,10,IF($F427*IF($C427="売",1+$AG$2,1-$AG$2)&lt;=50000,50,IF($F427*IF($C427="売",1+$AG$2,1-$AG$2)&lt;=300000,100,500))))))))</f>
      </c>
      <c r="O427" s="478">
        <f>IF(OR($B427="",$F427="",$H427=""),"",IF($S427="✅売却済","―決済済―",IF($C427="売",  IF($H427&lt;=$M427,"🟢利確",  IF(AND($R427&lt;&gt;"",$H427&gt;=$R427),"🟠TRAIL決済",  IF($H427&gt;=$N427,"🔴損切",  IF($W427&gt;=$AG$5,"⏱時間決済",  IF($H427&gt;=$F427*(1+$AG$2*0.7),"⚠️損切接近","保持継続"))))),  IF($H427&gt;=$M427,"🟢利確",  IF(AND($R427&lt;&gt;"",$H427&lt;=$R427),"🟠TRAIL決済",  IF($H427&lt;=$N427,"🔴損切",  IF($W427&gt;=$AG$5,"⏱時間決済",  IF($H427&lt;=$F427*(1-$AG$2*0.7),"⚠️損切接近","保持継続")))))))</f>
      </c>
      <c r="P427" s="445"/>
      <c r="R427" s="440">
        <f>IF(OR($F427="",$H427="",$N427=""),"",IF($S427="✅売却済","",IF($C427="売",  IF($H427&gt;$F427*(1-$AG$2),$N427,CEILING(MIN($N427,IF($Q427="",$N427,$Q427*1.03)),IF($N427&lt;=3000,1,IF($N427&lt;=5000,5,IF($N427&lt;=30000,10,IF($N427&lt;=50000,50,IF($N427&lt;=300000,100,500))))))),  IF($H427&lt;$F427*(1+$AG$2),$N427,FLOOR(MAX($N427,IF($P427="",$N427,$P427*0.97)),IF($N427&lt;=3000,1,IF($N427&lt;=5000,5,IF($N427&lt;=30000,10,IF($N427&lt;=50000,50,IF($N427&lt;=300000,100,500))))))))))</f>
      </c>
      <c r="S427" s="440" t="str">
        <f t="shared" si="140"/>
        <v/>
      </c>
      <c r="T427" s="597" t="str">
        <f t="shared" ca="1" si="129"/>
        <v/>
      </c>
      <c r="U427" s="599" t="str">
        <f t="shared" ca="1" si="130"/>
        <v/>
      </c>
      <c r="V427" s="704" t="str">
        <f t="shared" ca="1" si="141"/>
        <v/>
      </c>
      <c r="W427" s="440" t="str">
        <f t="shared" ca="1" si="131"/>
        <v/>
      </c>
      <c r="X427" s="440" t="str">
        <f t="shared" ca="1" si="132"/>
        <v/>
      </c>
      <c r="Y427">
        <f>IF($B427="","",IF(COUNTIFS($B$4:$B427,$B427,$C$4:$C427,$C427)&gt;1,"⛔重複"&amp;COUNTIFS($B$4:$B427,$B427,$C$4:$C427,$C427)&amp;"回目",""))</f>
      </c>
      <c r="AB427">
        <f>IF($F427="","",MAX(100,ROUNDDOWN($AG$4/($F427*$AG$2)/100,0)*100))</f>
      </c>
      <c r="AC427">
        <f>IF(OR($F427="",$G427="",$U427=""),"",ROUND($V427-($F427+$U427)*$G427*$AG$6-IF($C427="売",$F427*$G427*$AG$7*$W427/365,0),0))</f>
      </c>
      <c r="AD427" s="608"/>
      <c r="AE427" s="600" t="str">
        <f t="shared" si="133"/>
        <v/>
      </c>
      <c r="AF427" s="600"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00"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00" t="str">
        <f t="shared" ca="1" si="134"/>
        <v/>
      </c>
      <c r="AI427" s="600" t="str" cm="1">
        <f t="array" ref="AI427">IFERROR(INDEX(始値!$E$6:$BT$305,MATCH(TEXT($B427,"0"),TEXT(銘柄管理!$B$6:$B$305,"0"),0),MATCH($AE427,始値!$E$3:$BT$3,0)),"")</f>
        <v/>
      </c>
      <c r="AJ427" s="608" t="str">
        <f t="shared" ca="1" si="135"/>
        <v/>
      </c>
      <c r="AK427" s="600" t="str">
        <f t="shared" ca="1" si="136"/>
        <v/>
      </c>
    </row>
    <row r="428" spans="1:37" ht="17.25" customHeight="1">
      <c r="A428" s="622" t="str">
        <f t="shared" si="125"/>
        <v/>
      </c>
      <c r="D428" s="440" t="str" cm="1">
        <f t="array" ref="D428">_xll.RssMarket(B428, "銘柄名称")</f>
        <v/>
      </c>
      <c r="E428" s="717"/>
      <c r="F428" s="6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 t="shared" ca="1" si="137"/>
        <v/>
      </c>
      <c r="L428" s="709" t="str">
        <f t="shared" ca="1" si="138"/>
        <v/>
      </c>
      <c r="M428" s="599">
        <f>IF($F428="","",IF($C428="売",CEILING($F428*IF($C428="売",1-$AG$3,1+$AG$3),IF($F428*IF($C428="売",1-$AG$3,1+$AG$3)&lt;=3000,1,IF($F428*IF($C428="売",1-$AG$3,1+$AG$3)&lt;=5000,5,IF($F428*IF($C428="売",1-$AG$3,1+$AG$3)&lt;=30000,10,IF($F428*IF($C428="売",1-$AG$3,1+$AG$3)&lt;=50000,50,IF($F428*IF($C428="売",1-$AG$3,1+$AG$3)&lt;=300000,100,500)))))),FLOOR($F428*IF($C428="売",1-$AG$3,1+$AG$3),IF($F428*IF($C428="売",1-$AG$3,1+$AG$3)&lt;=3000,1,IF($F428*IF($C428="売",1-$AG$3,1+$AG$3)&lt;=5000,5,IF($F428*IF($C428="売",1-$AG$3,1+$AG$3)&lt;=30000,10,IF($F428*IF($C428="売",1-$AG$3,1+$AG$3)&lt;=50000,50,IF($F428*IF($C428="売",1-$AG$3,1+$AG$3)&lt;=300000,100,500))))))))</f>
      </c>
      <c r="N428" s="599">
        <f>IF($F428="","",IF($C428="売",CEILING($F428*IF($C428="売",1+$AG$2,1-$AG$2),IF($F428*IF($C428="売",1+$AG$2,1-$AG$2)&lt;=3000,1,IF($F428*IF($C428="売",1+$AG$2,1-$AG$2)&lt;=5000,5,IF($F428*IF($C428="売",1+$AG$2,1-$AG$2)&lt;=30000,10,IF($F428*IF($C428="売",1+$AG$2,1-$AG$2)&lt;=50000,50,IF($F428*IF($C428="売",1+$AG$2,1-$AG$2)&lt;=300000,100,500)))))),FLOOR($F428*IF($C428="売",1+$AG$2,1-$AG$2),IF($F428*IF($C428="売",1+$AG$2,1-$AG$2)&lt;=3000,1,IF($F428*IF($C428="売",1+$AG$2,1-$AG$2)&lt;=5000,5,IF($F428*IF($C428="売",1+$AG$2,1-$AG$2)&lt;=30000,10,IF($F428*IF($C428="売",1+$AG$2,1-$AG$2)&lt;=50000,50,IF($F428*IF($C428="売",1+$AG$2,1-$AG$2)&lt;=300000,100,500))))))))</f>
      </c>
      <c r="O428" s="478">
        <f>IF(OR($B428="",$F428="",$H428=""),"",IF($S428="✅売却済","―決済済―",IF($C428="売",  IF($H428&lt;=$M428,"🟢利確",  IF(AND($R428&lt;&gt;"",$H428&gt;=$R428),"🟠TRAIL決済",  IF($H428&gt;=$N428,"🔴損切",  IF($W428&gt;=$AG$5,"⏱時間決済",  IF($H428&gt;=$F428*(1+$AG$2*0.7),"⚠️損切接近","保持継続"))))),  IF($H428&gt;=$M428,"🟢利確",  IF(AND($R428&lt;&gt;"",$H428&lt;=$R428),"🟠TRAIL決済",  IF($H428&lt;=$N428,"🔴損切",  IF($W428&gt;=$AG$5,"⏱時間決済",  IF($H428&lt;=$F428*(1-$AG$2*0.7),"⚠️損切接近","保持継続")))))))</f>
      </c>
      <c r="P428" s="445"/>
      <c r="R428" s="440">
        <f>IF(OR($F428="",$H428="",$N428=""),"",IF($S428="✅売却済","",IF($C428="売",  IF($H428&gt;$F428*(1-$AG$2),$N428,CEILING(MIN($N428,IF($Q428="",$N428,$Q428*1.03)),IF($N428&lt;=3000,1,IF($N428&lt;=5000,5,IF($N428&lt;=30000,10,IF($N428&lt;=50000,50,IF($N428&lt;=300000,100,500))))))),  IF($H428&lt;$F428*(1+$AG$2),$N428,FLOOR(MAX($N428,IF($P428="",$N428,$P428*0.97)),IF($N428&lt;=3000,1,IF($N428&lt;=5000,5,IF($N428&lt;=30000,10,IF($N428&lt;=50000,50,IF($N428&lt;=300000,100,500))))))))))</f>
      </c>
      <c r="S428" s="440" t="str">
        <f t="shared" si="140"/>
        <v/>
      </c>
      <c r="T428" s="597" t="str">
        <f t="shared" ca="1" si="129"/>
        <v/>
      </c>
      <c r="U428" s="599" t="str">
        <f t="shared" ca="1" si="130"/>
        <v/>
      </c>
      <c r="V428" s="704" t="str">
        <f t="shared" ca="1" si="141"/>
        <v/>
      </c>
      <c r="W428" s="440" t="str">
        <f t="shared" ca="1" si="131"/>
        <v/>
      </c>
      <c r="X428" s="440" t="str">
        <f t="shared" ca="1" si="132"/>
        <v/>
      </c>
      <c r="Y428">
        <f>IF($B428="","",IF(COUNTIFS($B$4:$B428,$B428,$C$4:$C428,$C428)&gt;1,"⛔重複"&amp;COUNTIFS($B$4:$B428,$B428,$C$4:$C428,$C428)&amp;"回目",""))</f>
      </c>
      <c r="AB428">
        <f>IF($F428="","",MAX(100,ROUNDDOWN($AG$4/($F428*$AG$2)/100,0)*100))</f>
      </c>
      <c r="AC428">
        <f>IF(OR($F428="",$G428="",$U428=""),"",ROUND($V428-($F428+$U428)*$G428*$AG$6-IF($C428="売",$F428*$G428*$AG$7*$W428/365,0),0))</f>
      </c>
      <c r="AD428" s="608"/>
      <c r="AE428" s="600" t="str">
        <f t="shared" si="133"/>
        <v/>
      </c>
      <c r="AF428" s="600"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00"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00" t="str">
        <f t="shared" ca="1" si="134"/>
        <v/>
      </c>
      <c r="AI428" s="600" t="str" cm="1">
        <f t="array" ref="AI428">IFERROR(INDEX(始値!$E$6:$BT$305,MATCH(TEXT($B428,"0"),TEXT(銘柄管理!$B$6:$B$305,"0"),0),MATCH($AE428,始値!$E$3:$BT$3,0)),"")</f>
        <v/>
      </c>
      <c r="AJ428" s="608" t="str">
        <f t="shared" ca="1" si="135"/>
        <v/>
      </c>
      <c r="AK428" s="600" t="str">
        <f t="shared" ca="1" si="136"/>
        <v/>
      </c>
    </row>
    <row r="429" spans="1:37" ht="17.25" customHeight="1">
      <c r="A429" s="622" t="str">
        <f t="shared" si="125"/>
        <v/>
      </c>
      <c r="D429" s="440" t="str" cm="1">
        <f t="array" ref="D429">_xll.RssMarket(B429, "銘柄名称")</f>
        <v/>
      </c>
      <c r="E429" s="717"/>
      <c r="F429" s="6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 t="shared" ca="1" si="137"/>
        <v/>
      </c>
      <c r="L429" s="709" t="str">
        <f t="shared" ca="1" si="138"/>
        <v/>
      </c>
      <c r="M429" s="599">
        <f>IF($F429="","",IF($C429="売",CEILING($F429*IF($C429="売",1-$AG$3,1+$AG$3),IF($F429*IF($C429="売",1-$AG$3,1+$AG$3)&lt;=3000,1,IF($F429*IF($C429="売",1-$AG$3,1+$AG$3)&lt;=5000,5,IF($F429*IF($C429="売",1-$AG$3,1+$AG$3)&lt;=30000,10,IF($F429*IF($C429="売",1-$AG$3,1+$AG$3)&lt;=50000,50,IF($F429*IF($C429="売",1-$AG$3,1+$AG$3)&lt;=300000,100,500)))))),FLOOR($F429*IF($C429="売",1-$AG$3,1+$AG$3),IF($F429*IF($C429="売",1-$AG$3,1+$AG$3)&lt;=3000,1,IF($F429*IF($C429="売",1-$AG$3,1+$AG$3)&lt;=5000,5,IF($F429*IF($C429="売",1-$AG$3,1+$AG$3)&lt;=30000,10,IF($F429*IF($C429="売",1-$AG$3,1+$AG$3)&lt;=50000,50,IF($F429*IF($C429="売",1-$AG$3,1+$AG$3)&lt;=300000,100,500))))))))</f>
      </c>
      <c r="N429" s="599">
        <f>IF($F429="","",IF($C429="売",CEILING($F429*IF($C429="売",1+$AG$2,1-$AG$2),IF($F429*IF($C429="売",1+$AG$2,1-$AG$2)&lt;=3000,1,IF($F429*IF($C429="売",1+$AG$2,1-$AG$2)&lt;=5000,5,IF($F429*IF($C429="売",1+$AG$2,1-$AG$2)&lt;=30000,10,IF($F429*IF($C429="売",1+$AG$2,1-$AG$2)&lt;=50000,50,IF($F429*IF($C429="売",1+$AG$2,1-$AG$2)&lt;=300000,100,500)))))),FLOOR($F429*IF($C429="売",1+$AG$2,1-$AG$2),IF($F429*IF($C429="売",1+$AG$2,1-$AG$2)&lt;=3000,1,IF($F429*IF($C429="売",1+$AG$2,1-$AG$2)&lt;=5000,5,IF($F429*IF($C429="売",1+$AG$2,1-$AG$2)&lt;=30000,10,IF($F429*IF($C429="売",1+$AG$2,1-$AG$2)&lt;=50000,50,IF($F429*IF($C429="売",1+$AG$2,1-$AG$2)&lt;=300000,100,500))))))))</f>
      </c>
      <c r="O429" s="478">
        <f>IF(OR($B429="",$F429="",$H429=""),"",IF($S429="✅売却済","―決済済―",IF($C429="売",  IF($H429&lt;=$M429,"🟢利確",  IF(AND($R429&lt;&gt;"",$H429&gt;=$R429),"🟠TRAIL決済",  IF($H429&gt;=$N429,"🔴損切",  IF($W429&gt;=$AG$5,"⏱時間決済",  IF($H429&gt;=$F429*(1+$AG$2*0.7),"⚠️損切接近","保持継続"))))),  IF($H429&gt;=$M429,"🟢利確",  IF(AND($R429&lt;&gt;"",$H429&lt;=$R429),"🟠TRAIL決済",  IF($H429&lt;=$N429,"🔴損切",  IF($W429&gt;=$AG$5,"⏱時間決済",  IF($H429&lt;=$F429*(1-$AG$2*0.7),"⚠️損切接近","保持継続")))))))</f>
      </c>
      <c r="P429" s="445"/>
      <c r="R429" s="440">
        <f>IF(OR($F429="",$H429="",$N429=""),"",IF($S429="✅売却済","",IF($C429="売",  IF($H429&gt;$F429*(1-$AG$2),$N429,CEILING(MIN($N429,IF($Q429="",$N429,$Q429*1.03)),IF($N429&lt;=3000,1,IF($N429&lt;=5000,5,IF($N429&lt;=30000,10,IF($N429&lt;=50000,50,IF($N429&lt;=300000,100,500))))))),  IF($H429&lt;$F429*(1+$AG$2),$N429,FLOOR(MAX($N429,IF($P429="",$N429,$P429*0.97)),IF($N429&lt;=3000,1,IF($N429&lt;=5000,5,IF($N429&lt;=30000,10,IF($N429&lt;=50000,50,IF($N429&lt;=300000,100,500))))))))))</f>
      </c>
      <c r="S429" s="440" t="str">
        <f t="shared" si="140"/>
        <v/>
      </c>
      <c r="T429" s="597" t="str">
        <f t="shared" ca="1" si="129"/>
        <v/>
      </c>
      <c r="U429" s="599" t="str">
        <f t="shared" ca="1" si="130"/>
        <v/>
      </c>
      <c r="V429" s="704" t="str">
        <f t="shared" ca="1" si="141"/>
        <v/>
      </c>
      <c r="W429" s="440" t="str">
        <f t="shared" ca="1" si="131"/>
        <v/>
      </c>
      <c r="X429" s="440" t="str">
        <f t="shared" ca="1" si="132"/>
        <v/>
      </c>
      <c r="Y429">
        <f>IF($B429="","",IF(COUNTIFS($B$4:$B429,$B429,$C$4:$C429,$C429)&gt;1,"⛔重複"&amp;COUNTIFS($B$4:$B429,$B429,$C$4:$C429,$C429)&amp;"回目",""))</f>
      </c>
      <c r="AB429">
        <f>IF($F429="","",MAX(100,ROUNDDOWN($AG$4/($F429*$AG$2)/100,0)*100))</f>
      </c>
      <c r="AC429">
        <f>IF(OR($F429="",$G429="",$U429=""),"",ROUND($V429-($F429+$U429)*$G429*$AG$6-IF($C429="売",$F429*$G429*$AG$7*$W429/365,0),0))</f>
      </c>
      <c r="AD429" s="608"/>
      <c r="AE429" s="600" t="str">
        <f t="shared" si="133"/>
        <v/>
      </c>
      <c r="AF429" s="600"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00"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00" t="str">
        <f t="shared" ca="1" si="134"/>
        <v/>
      </c>
      <c r="AI429" s="600" t="str" cm="1">
        <f t="array" ref="AI429">IFERROR(INDEX(始値!$E$6:$BT$305,MATCH(TEXT($B429,"0"),TEXT(銘柄管理!$B$6:$B$305,"0"),0),MATCH($AE429,始値!$E$3:$BT$3,0)),"")</f>
        <v/>
      </c>
      <c r="AJ429" s="608" t="str">
        <f t="shared" ca="1" si="135"/>
        <v/>
      </c>
      <c r="AK429" s="600" t="str">
        <f t="shared" ca="1" si="136"/>
        <v/>
      </c>
    </row>
    <row r="430" spans="1:37" ht="17.25" customHeight="1">
      <c r="A430" s="622" t="str">
        <f t="shared" si="125"/>
        <v/>
      </c>
      <c r="D430" s="440" t="str" cm="1">
        <f t="array" ref="D430">_xll.RssMarket(B430, "銘柄名称")</f>
        <v/>
      </c>
      <c r="E430" s="717"/>
      <c r="F430" s="6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 t="shared" ca="1" si="137"/>
        <v/>
      </c>
      <c r="L430" s="709" t="str">
        <f t="shared" ca="1" si="138"/>
        <v/>
      </c>
      <c r="M430" s="599">
        <f>IF($F430="","",IF($C430="売",CEILING($F430*IF($C430="売",1-$AG$3,1+$AG$3),IF($F430*IF($C430="売",1-$AG$3,1+$AG$3)&lt;=3000,1,IF($F430*IF($C430="売",1-$AG$3,1+$AG$3)&lt;=5000,5,IF($F430*IF($C430="売",1-$AG$3,1+$AG$3)&lt;=30000,10,IF($F430*IF($C430="売",1-$AG$3,1+$AG$3)&lt;=50000,50,IF($F430*IF($C430="売",1-$AG$3,1+$AG$3)&lt;=300000,100,500)))))),FLOOR($F430*IF($C430="売",1-$AG$3,1+$AG$3),IF($F430*IF($C430="売",1-$AG$3,1+$AG$3)&lt;=3000,1,IF($F430*IF($C430="売",1-$AG$3,1+$AG$3)&lt;=5000,5,IF($F430*IF($C430="売",1-$AG$3,1+$AG$3)&lt;=30000,10,IF($F430*IF($C430="売",1-$AG$3,1+$AG$3)&lt;=50000,50,IF($F430*IF($C430="売",1-$AG$3,1+$AG$3)&lt;=300000,100,500))))))))</f>
      </c>
      <c r="N430" s="599">
        <f>IF($F430="","",IF($C430="売",CEILING($F430*IF($C430="売",1+$AG$2,1-$AG$2),IF($F430*IF($C430="売",1+$AG$2,1-$AG$2)&lt;=3000,1,IF($F430*IF($C430="売",1+$AG$2,1-$AG$2)&lt;=5000,5,IF($F430*IF($C430="売",1+$AG$2,1-$AG$2)&lt;=30000,10,IF($F430*IF($C430="売",1+$AG$2,1-$AG$2)&lt;=50000,50,IF($F430*IF($C430="売",1+$AG$2,1-$AG$2)&lt;=300000,100,500)))))),FLOOR($F430*IF($C430="売",1+$AG$2,1-$AG$2),IF($F430*IF($C430="売",1+$AG$2,1-$AG$2)&lt;=3000,1,IF($F430*IF($C430="売",1+$AG$2,1-$AG$2)&lt;=5000,5,IF($F430*IF($C430="売",1+$AG$2,1-$AG$2)&lt;=30000,10,IF($F430*IF($C430="売",1+$AG$2,1-$AG$2)&lt;=50000,50,IF($F430*IF($C430="売",1+$AG$2,1-$AG$2)&lt;=300000,100,500))))))))</f>
      </c>
      <c r="O430" s="478">
        <f>IF(OR($B430="",$F430="",$H430=""),"",IF($S430="✅売却済","―決済済―",IF($C430="売",  IF($H430&lt;=$M430,"🟢利確",  IF(AND($R430&lt;&gt;"",$H430&gt;=$R430),"🟠TRAIL決済",  IF($H430&gt;=$N430,"🔴損切",  IF($W430&gt;=$AG$5,"⏱時間決済",  IF($H430&gt;=$F430*(1+$AG$2*0.7),"⚠️損切接近","保持継続"))))),  IF($H430&gt;=$M430,"🟢利確",  IF(AND($R430&lt;&gt;"",$H430&lt;=$R430),"🟠TRAIL決済",  IF($H430&lt;=$N430,"🔴損切",  IF($W430&gt;=$AG$5,"⏱時間決済",  IF($H430&lt;=$F430*(1-$AG$2*0.7),"⚠️損切接近","保持継続")))))))</f>
      </c>
      <c r="P430" s="445"/>
      <c r="R430" s="440">
        <f>IF(OR($F430="",$H430="",$N430=""),"",IF($S430="✅売却済","",IF($C430="売",  IF($H430&gt;$F430*(1-$AG$2),$N430,CEILING(MIN($N430,IF($Q430="",$N430,$Q430*1.03)),IF($N430&lt;=3000,1,IF($N430&lt;=5000,5,IF($N430&lt;=30000,10,IF($N430&lt;=50000,50,IF($N430&lt;=300000,100,500))))))),  IF($H430&lt;$F430*(1+$AG$2),$N430,FLOOR(MAX($N430,IF($P430="",$N430,$P430*0.97)),IF($N430&lt;=3000,1,IF($N430&lt;=5000,5,IF($N430&lt;=30000,10,IF($N430&lt;=50000,50,IF($N430&lt;=300000,100,500))))))))))</f>
      </c>
      <c r="S430" s="440" t="str">
        <f t="shared" si="140"/>
        <v/>
      </c>
      <c r="T430" s="597" t="str">
        <f t="shared" ca="1" si="129"/>
        <v/>
      </c>
      <c r="U430" s="599" t="str">
        <f t="shared" ca="1" si="130"/>
        <v/>
      </c>
      <c r="V430" s="704" t="str">
        <f t="shared" ca="1" si="141"/>
        <v/>
      </c>
      <c r="W430" s="440" t="str">
        <f t="shared" ca="1" si="131"/>
        <v/>
      </c>
      <c r="X430" s="440" t="str">
        <f t="shared" ca="1" si="132"/>
        <v/>
      </c>
      <c r="Y430">
        <f>IF($B430="","",IF(COUNTIFS($B$4:$B430,$B430,$C$4:$C430,$C430)&gt;1,"⛔重複"&amp;COUNTIFS($B$4:$B430,$B430,$C$4:$C430,$C430)&amp;"回目",""))</f>
      </c>
      <c r="AB430">
        <f>IF($F430="","",MAX(100,ROUNDDOWN($AG$4/($F430*$AG$2)/100,0)*100))</f>
      </c>
      <c r="AC430">
        <f>IF(OR($F430="",$G430="",$U430=""),"",ROUND($V430-($F430+$U430)*$G430*$AG$6-IF($C430="売",$F430*$G430*$AG$7*$W430/365,0),0))</f>
      </c>
      <c r="AD430" s="608"/>
      <c r="AE430" s="600" t="str">
        <f t="shared" si="133"/>
        <v/>
      </c>
      <c r="AF430" s="600"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00"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00" t="str">
        <f t="shared" ca="1" si="134"/>
        <v/>
      </c>
      <c r="AI430" s="600" t="str" cm="1">
        <f t="array" ref="AI430">IFERROR(INDEX(始値!$E$6:$BT$305,MATCH(TEXT($B430,"0"),TEXT(銘柄管理!$B$6:$B$305,"0"),0),MATCH($AE430,始値!$E$3:$BT$3,0)),"")</f>
        <v/>
      </c>
      <c r="AJ430" s="608" t="str">
        <f t="shared" ca="1" si="135"/>
        <v/>
      </c>
      <c r="AK430" s="600" t="str">
        <f t="shared" ca="1" si="136"/>
        <v/>
      </c>
    </row>
    <row r="431" spans="1:37" ht="17.25" customHeight="1">
      <c r="A431" s="622" t="str">
        <f t="shared" si="125"/>
        <v/>
      </c>
      <c r="D431" s="440" t="str" cm="1">
        <f t="array" ref="D431">_xll.RssMarket(B431, "銘柄名称")</f>
        <v/>
      </c>
      <c r="E431" s="717"/>
      <c r="F431" s="6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 t="shared" ca="1" si="137"/>
        <v/>
      </c>
      <c r="L431" s="709" t="str">
        <f t="shared" ca="1" si="138"/>
        <v/>
      </c>
      <c r="M431" s="599">
        <f>IF($F431="","",IF($C431="売",CEILING($F431*IF($C431="売",1-$AG$3,1+$AG$3),IF($F431*IF($C431="売",1-$AG$3,1+$AG$3)&lt;=3000,1,IF($F431*IF($C431="売",1-$AG$3,1+$AG$3)&lt;=5000,5,IF($F431*IF($C431="売",1-$AG$3,1+$AG$3)&lt;=30000,10,IF($F431*IF($C431="売",1-$AG$3,1+$AG$3)&lt;=50000,50,IF($F431*IF($C431="売",1-$AG$3,1+$AG$3)&lt;=300000,100,500)))))),FLOOR($F431*IF($C431="売",1-$AG$3,1+$AG$3),IF($F431*IF($C431="売",1-$AG$3,1+$AG$3)&lt;=3000,1,IF($F431*IF($C431="売",1-$AG$3,1+$AG$3)&lt;=5000,5,IF($F431*IF($C431="売",1-$AG$3,1+$AG$3)&lt;=30000,10,IF($F431*IF($C431="売",1-$AG$3,1+$AG$3)&lt;=50000,50,IF($F431*IF($C431="売",1-$AG$3,1+$AG$3)&lt;=300000,100,500))))))))</f>
      </c>
      <c r="N431" s="599">
        <f>IF($F431="","",IF($C431="売",CEILING($F431*IF($C431="売",1+$AG$2,1-$AG$2),IF($F431*IF($C431="売",1+$AG$2,1-$AG$2)&lt;=3000,1,IF($F431*IF($C431="売",1+$AG$2,1-$AG$2)&lt;=5000,5,IF($F431*IF($C431="売",1+$AG$2,1-$AG$2)&lt;=30000,10,IF($F431*IF($C431="売",1+$AG$2,1-$AG$2)&lt;=50000,50,IF($F431*IF($C431="売",1+$AG$2,1-$AG$2)&lt;=300000,100,500)))))),FLOOR($F431*IF($C431="売",1+$AG$2,1-$AG$2),IF($F431*IF($C431="売",1+$AG$2,1-$AG$2)&lt;=3000,1,IF($F431*IF($C431="売",1+$AG$2,1-$AG$2)&lt;=5000,5,IF($F431*IF($C431="売",1+$AG$2,1-$AG$2)&lt;=30000,10,IF($F431*IF($C431="売",1+$AG$2,1-$AG$2)&lt;=50000,50,IF($F431*IF($C431="売",1+$AG$2,1-$AG$2)&lt;=300000,100,500))))))))</f>
      </c>
      <c r="O431" s="478">
        <f>IF(OR($B431="",$F431="",$H431=""),"",IF($S431="✅売却済","―決済済―",IF($C431="売",  IF($H431&lt;=$M431,"🟢利確",  IF(AND($R431&lt;&gt;"",$H431&gt;=$R431),"🟠TRAIL決済",  IF($H431&gt;=$N431,"🔴損切",  IF($W431&gt;=$AG$5,"⏱時間決済",  IF($H431&gt;=$F431*(1+$AG$2*0.7),"⚠️損切接近","保持継続"))))),  IF($H431&gt;=$M431,"🟢利確",  IF(AND($R431&lt;&gt;"",$H431&lt;=$R431),"🟠TRAIL決済",  IF($H431&lt;=$N431,"🔴損切",  IF($W431&gt;=$AG$5,"⏱時間決済",  IF($H431&lt;=$F431*(1-$AG$2*0.7),"⚠️損切接近","保持継続")))))))</f>
      </c>
      <c r="P431" s="445"/>
      <c r="R431" s="440">
        <f>IF(OR($F431="",$H431="",$N431=""),"",IF($S431="✅売却済","",IF($C431="売",  IF($H431&gt;$F431*(1-$AG$2),$N431,CEILING(MIN($N431,IF($Q431="",$N431,$Q431*1.03)),IF($N431&lt;=3000,1,IF($N431&lt;=5000,5,IF($N431&lt;=30000,10,IF($N431&lt;=50000,50,IF($N431&lt;=300000,100,500))))))),  IF($H431&lt;$F431*(1+$AG$2),$N431,FLOOR(MAX($N431,IF($P431="",$N431,$P431*0.97)),IF($N431&lt;=3000,1,IF($N431&lt;=5000,5,IF($N431&lt;=30000,10,IF($N431&lt;=50000,50,IF($N431&lt;=300000,100,500))))))))))</f>
      </c>
      <c r="S431" s="440" t="str">
        <f t="shared" si="140"/>
        <v/>
      </c>
      <c r="T431" s="597" t="str">
        <f t="shared" ca="1" si="129"/>
        <v/>
      </c>
      <c r="U431" s="599" t="str">
        <f t="shared" ca="1" si="130"/>
        <v/>
      </c>
      <c r="V431" s="704" t="str">
        <f t="shared" ca="1" si="141"/>
        <v/>
      </c>
      <c r="W431" s="440" t="str">
        <f t="shared" ca="1" si="131"/>
        <v/>
      </c>
      <c r="X431" s="440" t="str">
        <f t="shared" ca="1" si="132"/>
        <v/>
      </c>
      <c r="Y431">
        <f>IF($B431="","",IF(COUNTIFS($B$4:$B431,$B431,$C$4:$C431,$C431)&gt;1,"⛔重複"&amp;COUNTIFS($B$4:$B431,$B431,$C$4:$C431,$C431)&amp;"回目",""))</f>
      </c>
      <c r="AB431">
        <f>IF($F431="","",MAX(100,ROUNDDOWN($AG$4/($F431*$AG$2)/100,0)*100))</f>
      </c>
      <c r="AC431">
        <f>IF(OR($F431="",$G431="",$U431=""),"",ROUND($V431-($F431+$U431)*$G431*$AG$6-IF($C431="売",$F431*$G431*$AG$7*$W431/365,0),0))</f>
      </c>
      <c r="AD431" s="608"/>
      <c r="AE431" s="600" t="str">
        <f t="shared" si="133"/>
        <v/>
      </c>
      <c r="AF431" s="600"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00"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00" t="str">
        <f t="shared" ca="1" si="134"/>
        <v/>
      </c>
      <c r="AI431" s="600" t="str" cm="1">
        <f t="array" ref="AI431">IFERROR(INDEX(始値!$E$6:$BT$305,MATCH(TEXT($B431,"0"),TEXT(銘柄管理!$B$6:$B$305,"0"),0),MATCH($AE431,始値!$E$3:$BT$3,0)),"")</f>
        <v/>
      </c>
      <c r="AJ431" s="608" t="str">
        <f t="shared" ca="1" si="135"/>
        <v/>
      </c>
      <c r="AK431" s="600" t="str">
        <f t="shared" ca="1" si="136"/>
        <v/>
      </c>
    </row>
    <row r="432" spans="1:37" ht="17.25" customHeight="1">
      <c r="A432" s="622" t="str">
        <f t="shared" si="125"/>
        <v/>
      </c>
      <c r="D432" s="440" t="str" cm="1">
        <f t="array" ref="D432">_xll.RssMarket(B432, "銘柄名称")</f>
        <v/>
      </c>
      <c r="E432" s="717"/>
      <c r="F432" s="6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 t="shared" ca="1" si="137"/>
        <v/>
      </c>
      <c r="L432" s="709" t="str">
        <f t="shared" ca="1" si="138"/>
        <v/>
      </c>
      <c r="M432" s="599">
        <f>IF($F432="","",IF($C432="売",CEILING($F432*IF($C432="売",1-$AG$3,1+$AG$3),IF($F432*IF($C432="売",1-$AG$3,1+$AG$3)&lt;=3000,1,IF($F432*IF($C432="売",1-$AG$3,1+$AG$3)&lt;=5000,5,IF($F432*IF($C432="売",1-$AG$3,1+$AG$3)&lt;=30000,10,IF($F432*IF($C432="売",1-$AG$3,1+$AG$3)&lt;=50000,50,IF($F432*IF($C432="売",1-$AG$3,1+$AG$3)&lt;=300000,100,500)))))),FLOOR($F432*IF($C432="売",1-$AG$3,1+$AG$3),IF($F432*IF($C432="売",1-$AG$3,1+$AG$3)&lt;=3000,1,IF($F432*IF($C432="売",1-$AG$3,1+$AG$3)&lt;=5000,5,IF($F432*IF($C432="売",1-$AG$3,1+$AG$3)&lt;=30000,10,IF($F432*IF($C432="売",1-$AG$3,1+$AG$3)&lt;=50000,50,IF($F432*IF($C432="売",1-$AG$3,1+$AG$3)&lt;=300000,100,500))))))))</f>
      </c>
      <c r="N432" s="599">
        <f>IF($F432="","",IF($C432="売",CEILING($F432*IF($C432="売",1+$AG$2,1-$AG$2),IF($F432*IF($C432="売",1+$AG$2,1-$AG$2)&lt;=3000,1,IF($F432*IF($C432="売",1+$AG$2,1-$AG$2)&lt;=5000,5,IF($F432*IF($C432="売",1+$AG$2,1-$AG$2)&lt;=30000,10,IF($F432*IF($C432="売",1+$AG$2,1-$AG$2)&lt;=50000,50,IF($F432*IF($C432="売",1+$AG$2,1-$AG$2)&lt;=300000,100,500)))))),FLOOR($F432*IF($C432="売",1+$AG$2,1-$AG$2),IF($F432*IF($C432="売",1+$AG$2,1-$AG$2)&lt;=3000,1,IF($F432*IF($C432="売",1+$AG$2,1-$AG$2)&lt;=5000,5,IF($F432*IF($C432="売",1+$AG$2,1-$AG$2)&lt;=30000,10,IF($F432*IF($C432="売",1+$AG$2,1-$AG$2)&lt;=50000,50,IF($F432*IF($C432="売",1+$AG$2,1-$AG$2)&lt;=300000,100,500))))))))</f>
      </c>
      <c r="O432" s="478">
        <f>IF(OR($B432="",$F432="",$H432=""),"",IF($S432="✅売却済","―決済済―",IF($C432="売",  IF($H432&lt;=$M432,"🟢利確",  IF(AND($R432&lt;&gt;"",$H432&gt;=$R432),"🟠TRAIL決済",  IF($H432&gt;=$N432,"🔴損切",  IF($W432&gt;=$AG$5,"⏱時間決済",  IF($H432&gt;=$F432*(1+$AG$2*0.7),"⚠️損切接近","保持継続"))))),  IF($H432&gt;=$M432,"🟢利確",  IF(AND($R432&lt;&gt;"",$H432&lt;=$R432),"🟠TRAIL決済",  IF($H432&lt;=$N432,"🔴損切",  IF($W432&gt;=$AG$5,"⏱時間決済",  IF($H432&lt;=$F432*(1-$AG$2*0.7),"⚠️損切接近","保持継続")))))))</f>
      </c>
      <c r="P432" s="445"/>
      <c r="R432" s="440">
        <f>IF(OR($F432="",$H432="",$N432=""),"",IF($S432="✅売却済","",IF($C432="売",  IF($H432&gt;$F432*(1-$AG$2),$N432,CEILING(MIN($N432,IF($Q432="",$N432,$Q432*1.03)),IF($N432&lt;=3000,1,IF($N432&lt;=5000,5,IF($N432&lt;=30000,10,IF($N432&lt;=50000,50,IF($N432&lt;=300000,100,500))))))),  IF($H432&lt;$F432*(1+$AG$2),$N432,FLOOR(MAX($N432,IF($P432="",$N432,$P432*0.97)),IF($N432&lt;=3000,1,IF($N432&lt;=5000,5,IF($N432&lt;=30000,10,IF($N432&lt;=50000,50,IF($N432&lt;=300000,100,500))))))))))</f>
      </c>
      <c r="S432" s="440" t="str">
        <f t="shared" si="140"/>
        <v/>
      </c>
      <c r="T432" s="597" t="str">
        <f t="shared" ca="1" si="129"/>
        <v/>
      </c>
      <c r="U432" s="599" t="str">
        <f t="shared" ca="1" si="130"/>
        <v/>
      </c>
      <c r="V432" s="704" t="str">
        <f t="shared" ca="1" si="141"/>
        <v/>
      </c>
      <c r="W432" s="440" t="str">
        <f t="shared" ca="1" si="131"/>
        <v/>
      </c>
      <c r="X432" s="440" t="str">
        <f t="shared" ca="1" si="132"/>
        <v/>
      </c>
      <c r="Y432">
        <f>IF($B432="","",IF(COUNTIFS($B$4:$B432,$B432,$C$4:$C432,$C432)&gt;1,"⛔重複"&amp;COUNTIFS($B$4:$B432,$B432,$C$4:$C432,$C432)&amp;"回目",""))</f>
      </c>
      <c r="AB432">
        <f>IF($F432="","",MAX(100,ROUNDDOWN($AG$4/($F432*$AG$2)/100,0)*100))</f>
      </c>
      <c r="AC432">
        <f>IF(OR($F432="",$G432="",$U432=""),"",ROUND($V432-($F432+$U432)*$G432*$AG$6-IF($C432="売",$F432*$G432*$AG$7*$W432/365,0),0))</f>
      </c>
      <c r="AD432" s="608"/>
      <c r="AE432" s="600" t="str">
        <f t="shared" si="133"/>
        <v/>
      </c>
      <c r="AF432" s="600"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00"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00" t="str">
        <f t="shared" ca="1" si="134"/>
        <v/>
      </c>
      <c r="AI432" s="600" t="str" cm="1">
        <f t="array" ref="AI432">IFERROR(INDEX(始値!$E$6:$BT$305,MATCH(TEXT($B432,"0"),TEXT(銘柄管理!$B$6:$B$305,"0"),0),MATCH($AE432,始値!$E$3:$BT$3,0)),"")</f>
        <v/>
      </c>
      <c r="AJ432" s="608" t="str">
        <f t="shared" ca="1" si="135"/>
        <v/>
      </c>
      <c r="AK432" s="600" t="str">
        <f t="shared" ca="1" si="136"/>
        <v/>
      </c>
    </row>
    <row r="433" spans="1:37" ht="17.25" customHeight="1">
      <c r="A433" s="622" t="str">
        <f t="shared" si="125"/>
        <v/>
      </c>
      <c r="D433" s="440" t="str" cm="1">
        <f t="array" ref="D433">_xll.RssMarket(B433, "銘柄名称")</f>
        <v/>
      </c>
      <c r="E433" s="717"/>
      <c r="F433" s="6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 t="shared" ca="1" si="137"/>
        <v/>
      </c>
      <c r="L433" s="709" t="str">
        <f t="shared" ca="1" si="138"/>
        <v/>
      </c>
      <c r="M433" s="599">
        <f>IF($F433="","",IF($C433="売",CEILING($F433*IF($C433="売",1-$AG$3,1+$AG$3),IF($F433*IF($C433="売",1-$AG$3,1+$AG$3)&lt;=3000,1,IF($F433*IF($C433="売",1-$AG$3,1+$AG$3)&lt;=5000,5,IF($F433*IF($C433="売",1-$AG$3,1+$AG$3)&lt;=30000,10,IF($F433*IF($C433="売",1-$AG$3,1+$AG$3)&lt;=50000,50,IF($F433*IF($C433="売",1-$AG$3,1+$AG$3)&lt;=300000,100,500)))))),FLOOR($F433*IF($C433="売",1-$AG$3,1+$AG$3),IF($F433*IF($C433="売",1-$AG$3,1+$AG$3)&lt;=3000,1,IF($F433*IF($C433="売",1-$AG$3,1+$AG$3)&lt;=5000,5,IF($F433*IF($C433="売",1-$AG$3,1+$AG$3)&lt;=30000,10,IF($F433*IF($C433="売",1-$AG$3,1+$AG$3)&lt;=50000,50,IF($F433*IF($C433="売",1-$AG$3,1+$AG$3)&lt;=300000,100,500))))))))</f>
      </c>
      <c r="N433" s="599">
        <f>IF($F433="","",IF($C433="売",CEILING($F433*IF($C433="売",1+$AG$2,1-$AG$2),IF($F433*IF($C433="売",1+$AG$2,1-$AG$2)&lt;=3000,1,IF($F433*IF($C433="売",1+$AG$2,1-$AG$2)&lt;=5000,5,IF($F433*IF($C433="売",1+$AG$2,1-$AG$2)&lt;=30000,10,IF($F433*IF($C433="売",1+$AG$2,1-$AG$2)&lt;=50000,50,IF($F433*IF($C433="売",1+$AG$2,1-$AG$2)&lt;=300000,100,500)))))),FLOOR($F433*IF($C433="売",1+$AG$2,1-$AG$2),IF($F433*IF($C433="売",1+$AG$2,1-$AG$2)&lt;=3000,1,IF($F433*IF($C433="売",1+$AG$2,1-$AG$2)&lt;=5000,5,IF($F433*IF($C433="売",1+$AG$2,1-$AG$2)&lt;=30000,10,IF($F433*IF($C433="売",1+$AG$2,1-$AG$2)&lt;=50000,50,IF($F433*IF($C433="売",1+$AG$2,1-$AG$2)&lt;=300000,100,500))))))))</f>
      </c>
      <c r="O433" s="478">
        <f>IF(OR($B433="",$F433="",$H433=""),"",IF($S433="✅売却済","―決済済―",IF($C433="売",  IF($H433&lt;=$M433,"🟢利確",  IF(AND($R433&lt;&gt;"",$H433&gt;=$R433),"🟠TRAIL決済",  IF($H433&gt;=$N433,"🔴損切",  IF($W433&gt;=$AG$5,"⏱時間決済",  IF($H433&gt;=$F433*(1+$AG$2*0.7),"⚠️損切接近","保持継続"))))),  IF($H433&gt;=$M433,"🟢利確",  IF(AND($R433&lt;&gt;"",$H433&lt;=$R433),"🟠TRAIL決済",  IF($H433&lt;=$N433,"🔴損切",  IF($W433&gt;=$AG$5,"⏱時間決済",  IF($H433&lt;=$F433*(1-$AG$2*0.7),"⚠️損切接近","保持継続")))))))</f>
      </c>
      <c r="P433" s="445"/>
      <c r="R433" s="440">
        <f>IF(OR($F433="",$H433="",$N433=""),"",IF($S433="✅売却済","",IF($C433="売",  IF($H433&gt;$F433*(1-$AG$2),$N433,CEILING(MIN($N433,IF($Q433="",$N433,$Q433*1.03)),IF($N433&lt;=3000,1,IF($N433&lt;=5000,5,IF($N433&lt;=30000,10,IF($N433&lt;=50000,50,IF($N433&lt;=300000,100,500))))))),  IF($H433&lt;$F433*(1+$AG$2),$N433,FLOOR(MAX($N433,IF($P433="",$N433,$P433*0.97)),IF($N433&lt;=3000,1,IF($N433&lt;=5000,5,IF($N433&lt;=30000,10,IF($N433&lt;=50000,50,IF($N433&lt;=300000,100,500))))))))))</f>
      </c>
      <c r="S433" s="440" t="str">
        <f t="shared" si="140"/>
        <v/>
      </c>
      <c r="T433" s="597" t="str">
        <f t="shared" ca="1" si="129"/>
        <v/>
      </c>
      <c r="U433" s="599" t="str">
        <f t="shared" ca="1" si="130"/>
        <v/>
      </c>
      <c r="V433" s="704" t="str">
        <f t="shared" ca="1" si="141"/>
        <v/>
      </c>
      <c r="W433" s="440" t="str">
        <f t="shared" ca="1" si="131"/>
        <v/>
      </c>
      <c r="X433" s="440" t="str">
        <f t="shared" ca="1" si="132"/>
        <v/>
      </c>
      <c r="Y433">
        <f>IF($B433="","",IF(COUNTIFS($B$4:$B433,$B433,$C$4:$C433,$C433)&gt;1,"⛔重複"&amp;COUNTIFS($B$4:$B433,$B433,$C$4:$C433,$C433)&amp;"回目",""))</f>
      </c>
      <c r="AB433">
        <f>IF($F433="","",MAX(100,ROUNDDOWN($AG$4/($F433*$AG$2)/100,0)*100))</f>
      </c>
      <c r="AC433">
        <f>IF(OR($F433="",$G433="",$U433=""),"",ROUND($V433-($F433+$U433)*$G433*$AG$6-IF($C433="売",$F433*$G433*$AG$7*$W433/365,0),0))</f>
      </c>
      <c r="AD433" s="608"/>
      <c r="AE433" s="600" t="str">
        <f t="shared" si="133"/>
        <v/>
      </c>
      <c r="AF433" s="600"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00"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00" t="str">
        <f t="shared" ca="1" si="134"/>
        <v/>
      </c>
      <c r="AI433" s="600" t="str" cm="1">
        <f t="array" ref="AI433">IFERROR(INDEX(始値!$E$6:$BT$305,MATCH(TEXT($B433,"0"),TEXT(銘柄管理!$B$6:$B$305,"0"),0),MATCH($AE433,始値!$E$3:$BT$3,0)),"")</f>
        <v/>
      </c>
      <c r="AJ433" s="608" t="str">
        <f t="shared" ca="1" si="135"/>
        <v/>
      </c>
      <c r="AK433" s="600" t="str">
        <f t="shared" ca="1" si="136"/>
        <v/>
      </c>
    </row>
    <row r="434" spans="1:37" ht="17.25" customHeight="1">
      <c r="A434" s="622" t="str">
        <f t="shared" si="125"/>
        <v/>
      </c>
      <c r="D434" s="440" t="str" cm="1">
        <f t="array" ref="D434">_xll.RssMarket(B434, "銘柄名称")</f>
        <v/>
      </c>
      <c r="E434" s="717"/>
      <c r="F434" s="6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 t="shared" ca="1" si="137"/>
        <v/>
      </c>
      <c r="L434" s="709" t="str">
        <f t="shared" ca="1" si="138"/>
        <v/>
      </c>
      <c r="M434" s="599">
        <f>IF($F434="","",IF($C434="売",CEILING($F434*IF($C434="売",1-$AG$3,1+$AG$3),IF($F434*IF($C434="売",1-$AG$3,1+$AG$3)&lt;=3000,1,IF($F434*IF($C434="売",1-$AG$3,1+$AG$3)&lt;=5000,5,IF($F434*IF($C434="売",1-$AG$3,1+$AG$3)&lt;=30000,10,IF($F434*IF($C434="売",1-$AG$3,1+$AG$3)&lt;=50000,50,IF($F434*IF($C434="売",1-$AG$3,1+$AG$3)&lt;=300000,100,500)))))),FLOOR($F434*IF($C434="売",1-$AG$3,1+$AG$3),IF($F434*IF($C434="売",1-$AG$3,1+$AG$3)&lt;=3000,1,IF($F434*IF($C434="売",1-$AG$3,1+$AG$3)&lt;=5000,5,IF($F434*IF($C434="売",1-$AG$3,1+$AG$3)&lt;=30000,10,IF($F434*IF($C434="売",1-$AG$3,1+$AG$3)&lt;=50000,50,IF($F434*IF($C434="売",1-$AG$3,1+$AG$3)&lt;=300000,100,500))))))))</f>
      </c>
      <c r="N434" s="599">
        <f>IF($F434="","",IF($C434="売",CEILING($F434*IF($C434="売",1+$AG$2,1-$AG$2),IF($F434*IF($C434="売",1+$AG$2,1-$AG$2)&lt;=3000,1,IF($F434*IF($C434="売",1+$AG$2,1-$AG$2)&lt;=5000,5,IF($F434*IF($C434="売",1+$AG$2,1-$AG$2)&lt;=30000,10,IF($F434*IF($C434="売",1+$AG$2,1-$AG$2)&lt;=50000,50,IF($F434*IF($C434="売",1+$AG$2,1-$AG$2)&lt;=300000,100,500)))))),FLOOR($F434*IF($C434="売",1+$AG$2,1-$AG$2),IF($F434*IF($C434="売",1+$AG$2,1-$AG$2)&lt;=3000,1,IF($F434*IF($C434="売",1+$AG$2,1-$AG$2)&lt;=5000,5,IF($F434*IF($C434="売",1+$AG$2,1-$AG$2)&lt;=30000,10,IF($F434*IF($C434="売",1+$AG$2,1-$AG$2)&lt;=50000,50,IF($F434*IF($C434="売",1+$AG$2,1-$AG$2)&lt;=300000,100,500))))))))</f>
      </c>
      <c r="O434" s="478">
        <f>IF(OR($B434="",$F434="",$H434=""),"",IF($S434="✅売却済","―決済済―",IF($C434="売",  IF($H434&lt;=$M434,"🟢利確",  IF(AND($R434&lt;&gt;"",$H434&gt;=$R434),"🟠TRAIL決済",  IF($H434&gt;=$N434,"🔴損切",  IF($W434&gt;=$AG$5,"⏱時間決済",  IF($H434&gt;=$F434*(1+$AG$2*0.7),"⚠️損切接近","保持継続"))))),  IF($H434&gt;=$M434,"🟢利確",  IF(AND($R434&lt;&gt;"",$H434&lt;=$R434),"🟠TRAIL決済",  IF($H434&lt;=$N434,"🔴損切",  IF($W434&gt;=$AG$5,"⏱時間決済",  IF($H434&lt;=$F434*(1-$AG$2*0.7),"⚠️損切接近","保持継続")))))))</f>
      </c>
      <c r="P434" s="445"/>
      <c r="R434" s="440">
        <f>IF(OR($F434="",$H434="",$N434=""),"",IF($S434="✅売却済","",IF($C434="売",  IF($H434&gt;$F434*(1-$AG$2),$N434,CEILING(MIN($N434,IF($Q434="",$N434,$Q434*1.03)),IF($N434&lt;=3000,1,IF($N434&lt;=5000,5,IF($N434&lt;=30000,10,IF($N434&lt;=50000,50,IF($N434&lt;=300000,100,500))))))),  IF($H434&lt;$F434*(1+$AG$2),$N434,FLOOR(MAX($N434,IF($P434="",$N434,$P434*0.97)),IF($N434&lt;=3000,1,IF($N434&lt;=5000,5,IF($N434&lt;=30000,10,IF($N434&lt;=50000,50,IF($N434&lt;=300000,100,500))))))))))</f>
      </c>
      <c r="S434" s="440" t="str">
        <f t="shared" si="140"/>
        <v/>
      </c>
      <c r="T434" s="597" t="str">
        <f t="shared" ca="1" si="129"/>
        <v/>
      </c>
      <c r="U434" s="599" t="str">
        <f t="shared" ca="1" si="130"/>
        <v/>
      </c>
      <c r="V434" s="704" t="str">
        <f t="shared" ca="1" si="141"/>
        <v/>
      </c>
      <c r="W434" s="440" t="str">
        <f t="shared" ca="1" si="131"/>
        <v/>
      </c>
      <c r="X434" s="440" t="str">
        <f t="shared" ca="1" si="132"/>
        <v/>
      </c>
      <c r="Y434">
        <f>IF($B434="","",IF(COUNTIFS($B$4:$B434,$B434,$C$4:$C434,$C434)&gt;1,"⛔重複"&amp;COUNTIFS($B$4:$B434,$B434,$C$4:$C434,$C434)&amp;"回目",""))</f>
      </c>
      <c r="AB434">
        <f>IF($F434="","",MAX(100,ROUNDDOWN($AG$4/($F434*$AG$2)/100,0)*100))</f>
      </c>
      <c r="AC434">
        <f>IF(OR($F434="",$G434="",$U434=""),"",ROUND($V434-($F434+$U434)*$G434*$AG$6-IF($C434="売",$F434*$G434*$AG$7*$W434/365,0),0))</f>
      </c>
      <c r="AD434" s="608"/>
      <c r="AE434" s="600" t="str">
        <f t="shared" si="133"/>
        <v/>
      </c>
      <c r="AF434" s="600"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00"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00" t="str">
        <f t="shared" ca="1" si="134"/>
        <v/>
      </c>
      <c r="AI434" s="600" t="str" cm="1">
        <f t="array" ref="AI434">IFERROR(INDEX(始値!$E$6:$BT$305,MATCH(TEXT($B434,"0"),TEXT(銘柄管理!$B$6:$B$305,"0"),0),MATCH($AE434,始値!$E$3:$BT$3,0)),"")</f>
        <v/>
      </c>
      <c r="AJ434" s="608" t="str">
        <f t="shared" ca="1" si="135"/>
        <v/>
      </c>
      <c r="AK434" s="600" t="str">
        <f t="shared" ca="1" si="136"/>
        <v/>
      </c>
    </row>
    <row r="435" spans="1:37" ht="17.25" customHeight="1">
      <c r="A435" s="622" t="str">
        <f t="shared" si="125"/>
        <v/>
      </c>
      <c r="D435" s="440" t="str" cm="1">
        <f t="array" ref="D435">_xll.RssMarket(B435, "銘柄名称")</f>
        <v/>
      </c>
      <c r="E435" s="717"/>
      <c r="F435" s="6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 t="shared" ca="1" si="137"/>
        <v/>
      </c>
      <c r="L435" s="709" t="str">
        <f t="shared" ca="1" si="138"/>
        <v/>
      </c>
      <c r="M435" s="599">
        <f>IF($F435="","",IF($C435="売",CEILING($F435*IF($C435="売",1-$AG$3,1+$AG$3),IF($F435*IF($C435="売",1-$AG$3,1+$AG$3)&lt;=3000,1,IF($F435*IF($C435="売",1-$AG$3,1+$AG$3)&lt;=5000,5,IF($F435*IF($C435="売",1-$AG$3,1+$AG$3)&lt;=30000,10,IF($F435*IF($C435="売",1-$AG$3,1+$AG$3)&lt;=50000,50,IF($F435*IF($C435="売",1-$AG$3,1+$AG$3)&lt;=300000,100,500)))))),FLOOR($F435*IF($C435="売",1-$AG$3,1+$AG$3),IF($F435*IF($C435="売",1-$AG$3,1+$AG$3)&lt;=3000,1,IF($F435*IF($C435="売",1-$AG$3,1+$AG$3)&lt;=5000,5,IF($F435*IF($C435="売",1-$AG$3,1+$AG$3)&lt;=30000,10,IF($F435*IF($C435="売",1-$AG$3,1+$AG$3)&lt;=50000,50,IF($F435*IF($C435="売",1-$AG$3,1+$AG$3)&lt;=300000,100,500))))))))</f>
      </c>
      <c r="N435" s="599">
        <f>IF($F435="","",IF($C435="売",CEILING($F435*IF($C435="売",1+$AG$2,1-$AG$2),IF($F435*IF($C435="売",1+$AG$2,1-$AG$2)&lt;=3000,1,IF($F435*IF($C435="売",1+$AG$2,1-$AG$2)&lt;=5000,5,IF($F435*IF($C435="売",1+$AG$2,1-$AG$2)&lt;=30000,10,IF($F435*IF($C435="売",1+$AG$2,1-$AG$2)&lt;=50000,50,IF($F435*IF($C435="売",1+$AG$2,1-$AG$2)&lt;=300000,100,500)))))),FLOOR($F435*IF($C435="売",1+$AG$2,1-$AG$2),IF($F435*IF($C435="売",1+$AG$2,1-$AG$2)&lt;=3000,1,IF($F435*IF($C435="売",1+$AG$2,1-$AG$2)&lt;=5000,5,IF($F435*IF($C435="売",1+$AG$2,1-$AG$2)&lt;=30000,10,IF($F435*IF($C435="売",1+$AG$2,1-$AG$2)&lt;=50000,50,IF($F435*IF($C435="売",1+$AG$2,1-$AG$2)&lt;=300000,100,500))))))))</f>
      </c>
      <c r="O435" s="478">
        <f>IF(OR($B435="",$F435="",$H435=""),"",IF($S435="✅売却済","―決済済―",IF($C435="売",  IF($H435&lt;=$M435,"🟢利確",  IF(AND($R435&lt;&gt;"",$H435&gt;=$R435),"🟠TRAIL決済",  IF($H435&gt;=$N435,"🔴損切",  IF($W435&gt;=$AG$5,"⏱時間決済",  IF($H435&gt;=$F435*(1+$AG$2*0.7),"⚠️損切接近","保持継続"))))),  IF($H435&gt;=$M435,"🟢利確",  IF(AND($R435&lt;&gt;"",$H435&lt;=$R435),"🟠TRAIL決済",  IF($H435&lt;=$N435,"🔴損切",  IF($W435&gt;=$AG$5,"⏱時間決済",  IF($H435&lt;=$F435*(1-$AG$2*0.7),"⚠️損切接近","保持継続")))))))</f>
      </c>
      <c r="P435" s="445"/>
      <c r="R435" s="440">
        <f>IF(OR($F435="",$H435="",$N435=""),"",IF($S435="✅売却済","",IF($C435="売",  IF($H435&gt;$F435*(1-$AG$2),$N435,CEILING(MIN($N435,IF($Q435="",$N435,$Q435*1.03)),IF($N435&lt;=3000,1,IF($N435&lt;=5000,5,IF($N435&lt;=30000,10,IF($N435&lt;=50000,50,IF($N435&lt;=300000,100,500))))))),  IF($H435&lt;$F435*(1+$AG$2),$N435,FLOOR(MAX($N435,IF($P435="",$N435,$P435*0.97)),IF($N435&lt;=3000,1,IF($N435&lt;=5000,5,IF($N435&lt;=30000,10,IF($N435&lt;=50000,50,IF($N435&lt;=300000,100,500))))))))))</f>
      </c>
      <c r="S435" s="440" t="str">
        <f t="shared" si="140"/>
        <v/>
      </c>
      <c r="T435" s="597" t="str">
        <f t="shared" ca="1" si="129"/>
        <v/>
      </c>
      <c r="U435" s="599" t="str">
        <f t="shared" ca="1" si="130"/>
        <v/>
      </c>
      <c r="V435" s="704" t="str">
        <f t="shared" ca="1" si="141"/>
        <v/>
      </c>
      <c r="W435" s="440" t="str">
        <f t="shared" ca="1" si="131"/>
        <v/>
      </c>
      <c r="X435" s="440" t="str">
        <f t="shared" ca="1" si="132"/>
        <v/>
      </c>
      <c r="Y435">
        <f>IF($B435="","",IF(COUNTIFS($B$4:$B435,$B435,$C$4:$C435,$C435)&gt;1,"⛔重複"&amp;COUNTIFS($B$4:$B435,$B435,$C$4:$C435,$C435)&amp;"回目",""))</f>
      </c>
      <c r="AB435">
        <f>IF($F435="","",MAX(100,ROUNDDOWN($AG$4/($F435*$AG$2)/100,0)*100))</f>
      </c>
      <c r="AC435">
        <f>IF(OR($F435="",$G435="",$U435=""),"",ROUND($V435-($F435+$U435)*$G435*$AG$6-IF($C435="売",$F435*$G435*$AG$7*$W435/365,0),0))</f>
      </c>
      <c r="AD435" s="608"/>
      <c r="AE435" s="600" t="str">
        <f t="shared" si="133"/>
        <v/>
      </c>
      <c r="AF435" s="600"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00"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00" t="str">
        <f t="shared" ca="1" si="134"/>
        <v/>
      </c>
      <c r="AI435" s="600" t="str" cm="1">
        <f t="array" ref="AI435">IFERROR(INDEX(始値!$E$6:$BT$305,MATCH(TEXT($B435,"0"),TEXT(銘柄管理!$B$6:$B$305,"0"),0),MATCH($AE435,始値!$E$3:$BT$3,0)),"")</f>
        <v/>
      </c>
      <c r="AJ435" s="608" t="str">
        <f t="shared" ca="1" si="135"/>
        <v/>
      </c>
      <c r="AK435" s="600" t="str">
        <f t="shared" ca="1" si="136"/>
        <v/>
      </c>
    </row>
    <row r="436" spans="1:37" ht="17.25" customHeight="1">
      <c r="A436" s="622" t="str">
        <f t="shared" si="125"/>
        <v/>
      </c>
      <c r="D436" s="440" t="str" cm="1">
        <f t="array" ref="D436">_xll.RssMarket(B436, "銘柄名称")</f>
        <v/>
      </c>
      <c r="E436" s="717"/>
      <c r="F436" s="6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 t="shared" ca="1" si="137"/>
        <v/>
      </c>
      <c r="L436" s="709" t="str">
        <f t="shared" ca="1" si="138"/>
        <v/>
      </c>
      <c r="M436" s="599">
        <f>IF($F436="","",IF($C436="売",CEILING($F436*IF($C436="売",1-$AG$3,1+$AG$3),IF($F436*IF($C436="売",1-$AG$3,1+$AG$3)&lt;=3000,1,IF($F436*IF($C436="売",1-$AG$3,1+$AG$3)&lt;=5000,5,IF($F436*IF($C436="売",1-$AG$3,1+$AG$3)&lt;=30000,10,IF($F436*IF($C436="売",1-$AG$3,1+$AG$3)&lt;=50000,50,IF($F436*IF($C436="売",1-$AG$3,1+$AG$3)&lt;=300000,100,500)))))),FLOOR($F436*IF($C436="売",1-$AG$3,1+$AG$3),IF($F436*IF($C436="売",1-$AG$3,1+$AG$3)&lt;=3000,1,IF($F436*IF($C436="売",1-$AG$3,1+$AG$3)&lt;=5000,5,IF($F436*IF($C436="売",1-$AG$3,1+$AG$3)&lt;=30000,10,IF($F436*IF($C436="売",1-$AG$3,1+$AG$3)&lt;=50000,50,IF($F436*IF($C436="売",1-$AG$3,1+$AG$3)&lt;=300000,100,500))))))))</f>
      </c>
      <c r="N436" s="599">
        <f>IF($F436="","",IF($C436="売",CEILING($F436*IF($C436="売",1+$AG$2,1-$AG$2),IF($F436*IF($C436="売",1+$AG$2,1-$AG$2)&lt;=3000,1,IF($F436*IF($C436="売",1+$AG$2,1-$AG$2)&lt;=5000,5,IF($F436*IF($C436="売",1+$AG$2,1-$AG$2)&lt;=30000,10,IF($F436*IF($C436="売",1+$AG$2,1-$AG$2)&lt;=50000,50,IF($F436*IF($C436="売",1+$AG$2,1-$AG$2)&lt;=300000,100,500)))))),FLOOR($F436*IF($C436="売",1+$AG$2,1-$AG$2),IF($F436*IF($C436="売",1+$AG$2,1-$AG$2)&lt;=3000,1,IF($F436*IF($C436="売",1+$AG$2,1-$AG$2)&lt;=5000,5,IF($F436*IF($C436="売",1+$AG$2,1-$AG$2)&lt;=30000,10,IF($F436*IF($C436="売",1+$AG$2,1-$AG$2)&lt;=50000,50,IF($F436*IF($C436="売",1+$AG$2,1-$AG$2)&lt;=300000,100,500))))))))</f>
      </c>
      <c r="O436" s="478">
        <f>IF(OR($B436="",$F436="",$H436=""),"",IF($S436="✅売却済","―決済済―",IF($C436="売",  IF($H436&lt;=$M436,"🟢利確",  IF(AND($R436&lt;&gt;"",$H436&gt;=$R436),"🟠TRAIL決済",  IF($H436&gt;=$N436,"🔴損切",  IF($W436&gt;=$AG$5,"⏱時間決済",  IF($H436&gt;=$F436*(1+$AG$2*0.7),"⚠️損切接近","保持継続"))))),  IF($H436&gt;=$M436,"🟢利確",  IF(AND($R436&lt;&gt;"",$H436&lt;=$R436),"🟠TRAIL決済",  IF($H436&lt;=$N436,"🔴損切",  IF($W436&gt;=$AG$5,"⏱時間決済",  IF($H436&lt;=$F436*(1-$AG$2*0.7),"⚠️損切接近","保持継続")))))))</f>
      </c>
      <c r="P436" s="445"/>
      <c r="R436" s="440">
        <f>IF(OR($F436="",$H436="",$N436=""),"",IF($S436="✅売却済","",IF($C436="売",  IF($H436&gt;$F436*(1-$AG$2),$N436,CEILING(MIN($N436,IF($Q436="",$N436,$Q436*1.03)),IF($N436&lt;=3000,1,IF($N436&lt;=5000,5,IF($N436&lt;=30000,10,IF($N436&lt;=50000,50,IF($N436&lt;=300000,100,500))))))),  IF($H436&lt;$F436*(1+$AG$2),$N436,FLOOR(MAX($N436,IF($P436="",$N436,$P436*0.97)),IF($N436&lt;=3000,1,IF($N436&lt;=5000,5,IF($N436&lt;=30000,10,IF($N436&lt;=50000,50,IF($N436&lt;=300000,100,500))))))))))</f>
      </c>
      <c r="S436" s="440" t="str">
        <f t="shared" si="140"/>
        <v/>
      </c>
      <c r="T436" s="597" t="str">
        <f t="shared" ca="1" si="129"/>
        <v/>
      </c>
      <c r="U436" s="599" t="str">
        <f t="shared" ca="1" si="130"/>
        <v/>
      </c>
      <c r="V436" s="704" t="str">
        <f t="shared" ca="1" si="141"/>
        <v/>
      </c>
      <c r="W436" s="440" t="str">
        <f t="shared" ca="1" si="131"/>
        <v/>
      </c>
      <c r="X436" s="440" t="str">
        <f t="shared" ca="1" si="132"/>
        <v/>
      </c>
      <c r="Y436">
        <f>IF($B436="","",IF(COUNTIFS($B$4:$B436,$B436,$C$4:$C436,$C436)&gt;1,"⛔重複"&amp;COUNTIFS($B$4:$B436,$B436,$C$4:$C436,$C436)&amp;"回目",""))</f>
      </c>
      <c r="AB436">
        <f>IF($F436="","",MAX(100,ROUNDDOWN($AG$4/($F436*$AG$2)/100,0)*100))</f>
      </c>
      <c r="AC436">
        <f>IF(OR($F436="",$G436="",$U436=""),"",ROUND($V436-($F436+$U436)*$G436*$AG$6-IF($C436="売",$F436*$G436*$AG$7*$W436/365,0),0))</f>
      </c>
      <c r="AD436" s="608"/>
      <c r="AE436" s="600" t="str">
        <f t="shared" si="133"/>
        <v/>
      </c>
      <c r="AF436" s="600"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00"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00" t="str">
        <f t="shared" ca="1" si="134"/>
        <v/>
      </c>
      <c r="AI436" s="600" t="str" cm="1">
        <f t="array" ref="AI436">IFERROR(INDEX(始値!$E$6:$BT$305,MATCH(TEXT($B436,"0"),TEXT(銘柄管理!$B$6:$B$305,"0"),0),MATCH($AE436,始値!$E$3:$BT$3,0)),"")</f>
        <v/>
      </c>
      <c r="AJ436" s="608" t="str">
        <f t="shared" ca="1" si="135"/>
        <v/>
      </c>
      <c r="AK436" s="600" t="str">
        <f t="shared" ca="1" si="136"/>
        <v/>
      </c>
    </row>
    <row r="437" spans="1:37" ht="17.25" customHeight="1">
      <c r="A437" s="622" t="str">
        <f t="shared" si="125"/>
        <v/>
      </c>
      <c r="D437" s="440" t="str" cm="1">
        <f t="array" ref="D437">_xll.RssMarket(B437, "銘柄名称")</f>
        <v/>
      </c>
      <c r="E437" s="717"/>
      <c r="F437" s="6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 t="shared" ca="1" si="137"/>
        <v/>
      </c>
      <c r="L437" s="709" t="str">
        <f t="shared" ca="1" si="138"/>
        <v/>
      </c>
      <c r="M437" s="599">
        <f>IF($F437="","",IF($C437="売",CEILING($F437*IF($C437="売",1-$AG$3,1+$AG$3),IF($F437*IF($C437="売",1-$AG$3,1+$AG$3)&lt;=3000,1,IF($F437*IF($C437="売",1-$AG$3,1+$AG$3)&lt;=5000,5,IF($F437*IF($C437="売",1-$AG$3,1+$AG$3)&lt;=30000,10,IF($F437*IF($C437="売",1-$AG$3,1+$AG$3)&lt;=50000,50,IF($F437*IF($C437="売",1-$AG$3,1+$AG$3)&lt;=300000,100,500)))))),FLOOR($F437*IF($C437="売",1-$AG$3,1+$AG$3),IF($F437*IF($C437="売",1-$AG$3,1+$AG$3)&lt;=3000,1,IF($F437*IF($C437="売",1-$AG$3,1+$AG$3)&lt;=5000,5,IF($F437*IF($C437="売",1-$AG$3,1+$AG$3)&lt;=30000,10,IF($F437*IF($C437="売",1-$AG$3,1+$AG$3)&lt;=50000,50,IF($F437*IF($C437="売",1-$AG$3,1+$AG$3)&lt;=300000,100,500))))))))</f>
      </c>
      <c r="N437" s="599">
        <f>IF($F437="","",IF($C437="売",CEILING($F437*IF($C437="売",1+$AG$2,1-$AG$2),IF($F437*IF($C437="売",1+$AG$2,1-$AG$2)&lt;=3000,1,IF($F437*IF($C437="売",1+$AG$2,1-$AG$2)&lt;=5000,5,IF($F437*IF($C437="売",1+$AG$2,1-$AG$2)&lt;=30000,10,IF($F437*IF($C437="売",1+$AG$2,1-$AG$2)&lt;=50000,50,IF($F437*IF($C437="売",1+$AG$2,1-$AG$2)&lt;=300000,100,500)))))),FLOOR($F437*IF($C437="売",1+$AG$2,1-$AG$2),IF($F437*IF($C437="売",1+$AG$2,1-$AG$2)&lt;=3000,1,IF($F437*IF($C437="売",1+$AG$2,1-$AG$2)&lt;=5000,5,IF($F437*IF($C437="売",1+$AG$2,1-$AG$2)&lt;=30000,10,IF($F437*IF($C437="売",1+$AG$2,1-$AG$2)&lt;=50000,50,IF($F437*IF($C437="売",1+$AG$2,1-$AG$2)&lt;=300000,100,500))))))))</f>
      </c>
      <c r="O437" s="478">
        <f>IF(OR($B437="",$F437="",$H437=""),"",IF($S437="✅売却済","―決済済―",IF($C437="売",  IF($H437&lt;=$M437,"🟢利確",  IF(AND($R437&lt;&gt;"",$H437&gt;=$R437),"🟠TRAIL決済",  IF($H437&gt;=$N437,"🔴損切",  IF($W437&gt;=$AG$5,"⏱時間決済",  IF($H437&gt;=$F437*(1+$AG$2*0.7),"⚠️損切接近","保持継続"))))),  IF($H437&gt;=$M437,"🟢利確",  IF(AND($R437&lt;&gt;"",$H437&lt;=$R437),"🟠TRAIL決済",  IF($H437&lt;=$N437,"🔴損切",  IF($W437&gt;=$AG$5,"⏱時間決済",  IF($H437&lt;=$F437*(1-$AG$2*0.7),"⚠️損切接近","保持継続")))))))</f>
      </c>
      <c r="P437" s="445"/>
      <c r="R437" s="440">
        <f>IF(OR($F437="",$H437="",$N437=""),"",IF($S437="✅売却済","",IF($C437="売",  IF($H437&gt;$F437*(1-$AG$2),$N437,CEILING(MIN($N437,IF($Q437="",$N437,$Q437*1.03)),IF($N437&lt;=3000,1,IF($N437&lt;=5000,5,IF($N437&lt;=30000,10,IF($N437&lt;=50000,50,IF($N437&lt;=300000,100,500))))))),  IF($H437&lt;$F437*(1+$AG$2),$N437,FLOOR(MAX($N437,IF($P437="",$N437,$P437*0.97)),IF($N437&lt;=3000,1,IF($N437&lt;=5000,5,IF($N437&lt;=30000,10,IF($N437&lt;=50000,50,IF($N437&lt;=300000,100,500))))))))))</f>
      </c>
      <c r="S437" s="440" t="str">
        <f t="shared" si="140"/>
        <v/>
      </c>
      <c r="T437" s="597" t="str">
        <f t="shared" ca="1" si="129"/>
        <v/>
      </c>
      <c r="U437" s="599" t="str">
        <f t="shared" ca="1" si="130"/>
        <v/>
      </c>
      <c r="V437" s="704" t="str">
        <f t="shared" ca="1" si="141"/>
        <v/>
      </c>
      <c r="W437" s="440" t="str">
        <f t="shared" ca="1" si="131"/>
        <v/>
      </c>
      <c r="X437" s="440" t="str">
        <f t="shared" ca="1" si="132"/>
        <v/>
      </c>
      <c r="Y437">
        <f>IF($B437="","",IF(COUNTIFS($B$4:$B437,$B437,$C$4:$C437,$C437)&gt;1,"⛔重複"&amp;COUNTIFS($B$4:$B437,$B437,$C$4:$C437,$C437)&amp;"回目",""))</f>
      </c>
      <c r="AB437">
        <f>IF($F437="","",MAX(100,ROUNDDOWN($AG$4/($F437*$AG$2)/100,0)*100))</f>
      </c>
      <c r="AC437">
        <f>IF(OR($F437="",$G437="",$U437=""),"",ROUND($V437-($F437+$U437)*$G437*$AG$6-IF($C437="売",$F437*$G437*$AG$7*$W437/365,0),0))</f>
      </c>
      <c r="AD437" s="608"/>
      <c r="AE437" s="600" t="str">
        <f t="shared" si="133"/>
        <v/>
      </c>
      <c r="AF437" s="600"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00"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00" t="str">
        <f t="shared" ca="1" si="134"/>
        <v/>
      </c>
      <c r="AI437" s="600" t="str" cm="1">
        <f t="array" ref="AI437">IFERROR(INDEX(始値!$E$6:$BT$305,MATCH(TEXT($B437,"0"),TEXT(銘柄管理!$B$6:$B$305,"0"),0),MATCH($AE437,始値!$E$3:$BT$3,0)),"")</f>
        <v/>
      </c>
      <c r="AJ437" s="608" t="str">
        <f t="shared" ca="1" si="135"/>
        <v/>
      </c>
      <c r="AK437" s="600" t="str">
        <f t="shared" ca="1" si="136"/>
        <v/>
      </c>
    </row>
    <row r="438" spans="1:37" ht="17.25" customHeight="1">
      <c r="A438" s="622" t="str">
        <f t="shared" si="125"/>
        <v/>
      </c>
      <c r="D438" s="440" t="str" cm="1">
        <f t="array" ref="D438">_xll.RssMarket(B438, "銘柄名称")</f>
        <v/>
      </c>
      <c r="E438" s="717"/>
      <c r="F438" s="6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 t="shared" ca="1" si="137"/>
        <v/>
      </c>
      <c r="L438" s="709" t="str">
        <f t="shared" ca="1" si="138"/>
        <v/>
      </c>
      <c r="M438" s="599">
        <f>IF($F438="","",IF($C438="売",CEILING($F438*IF($C438="売",1-$AG$3,1+$AG$3),IF($F438*IF($C438="売",1-$AG$3,1+$AG$3)&lt;=3000,1,IF($F438*IF($C438="売",1-$AG$3,1+$AG$3)&lt;=5000,5,IF($F438*IF($C438="売",1-$AG$3,1+$AG$3)&lt;=30000,10,IF($F438*IF($C438="売",1-$AG$3,1+$AG$3)&lt;=50000,50,IF($F438*IF($C438="売",1-$AG$3,1+$AG$3)&lt;=300000,100,500)))))),FLOOR($F438*IF($C438="売",1-$AG$3,1+$AG$3),IF($F438*IF($C438="売",1-$AG$3,1+$AG$3)&lt;=3000,1,IF($F438*IF($C438="売",1-$AG$3,1+$AG$3)&lt;=5000,5,IF($F438*IF($C438="売",1-$AG$3,1+$AG$3)&lt;=30000,10,IF($F438*IF($C438="売",1-$AG$3,1+$AG$3)&lt;=50000,50,IF($F438*IF($C438="売",1-$AG$3,1+$AG$3)&lt;=300000,100,500))))))))</f>
      </c>
      <c r="N438" s="599">
        <f>IF($F438="","",IF($C438="売",CEILING($F438*IF($C438="売",1+$AG$2,1-$AG$2),IF($F438*IF($C438="売",1+$AG$2,1-$AG$2)&lt;=3000,1,IF($F438*IF($C438="売",1+$AG$2,1-$AG$2)&lt;=5000,5,IF($F438*IF($C438="売",1+$AG$2,1-$AG$2)&lt;=30000,10,IF($F438*IF($C438="売",1+$AG$2,1-$AG$2)&lt;=50000,50,IF($F438*IF($C438="売",1+$AG$2,1-$AG$2)&lt;=300000,100,500)))))),FLOOR($F438*IF($C438="売",1+$AG$2,1-$AG$2),IF($F438*IF($C438="売",1+$AG$2,1-$AG$2)&lt;=3000,1,IF($F438*IF($C438="売",1+$AG$2,1-$AG$2)&lt;=5000,5,IF($F438*IF($C438="売",1+$AG$2,1-$AG$2)&lt;=30000,10,IF($F438*IF($C438="売",1+$AG$2,1-$AG$2)&lt;=50000,50,IF($F438*IF($C438="売",1+$AG$2,1-$AG$2)&lt;=300000,100,500))))))))</f>
      </c>
      <c r="O438" s="478">
        <f>IF(OR($B438="",$F438="",$H438=""),"",IF($S438="✅売却済","―決済済―",IF($C438="売",  IF($H438&lt;=$M438,"🟢利確",  IF(AND($R438&lt;&gt;"",$H438&gt;=$R438),"🟠TRAIL決済",  IF($H438&gt;=$N438,"🔴損切",  IF($W438&gt;=$AG$5,"⏱時間決済",  IF($H438&gt;=$F438*(1+$AG$2*0.7),"⚠️損切接近","保持継続"))))),  IF($H438&gt;=$M438,"🟢利確",  IF(AND($R438&lt;&gt;"",$H438&lt;=$R438),"🟠TRAIL決済",  IF($H438&lt;=$N438,"🔴損切",  IF($W438&gt;=$AG$5,"⏱時間決済",  IF($H438&lt;=$F438*(1-$AG$2*0.7),"⚠️損切接近","保持継続")))))))</f>
      </c>
      <c r="P438" s="445"/>
      <c r="R438" s="440">
        <f>IF(OR($F438="",$H438="",$N438=""),"",IF($S438="✅売却済","",IF($C438="売",  IF($H438&gt;$F438*(1-$AG$2),$N438,CEILING(MIN($N438,IF($Q438="",$N438,$Q438*1.03)),IF($N438&lt;=3000,1,IF($N438&lt;=5000,5,IF($N438&lt;=30000,10,IF($N438&lt;=50000,50,IF($N438&lt;=300000,100,500))))))),  IF($H438&lt;$F438*(1+$AG$2),$N438,FLOOR(MAX($N438,IF($P438="",$N438,$P438*0.97)),IF($N438&lt;=3000,1,IF($N438&lt;=5000,5,IF($N438&lt;=30000,10,IF($N438&lt;=50000,50,IF($N438&lt;=300000,100,500))))))))))</f>
      </c>
      <c r="S438" s="440" t="str">
        <f t="shared" si="140"/>
        <v/>
      </c>
      <c r="T438" s="597" t="str">
        <f t="shared" ca="1" si="129"/>
        <v/>
      </c>
      <c r="U438" s="599" t="str">
        <f t="shared" ca="1" si="130"/>
        <v/>
      </c>
      <c r="V438" s="704" t="str">
        <f t="shared" ca="1" si="141"/>
        <v/>
      </c>
      <c r="W438" s="440" t="str">
        <f t="shared" ca="1" si="131"/>
        <v/>
      </c>
      <c r="X438" s="440" t="str">
        <f t="shared" ca="1" si="132"/>
        <v/>
      </c>
      <c r="Y438">
        <f>IF($B438="","",IF(COUNTIFS($B$4:$B438,$B438,$C$4:$C438,$C438)&gt;1,"⛔重複"&amp;COUNTIFS($B$4:$B438,$B438,$C$4:$C438,$C438)&amp;"回目",""))</f>
      </c>
      <c r="AB438">
        <f>IF($F438="","",MAX(100,ROUNDDOWN($AG$4/($F438*$AG$2)/100,0)*100))</f>
      </c>
      <c r="AC438">
        <f>IF(OR($F438="",$G438="",$U438=""),"",ROUND($V438-($F438+$U438)*$G438*$AG$6-IF($C438="売",$F438*$G438*$AG$7*$W438/365,0),0))</f>
      </c>
      <c r="AD438" s="608"/>
      <c r="AE438" s="600" t="str">
        <f t="shared" si="133"/>
        <v/>
      </c>
      <c r="AF438" s="600"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00"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00" t="str">
        <f t="shared" ca="1" si="134"/>
        <v/>
      </c>
      <c r="AI438" s="600" t="str" cm="1">
        <f t="array" ref="AI438">IFERROR(INDEX(始値!$E$6:$BT$305,MATCH(TEXT($B438,"0"),TEXT(銘柄管理!$B$6:$B$305,"0"),0),MATCH($AE438,始値!$E$3:$BT$3,0)),"")</f>
        <v/>
      </c>
      <c r="AJ438" s="608" t="str">
        <f t="shared" ca="1" si="135"/>
        <v/>
      </c>
      <c r="AK438" s="600" t="str">
        <f t="shared" ca="1" si="136"/>
        <v/>
      </c>
    </row>
    <row r="439" spans="1:37" ht="17.25" customHeight="1">
      <c r="A439" s="622" t="str">
        <f t="shared" si="125"/>
        <v/>
      </c>
      <c r="D439" s="440" t="str" cm="1">
        <f t="array" ref="D439">_xll.RssMarket(B439, "銘柄名称")</f>
        <v/>
      </c>
      <c r="E439" s="717"/>
      <c r="F439" s="6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 t="shared" ca="1" si="137"/>
        <v/>
      </c>
      <c r="L439" s="709" t="str">
        <f t="shared" ca="1" si="138"/>
        <v/>
      </c>
      <c r="M439" s="599">
        <f>IF($F439="","",IF($C439="売",CEILING($F439*IF($C439="売",1-$AG$3,1+$AG$3),IF($F439*IF($C439="売",1-$AG$3,1+$AG$3)&lt;=3000,1,IF($F439*IF($C439="売",1-$AG$3,1+$AG$3)&lt;=5000,5,IF($F439*IF($C439="売",1-$AG$3,1+$AG$3)&lt;=30000,10,IF($F439*IF($C439="売",1-$AG$3,1+$AG$3)&lt;=50000,50,IF($F439*IF($C439="売",1-$AG$3,1+$AG$3)&lt;=300000,100,500)))))),FLOOR($F439*IF($C439="売",1-$AG$3,1+$AG$3),IF($F439*IF($C439="売",1-$AG$3,1+$AG$3)&lt;=3000,1,IF($F439*IF($C439="売",1-$AG$3,1+$AG$3)&lt;=5000,5,IF($F439*IF($C439="売",1-$AG$3,1+$AG$3)&lt;=30000,10,IF($F439*IF($C439="売",1-$AG$3,1+$AG$3)&lt;=50000,50,IF($F439*IF($C439="売",1-$AG$3,1+$AG$3)&lt;=300000,100,500))))))))</f>
      </c>
      <c r="N439" s="599">
        <f>IF($F439="","",IF($C439="売",CEILING($F439*IF($C439="売",1+$AG$2,1-$AG$2),IF($F439*IF($C439="売",1+$AG$2,1-$AG$2)&lt;=3000,1,IF($F439*IF($C439="売",1+$AG$2,1-$AG$2)&lt;=5000,5,IF($F439*IF($C439="売",1+$AG$2,1-$AG$2)&lt;=30000,10,IF($F439*IF($C439="売",1+$AG$2,1-$AG$2)&lt;=50000,50,IF($F439*IF($C439="売",1+$AG$2,1-$AG$2)&lt;=300000,100,500)))))),FLOOR($F439*IF($C439="売",1+$AG$2,1-$AG$2),IF($F439*IF($C439="売",1+$AG$2,1-$AG$2)&lt;=3000,1,IF($F439*IF($C439="売",1+$AG$2,1-$AG$2)&lt;=5000,5,IF($F439*IF($C439="売",1+$AG$2,1-$AG$2)&lt;=30000,10,IF($F439*IF($C439="売",1+$AG$2,1-$AG$2)&lt;=50000,50,IF($F439*IF($C439="売",1+$AG$2,1-$AG$2)&lt;=300000,100,500))))))))</f>
      </c>
      <c r="O439" s="478">
        <f>IF(OR($B439="",$F439="",$H439=""),"",IF($S439="✅売却済","―決済済―",IF($C439="売",  IF($H439&lt;=$M439,"🟢利確",  IF(AND($R439&lt;&gt;"",$H439&gt;=$R439),"🟠TRAIL決済",  IF($H439&gt;=$N439,"🔴損切",  IF($W439&gt;=$AG$5,"⏱時間決済",  IF($H439&gt;=$F439*(1+$AG$2*0.7),"⚠️損切接近","保持継続"))))),  IF($H439&gt;=$M439,"🟢利確",  IF(AND($R439&lt;&gt;"",$H439&lt;=$R439),"🟠TRAIL決済",  IF($H439&lt;=$N439,"🔴損切",  IF($W439&gt;=$AG$5,"⏱時間決済",  IF($H439&lt;=$F439*(1-$AG$2*0.7),"⚠️損切接近","保持継続")))))))</f>
      </c>
      <c r="P439" s="445"/>
      <c r="R439" s="440">
        <f>IF(OR($F439="",$H439="",$N439=""),"",IF($S439="✅売却済","",IF($C439="売",  IF($H439&gt;$F439*(1-$AG$2),$N439,CEILING(MIN($N439,IF($Q439="",$N439,$Q439*1.03)),IF($N439&lt;=3000,1,IF($N439&lt;=5000,5,IF($N439&lt;=30000,10,IF($N439&lt;=50000,50,IF($N439&lt;=300000,100,500))))))),  IF($H439&lt;$F439*(1+$AG$2),$N439,FLOOR(MAX($N439,IF($P439="",$N439,$P439*0.97)),IF($N439&lt;=3000,1,IF($N439&lt;=5000,5,IF($N439&lt;=30000,10,IF($N439&lt;=50000,50,IF($N439&lt;=300000,100,500))))))))))</f>
      </c>
      <c r="S439" s="440" t="str">
        <f t="shared" si="140"/>
        <v/>
      </c>
      <c r="T439" s="597" t="str">
        <f t="shared" ca="1" si="129"/>
        <v/>
      </c>
      <c r="U439" s="599" t="str">
        <f t="shared" ca="1" si="130"/>
        <v/>
      </c>
      <c r="V439" s="704" t="str">
        <f t="shared" ca="1" si="141"/>
        <v/>
      </c>
      <c r="W439" s="440" t="str">
        <f t="shared" ca="1" si="131"/>
        <v/>
      </c>
      <c r="X439" s="440" t="str">
        <f t="shared" ca="1" si="132"/>
        <v/>
      </c>
      <c r="Y439">
        <f>IF($B439="","",IF(COUNTIFS($B$4:$B439,$B439,$C$4:$C439,$C439)&gt;1,"⛔重複"&amp;COUNTIFS($B$4:$B439,$B439,$C$4:$C439,$C439)&amp;"回目",""))</f>
      </c>
      <c r="AB439">
        <f>IF($F439="","",MAX(100,ROUNDDOWN($AG$4/($F439*$AG$2)/100,0)*100))</f>
      </c>
      <c r="AC439">
        <f>IF(OR($F439="",$G439="",$U439=""),"",ROUND($V439-($F439+$U439)*$G439*$AG$6-IF($C439="売",$F439*$G439*$AG$7*$W439/365,0),0))</f>
      </c>
      <c r="AD439" s="608"/>
      <c r="AE439" s="600" t="str">
        <f t="shared" si="133"/>
        <v/>
      </c>
      <c r="AF439" s="600"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00"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00" t="str">
        <f t="shared" ca="1" si="134"/>
        <v/>
      </c>
      <c r="AI439" s="600" t="str" cm="1">
        <f t="array" ref="AI439">IFERROR(INDEX(始値!$E$6:$BT$305,MATCH(TEXT($B439,"0"),TEXT(銘柄管理!$B$6:$B$305,"0"),0),MATCH($AE439,始値!$E$3:$BT$3,0)),"")</f>
        <v/>
      </c>
      <c r="AJ439" s="608" t="str">
        <f t="shared" ca="1" si="135"/>
        <v/>
      </c>
      <c r="AK439" s="600" t="str">
        <f t="shared" ca="1" si="136"/>
        <v/>
      </c>
    </row>
    <row r="440" spans="1:37" ht="17.25" customHeight="1">
      <c r="A440" s="622" t="str">
        <f t="shared" si="125"/>
        <v/>
      </c>
      <c r="D440" s="440" t="str" cm="1">
        <f t="array" ref="D440">_xll.RssMarket(B440, "銘柄名称")</f>
        <v/>
      </c>
      <c r="E440" s="717"/>
      <c r="F440" s="6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 t="shared" ca="1" si="137"/>
        <v/>
      </c>
      <c r="L440" s="709" t="str">
        <f t="shared" ca="1" si="138"/>
        <v/>
      </c>
      <c r="M440" s="599">
        <f>IF($F440="","",IF($C440="売",CEILING($F440*IF($C440="売",1-$AG$3,1+$AG$3),IF($F440*IF($C440="売",1-$AG$3,1+$AG$3)&lt;=3000,1,IF($F440*IF($C440="売",1-$AG$3,1+$AG$3)&lt;=5000,5,IF($F440*IF($C440="売",1-$AG$3,1+$AG$3)&lt;=30000,10,IF($F440*IF($C440="売",1-$AG$3,1+$AG$3)&lt;=50000,50,IF($F440*IF($C440="売",1-$AG$3,1+$AG$3)&lt;=300000,100,500)))))),FLOOR($F440*IF($C440="売",1-$AG$3,1+$AG$3),IF($F440*IF($C440="売",1-$AG$3,1+$AG$3)&lt;=3000,1,IF($F440*IF($C440="売",1-$AG$3,1+$AG$3)&lt;=5000,5,IF($F440*IF($C440="売",1-$AG$3,1+$AG$3)&lt;=30000,10,IF($F440*IF($C440="売",1-$AG$3,1+$AG$3)&lt;=50000,50,IF($F440*IF($C440="売",1-$AG$3,1+$AG$3)&lt;=300000,100,500))))))))</f>
      </c>
      <c r="N440" s="599">
        <f>IF($F440="","",IF($C440="売",CEILING($F440*IF($C440="売",1+$AG$2,1-$AG$2),IF($F440*IF($C440="売",1+$AG$2,1-$AG$2)&lt;=3000,1,IF($F440*IF($C440="売",1+$AG$2,1-$AG$2)&lt;=5000,5,IF($F440*IF($C440="売",1+$AG$2,1-$AG$2)&lt;=30000,10,IF($F440*IF($C440="売",1+$AG$2,1-$AG$2)&lt;=50000,50,IF($F440*IF($C440="売",1+$AG$2,1-$AG$2)&lt;=300000,100,500)))))),FLOOR($F440*IF($C440="売",1+$AG$2,1-$AG$2),IF($F440*IF($C440="売",1+$AG$2,1-$AG$2)&lt;=3000,1,IF($F440*IF($C440="売",1+$AG$2,1-$AG$2)&lt;=5000,5,IF($F440*IF($C440="売",1+$AG$2,1-$AG$2)&lt;=30000,10,IF($F440*IF($C440="売",1+$AG$2,1-$AG$2)&lt;=50000,50,IF($F440*IF($C440="売",1+$AG$2,1-$AG$2)&lt;=300000,100,500))))))))</f>
      </c>
      <c r="O440" s="478">
        <f>IF(OR($B440="",$F440="",$H440=""),"",IF($S440="✅売却済","―決済済―",IF($C440="売",  IF($H440&lt;=$M440,"🟢利確",  IF(AND($R440&lt;&gt;"",$H440&gt;=$R440),"🟠TRAIL決済",  IF($H440&gt;=$N440,"🔴損切",  IF($W440&gt;=$AG$5,"⏱時間決済",  IF($H440&gt;=$F440*(1+$AG$2*0.7),"⚠️損切接近","保持継続"))))),  IF($H440&gt;=$M440,"🟢利確",  IF(AND($R440&lt;&gt;"",$H440&lt;=$R440),"🟠TRAIL決済",  IF($H440&lt;=$N440,"🔴損切",  IF($W440&gt;=$AG$5,"⏱時間決済",  IF($H440&lt;=$F440*(1-$AG$2*0.7),"⚠️損切接近","保持継続")))))))</f>
      </c>
      <c r="P440" s="445"/>
      <c r="R440" s="440">
        <f>IF(OR($F440="",$H440="",$N440=""),"",IF($S440="✅売却済","",IF($C440="売",  IF($H440&gt;$F440*(1-$AG$2),$N440,CEILING(MIN($N440,IF($Q440="",$N440,$Q440*1.03)),IF($N440&lt;=3000,1,IF($N440&lt;=5000,5,IF($N440&lt;=30000,10,IF($N440&lt;=50000,50,IF($N440&lt;=300000,100,500))))))),  IF($H440&lt;$F440*(1+$AG$2),$N440,FLOOR(MAX($N440,IF($P440="",$N440,$P440*0.97)),IF($N440&lt;=3000,1,IF($N440&lt;=5000,5,IF($N440&lt;=30000,10,IF($N440&lt;=50000,50,IF($N440&lt;=300000,100,500))))))))))</f>
      </c>
      <c r="S440" s="440" t="str">
        <f t="shared" si="140"/>
        <v/>
      </c>
      <c r="T440" s="597" t="str">
        <f t="shared" ca="1" si="129"/>
        <v/>
      </c>
      <c r="U440" s="599" t="str">
        <f t="shared" ca="1" si="130"/>
        <v/>
      </c>
      <c r="V440" s="704" t="str">
        <f t="shared" ca="1" si="141"/>
        <v/>
      </c>
      <c r="W440" s="440" t="str">
        <f t="shared" ca="1" si="131"/>
        <v/>
      </c>
      <c r="X440" s="440" t="str">
        <f t="shared" ca="1" si="132"/>
        <v/>
      </c>
      <c r="Y440">
        <f>IF($B440="","",IF(COUNTIFS($B$4:$B440,$B440,$C$4:$C440,$C440)&gt;1,"⛔重複"&amp;COUNTIFS($B$4:$B440,$B440,$C$4:$C440,$C440)&amp;"回目",""))</f>
      </c>
      <c r="AB440">
        <f>IF($F440="","",MAX(100,ROUNDDOWN($AG$4/($F440*$AG$2)/100,0)*100))</f>
      </c>
      <c r="AC440">
        <f>IF(OR($F440="",$G440="",$U440=""),"",ROUND($V440-($F440+$U440)*$G440*$AG$6-IF($C440="売",$F440*$G440*$AG$7*$W440/365,0),0))</f>
      </c>
      <c r="AD440" s="608"/>
      <c r="AE440" s="600" t="str">
        <f t="shared" si="133"/>
        <v/>
      </c>
      <c r="AF440" s="600"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00"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00" t="str">
        <f t="shared" ca="1" si="134"/>
        <v/>
      </c>
      <c r="AI440" s="600" t="str" cm="1">
        <f t="array" ref="AI440">IFERROR(INDEX(始値!$E$6:$BT$305,MATCH(TEXT($B440,"0"),TEXT(銘柄管理!$B$6:$B$305,"0"),0),MATCH($AE440,始値!$E$3:$BT$3,0)),"")</f>
        <v/>
      </c>
      <c r="AJ440" s="608" t="str">
        <f t="shared" ca="1" si="135"/>
        <v/>
      </c>
      <c r="AK440" s="600" t="str">
        <f t="shared" ca="1" si="136"/>
        <v/>
      </c>
    </row>
    <row r="441" spans="1:37" ht="17.25" customHeight="1">
      <c r="A441" s="622" t="str">
        <f t="shared" si="125"/>
        <v/>
      </c>
      <c r="D441" s="440" t="str" cm="1">
        <f t="array" ref="D441">_xll.RssMarket(B441, "銘柄名称")</f>
        <v/>
      </c>
      <c r="E441" s="717"/>
      <c r="F441" s="6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 t="shared" ca="1" si="137"/>
        <v/>
      </c>
      <c r="L441" s="709" t="str">
        <f t="shared" ca="1" si="138"/>
        <v/>
      </c>
      <c r="M441" s="599">
        <f>IF($F441="","",IF($C441="売",CEILING($F441*IF($C441="売",1-$AG$3,1+$AG$3),IF($F441*IF($C441="売",1-$AG$3,1+$AG$3)&lt;=3000,1,IF($F441*IF($C441="売",1-$AG$3,1+$AG$3)&lt;=5000,5,IF($F441*IF($C441="売",1-$AG$3,1+$AG$3)&lt;=30000,10,IF($F441*IF($C441="売",1-$AG$3,1+$AG$3)&lt;=50000,50,IF($F441*IF($C441="売",1-$AG$3,1+$AG$3)&lt;=300000,100,500)))))),FLOOR($F441*IF($C441="売",1-$AG$3,1+$AG$3),IF($F441*IF($C441="売",1-$AG$3,1+$AG$3)&lt;=3000,1,IF($F441*IF($C441="売",1-$AG$3,1+$AG$3)&lt;=5000,5,IF($F441*IF($C441="売",1-$AG$3,1+$AG$3)&lt;=30000,10,IF($F441*IF($C441="売",1-$AG$3,1+$AG$3)&lt;=50000,50,IF($F441*IF($C441="売",1-$AG$3,1+$AG$3)&lt;=300000,100,500))))))))</f>
      </c>
      <c r="N441" s="599">
        <f>IF($F441="","",IF($C441="売",CEILING($F441*IF($C441="売",1+$AG$2,1-$AG$2),IF($F441*IF($C441="売",1+$AG$2,1-$AG$2)&lt;=3000,1,IF($F441*IF($C441="売",1+$AG$2,1-$AG$2)&lt;=5000,5,IF($F441*IF($C441="売",1+$AG$2,1-$AG$2)&lt;=30000,10,IF($F441*IF($C441="売",1+$AG$2,1-$AG$2)&lt;=50000,50,IF($F441*IF($C441="売",1+$AG$2,1-$AG$2)&lt;=300000,100,500)))))),FLOOR($F441*IF($C441="売",1+$AG$2,1-$AG$2),IF($F441*IF($C441="売",1+$AG$2,1-$AG$2)&lt;=3000,1,IF($F441*IF($C441="売",1+$AG$2,1-$AG$2)&lt;=5000,5,IF($F441*IF($C441="売",1+$AG$2,1-$AG$2)&lt;=30000,10,IF($F441*IF($C441="売",1+$AG$2,1-$AG$2)&lt;=50000,50,IF($F441*IF($C441="売",1+$AG$2,1-$AG$2)&lt;=300000,100,500))))))))</f>
      </c>
      <c r="O441" s="478">
        <f>IF(OR($B441="",$F441="",$H441=""),"",IF($S441="✅売却済","―決済済―",IF($C441="売",  IF($H441&lt;=$M441,"🟢利確",  IF(AND($R441&lt;&gt;"",$H441&gt;=$R441),"🟠TRAIL決済",  IF($H441&gt;=$N441,"🔴損切",  IF($W441&gt;=$AG$5,"⏱時間決済",  IF($H441&gt;=$F441*(1+$AG$2*0.7),"⚠️損切接近","保持継続"))))),  IF($H441&gt;=$M441,"🟢利確",  IF(AND($R441&lt;&gt;"",$H441&lt;=$R441),"🟠TRAIL決済",  IF($H441&lt;=$N441,"🔴損切",  IF($W441&gt;=$AG$5,"⏱時間決済",  IF($H441&lt;=$F441*(1-$AG$2*0.7),"⚠️損切接近","保持継続")))))))</f>
      </c>
      <c r="P441" s="445"/>
      <c r="R441" s="440">
        <f>IF(OR($F441="",$H441="",$N441=""),"",IF($S441="✅売却済","",IF($C441="売",  IF($H441&gt;$F441*(1-$AG$2),$N441,CEILING(MIN($N441,IF($Q441="",$N441,$Q441*1.03)),IF($N441&lt;=3000,1,IF($N441&lt;=5000,5,IF($N441&lt;=30000,10,IF($N441&lt;=50000,50,IF($N441&lt;=300000,100,500))))))),  IF($H441&lt;$F441*(1+$AG$2),$N441,FLOOR(MAX($N441,IF($P441="",$N441,$P441*0.97)),IF($N441&lt;=3000,1,IF($N441&lt;=5000,5,IF($N441&lt;=30000,10,IF($N441&lt;=50000,50,IF($N441&lt;=300000,100,500))))))))))</f>
      </c>
      <c r="S441" s="440" t="str">
        <f t="shared" si="140"/>
        <v/>
      </c>
      <c r="T441" s="597" t="str">
        <f t="shared" ca="1" si="129"/>
        <v/>
      </c>
      <c r="U441" s="599" t="str">
        <f t="shared" ca="1" si="130"/>
        <v/>
      </c>
      <c r="V441" s="704" t="str">
        <f t="shared" ca="1" si="141"/>
        <v/>
      </c>
      <c r="W441" s="440" t="str">
        <f t="shared" ca="1" si="131"/>
        <v/>
      </c>
      <c r="X441" s="440" t="str">
        <f t="shared" ca="1" si="132"/>
        <v/>
      </c>
      <c r="Y441">
        <f>IF($B441="","",IF(COUNTIFS($B$4:$B441,$B441,$C$4:$C441,$C441)&gt;1,"⛔重複"&amp;COUNTIFS($B$4:$B441,$B441,$C$4:$C441,$C441)&amp;"回目",""))</f>
      </c>
      <c r="AB441">
        <f>IF($F441="","",MAX(100,ROUNDDOWN($AG$4/($F441*$AG$2)/100,0)*100))</f>
      </c>
      <c r="AC441">
        <f>IF(OR($F441="",$G441="",$U441=""),"",ROUND($V441-($F441+$U441)*$G441*$AG$6-IF($C441="売",$F441*$G441*$AG$7*$W441/365,0),0))</f>
      </c>
      <c r="AD441" s="608"/>
      <c r="AE441" s="600" t="str">
        <f t="shared" si="133"/>
        <v/>
      </c>
      <c r="AF441" s="600"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00"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00" t="str">
        <f t="shared" ca="1" si="134"/>
        <v/>
      </c>
      <c r="AI441" s="600" t="str" cm="1">
        <f t="array" ref="AI441">IFERROR(INDEX(始値!$E$6:$BT$305,MATCH(TEXT($B441,"0"),TEXT(銘柄管理!$B$6:$B$305,"0"),0),MATCH($AE441,始値!$E$3:$BT$3,0)),"")</f>
        <v/>
      </c>
      <c r="AJ441" s="608" t="str">
        <f t="shared" ca="1" si="135"/>
        <v/>
      </c>
      <c r="AK441" s="600" t="str">
        <f t="shared" ca="1" si="136"/>
        <v/>
      </c>
    </row>
    <row r="442" spans="1:37" ht="17.25" customHeight="1">
      <c r="A442" s="622" t="str">
        <f t="shared" si="125"/>
        <v/>
      </c>
      <c r="D442" s="440" t="str" cm="1">
        <f t="array" ref="D442">_xll.RssMarket(B442, "銘柄名称")</f>
        <v/>
      </c>
      <c r="E442" s="717"/>
      <c r="F442" s="6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 t="shared" ca="1" si="137"/>
        <v/>
      </c>
      <c r="L442" s="709" t="str">
        <f t="shared" ca="1" si="138"/>
        <v/>
      </c>
      <c r="M442" s="599">
        <f>IF($F442="","",IF($C442="売",CEILING($F442*IF($C442="売",1-$AG$3,1+$AG$3),IF($F442*IF($C442="売",1-$AG$3,1+$AG$3)&lt;=3000,1,IF($F442*IF($C442="売",1-$AG$3,1+$AG$3)&lt;=5000,5,IF($F442*IF($C442="売",1-$AG$3,1+$AG$3)&lt;=30000,10,IF($F442*IF($C442="売",1-$AG$3,1+$AG$3)&lt;=50000,50,IF($F442*IF($C442="売",1-$AG$3,1+$AG$3)&lt;=300000,100,500)))))),FLOOR($F442*IF($C442="売",1-$AG$3,1+$AG$3),IF($F442*IF($C442="売",1-$AG$3,1+$AG$3)&lt;=3000,1,IF($F442*IF($C442="売",1-$AG$3,1+$AG$3)&lt;=5000,5,IF($F442*IF($C442="売",1-$AG$3,1+$AG$3)&lt;=30000,10,IF($F442*IF($C442="売",1-$AG$3,1+$AG$3)&lt;=50000,50,IF($F442*IF($C442="売",1-$AG$3,1+$AG$3)&lt;=300000,100,500))))))))</f>
      </c>
      <c r="N442" s="599">
        <f>IF($F442="","",IF($C442="売",CEILING($F442*IF($C442="売",1+$AG$2,1-$AG$2),IF($F442*IF($C442="売",1+$AG$2,1-$AG$2)&lt;=3000,1,IF($F442*IF($C442="売",1+$AG$2,1-$AG$2)&lt;=5000,5,IF($F442*IF($C442="売",1+$AG$2,1-$AG$2)&lt;=30000,10,IF($F442*IF($C442="売",1+$AG$2,1-$AG$2)&lt;=50000,50,IF($F442*IF($C442="売",1+$AG$2,1-$AG$2)&lt;=300000,100,500)))))),FLOOR($F442*IF($C442="売",1+$AG$2,1-$AG$2),IF($F442*IF($C442="売",1+$AG$2,1-$AG$2)&lt;=3000,1,IF($F442*IF($C442="売",1+$AG$2,1-$AG$2)&lt;=5000,5,IF($F442*IF($C442="売",1+$AG$2,1-$AG$2)&lt;=30000,10,IF($F442*IF($C442="売",1+$AG$2,1-$AG$2)&lt;=50000,50,IF($F442*IF($C442="売",1+$AG$2,1-$AG$2)&lt;=300000,100,500))))))))</f>
      </c>
      <c r="O442" s="478">
        <f>IF(OR($B442="",$F442="",$H442=""),"",IF($S442="✅売却済","―決済済―",IF($C442="売",  IF($H442&lt;=$M442,"🟢利確",  IF(AND($R442&lt;&gt;"",$H442&gt;=$R442),"🟠TRAIL決済",  IF($H442&gt;=$N442,"🔴損切",  IF($W442&gt;=$AG$5,"⏱時間決済",  IF($H442&gt;=$F442*(1+$AG$2*0.7),"⚠️損切接近","保持継続"))))),  IF($H442&gt;=$M442,"🟢利確",  IF(AND($R442&lt;&gt;"",$H442&lt;=$R442),"🟠TRAIL決済",  IF($H442&lt;=$N442,"🔴損切",  IF($W442&gt;=$AG$5,"⏱時間決済",  IF($H442&lt;=$F442*(1-$AG$2*0.7),"⚠️損切接近","保持継続")))))))</f>
      </c>
      <c r="P442" s="445"/>
      <c r="R442" s="440">
        <f>IF(OR($F442="",$H442="",$N442=""),"",IF($S442="✅売却済","",IF($C442="売",  IF($H442&gt;$F442*(1-$AG$2),$N442,CEILING(MIN($N442,IF($Q442="",$N442,$Q442*1.03)),IF($N442&lt;=3000,1,IF($N442&lt;=5000,5,IF($N442&lt;=30000,10,IF($N442&lt;=50000,50,IF($N442&lt;=300000,100,500))))))),  IF($H442&lt;$F442*(1+$AG$2),$N442,FLOOR(MAX($N442,IF($P442="",$N442,$P442*0.97)),IF($N442&lt;=3000,1,IF($N442&lt;=5000,5,IF($N442&lt;=30000,10,IF($N442&lt;=50000,50,IF($N442&lt;=300000,100,500))))))))))</f>
      </c>
      <c r="S442" s="440" t="str">
        <f t="shared" si="140"/>
        <v/>
      </c>
      <c r="T442" s="597" t="str">
        <f t="shared" ca="1" si="129"/>
        <v/>
      </c>
      <c r="U442" s="599" t="str">
        <f t="shared" ca="1" si="130"/>
        <v/>
      </c>
      <c r="V442" s="704" t="str">
        <f t="shared" ca="1" si="141"/>
        <v/>
      </c>
      <c r="W442" s="440" t="str">
        <f t="shared" ca="1" si="131"/>
        <v/>
      </c>
      <c r="X442" s="440" t="str">
        <f t="shared" ca="1" si="132"/>
        <v/>
      </c>
      <c r="Y442">
        <f>IF($B442="","",IF(COUNTIFS($B$4:$B442,$B442,$C$4:$C442,$C442)&gt;1,"⛔重複"&amp;COUNTIFS($B$4:$B442,$B442,$C$4:$C442,$C442)&amp;"回目",""))</f>
      </c>
      <c r="AB442">
        <f>IF($F442="","",MAX(100,ROUNDDOWN($AG$4/($F442*$AG$2)/100,0)*100))</f>
      </c>
      <c r="AC442">
        <f>IF(OR($F442="",$G442="",$U442=""),"",ROUND($V442-($F442+$U442)*$G442*$AG$6-IF($C442="売",$F442*$G442*$AG$7*$W442/365,0),0))</f>
      </c>
      <c r="AD442" s="608"/>
      <c r="AE442" s="600" t="str">
        <f t="shared" si="133"/>
        <v/>
      </c>
      <c r="AF442" s="600"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00"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00" t="str">
        <f t="shared" ca="1" si="134"/>
        <v/>
      </c>
      <c r="AI442" s="600" t="str" cm="1">
        <f t="array" ref="AI442">IFERROR(INDEX(始値!$E$6:$BT$305,MATCH(TEXT($B442,"0"),TEXT(銘柄管理!$B$6:$B$305,"0"),0),MATCH($AE442,始値!$E$3:$BT$3,0)),"")</f>
        <v/>
      </c>
      <c r="AJ442" s="608" t="str">
        <f t="shared" ca="1" si="135"/>
        <v/>
      </c>
      <c r="AK442" s="600" t="str">
        <f t="shared" ca="1" si="136"/>
        <v/>
      </c>
    </row>
    <row r="443" spans="1:37" ht="17.25" customHeight="1">
      <c r="A443" s="622" t="str">
        <f t="shared" si="125"/>
        <v/>
      </c>
      <c r="D443" s="440" t="str" cm="1">
        <f t="array" ref="D443">_xll.RssMarket(B443, "銘柄名称")</f>
        <v/>
      </c>
      <c r="E443" s="717"/>
      <c r="F443" s="6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 t="shared" ca="1" si="137"/>
        <v/>
      </c>
      <c r="L443" s="709" t="str">
        <f t="shared" ca="1" si="138"/>
        <v/>
      </c>
      <c r="M443" s="599">
        <f>IF($F443="","",IF($C443="売",CEILING($F443*IF($C443="売",1-$AG$3,1+$AG$3),IF($F443*IF($C443="売",1-$AG$3,1+$AG$3)&lt;=3000,1,IF($F443*IF($C443="売",1-$AG$3,1+$AG$3)&lt;=5000,5,IF($F443*IF($C443="売",1-$AG$3,1+$AG$3)&lt;=30000,10,IF($F443*IF($C443="売",1-$AG$3,1+$AG$3)&lt;=50000,50,IF($F443*IF($C443="売",1-$AG$3,1+$AG$3)&lt;=300000,100,500)))))),FLOOR($F443*IF($C443="売",1-$AG$3,1+$AG$3),IF($F443*IF($C443="売",1-$AG$3,1+$AG$3)&lt;=3000,1,IF($F443*IF($C443="売",1-$AG$3,1+$AG$3)&lt;=5000,5,IF($F443*IF($C443="売",1-$AG$3,1+$AG$3)&lt;=30000,10,IF($F443*IF($C443="売",1-$AG$3,1+$AG$3)&lt;=50000,50,IF($F443*IF($C443="売",1-$AG$3,1+$AG$3)&lt;=300000,100,500))))))))</f>
      </c>
      <c r="N443" s="599">
        <f>IF($F443="","",IF($C443="売",CEILING($F443*IF($C443="売",1+$AG$2,1-$AG$2),IF($F443*IF($C443="売",1+$AG$2,1-$AG$2)&lt;=3000,1,IF($F443*IF($C443="売",1+$AG$2,1-$AG$2)&lt;=5000,5,IF($F443*IF($C443="売",1+$AG$2,1-$AG$2)&lt;=30000,10,IF($F443*IF($C443="売",1+$AG$2,1-$AG$2)&lt;=50000,50,IF($F443*IF($C443="売",1+$AG$2,1-$AG$2)&lt;=300000,100,500)))))),FLOOR($F443*IF($C443="売",1+$AG$2,1-$AG$2),IF($F443*IF($C443="売",1+$AG$2,1-$AG$2)&lt;=3000,1,IF($F443*IF($C443="売",1+$AG$2,1-$AG$2)&lt;=5000,5,IF($F443*IF($C443="売",1+$AG$2,1-$AG$2)&lt;=30000,10,IF($F443*IF($C443="売",1+$AG$2,1-$AG$2)&lt;=50000,50,IF($F443*IF($C443="売",1+$AG$2,1-$AG$2)&lt;=300000,100,500))))))))</f>
      </c>
      <c r="O443" s="478">
        <f>IF(OR($B443="",$F443="",$H443=""),"",IF($S443="✅売却済","―決済済―",IF($C443="売",  IF($H443&lt;=$M443,"🟢利確",  IF(AND($R443&lt;&gt;"",$H443&gt;=$R443),"🟠TRAIL決済",  IF($H443&gt;=$N443,"🔴損切",  IF($W443&gt;=$AG$5,"⏱時間決済",  IF($H443&gt;=$F443*(1+$AG$2*0.7),"⚠️損切接近","保持継続"))))),  IF($H443&gt;=$M443,"🟢利確",  IF(AND($R443&lt;&gt;"",$H443&lt;=$R443),"🟠TRAIL決済",  IF($H443&lt;=$N443,"🔴損切",  IF($W443&gt;=$AG$5,"⏱時間決済",  IF($H443&lt;=$F443*(1-$AG$2*0.7),"⚠️損切接近","保持継続")))))))</f>
      </c>
      <c r="P443" s="445"/>
      <c r="R443" s="440">
        <f>IF(OR($F443="",$H443="",$N443=""),"",IF($S443="✅売却済","",IF($C443="売",  IF($H443&gt;$F443*(1-$AG$2),$N443,CEILING(MIN($N443,IF($Q443="",$N443,$Q443*1.03)),IF($N443&lt;=3000,1,IF($N443&lt;=5000,5,IF($N443&lt;=30000,10,IF($N443&lt;=50000,50,IF($N443&lt;=300000,100,500))))))),  IF($H443&lt;$F443*(1+$AG$2),$N443,FLOOR(MAX($N443,IF($P443="",$N443,$P443*0.97)),IF($N443&lt;=3000,1,IF($N443&lt;=5000,5,IF($N443&lt;=30000,10,IF($N443&lt;=50000,50,IF($N443&lt;=300000,100,500))))))))))</f>
      </c>
      <c r="S443" s="440" t="str">
        <f t="shared" si="140"/>
        <v/>
      </c>
      <c r="T443" s="597" t="str">
        <f t="shared" ca="1" si="129"/>
        <v/>
      </c>
      <c r="U443" s="599" t="str">
        <f t="shared" ca="1" si="130"/>
        <v/>
      </c>
      <c r="V443" s="704" t="str">
        <f t="shared" ca="1" si="141"/>
        <v/>
      </c>
      <c r="W443" s="440" t="str">
        <f t="shared" ca="1" si="131"/>
        <v/>
      </c>
      <c r="X443" s="440" t="str">
        <f t="shared" ca="1" si="132"/>
        <v/>
      </c>
      <c r="Y443">
        <f>IF($B443="","",IF(COUNTIFS($B$4:$B443,$B443,$C$4:$C443,$C443)&gt;1,"⛔重複"&amp;COUNTIFS($B$4:$B443,$B443,$C$4:$C443,$C443)&amp;"回目",""))</f>
      </c>
      <c r="AB443">
        <f>IF($F443="","",MAX(100,ROUNDDOWN($AG$4/($F443*$AG$2)/100,0)*100))</f>
      </c>
      <c r="AC443">
        <f>IF(OR($F443="",$G443="",$U443=""),"",ROUND($V443-($F443+$U443)*$G443*$AG$6-IF($C443="売",$F443*$G443*$AG$7*$W443/365,0),0))</f>
      </c>
      <c r="AD443" s="608"/>
      <c r="AE443" s="600" t="str">
        <f t="shared" si="133"/>
        <v/>
      </c>
      <c r="AF443" s="600"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00"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00" t="str">
        <f t="shared" ca="1" si="134"/>
        <v/>
      </c>
      <c r="AI443" s="600" t="str" cm="1">
        <f t="array" ref="AI443">IFERROR(INDEX(始値!$E$6:$BT$305,MATCH(TEXT($B443,"0"),TEXT(銘柄管理!$B$6:$B$305,"0"),0),MATCH($AE443,始値!$E$3:$BT$3,0)),"")</f>
        <v/>
      </c>
      <c r="AJ443" s="608" t="str">
        <f t="shared" ca="1" si="135"/>
        <v/>
      </c>
      <c r="AK443" s="600" t="str">
        <f t="shared" ca="1" si="136"/>
        <v/>
      </c>
    </row>
    <row r="444" spans="1:37" ht="17.25" customHeight="1">
      <c r="A444" s="622" t="str">
        <f t="shared" si="125"/>
        <v/>
      </c>
      <c r="D444" s="440" t="str" cm="1">
        <f t="array" ref="D444">_xll.RssMarket(B444, "銘柄名称")</f>
        <v/>
      </c>
      <c r="E444" s="717"/>
      <c r="F444" s="6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 t="shared" ca="1" si="137"/>
        <v/>
      </c>
      <c r="L444" s="709" t="str">
        <f t="shared" ca="1" si="138"/>
        <v/>
      </c>
      <c r="M444" s="599">
        <f>IF($F444="","",IF($C444="売",CEILING($F444*IF($C444="売",1-$AG$3,1+$AG$3),IF($F444*IF($C444="売",1-$AG$3,1+$AG$3)&lt;=3000,1,IF($F444*IF($C444="売",1-$AG$3,1+$AG$3)&lt;=5000,5,IF($F444*IF($C444="売",1-$AG$3,1+$AG$3)&lt;=30000,10,IF($F444*IF($C444="売",1-$AG$3,1+$AG$3)&lt;=50000,50,IF($F444*IF($C444="売",1-$AG$3,1+$AG$3)&lt;=300000,100,500)))))),FLOOR($F444*IF($C444="売",1-$AG$3,1+$AG$3),IF($F444*IF($C444="売",1-$AG$3,1+$AG$3)&lt;=3000,1,IF($F444*IF($C444="売",1-$AG$3,1+$AG$3)&lt;=5000,5,IF($F444*IF($C444="売",1-$AG$3,1+$AG$3)&lt;=30000,10,IF($F444*IF($C444="売",1-$AG$3,1+$AG$3)&lt;=50000,50,IF($F444*IF($C444="売",1-$AG$3,1+$AG$3)&lt;=300000,100,500))))))))</f>
      </c>
      <c r="N444" s="599">
        <f>IF($F444="","",IF($C444="売",CEILING($F444*IF($C444="売",1+$AG$2,1-$AG$2),IF($F444*IF($C444="売",1+$AG$2,1-$AG$2)&lt;=3000,1,IF($F444*IF($C444="売",1+$AG$2,1-$AG$2)&lt;=5000,5,IF($F444*IF($C444="売",1+$AG$2,1-$AG$2)&lt;=30000,10,IF($F444*IF($C444="売",1+$AG$2,1-$AG$2)&lt;=50000,50,IF($F444*IF($C444="売",1+$AG$2,1-$AG$2)&lt;=300000,100,500)))))),FLOOR($F444*IF($C444="売",1+$AG$2,1-$AG$2),IF($F444*IF($C444="売",1+$AG$2,1-$AG$2)&lt;=3000,1,IF($F444*IF($C444="売",1+$AG$2,1-$AG$2)&lt;=5000,5,IF($F444*IF($C444="売",1+$AG$2,1-$AG$2)&lt;=30000,10,IF($F444*IF($C444="売",1+$AG$2,1-$AG$2)&lt;=50000,50,IF($F444*IF($C444="売",1+$AG$2,1-$AG$2)&lt;=300000,100,500))))))))</f>
      </c>
      <c r="O444" s="478">
        <f>IF(OR($B444="",$F444="",$H444=""),"",IF($S444="✅売却済","―決済済―",IF($C444="売",  IF($H444&lt;=$M444,"🟢利確",  IF(AND($R444&lt;&gt;"",$H444&gt;=$R444),"🟠TRAIL決済",  IF($H444&gt;=$N444,"🔴損切",  IF($W444&gt;=$AG$5,"⏱時間決済",  IF($H444&gt;=$F444*(1+$AG$2*0.7),"⚠️損切接近","保持継続"))))),  IF($H444&gt;=$M444,"🟢利確",  IF(AND($R444&lt;&gt;"",$H444&lt;=$R444),"🟠TRAIL決済",  IF($H444&lt;=$N444,"🔴損切",  IF($W444&gt;=$AG$5,"⏱時間決済",  IF($H444&lt;=$F444*(1-$AG$2*0.7),"⚠️損切接近","保持継続")))))))</f>
      </c>
      <c r="P444" s="445"/>
      <c r="R444" s="440">
        <f>IF(OR($F444="",$H444="",$N444=""),"",IF($S444="✅売却済","",IF($C444="売",  IF($H444&gt;$F444*(1-$AG$2),$N444,CEILING(MIN($N444,IF($Q444="",$N444,$Q444*1.03)),IF($N444&lt;=3000,1,IF($N444&lt;=5000,5,IF($N444&lt;=30000,10,IF($N444&lt;=50000,50,IF($N444&lt;=300000,100,500))))))),  IF($H444&lt;$F444*(1+$AG$2),$N444,FLOOR(MAX($N444,IF($P444="",$N444,$P444*0.97)),IF($N444&lt;=3000,1,IF($N444&lt;=5000,5,IF($N444&lt;=30000,10,IF($N444&lt;=50000,50,IF($N444&lt;=300000,100,500))))))))))</f>
      </c>
      <c r="S444" s="440" t="str">
        <f t="shared" si="140"/>
        <v/>
      </c>
      <c r="T444" s="597" t="str">
        <f t="shared" ca="1" si="129"/>
        <v/>
      </c>
      <c r="U444" s="599" t="str">
        <f t="shared" ca="1" si="130"/>
        <v/>
      </c>
      <c r="V444" s="704" t="str">
        <f t="shared" ca="1" si="141"/>
        <v/>
      </c>
      <c r="W444" s="440" t="str">
        <f t="shared" ca="1" si="131"/>
        <v/>
      </c>
      <c r="X444" s="440" t="str">
        <f t="shared" ca="1" si="132"/>
        <v/>
      </c>
      <c r="Y444">
        <f>IF($B444="","",IF(COUNTIFS($B$4:$B444,$B444,$C$4:$C444,$C444)&gt;1,"⛔重複"&amp;COUNTIFS($B$4:$B444,$B444,$C$4:$C444,$C444)&amp;"回目",""))</f>
      </c>
      <c r="AB444">
        <f>IF($F444="","",MAX(100,ROUNDDOWN($AG$4/($F444*$AG$2)/100,0)*100))</f>
      </c>
      <c r="AC444">
        <f>IF(OR($F444="",$G444="",$U444=""),"",ROUND($V444-($F444+$U444)*$G444*$AG$6-IF($C444="売",$F444*$G444*$AG$7*$W444/365,0),0))</f>
      </c>
      <c r="AD444" s="608"/>
      <c r="AE444" s="600" t="str">
        <f t="shared" si="133"/>
        <v/>
      </c>
      <c r="AF444" s="600"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00"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00" t="str">
        <f t="shared" ca="1" si="134"/>
        <v/>
      </c>
      <c r="AI444" s="600" t="str" cm="1">
        <f t="array" ref="AI444">IFERROR(INDEX(始値!$E$6:$BT$305,MATCH(TEXT($B444,"0"),TEXT(銘柄管理!$B$6:$B$305,"0"),0),MATCH($AE444,始値!$E$3:$BT$3,0)),"")</f>
        <v/>
      </c>
      <c r="AJ444" s="608" t="str">
        <f t="shared" ca="1" si="135"/>
        <v/>
      </c>
      <c r="AK444" s="600" t="str">
        <f t="shared" ca="1" si="136"/>
        <v/>
      </c>
    </row>
    <row r="445" spans="1:37" ht="17.25" customHeight="1">
      <c r="A445" s="622" t="str">
        <f t="shared" si="125"/>
        <v/>
      </c>
      <c r="D445" s="440" t="str" cm="1">
        <f t="array" ref="D445">_xll.RssMarket(B445, "銘柄名称")</f>
        <v/>
      </c>
      <c r="E445" s="717"/>
      <c r="F445" s="6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 t="shared" ca="1" si="137"/>
        <v/>
      </c>
      <c r="L445" s="709" t="str">
        <f t="shared" ca="1" si="138"/>
        <v/>
      </c>
      <c r="M445" s="599">
        <f>IF($F445="","",IF($C445="売",CEILING($F445*IF($C445="売",1-$AG$3,1+$AG$3),IF($F445*IF($C445="売",1-$AG$3,1+$AG$3)&lt;=3000,1,IF($F445*IF($C445="売",1-$AG$3,1+$AG$3)&lt;=5000,5,IF($F445*IF($C445="売",1-$AG$3,1+$AG$3)&lt;=30000,10,IF($F445*IF($C445="売",1-$AG$3,1+$AG$3)&lt;=50000,50,IF($F445*IF($C445="売",1-$AG$3,1+$AG$3)&lt;=300000,100,500)))))),FLOOR($F445*IF($C445="売",1-$AG$3,1+$AG$3),IF($F445*IF($C445="売",1-$AG$3,1+$AG$3)&lt;=3000,1,IF($F445*IF($C445="売",1-$AG$3,1+$AG$3)&lt;=5000,5,IF($F445*IF($C445="売",1-$AG$3,1+$AG$3)&lt;=30000,10,IF($F445*IF($C445="売",1-$AG$3,1+$AG$3)&lt;=50000,50,IF($F445*IF($C445="売",1-$AG$3,1+$AG$3)&lt;=300000,100,500))))))))</f>
      </c>
      <c r="N445" s="599">
        <f>IF($F445="","",IF($C445="売",CEILING($F445*IF($C445="売",1+$AG$2,1-$AG$2),IF($F445*IF($C445="売",1+$AG$2,1-$AG$2)&lt;=3000,1,IF($F445*IF($C445="売",1+$AG$2,1-$AG$2)&lt;=5000,5,IF($F445*IF($C445="売",1+$AG$2,1-$AG$2)&lt;=30000,10,IF($F445*IF($C445="売",1+$AG$2,1-$AG$2)&lt;=50000,50,IF($F445*IF($C445="売",1+$AG$2,1-$AG$2)&lt;=300000,100,500)))))),FLOOR($F445*IF($C445="売",1+$AG$2,1-$AG$2),IF($F445*IF($C445="売",1+$AG$2,1-$AG$2)&lt;=3000,1,IF($F445*IF($C445="売",1+$AG$2,1-$AG$2)&lt;=5000,5,IF($F445*IF($C445="売",1+$AG$2,1-$AG$2)&lt;=30000,10,IF($F445*IF($C445="売",1+$AG$2,1-$AG$2)&lt;=50000,50,IF($F445*IF($C445="売",1+$AG$2,1-$AG$2)&lt;=300000,100,500))))))))</f>
      </c>
      <c r="O445" s="478">
        <f>IF(OR($B445="",$F445="",$H445=""),"",IF($S445="✅売却済","―決済済―",IF($C445="売",  IF($H445&lt;=$M445,"🟢利確",  IF(AND($R445&lt;&gt;"",$H445&gt;=$R445),"🟠TRAIL決済",  IF($H445&gt;=$N445,"🔴損切",  IF($W445&gt;=$AG$5,"⏱時間決済",  IF($H445&gt;=$F445*(1+$AG$2*0.7),"⚠️損切接近","保持継続"))))),  IF($H445&gt;=$M445,"🟢利確",  IF(AND($R445&lt;&gt;"",$H445&lt;=$R445),"🟠TRAIL決済",  IF($H445&lt;=$N445,"🔴損切",  IF($W445&gt;=$AG$5,"⏱時間決済",  IF($H445&lt;=$F445*(1-$AG$2*0.7),"⚠️損切接近","保持継続")))))))</f>
      </c>
      <c r="P445" s="445"/>
      <c r="R445" s="440">
        <f>IF(OR($F445="",$H445="",$N445=""),"",IF($S445="✅売却済","",IF($C445="売",  IF($H445&gt;$F445*(1-$AG$2),$N445,CEILING(MIN($N445,IF($Q445="",$N445,$Q445*1.03)),IF($N445&lt;=3000,1,IF($N445&lt;=5000,5,IF($N445&lt;=30000,10,IF($N445&lt;=50000,50,IF($N445&lt;=300000,100,500))))))),  IF($H445&lt;$F445*(1+$AG$2),$N445,FLOOR(MAX($N445,IF($P445="",$N445,$P445*0.97)),IF($N445&lt;=3000,1,IF($N445&lt;=5000,5,IF($N445&lt;=30000,10,IF($N445&lt;=50000,50,IF($N445&lt;=300000,100,500))))))))))</f>
      </c>
      <c r="S445" s="440" t="str">
        <f t="shared" si="140"/>
        <v/>
      </c>
      <c r="T445" s="597" t="str">
        <f t="shared" ca="1" si="129"/>
        <v/>
      </c>
      <c r="U445" s="599" t="str">
        <f t="shared" ca="1" si="130"/>
        <v/>
      </c>
      <c r="V445" s="704" t="str">
        <f t="shared" ca="1" si="141"/>
        <v/>
      </c>
      <c r="W445" s="440" t="str">
        <f t="shared" ca="1" si="131"/>
        <v/>
      </c>
      <c r="X445" s="440" t="str">
        <f t="shared" ca="1" si="132"/>
        <v/>
      </c>
      <c r="Y445">
        <f>IF($B445="","",IF(COUNTIFS($B$4:$B445,$B445,$C$4:$C445,$C445)&gt;1,"⛔重複"&amp;COUNTIFS($B$4:$B445,$B445,$C$4:$C445,$C445)&amp;"回目",""))</f>
      </c>
      <c r="AB445">
        <f>IF($F445="","",MAX(100,ROUNDDOWN($AG$4/($F445*$AG$2)/100,0)*100))</f>
      </c>
      <c r="AC445">
        <f>IF(OR($F445="",$G445="",$U445=""),"",ROUND($V445-($F445+$U445)*$G445*$AG$6-IF($C445="売",$F445*$G445*$AG$7*$W445/365,0),0))</f>
      </c>
      <c r="AD445" s="608"/>
      <c r="AE445" s="600" t="str">
        <f t="shared" si="133"/>
        <v/>
      </c>
      <c r="AF445" s="600"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00"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00" t="str">
        <f t="shared" ca="1" si="134"/>
        <v/>
      </c>
      <c r="AI445" s="600" t="str" cm="1">
        <f t="array" ref="AI445">IFERROR(INDEX(始値!$E$6:$BT$305,MATCH(TEXT($B445,"0"),TEXT(銘柄管理!$B$6:$B$305,"0"),0),MATCH($AE445,始値!$E$3:$BT$3,0)),"")</f>
        <v/>
      </c>
      <c r="AJ445" s="608" t="str">
        <f t="shared" ca="1" si="135"/>
        <v/>
      </c>
      <c r="AK445" s="600" t="str">
        <f t="shared" ca="1" si="136"/>
        <v/>
      </c>
    </row>
    <row r="446" spans="1:37" ht="17.25" customHeight="1">
      <c r="A446" s="622" t="str">
        <f t="shared" si="125"/>
        <v/>
      </c>
      <c r="D446" s="440" t="str" cm="1">
        <f t="array" ref="D446">_xll.RssMarket(B446, "銘柄名称")</f>
        <v/>
      </c>
      <c r="E446" s="717"/>
      <c r="F446" s="6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 t="shared" ca="1" si="137"/>
        <v/>
      </c>
      <c r="L446" s="709" t="str">
        <f t="shared" ca="1" si="138"/>
        <v/>
      </c>
      <c r="M446" s="599">
        <f>IF($F446="","",IF($C446="売",CEILING($F446*IF($C446="売",1-$AG$3,1+$AG$3),IF($F446*IF($C446="売",1-$AG$3,1+$AG$3)&lt;=3000,1,IF($F446*IF($C446="売",1-$AG$3,1+$AG$3)&lt;=5000,5,IF($F446*IF($C446="売",1-$AG$3,1+$AG$3)&lt;=30000,10,IF($F446*IF($C446="売",1-$AG$3,1+$AG$3)&lt;=50000,50,IF($F446*IF($C446="売",1-$AG$3,1+$AG$3)&lt;=300000,100,500)))))),FLOOR($F446*IF($C446="売",1-$AG$3,1+$AG$3),IF($F446*IF($C446="売",1-$AG$3,1+$AG$3)&lt;=3000,1,IF($F446*IF($C446="売",1-$AG$3,1+$AG$3)&lt;=5000,5,IF($F446*IF($C446="売",1-$AG$3,1+$AG$3)&lt;=30000,10,IF($F446*IF($C446="売",1-$AG$3,1+$AG$3)&lt;=50000,50,IF($F446*IF($C446="売",1-$AG$3,1+$AG$3)&lt;=300000,100,500))))))))</f>
      </c>
      <c r="N446" s="599">
        <f>IF($F446="","",IF($C446="売",CEILING($F446*IF($C446="売",1+$AG$2,1-$AG$2),IF($F446*IF($C446="売",1+$AG$2,1-$AG$2)&lt;=3000,1,IF($F446*IF($C446="売",1+$AG$2,1-$AG$2)&lt;=5000,5,IF($F446*IF($C446="売",1+$AG$2,1-$AG$2)&lt;=30000,10,IF($F446*IF($C446="売",1+$AG$2,1-$AG$2)&lt;=50000,50,IF($F446*IF($C446="売",1+$AG$2,1-$AG$2)&lt;=300000,100,500)))))),FLOOR($F446*IF($C446="売",1+$AG$2,1-$AG$2),IF($F446*IF($C446="売",1+$AG$2,1-$AG$2)&lt;=3000,1,IF($F446*IF($C446="売",1+$AG$2,1-$AG$2)&lt;=5000,5,IF($F446*IF($C446="売",1+$AG$2,1-$AG$2)&lt;=30000,10,IF($F446*IF($C446="売",1+$AG$2,1-$AG$2)&lt;=50000,50,IF($F446*IF($C446="売",1+$AG$2,1-$AG$2)&lt;=300000,100,500))))))))</f>
      </c>
      <c r="O446" s="478">
        <f>IF(OR($B446="",$F446="",$H446=""),"",IF($S446="✅売却済","―決済済―",IF($C446="売",  IF($H446&lt;=$M446,"🟢利確",  IF(AND($R446&lt;&gt;"",$H446&gt;=$R446),"🟠TRAIL決済",  IF($H446&gt;=$N446,"🔴損切",  IF($W446&gt;=$AG$5,"⏱時間決済",  IF($H446&gt;=$F446*(1+$AG$2*0.7),"⚠️損切接近","保持継続"))))),  IF($H446&gt;=$M446,"🟢利確",  IF(AND($R446&lt;&gt;"",$H446&lt;=$R446),"🟠TRAIL決済",  IF($H446&lt;=$N446,"🔴損切",  IF($W446&gt;=$AG$5,"⏱時間決済",  IF($H446&lt;=$F446*(1-$AG$2*0.7),"⚠️損切接近","保持継続")))))))</f>
      </c>
      <c r="P446" s="445"/>
      <c r="R446" s="440">
        <f>IF(OR($F446="",$H446="",$N446=""),"",IF($S446="✅売却済","",IF($C446="売",  IF($H446&gt;$F446*(1-$AG$2),$N446,CEILING(MIN($N446,IF($Q446="",$N446,$Q446*1.03)),IF($N446&lt;=3000,1,IF($N446&lt;=5000,5,IF($N446&lt;=30000,10,IF($N446&lt;=50000,50,IF($N446&lt;=300000,100,500))))))),  IF($H446&lt;$F446*(1+$AG$2),$N446,FLOOR(MAX($N446,IF($P446="",$N446,$P446*0.97)),IF($N446&lt;=3000,1,IF($N446&lt;=5000,5,IF($N446&lt;=30000,10,IF($N446&lt;=50000,50,IF($N446&lt;=300000,100,500))))))))))</f>
      </c>
      <c r="S446" s="440" t="str">
        <f t="shared" si="140"/>
        <v/>
      </c>
      <c r="T446" s="597" t="str">
        <f t="shared" ca="1" si="129"/>
        <v/>
      </c>
      <c r="U446" s="599" t="str">
        <f t="shared" ca="1" si="130"/>
        <v/>
      </c>
      <c r="V446" s="704" t="str">
        <f t="shared" ca="1" si="141"/>
        <v/>
      </c>
      <c r="W446" s="440" t="str">
        <f t="shared" ca="1" si="131"/>
        <v/>
      </c>
      <c r="X446" s="440" t="str">
        <f t="shared" ca="1" si="132"/>
        <v/>
      </c>
      <c r="Y446">
        <f>IF($B446="","",IF(COUNTIFS($B$4:$B446,$B446,$C$4:$C446,$C446)&gt;1,"⛔重複"&amp;COUNTIFS($B$4:$B446,$B446,$C$4:$C446,$C446)&amp;"回目",""))</f>
      </c>
      <c r="AB446">
        <f>IF($F446="","",MAX(100,ROUNDDOWN($AG$4/($F446*$AG$2)/100,0)*100))</f>
      </c>
      <c r="AC446">
        <f>IF(OR($F446="",$G446="",$U446=""),"",ROUND($V446-($F446+$U446)*$G446*$AG$6-IF($C446="売",$F446*$G446*$AG$7*$W446/365,0),0))</f>
      </c>
      <c r="AD446" s="608"/>
      <c r="AE446" s="600" t="str">
        <f t="shared" si="133"/>
        <v/>
      </c>
      <c r="AF446" s="600"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00"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00" t="str">
        <f t="shared" ca="1" si="134"/>
        <v/>
      </c>
      <c r="AI446" s="600" t="str" cm="1">
        <f t="array" ref="AI446">IFERROR(INDEX(始値!$E$6:$BT$305,MATCH(TEXT($B446,"0"),TEXT(銘柄管理!$B$6:$B$305,"0"),0),MATCH($AE446,始値!$E$3:$BT$3,0)),"")</f>
        <v/>
      </c>
      <c r="AJ446" s="608" t="str">
        <f t="shared" ca="1" si="135"/>
        <v/>
      </c>
      <c r="AK446" s="600" t="str">
        <f t="shared" ca="1" si="136"/>
        <v/>
      </c>
    </row>
    <row r="447" spans="1:37" ht="17.25" customHeight="1">
      <c r="A447" s="622" t="str">
        <f t="shared" si="125"/>
        <v/>
      </c>
      <c r="D447" s="440" t="str" cm="1">
        <f t="array" ref="D447">_xll.RssMarket(B447, "銘柄名称")</f>
        <v/>
      </c>
      <c r="E447" s="717"/>
      <c r="F447" s="6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 t="shared" ca="1" si="137"/>
        <v/>
      </c>
      <c r="L447" s="709" t="str">
        <f t="shared" ca="1" si="138"/>
        <v/>
      </c>
      <c r="M447" s="599">
        <f>IF($F447="","",IF($C447="売",CEILING($F447*IF($C447="売",1-$AG$3,1+$AG$3),IF($F447*IF($C447="売",1-$AG$3,1+$AG$3)&lt;=3000,1,IF($F447*IF($C447="売",1-$AG$3,1+$AG$3)&lt;=5000,5,IF($F447*IF($C447="売",1-$AG$3,1+$AG$3)&lt;=30000,10,IF($F447*IF($C447="売",1-$AG$3,1+$AG$3)&lt;=50000,50,IF($F447*IF($C447="売",1-$AG$3,1+$AG$3)&lt;=300000,100,500)))))),FLOOR($F447*IF($C447="売",1-$AG$3,1+$AG$3),IF($F447*IF($C447="売",1-$AG$3,1+$AG$3)&lt;=3000,1,IF($F447*IF($C447="売",1-$AG$3,1+$AG$3)&lt;=5000,5,IF($F447*IF($C447="売",1-$AG$3,1+$AG$3)&lt;=30000,10,IF($F447*IF($C447="売",1-$AG$3,1+$AG$3)&lt;=50000,50,IF($F447*IF($C447="売",1-$AG$3,1+$AG$3)&lt;=300000,100,500))))))))</f>
      </c>
      <c r="N447" s="599">
        <f>IF($F447="","",IF($C447="売",CEILING($F447*IF($C447="売",1+$AG$2,1-$AG$2),IF($F447*IF($C447="売",1+$AG$2,1-$AG$2)&lt;=3000,1,IF($F447*IF($C447="売",1+$AG$2,1-$AG$2)&lt;=5000,5,IF($F447*IF($C447="売",1+$AG$2,1-$AG$2)&lt;=30000,10,IF($F447*IF($C447="売",1+$AG$2,1-$AG$2)&lt;=50000,50,IF($F447*IF($C447="売",1+$AG$2,1-$AG$2)&lt;=300000,100,500)))))),FLOOR($F447*IF($C447="売",1+$AG$2,1-$AG$2),IF($F447*IF($C447="売",1+$AG$2,1-$AG$2)&lt;=3000,1,IF($F447*IF($C447="売",1+$AG$2,1-$AG$2)&lt;=5000,5,IF($F447*IF($C447="売",1+$AG$2,1-$AG$2)&lt;=30000,10,IF($F447*IF($C447="売",1+$AG$2,1-$AG$2)&lt;=50000,50,IF($F447*IF($C447="売",1+$AG$2,1-$AG$2)&lt;=300000,100,500))))))))</f>
      </c>
      <c r="O447" s="478">
        <f>IF(OR($B447="",$F447="",$H447=""),"",IF($S447="✅売却済","―決済済―",IF($C447="売",  IF($H447&lt;=$M447,"🟢利確",  IF(AND($R447&lt;&gt;"",$H447&gt;=$R447),"🟠TRAIL決済",  IF($H447&gt;=$N447,"🔴損切",  IF($W447&gt;=$AG$5,"⏱時間決済",  IF($H447&gt;=$F447*(1+$AG$2*0.7),"⚠️損切接近","保持継続"))))),  IF($H447&gt;=$M447,"🟢利確",  IF(AND($R447&lt;&gt;"",$H447&lt;=$R447),"🟠TRAIL決済",  IF($H447&lt;=$N447,"🔴損切",  IF($W447&gt;=$AG$5,"⏱時間決済",  IF($H447&lt;=$F447*(1-$AG$2*0.7),"⚠️損切接近","保持継続")))))))</f>
      </c>
      <c r="P447" s="445"/>
      <c r="R447" s="440">
        <f>IF(OR($F447="",$H447="",$N447=""),"",IF($S447="✅売却済","",IF($C447="売",  IF($H447&gt;$F447*(1-$AG$2),$N447,CEILING(MIN($N447,IF($Q447="",$N447,$Q447*1.03)),IF($N447&lt;=3000,1,IF($N447&lt;=5000,5,IF($N447&lt;=30000,10,IF($N447&lt;=50000,50,IF($N447&lt;=300000,100,500))))))),  IF($H447&lt;$F447*(1+$AG$2),$N447,FLOOR(MAX($N447,IF($P447="",$N447,$P447*0.97)),IF($N447&lt;=3000,1,IF($N447&lt;=5000,5,IF($N447&lt;=30000,10,IF($N447&lt;=50000,50,IF($N447&lt;=300000,100,500))))))))))</f>
      </c>
      <c r="S447" s="440" t="str">
        <f t="shared" si="140"/>
        <v/>
      </c>
      <c r="T447" s="597" t="str">
        <f t="shared" ca="1" si="129"/>
        <v/>
      </c>
      <c r="U447" s="599" t="str">
        <f t="shared" ca="1" si="130"/>
        <v/>
      </c>
      <c r="V447" s="704" t="str">
        <f t="shared" ca="1" si="141"/>
        <v/>
      </c>
      <c r="W447" s="440" t="str">
        <f t="shared" ca="1" si="131"/>
        <v/>
      </c>
      <c r="X447" s="440" t="str">
        <f t="shared" ca="1" si="132"/>
        <v/>
      </c>
      <c r="Y447">
        <f>IF($B447="","",IF(COUNTIFS($B$4:$B447,$B447,$C$4:$C447,$C447)&gt;1,"⛔重複"&amp;COUNTIFS($B$4:$B447,$B447,$C$4:$C447,$C447)&amp;"回目",""))</f>
      </c>
      <c r="AB447">
        <f>IF($F447="","",MAX(100,ROUNDDOWN($AG$4/($F447*$AG$2)/100,0)*100))</f>
      </c>
      <c r="AC447">
        <f>IF(OR($F447="",$G447="",$U447=""),"",ROUND($V447-($F447+$U447)*$G447*$AG$6-IF($C447="売",$F447*$G447*$AG$7*$W447/365,0),0))</f>
      </c>
      <c r="AD447" s="608"/>
      <c r="AE447" s="600" t="str">
        <f t="shared" si="133"/>
        <v/>
      </c>
      <c r="AF447" s="600"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00"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00" t="str">
        <f t="shared" ca="1" si="134"/>
        <v/>
      </c>
      <c r="AI447" s="600" t="str" cm="1">
        <f t="array" ref="AI447">IFERROR(INDEX(始値!$E$6:$BT$305,MATCH(TEXT($B447,"0"),TEXT(銘柄管理!$B$6:$B$305,"0"),0),MATCH($AE447,始値!$E$3:$BT$3,0)),"")</f>
        <v/>
      </c>
      <c r="AJ447" s="608" t="str">
        <f t="shared" ca="1" si="135"/>
        <v/>
      </c>
      <c r="AK447" s="600" t="str">
        <f t="shared" ca="1" si="136"/>
        <v/>
      </c>
    </row>
    <row r="448" spans="1:37" ht="17.25" customHeight="1">
      <c r="A448" s="622" t="str">
        <f t="shared" si="125"/>
        <v/>
      </c>
      <c r="D448" s="440" t="str" cm="1">
        <f t="array" ref="D448">_xll.RssMarket(B448, "銘柄名称")</f>
        <v/>
      </c>
      <c r="E448" s="717"/>
      <c r="F448" s="6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 t="shared" ca="1" si="137"/>
        <v/>
      </c>
      <c r="L448" s="709" t="str">
        <f t="shared" ca="1" si="138"/>
        <v/>
      </c>
      <c r="M448" s="599">
        <f>IF($F448="","",IF($C448="売",CEILING($F448*IF($C448="売",1-$AG$3,1+$AG$3),IF($F448*IF($C448="売",1-$AG$3,1+$AG$3)&lt;=3000,1,IF($F448*IF($C448="売",1-$AG$3,1+$AG$3)&lt;=5000,5,IF($F448*IF($C448="売",1-$AG$3,1+$AG$3)&lt;=30000,10,IF($F448*IF($C448="売",1-$AG$3,1+$AG$3)&lt;=50000,50,IF($F448*IF($C448="売",1-$AG$3,1+$AG$3)&lt;=300000,100,500)))))),FLOOR($F448*IF($C448="売",1-$AG$3,1+$AG$3),IF($F448*IF($C448="売",1-$AG$3,1+$AG$3)&lt;=3000,1,IF($F448*IF($C448="売",1-$AG$3,1+$AG$3)&lt;=5000,5,IF($F448*IF($C448="売",1-$AG$3,1+$AG$3)&lt;=30000,10,IF($F448*IF($C448="売",1-$AG$3,1+$AG$3)&lt;=50000,50,IF($F448*IF($C448="売",1-$AG$3,1+$AG$3)&lt;=300000,100,500))))))))</f>
      </c>
      <c r="N448" s="599">
        <f>IF($F448="","",IF($C448="売",CEILING($F448*IF($C448="売",1+$AG$2,1-$AG$2),IF($F448*IF($C448="売",1+$AG$2,1-$AG$2)&lt;=3000,1,IF($F448*IF($C448="売",1+$AG$2,1-$AG$2)&lt;=5000,5,IF($F448*IF($C448="売",1+$AG$2,1-$AG$2)&lt;=30000,10,IF($F448*IF($C448="売",1+$AG$2,1-$AG$2)&lt;=50000,50,IF($F448*IF($C448="売",1+$AG$2,1-$AG$2)&lt;=300000,100,500)))))),FLOOR($F448*IF($C448="売",1+$AG$2,1-$AG$2),IF($F448*IF($C448="売",1+$AG$2,1-$AG$2)&lt;=3000,1,IF($F448*IF($C448="売",1+$AG$2,1-$AG$2)&lt;=5000,5,IF($F448*IF($C448="売",1+$AG$2,1-$AG$2)&lt;=30000,10,IF($F448*IF($C448="売",1+$AG$2,1-$AG$2)&lt;=50000,50,IF($F448*IF($C448="売",1+$AG$2,1-$AG$2)&lt;=300000,100,500))))))))</f>
      </c>
      <c r="O448" s="478">
        <f>IF(OR($B448="",$F448="",$H448=""),"",IF($S448="✅売却済","―決済済―",IF($C448="売",  IF($H448&lt;=$M448,"🟢利確",  IF(AND($R448&lt;&gt;"",$H448&gt;=$R448),"🟠TRAIL決済",  IF($H448&gt;=$N448,"🔴損切",  IF($W448&gt;=$AG$5,"⏱時間決済",  IF($H448&gt;=$F448*(1+$AG$2*0.7),"⚠️損切接近","保持継続"))))),  IF($H448&gt;=$M448,"🟢利確",  IF(AND($R448&lt;&gt;"",$H448&lt;=$R448),"🟠TRAIL決済",  IF($H448&lt;=$N448,"🔴損切",  IF($W448&gt;=$AG$5,"⏱時間決済",  IF($H448&lt;=$F448*(1-$AG$2*0.7),"⚠️損切接近","保持継続")))))))</f>
      </c>
      <c r="P448" s="445"/>
      <c r="R448" s="440">
        <f>IF(OR($F448="",$H448="",$N448=""),"",IF($S448="✅売却済","",IF($C448="売",  IF($H448&gt;$F448*(1-$AG$2),$N448,CEILING(MIN($N448,IF($Q448="",$N448,$Q448*1.03)),IF($N448&lt;=3000,1,IF($N448&lt;=5000,5,IF($N448&lt;=30000,10,IF($N448&lt;=50000,50,IF($N448&lt;=300000,100,500))))))),  IF($H448&lt;$F448*(1+$AG$2),$N448,FLOOR(MAX($N448,IF($P448="",$N448,$P448*0.97)),IF($N448&lt;=3000,1,IF($N448&lt;=5000,5,IF($N448&lt;=30000,10,IF($N448&lt;=50000,50,IF($N448&lt;=300000,100,500))))))))))</f>
      </c>
      <c r="S448" s="440" t="str">
        <f t="shared" si="140"/>
        <v/>
      </c>
      <c r="T448" s="597" t="str">
        <f t="shared" ca="1" si="129"/>
        <v/>
      </c>
      <c r="U448" s="599" t="str">
        <f t="shared" ca="1" si="130"/>
        <v/>
      </c>
      <c r="V448" s="704" t="str">
        <f t="shared" ca="1" si="141"/>
        <v/>
      </c>
      <c r="W448" s="440" t="str">
        <f t="shared" ca="1" si="131"/>
        <v/>
      </c>
      <c r="X448" s="440" t="str">
        <f t="shared" ca="1" si="132"/>
        <v/>
      </c>
      <c r="Y448">
        <f>IF($B448="","",IF(COUNTIFS($B$4:$B448,$B448,$C$4:$C448,$C448)&gt;1,"⛔重複"&amp;COUNTIFS($B$4:$B448,$B448,$C$4:$C448,$C448)&amp;"回目",""))</f>
      </c>
      <c r="AB448">
        <f>IF($F448="","",MAX(100,ROUNDDOWN($AG$4/($F448*$AG$2)/100,0)*100))</f>
      </c>
      <c r="AC448">
        <f>IF(OR($F448="",$G448="",$U448=""),"",ROUND($V448-($F448+$U448)*$G448*$AG$6-IF($C448="売",$F448*$G448*$AG$7*$W448/365,0),0))</f>
      </c>
      <c r="AD448" s="608"/>
      <c r="AE448" s="600" t="str">
        <f t="shared" si="133"/>
        <v/>
      </c>
      <c r="AF448" s="600"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00"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00" t="str">
        <f t="shared" ca="1" si="134"/>
        <v/>
      </c>
      <c r="AI448" s="600" t="str" cm="1">
        <f t="array" ref="AI448">IFERROR(INDEX(始値!$E$6:$BT$305,MATCH(TEXT($B448,"0"),TEXT(銘柄管理!$B$6:$B$305,"0"),0),MATCH($AE448,始値!$E$3:$BT$3,0)),"")</f>
        <v/>
      </c>
      <c r="AJ448" s="608" t="str">
        <f t="shared" ca="1" si="135"/>
        <v/>
      </c>
      <c r="AK448" s="600" t="str">
        <f t="shared" ca="1" si="136"/>
        <v/>
      </c>
    </row>
    <row r="449" spans="1:37" ht="17.25" customHeight="1">
      <c r="A449" s="622" t="str">
        <f t="shared" si="125"/>
        <v/>
      </c>
      <c r="D449" s="440" t="str" cm="1">
        <f t="array" ref="D449">_xll.RssMarket(B449, "銘柄名称")</f>
        <v/>
      </c>
      <c r="E449" s="717"/>
      <c r="F449" s="6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 t="shared" ca="1" si="137"/>
        <v/>
      </c>
      <c r="L449" s="709" t="str">
        <f t="shared" ca="1" si="138"/>
        <v/>
      </c>
      <c r="M449" s="599">
        <f>IF($F449="","",IF($C449="売",CEILING($F449*IF($C449="売",1-$AG$3,1+$AG$3),IF($F449*IF($C449="売",1-$AG$3,1+$AG$3)&lt;=3000,1,IF($F449*IF($C449="売",1-$AG$3,1+$AG$3)&lt;=5000,5,IF($F449*IF($C449="売",1-$AG$3,1+$AG$3)&lt;=30000,10,IF($F449*IF($C449="売",1-$AG$3,1+$AG$3)&lt;=50000,50,IF($F449*IF($C449="売",1-$AG$3,1+$AG$3)&lt;=300000,100,500)))))),FLOOR($F449*IF($C449="売",1-$AG$3,1+$AG$3),IF($F449*IF($C449="売",1-$AG$3,1+$AG$3)&lt;=3000,1,IF($F449*IF($C449="売",1-$AG$3,1+$AG$3)&lt;=5000,5,IF($F449*IF($C449="売",1-$AG$3,1+$AG$3)&lt;=30000,10,IF($F449*IF($C449="売",1-$AG$3,1+$AG$3)&lt;=50000,50,IF($F449*IF($C449="売",1-$AG$3,1+$AG$3)&lt;=300000,100,500))))))))</f>
      </c>
      <c r="N449" s="599">
        <f>IF($F449="","",IF($C449="売",CEILING($F449*IF($C449="売",1+$AG$2,1-$AG$2),IF($F449*IF($C449="売",1+$AG$2,1-$AG$2)&lt;=3000,1,IF($F449*IF($C449="売",1+$AG$2,1-$AG$2)&lt;=5000,5,IF($F449*IF($C449="売",1+$AG$2,1-$AG$2)&lt;=30000,10,IF($F449*IF($C449="売",1+$AG$2,1-$AG$2)&lt;=50000,50,IF($F449*IF($C449="売",1+$AG$2,1-$AG$2)&lt;=300000,100,500)))))),FLOOR($F449*IF($C449="売",1+$AG$2,1-$AG$2),IF($F449*IF($C449="売",1+$AG$2,1-$AG$2)&lt;=3000,1,IF($F449*IF($C449="売",1+$AG$2,1-$AG$2)&lt;=5000,5,IF($F449*IF($C449="売",1+$AG$2,1-$AG$2)&lt;=30000,10,IF($F449*IF($C449="売",1+$AG$2,1-$AG$2)&lt;=50000,50,IF($F449*IF($C449="売",1+$AG$2,1-$AG$2)&lt;=300000,100,500))))))))</f>
      </c>
      <c r="O449" s="478">
        <f>IF(OR($B449="",$F449="",$H449=""),"",IF($S449="✅売却済","―決済済―",IF($C449="売",  IF($H449&lt;=$M449,"🟢利確",  IF(AND($R449&lt;&gt;"",$H449&gt;=$R449),"🟠TRAIL決済",  IF($H449&gt;=$N449,"🔴損切",  IF($W449&gt;=$AG$5,"⏱時間決済",  IF($H449&gt;=$F449*(1+$AG$2*0.7),"⚠️損切接近","保持継続"))))),  IF($H449&gt;=$M449,"🟢利確",  IF(AND($R449&lt;&gt;"",$H449&lt;=$R449),"🟠TRAIL決済",  IF($H449&lt;=$N449,"🔴損切",  IF($W449&gt;=$AG$5,"⏱時間決済",  IF($H449&lt;=$F449*(1-$AG$2*0.7),"⚠️損切接近","保持継続")))))))</f>
      </c>
      <c r="P449" s="445"/>
      <c r="R449" s="440">
        <f>IF(OR($F449="",$H449="",$N449=""),"",IF($S449="✅売却済","",IF($C449="売",  IF($H449&gt;$F449*(1-$AG$2),$N449,CEILING(MIN($N449,IF($Q449="",$N449,$Q449*1.03)),IF($N449&lt;=3000,1,IF($N449&lt;=5000,5,IF($N449&lt;=30000,10,IF($N449&lt;=50000,50,IF($N449&lt;=300000,100,500))))))),  IF($H449&lt;$F449*(1+$AG$2),$N449,FLOOR(MAX($N449,IF($P449="",$N449,$P449*0.97)),IF($N449&lt;=3000,1,IF($N449&lt;=5000,5,IF($N449&lt;=30000,10,IF($N449&lt;=50000,50,IF($N449&lt;=300000,100,500))))))))))</f>
      </c>
      <c r="S449" s="440" t="str">
        <f t="shared" si="140"/>
        <v/>
      </c>
      <c r="T449" s="597" t="str">
        <f t="shared" ca="1" si="129"/>
        <v/>
      </c>
      <c r="U449" s="599" t="str">
        <f t="shared" ca="1" si="130"/>
        <v/>
      </c>
      <c r="V449" s="704" t="str">
        <f t="shared" ca="1" si="141"/>
        <v/>
      </c>
      <c r="W449" s="440" t="str">
        <f t="shared" ca="1" si="131"/>
        <v/>
      </c>
      <c r="X449" s="440" t="str">
        <f t="shared" ca="1" si="132"/>
        <v/>
      </c>
      <c r="Y449">
        <f>IF($B449="","",IF(COUNTIFS($B$4:$B449,$B449,$C$4:$C449,$C449)&gt;1,"⛔重複"&amp;COUNTIFS($B$4:$B449,$B449,$C$4:$C449,$C449)&amp;"回目",""))</f>
      </c>
      <c r="AB449">
        <f>IF($F449="","",MAX(100,ROUNDDOWN($AG$4/($F449*$AG$2)/100,0)*100))</f>
      </c>
      <c r="AC449">
        <f>IF(OR($F449="",$G449="",$U449=""),"",ROUND($V449-($F449+$U449)*$G449*$AG$6-IF($C449="売",$F449*$G449*$AG$7*$W449/365,0),0))</f>
      </c>
      <c r="AD449" s="608"/>
      <c r="AE449" s="600" t="str">
        <f t="shared" si="133"/>
        <v/>
      </c>
      <c r="AF449" s="600"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00"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00" t="str">
        <f t="shared" ca="1" si="134"/>
        <v/>
      </c>
      <c r="AI449" s="600" t="str" cm="1">
        <f t="array" ref="AI449">IFERROR(INDEX(始値!$E$6:$BT$305,MATCH(TEXT($B449,"0"),TEXT(銘柄管理!$B$6:$B$305,"0"),0),MATCH($AE449,始値!$E$3:$BT$3,0)),"")</f>
        <v/>
      </c>
      <c r="AJ449" s="608" t="str">
        <f t="shared" ca="1" si="135"/>
        <v/>
      </c>
      <c r="AK449" s="600" t="str">
        <f t="shared" ca="1" si="136"/>
        <v/>
      </c>
    </row>
    <row r="450" spans="1:37" ht="17.25" customHeight="1">
      <c r="A450" s="622" t="str">
        <f t="shared" si="125"/>
        <v/>
      </c>
      <c r="D450" s="440" t="str" cm="1">
        <f t="array" ref="D450">_xll.RssMarket(B450, "銘柄名称")</f>
        <v/>
      </c>
      <c r="E450" s="717"/>
      <c r="F450" s="6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 t="shared" ca="1" si="137"/>
        <v/>
      </c>
      <c r="L450" s="709" t="str">
        <f t="shared" ca="1" si="138"/>
        <v/>
      </c>
      <c r="M450" s="599">
        <f>IF($F450="","",IF($C450="売",CEILING($F450*IF($C450="売",1-$AG$3,1+$AG$3),IF($F450*IF($C450="売",1-$AG$3,1+$AG$3)&lt;=3000,1,IF($F450*IF($C450="売",1-$AG$3,1+$AG$3)&lt;=5000,5,IF($F450*IF($C450="売",1-$AG$3,1+$AG$3)&lt;=30000,10,IF($F450*IF($C450="売",1-$AG$3,1+$AG$3)&lt;=50000,50,IF($F450*IF($C450="売",1-$AG$3,1+$AG$3)&lt;=300000,100,500)))))),FLOOR($F450*IF($C450="売",1-$AG$3,1+$AG$3),IF($F450*IF($C450="売",1-$AG$3,1+$AG$3)&lt;=3000,1,IF($F450*IF($C450="売",1-$AG$3,1+$AG$3)&lt;=5000,5,IF($F450*IF($C450="売",1-$AG$3,1+$AG$3)&lt;=30000,10,IF($F450*IF($C450="売",1-$AG$3,1+$AG$3)&lt;=50000,50,IF($F450*IF($C450="売",1-$AG$3,1+$AG$3)&lt;=300000,100,500))))))))</f>
      </c>
      <c r="N450" s="599">
        <f>IF($F450="","",IF($C450="売",CEILING($F450*IF($C450="売",1+$AG$2,1-$AG$2),IF($F450*IF($C450="売",1+$AG$2,1-$AG$2)&lt;=3000,1,IF($F450*IF($C450="売",1+$AG$2,1-$AG$2)&lt;=5000,5,IF($F450*IF($C450="売",1+$AG$2,1-$AG$2)&lt;=30000,10,IF($F450*IF($C450="売",1+$AG$2,1-$AG$2)&lt;=50000,50,IF($F450*IF($C450="売",1+$AG$2,1-$AG$2)&lt;=300000,100,500)))))),FLOOR($F450*IF($C450="売",1+$AG$2,1-$AG$2),IF($F450*IF($C450="売",1+$AG$2,1-$AG$2)&lt;=3000,1,IF($F450*IF($C450="売",1+$AG$2,1-$AG$2)&lt;=5000,5,IF($F450*IF($C450="売",1+$AG$2,1-$AG$2)&lt;=30000,10,IF($F450*IF($C450="売",1+$AG$2,1-$AG$2)&lt;=50000,50,IF($F450*IF($C450="売",1+$AG$2,1-$AG$2)&lt;=300000,100,500))))))))</f>
      </c>
      <c r="O450" s="478">
        <f>IF(OR($B450="",$F450="",$H450=""),"",IF($S450="✅売却済","―決済済―",IF($C450="売",  IF($H450&lt;=$M450,"🟢利確",  IF(AND($R450&lt;&gt;"",$H450&gt;=$R450),"🟠TRAIL決済",  IF($H450&gt;=$N450,"🔴損切",  IF($W450&gt;=$AG$5,"⏱時間決済",  IF($H450&gt;=$F450*(1+$AG$2*0.7),"⚠️損切接近","保持継続"))))),  IF($H450&gt;=$M450,"🟢利確",  IF(AND($R450&lt;&gt;"",$H450&lt;=$R450),"🟠TRAIL決済",  IF($H450&lt;=$N450,"🔴損切",  IF($W450&gt;=$AG$5,"⏱時間決済",  IF($H450&lt;=$F450*(1-$AG$2*0.7),"⚠️損切接近","保持継続")))))))</f>
      </c>
      <c r="P450" s="445"/>
      <c r="R450" s="440">
        <f>IF(OR($F450="",$H450="",$N450=""),"",IF($S450="✅売却済","",IF($C450="売",  IF($H450&gt;$F450*(1-$AG$2),$N450,CEILING(MIN($N450,IF($Q450="",$N450,$Q450*1.03)),IF($N450&lt;=3000,1,IF($N450&lt;=5000,5,IF($N450&lt;=30000,10,IF($N450&lt;=50000,50,IF($N450&lt;=300000,100,500))))))),  IF($H450&lt;$F450*(1+$AG$2),$N450,FLOOR(MAX($N450,IF($P450="",$N450,$P450*0.97)),IF($N450&lt;=3000,1,IF($N450&lt;=5000,5,IF($N450&lt;=30000,10,IF($N450&lt;=50000,50,IF($N450&lt;=300000,100,500))))))))))</f>
      </c>
      <c r="S450" s="440" t="str">
        <f t="shared" si="140"/>
        <v/>
      </c>
      <c r="T450" s="597" t="str">
        <f t="shared" ca="1" si="129"/>
        <v/>
      </c>
      <c r="U450" s="599" t="str">
        <f t="shared" ca="1" si="130"/>
        <v/>
      </c>
      <c r="V450" s="704" t="str">
        <f t="shared" ca="1" si="141"/>
        <v/>
      </c>
      <c r="W450" s="440" t="str">
        <f t="shared" ca="1" si="131"/>
        <v/>
      </c>
      <c r="X450" s="440" t="str">
        <f t="shared" ca="1" si="132"/>
        <v/>
      </c>
      <c r="Y450">
        <f>IF($B450="","",IF(COUNTIFS($B$4:$B450,$B450,$C$4:$C450,$C450)&gt;1,"⛔重複"&amp;COUNTIFS($B$4:$B450,$B450,$C$4:$C450,$C450)&amp;"回目",""))</f>
      </c>
      <c r="AB450">
        <f>IF($F450="","",MAX(100,ROUNDDOWN($AG$4/($F450*$AG$2)/100,0)*100))</f>
      </c>
      <c r="AC450">
        <f>IF(OR($F450="",$G450="",$U450=""),"",ROUND($V450-($F450+$U450)*$G450*$AG$6-IF($C450="売",$F450*$G450*$AG$7*$W450/365,0),0))</f>
      </c>
      <c r="AD450" s="608"/>
      <c r="AE450" s="600" t="str">
        <f t="shared" si="133"/>
        <v/>
      </c>
      <c r="AF450" s="600"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00"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00" t="str">
        <f t="shared" ca="1" si="134"/>
        <v/>
      </c>
      <c r="AI450" s="600" t="str" cm="1">
        <f t="array" ref="AI450">IFERROR(INDEX(始値!$E$6:$BT$305,MATCH(TEXT($B450,"0"),TEXT(銘柄管理!$B$6:$B$305,"0"),0),MATCH($AE450,始値!$E$3:$BT$3,0)),"")</f>
        <v/>
      </c>
      <c r="AJ450" s="608" t="str">
        <f t="shared" ca="1" si="135"/>
        <v/>
      </c>
      <c r="AK450" s="600" t="str">
        <f t="shared" ca="1" si="136"/>
        <v/>
      </c>
    </row>
    <row r="451" spans="1:37" ht="17.25" customHeight="1">
      <c r="A451" s="622" t="str">
        <f t="shared" si="125"/>
        <v/>
      </c>
      <c r="D451" s="440" t="str" cm="1">
        <f t="array" ref="D451">_xll.RssMarket(B451, "銘柄名称")</f>
        <v/>
      </c>
      <c r="E451" s="717"/>
      <c r="F451" s="6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 t="shared" ca="1" si="137"/>
        <v/>
      </c>
      <c r="L451" s="709" t="str">
        <f t="shared" ca="1" si="138"/>
        <v/>
      </c>
      <c r="M451" s="599">
        <f>IF($F451="","",IF($C451="売",CEILING($F451*IF($C451="売",1-$AG$3,1+$AG$3),IF($F451*IF($C451="売",1-$AG$3,1+$AG$3)&lt;=3000,1,IF($F451*IF($C451="売",1-$AG$3,1+$AG$3)&lt;=5000,5,IF($F451*IF($C451="売",1-$AG$3,1+$AG$3)&lt;=30000,10,IF($F451*IF($C451="売",1-$AG$3,1+$AG$3)&lt;=50000,50,IF($F451*IF($C451="売",1-$AG$3,1+$AG$3)&lt;=300000,100,500)))))),FLOOR($F451*IF($C451="売",1-$AG$3,1+$AG$3),IF($F451*IF($C451="売",1-$AG$3,1+$AG$3)&lt;=3000,1,IF($F451*IF($C451="売",1-$AG$3,1+$AG$3)&lt;=5000,5,IF($F451*IF($C451="売",1-$AG$3,1+$AG$3)&lt;=30000,10,IF($F451*IF($C451="売",1-$AG$3,1+$AG$3)&lt;=50000,50,IF($F451*IF($C451="売",1-$AG$3,1+$AG$3)&lt;=300000,100,500))))))))</f>
      </c>
      <c r="N451" s="599">
        <f>IF($F451="","",IF($C451="売",CEILING($F451*IF($C451="売",1+$AG$2,1-$AG$2),IF($F451*IF($C451="売",1+$AG$2,1-$AG$2)&lt;=3000,1,IF($F451*IF($C451="売",1+$AG$2,1-$AG$2)&lt;=5000,5,IF($F451*IF($C451="売",1+$AG$2,1-$AG$2)&lt;=30000,10,IF($F451*IF($C451="売",1+$AG$2,1-$AG$2)&lt;=50000,50,IF($F451*IF($C451="売",1+$AG$2,1-$AG$2)&lt;=300000,100,500)))))),FLOOR($F451*IF($C451="売",1+$AG$2,1-$AG$2),IF($F451*IF($C451="売",1+$AG$2,1-$AG$2)&lt;=3000,1,IF($F451*IF($C451="売",1+$AG$2,1-$AG$2)&lt;=5000,5,IF($F451*IF($C451="売",1+$AG$2,1-$AG$2)&lt;=30000,10,IF($F451*IF($C451="売",1+$AG$2,1-$AG$2)&lt;=50000,50,IF($F451*IF($C451="売",1+$AG$2,1-$AG$2)&lt;=300000,100,500))))))))</f>
      </c>
      <c r="O451" s="478">
        <f>IF(OR($B451="",$F451="",$H451=""),"",IF($S451="✅売却済","―決済済―",IF($C451="売",  IF($H451&lt;=$M451,"🟢利確",  IF(AND($R451&lt;&gt;"",$H451&gt;=$R451),"🟠TRAIL決済",  IF($H451&gt;=$N451,"🔴損切",  IF($W451&gt;=$AG$5,"⏱時間決済",  IF($H451&gt;=$F451*(1+$AG$2*0.7),"⚠️損切接近","保持継続"))))),  IF($H451&gt;=$M451,"🟢利確",  IF(AND($R451&lt;&gt;"",$H451&lt;=$R451),"🟠TRAIL決済",  IF($H451&lt;=$N451,"🔴損切",  IF($W451&gt;=$AG$5,"⏱時間決済",  IF($H451&lt;=$F451*(1-$AG$2*0.7),"⚠️損切接近","保持継続")))))))</f>
      </c>
      <c r="P451" s="445"/>
      <c r="R451" s="440">
        <f>IF(OR($F451="",$H451="",$N451=""),"",IF($S451="✅売却済","",IF($C451="売",  IF($H451&gt;$F451*(1-$AG$2),$N451,CEILING(MIN($N451,IF($Q451="",$N451,$Q451*1.03)),IF($N451&lt;=3000,1,IF($N451&lt;=5000,5,IF($N451&lt;=30000,10,IF($N451&lt;=50000,50,IF($N451&lt;=300000,100,500))))))),  IF($H451&lt;$F451*(1+$AG$2),$N451,FLOOR(MAX($N451,IF($P451="",$N451,$P451*0.97)),IF($N451&lt;=3000,1,IF($N451&lt;=5000,5,IF($N451&lt;=30000,10,IF($N451&lt;=50000,50,IF($N451&lt;=300000,100,500))))))))))</f>
      </c>
      <c r="S451" s="440" t="str">
        <f t="shared" si="140"/>
        <v/>
      </c>
      <c r="T451" s="597" t="str">
        <f t="shared" ca="1" si="129"/>
        <v/>
      </c>
      <c r="U451" s="599" t="str">
        <f t="shared" ca="1" si="130"/>
        <v/>
      </c>
      <c r="V451" s="704" t="str">
        <f t="shared" ca="1" si="141"/>
        <v/>
      </c>
      <c r="W451" s="440" t="str">
        <f t="shared" ca="1" si="131"/>
        <v/>
      </c>
      <c r="X451" s="440" t="str">
        <f t="shared" ca="1" si="132"/>
        <v/>
      </c>
      <c r="Y451">
        <f>IF($B451="","",IF(COUNTIFS($B$4:$B451,$B451,$C$4:$C451,$C451)&gt;1,"⛔重複"&amp;COUNTIFS($B$4:$B451,$B451,$C$4:$C451,$C451)&amp;"回目",""))</f>
      </c>
      <c r="AB451">
        <f>IF($F451="","",MAX(100,ROUNDDOWN($AG$4/($F451*$AG$2)/100,0)*100))</f>
      </c>
      <c r="AC451">
        <f>IF(OR($F451="",$G451="",$U451=""),"",ROUND($V451-($F451+$U451)*$G451*$AG$6-IF($C451="売",$F451*$G451*$AG$7*$W451/365,0),0))</f>
      </c>
      <c r="AD451" s="608"/>
      <c r="AE451" s="600" t="str">
        <f t="shared" si="133"/>
        <v/>
      </c>
      <c r="AF451" s="600"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00"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00" t="str">
        <f t="shared" ca="1" si="134"/>
        <v/>
      </c>
      <c r="AI451" s="600" t="str" cm="1">
        <f t="array" ref="AI451">IFERROR(INDEX(始値!$E$6:$BT$305,MATCH(TEXT($B451,"0"),TEXT(銘柄管理!$B$6:$B$305,"0"),0),MATCH($AE451,始値!$E$3:$BT$3,0)),"")</f>
        <v/>
      </c>
      <c r="AJ451" s="608" t="str">
        <f t="shared" ca="1" si="135"/>
        <v/>
      </c>
      <c r="AK451" s="600" t="str">
        <f t="shared" ca="1" si="136"/>
        <v/>
      </c>
    </row>
    <row r="452" spans="1:37" ht="17.25" customHeight="1">
      <c r="A452" s="622" t="str">
        <f t="shared" ref="A452:A461" si="142">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 t="shared" ca="1" si="137"/>
        <v/>
      </c>
      <c r="L452" s="709" t="str">
        <f t="shared" ca="1" si="138"/>
        <v/>
      </c>
      <c r="M452" s="599">
        <f>IF($F452="","",IF($C452="売",CEILING($F452*IF($C452="売",1-$AG$3,1+$AG$3),IF($F452*IF($C452="売",1-$AG$3,1+$AG$3)&lt;=3000,1,IF($F452*IF($C452="売",1-$AG$3,1+$AG$3)&lt;=5000,5,IF($F452*IF($C452="売",1-$AG$3,1+$AG$3)&lt;=30000,10,IF($F452*IF($C452="売",1-$AG$3,1+$AG$3)&lt;=50000,50,IF($F452*IF($C452="売",1-$AG$3,1+$AG$3)&lt;=300000,100,500)))))),FLOOR($F452*IF($C452="売",1-$AG$3,1+$AG$3),IF($F452*IF($C452="売",1-$AG$3,1+$AG$3)&lt;=3000,1,IF($F452*IF($C452="売",1-$AG$3,1+$AG$3)&lt;=5000,5,IF($F452*IF($C452="売",1-$AG$3,1+$AG$3)&lt;=30000,10,IF($F452*IF($C452="売",1-$AG$3,1+$AG$3)&lt;=50000,50,IF($F452*IF($C452="売",1-$AG$3,1+$AG$3)&lt;=300000,100,500))))))))</f>
      </c>
      <c r="N452" s="599">
        <f>IF($F452="","",IF($C452="売",CEILING($F452*IF($C452="売",1+$AG$2,1-$AG$2),IF($F452*IF($C452="売",1+$AG$2,1-$AG$2)&lt;=3000,1,IF($F452*IF($C452="売",1+$AG$2,1-$AG$2)&lt;=5000,5,IF($F452*IF($C452="売",1+$AG$2,1-$AG$2)&lt;=30000,10,IF($F452*IF($C452="売",1+$AG$2,1-$AG$2)&lt;=50000,50,IF($F452*IF($C452="売",1+$AG$2,1-$AG$2)&lt;=300000,100,500)))))),FLOOR($F452*IF($C452="売",1+$AG$2,1-$AG$2),IF($F452*IF($C452="売",1+$AG$2,1-$AG$2)&lt;=3000,1,IF($F452*IF($C452="売",1+$AG$2,1-$AG$2)&lt;=5000,5,IF($F452*IF($C452="売",1+$AG$2,1-$AG$2)&lt;=30000,10,IF($F452*IF($C452="売",1+$AG$2,1-$AG$2)&lt;=50000,50,IF($F452*IF($C452="売",1+$AG$2,1-$AG$2)&lt;=300000,100,500))))))))</f>
      </c>
      <c r="O452" s="478">
        <f>IF(OR($B452="",$F452="",$H452=""),"",IF($S452="✅売却済","―決済済―",IF($C452="売",  IF($H452&lt;=$M452,"🟢利確",  IF(AND($R452&lt;&gt;"",$H452&gt;=$R452),"🟠TRAIL決済",  IF($H452&gt;=$N452,"🔴損切",  IF($W452&gt;=$AG$5,"⏱時間決済",  IF($H452&gt;=$F452*(1+$AG$2*0.7),"⚠️損切接近","保持継続"))))),  IF($H452&gt;=$M452,"🟢利確",  IF(AND($R452&lt;&gt;"",$H452&lt;=$R452),"🟠TRAIL決済",  IF($H452&lt;=$N452,"🔴損切",  IF($W452&gt;=$AG$5,"⏱時間決済",  IF($H452&lt;=$F452*(1-$AG$2*0.7),"⚠️損切接近","保持継続")))))))</f>
      </c>
      <c r="P452" s="445"/>
      <c r="R452" s="440">
        <f>IF(OR($F452="",$H452="",$N452=""),"",IF($S452="✅売却済","",IF($C452="売",  IF($H452&gt;$F452*(1-$AG$2),$N452,CEILING(MIN($N452,IF($Q452="",$N452,$Q452*1.03)),IF($N452&lt;=3000,1,IF($N452&lt;=5000,5,IF($N452&lt;=30000,10,IF($N452&lt;=50000,50,IF($N452&lt;=300000,100,500))))))),  IF($H452&lt;$F452*(1+$AG$2),$N452,FLOOR(MAX($N452,IF($P452="",$N452,$P452*0.97)),IF($N452&lt;=3000,1,IF($N452&lt;=5000,5,IF($N452&lt;=30000,10,IF($N452&lt;=50000,50,IF($N452&lt;=300000,100,500))))))))))</f>
      </c>
      <c r="S452" s="440" t="str">
        <f t="shared" si="140"/>
        <v/>
      </c>
      <c r="T452" s="597" t="str">
        <f t="shared" ca="1" si="129"/>
        <v/>
      </c>
      <c r="U452" s="599" t="str">
        <f t="shared" ca="1" si="130"/>
        <v/>
      </c>
      <c r="V452" s="704" t="str">
        <f t="shared" ca="1" si="141"/>
        <v/>
      </c>
      <c r="W452" s="440" t="str">
        <f t="shared" ca="1" si="131"/>
        <v/>
      </c>
      <c r="X452" s="440" t="str">
        <f t="shared" ca="1" si="132"/>
        <v/>
      </c>
      <c r="Y452">
        <f>IF($B452="","",IF(COUNTIFS($B$4:$B452,$B452,$C$4:$C452,$C452)&gt;1,"⛔重複"&amp;COUNTIFS($B$4:$B452,$B452,$C$4:$C452,$C452)&amp;"回目",""))</f>
      </c>
      <c r="AB452">
        <f>IF($F452="","",MAX(100,ROUNDDOWN($AG$4/($F452*$AG$2)/100,0)*100))</f>
      </c>
      <c r="AC452">
        <f>IF(OR($F452="",$G452="",$U452=""),"",ROUND($V452-($F452+$U452)*$G452*$AG$6-IF($C452="売",$F452*$G452*$AG$7*$W452/365,0),0))</f>
      </c>
      <c r="AD452" s="608"/>
      <c r="AE452" s="600" t="str">
        <f t="shared" si="133"/>
        <v/>
      </c>
      <c r="AF452" s="600"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00"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00" t="str">
        <f t="shared" ca="1" si="134"/>
        <v/>
      </c>
      <c r="AI452" s="600" t="str" cm="1">
        <f t="array" ref="AI452">IFERROR(INDEX(始値!$E$6:$BT$305,MATCH(TEXT($B452,"0"),TEXT(銘柄管理!$B$6:$B$305,"0"),0),MATCH($AE452,始値!$E$3:$BT$3,0)),"")</f>
        <v/>
      </c>
      <c r="AJ452" s="608" t="str">
        <f t="shared" ca="1" si="135"/>
        <v/>
      </c>
      <c r="AK452" s="600" t="str">
        <f t="shared" ca="1" si="136"/>
        <v/>
      </c>
    </row>
    <row r="453" spans="1:37" ht="17.25" customHeight="1">
      <c r="A453" s="622" t="str">
        <f t="shared" si="142"/>
        <v/>
      </c>
      <c r="D453" s="440" t="str" cm="1">
        <f t="array" ref="D453">_xll.RssMarket(B453, "銘柄名称")</f>
        <v/>
      </c>
      <c r="E453" s="717"/>
      <c r="F453" s="6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 t="shared" ca="1" si="137"/>
        <v/>
      </c>
      <c r="L453" s="709" t="str">
        <f t="shared" ca="1" si="138"/>
        <v/>
      </c>
      <c r="M453" s="599">
        <f>IF($F453="","",IF($C453="売",CEILING($F453*IF($C453="売",1-$AG$3,1+$AG$3),IF($F453*IF($C453="売",1-$AG$3,1+$AG$3)&lt;=3000,1,IF($F453*IF($C453="売",1-$AG$3,1+$AG$3)&lt;=5000,5,IF($F453*IF($C453="売",1-$AG$3,1+$AG$3)&lt;=30000,10,IF($F453*IF($C453="売",1-$AG$3,1+$AG$3)&lt;=50000,50,IF($F453*IF($C453="売",1-$AG$3,1+$AG$3)&lt;=300000,100,500)))))),FLOOR($F453*IF($C453="売",1-$AG$3,1+$AG$3),IF($F453*IF($C453="売",1-$AG$3,1+$AG$3)&lt;=3000,1,IF($F453*IF($C453="売",1-$AG$3,1+$AG$3)&lt;=5000,5,IF($F453*IF($C453="売",1-$AG$3,1+$AG$3)&lt;=30000,10,IF($F453*IF($C453="売",1-$AG$3,1+$AG$3)&lt;=50000,50,IF($F453*IF($C453="売",1-$AG$3,1+$AG$3)&lt;=300000,100,500))))))))</f>
      </c>
      <c r="N453" s="599">
        <f>IF($F453="","",IF($C453="売",CEILING($F453*IF($C453="売",1+$AG$2,1-$AG$2),IF($F453*IF($C453="売",1+$AG$2,1-$AG$2)&lt;=3000,1,IF($F453*IF($C453="売",1+$AG$2,1-$AG$2)&lt;=5000,5,IF($F453*IF($C453="売",1+$AG$2,1-$AG$2)&lt;=30000,10,IF($F453*IF($C453="売",1+$AG$2,1-$AG$2)&lt;=50000,50,IF($F453*IF($C453="売",1+$AG$2,1-$AG$2)&lt;=300000,100,500)))))),FLOOR($F453*IF($C453="売",1+$AG$2,1-$AG$2),IF($F453*IF($C453="売",1+$AG$2,1-$AG$2)&lt;=3000,1,IF($F453*IF($C453="売",1+$AG$2,1-$AG$2)&lt;=5000,5,IF($F453*IF($C453="売",1+$AG$2,1-$AG$2)&lt;=30000,10,IF($F453*IF($C453="売",1+$AG$2,1-$AG$2)&lt;=50000,50,IF($F453*IF($C453="売",1+$AG$2,1-$AG$2)&lt;=300000,100,500))))))))</f>
      </c>
      <c r="O453" s="478">
        <f>IF(OR($B453="",$F453="",$H453=""),"",IF($S453="✅売却済","―決済済―",IF($C453="売",  IF($H453&lt;=$M453,"🟢利確",  IF(AND($R453&lt;&gt;"",$H453&gt;=$R453),"🟠TRAIL決済",  IF($H453&gt;=$N453,"🔴損切",  IF($W453&gt;=$AG$5,"⏱時間決済",  IF($H453&gt;=$F453*(1+$AG$2*0.7),"⚠️損切接近","保持継続"))))),  IF($H453&gt;=$M453,"🟢利確",  IF(AND($R453&lt;&gt;"",$H453&lt;=$R453),"🟠TRAIL決済",  IF($H453&lt;=$N453,"🔴損切",  IF($W453&gt;=$AG$5,"⏱時間決済",  IF($H453&lt;=$F453*(1-$AG$2*0.7),"⚠️損切接近","保持継続")))))))</f>
      </c>
      <c r="P453" s="445"/>
      <c r="R453" s="440">
        <f>IF(OR($F453="",$H453="",$N453=""),"",IF($S453="✅売却済","",IF($C453="売",  IF($H453&gt;$F453*(1-$AG$2),$N453,CEILING(MIN($N453,IF($Q453="",$N453,$Q453*1.03)),IF($N453&lt;=3000,1,IF($N453&lt;=5000,5,IF($N453&lt;=30000,10,IF($N453&lt;=50000,50,IF($N453&lt;=300000,100,500))))))),  IF($H453&lt;$F453*(1+$AG$2),$N453,FLOOR(MAX($N453,IF($P453="",$N453,$P453*0.97)),IF($N453&lt;=3000,1,IF($N453&lt;=5000,5,IF($N453&lt;=30000,10,IF($N453&lt;=50000,50,IF($N453&lt;=300000,100,500))))))))))</f>
      </c>
      <c r="S453" s="440" t="str">
        <f t="shared" si="140"/>
        <v/>
      </c>
      <c r="T453" s="597" t="str">
        <f t="shared" ref="T453:T461" ca="1" si="146">IF(OR($AH453="",$AH453="保有中"),"",IF($AH453="日数制限",$AE453,IF($AH453="損切確定",IF(N($AG453)=0,TODAY(),$AG453),IF(N($AF453)=0,TODAY(),$AF453))))</f>
        <v/>
      </c>
      <c r="U453" s="599" t="str">
        <f t="shared" ref="U453:U461" ca="1" si="147">IF(OR($AH453="",$AH453="保有中"),"",ROUND(IF($AH453="日数制限",$AI453,IF($AH453="利益確定",$M453,$N453)),0))</f>
        <v/>
      </c>
      <c r="V453" s="704" t="str">
        <f t="shared" ca="1" si="141"/>
        <v/>
      </c>
      <c r="W453" s="440" t="str">
        <f t="shared" ref="W453:W461" ca="1" si="148">IF(OR($E453="",$B453=""),"",IF($T453&lt;&gt;"",$T453-$E453,TODAY()-$E453)+1)</f>
        <v/>
      </c>
      <c r="X453" s="440" t="str">
        <f t="shared" ref="X453:X461" ca="1" si="149">IF(OR($AH453="",$AH453="保有中"),"",$AH453)</f>
        <v/>
      </c>
      <c r="Y453">
        <f>IF($B453="","",IF(COUNTIFS($B$4:$B453,$B453,$C$4:$C453,$C453)&gt;1,"⛔重複"&amp;COUNTIFS($B$4:$B453,$B453,$C$4:$C453,$C453)&amp;"回目",""))</f>
      </c>
      <c r="AB453">
        <f>IF($F453="","",MAX(100,ROUNDDOWN($AG$4/($F453*$AG$2)/100,0)*100))</f>
      </c>
      <c r="AC453">
        <f>IF(OR($F453="",$G453="",$U453=""),"",ROUND($V453-($F453+$U453)*$G453*$AG$6-IF($C453="売",$F453*$G453*$AG$7*$W453/365,0),0))</f>
      </c>
      <c r="AD453" s="608"/>
      <c r="AE453" s="600" t="str">
        <f t="shared" ref="AE453:AE461" si="150">IF($E453="","",WORKDAY($E453,12))</f>
        <v/>
      </c>
      <c r="AF453" s="600"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00"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00" t="str">
        <f t="shared" ref="AH453:AH461" ca="1" si="151">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IFERROR(INDEX(始値!$E$6:$BT$305,MATCH(TEXT($B453,"0"),TEXT(銘柄管理!$B$6:$B$305,"0"),0),MATCH($AE453,始値!$E$3:$BT$3,0)),"")</f>
        <v/>
      </c>
      <c r="AJ453" s="608" t="str">
        <f t="shared" ref="AJ453:AJ461" ca="1" si="152">IF(OR($V453="",$F453="",$G453=""),"",$V453/($F453*$G453))</f>
        <v/>
      </c>
      <c r="AK453" s="600" t="str">
        <f t="shared" ref="AK453:AK461" ca="1" si="153">IF($V453="","",IF($V453&gt;0,"○勝",IF($V453&lt;0,"●負","△引分")))</f>
        <v/>
      </c>
    </row>
    <row r="454" spans="1:37" ht="17.25" customHeight="1">
      <c r="A454" s="622" t="str">
        <f t="shared" si="142"/>
        <v/>
      </c>
      <c r="D454" s="440" t="str" cm="1">
        <f t="array" ref="D454">_xll.RssMarket(B454, "銘柄名称")</f>
        <v/>
      </c>
      <c r="E454" s="717"/>
      <c r="F454" s="6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 t="shared" ca="1" si="137"/>
        <v/>
      </c>
      <c r="L454" s="709" t="str">
        <f t="shared" ca="1" si="138"/>
        <v/>
      </c>
      <c r="M454" s="599">
        <f>IF($F454="","",IF($C454="売",CEILING($F454*IF($C454="売",1-$AG$3,1+$AG$3),IF($F454*IF($C454="売",1-$AG$3,1+$AG$3)&lt;=3000,1,IF($F454*IF($C454="売",1-$AG$3,1+$AG$3)&lt;=5000,5,IF($F454*IF($C454="売",1-$AG$3,1+$AG$3)&lt;=30000,10,IF($F454*IF($C454="売",1-$AG$3,1+$AG$3)&lt;=50000,50,IF($F454*IF($C454="売",1-$AG$3,1+$AG$3)&lt;=300000,100,500)))))),FLOOR($F454*IF($C454="売",1-$AG$3,1+$AG$3),IF($F454*IF($C454="売",1-$AG$3,1+$AG$3)&lt;=3000,1,IF($F454*IF($C454="売",1-$AG$3,1+$AG$3)&lt;=5000,5,IF($F454*IF($C454="売",1-$AG$3,1+$AG$3)&lt;=30000,10,IF($F454*IF($C454="売",1-$AG$3,1+$AG$3)&lt;=50000,50,IF($F454*IF($C454="売",1-$AG$3,1+$AG$3)&lt;=300000,100,500))))))))</f>
      </c>
      <c r="N454" s="599">
        <f>IF($F454="","",IF($C454="売",CEILING($F454*IF($C454="売",1+$AG$2,1-$AG$2),IF($F454*IF($C454="売",1+$AG$2,1-$AG$2)&lt;=3000,1,IF($F454*IF($C454="売",1+$AG$2,1-$AG$2)&lt;=5000,5,IF($F454*IF($C454="売",1+$AG$2,1-$AG$2)&lt;=30000,10,IF($F454*IF($C454="売",1+$AG$2,1-$AG$2)&lt;=50000,50,IF($F454*IF($C454="売",1+$AG$2,1-$AG$2)&lt;=300000,100,500)))))),FLOOR($F454*IF($C454="売",1+$AG$2,1-$AG$2),IF($F454*IF($C454="売",1+$AG$2,1-$AG$2)&lt;=3000,1,IF($F454*IF($C454="売",1+$AG$2,1-$AG$2)&lt;=5000,5,IF($F454*IF($C454="売",1+$AG$2,1-$AG$2)&lt;=30000,10,IF($F454*IF($C454="売",1+$AG$2,1-$AG$2)&lt;=50000,50,IF($F454*IF($C454="売",1+$AG$2,1-$AG$2)&lt;=300000,100,500))))))))</f>
      </c>
      <c r="O454" s="478">
        <f>IF(OR($B454="",$F454="",$H454=""),"",IF($S454="✅売却済","―決済済―",IF($C454="売",  IF($H454&lt;=$M454,"🟢利確",  IF(AND($R454&lt;&gt;"",$H454&gt;=$R454),"🟠TRAIL決済",  IF($H454&gt;=$N454,"🔴損切",  IF($W454&gt;=$AG$5,"⏱時間決済",  IF($H454&gt;=$F454*(1+$AG$2*0.7),"⚠️損切接近","保持継続"))))),  IF($H454&gt;=$M454,"🟢利確",  IF(AND($R454&lt;&gt;"",$H454&lt;=$R454),"🟠TRAIL決済",  IF($H454&lt;=$N454,"🔴損切",  IF($W454&gt;=$AG$5,"⏱時間決済",  IF($H454&lt;=$F454*(1-$AG$2*0.7),"⚠️損切接近","保持継続")))))))</f>
      </c>
      <c r="P454" s="445"/>
      <c r="R454" s="440">
        <f>IF(OR($F454="",$H454="",$N454=""),"",IF($S454="✅売却済","",IF($C454="売",  IF($H454&gt;$F454*(1-$AG$2),$N454,CEILING(MIN($N454,IF($Q454="",$N454,$Q454*1.03)),IF($N454&lt;=3000,1,IF($N454&lt;=5000,5,IF($N454&lt;=30000,10,IF($N454&lt;=50000,50,IF($N454&lt;=300000,100,500))))))),  IF($H454&lt;$F454*(1+$AG$2),$N454,FLOOR(MAX($N454,IF($P454="",$N454,$P454*0.97)),IF($N454&lt;=3000,1,IF($N454&lt;=5000,5,IF($N454&lt;=30000,10,IF($N454&lt;=50000,50,IF($N454&lt;=300000,100,500))))))))))</f>
      </c>
      <c r="S454" s="440" t="str">
        <f t="shared" si="140"/>
        <v/>
      </c>
      <c r="T454" s="597" t="str">
        <f t="shared" ca="1" si="146"/>
        <v/>
      </c>
      <c r="U454" s="599" t="str">
        <f t="shared" ca="1" si="147"/>
        <v/>
      </c>
      <c r="V454" s="704" t="str">
        <f t="shared" ca="1" si="141"/>
        <v/>
      </c>
      <c r="W454" s="440" t="str">
        <f t="shared" ca="1" si="148"/>
        <v/>
      </c>
      <c r="X454" s="440" t="str">
        <f t="shared" ca="1" si="149"/>
        <v/>
      </c>
      <c r="Y454">
        <f>IF($B454="","",IF(COUNTIFS($B$4:$B454,$B454,$C$4:$C454,$C454)&gt;1,"⛔重複"&amp;COUNTIFS($B$4:$B454,$B454,$C$4:$C454,$C454)&amp;"回目",""))</f>
      </c>
      <c r="AB454">
        <f>IF($F454="","",MAX(100,ROUNDDOWN($AG$4/($F454*$AG$2)/100,0)*100))</f>
      </c>
      <c r="AC454">
        <f>IF(OR($F454="",$G454="",$U454=""),"",ROUND($V454-($F454+$U454)*$G454*$AG$6-IF($C454="売",$F454*$G454*$AG$7*$W454/365,0),0))</f>
      </c>
      <c r="AD454" s="608"/>
      <c r="AE454" s="600" t="str">
        <f t="shared" si="150"/>
        <v/>
      </c>
      <c r="AF454" s="600"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00"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00" t="str">
        <f t="shared" ca="1" si="151"/>
        <v/>
      </c>
      <c r="AI454" s="600" t="str" cm="1">
        <f t="array" ref="AI454">IFERROR(INDEX(始値!$E$6:$BT$305,MATCH(TEXT($B454,"0"),TEXT(銘柄管理!$B$6:$B$305,"0"),0),MATCH($AE454,始値!$E$3:$BT$3,0)),"")</f>
        <v/>
      </c>
      <c r="AJ454" s="608" t="str">
        <f t="shared" ca="1" si="152"/>
        <v/>
      </c>
      <c r="AK454" s="600" t="str">
        <f t="shared" ca="1" si="153"/>
        <v/>
      </c>
    </row>
    <row r="455" spans="1:37" ht="17.25" customHeight="1">
      <c r="A455" s="622" t="str">
        <f t="shared" si="142"/>
        <v/>
      </c>
      <c r="D455" s="440" t="str" cm="1">
        <f t="array" ref="D455">_xll.RssMarket(B455, "銘柄名称")</f>
        <v/>
      </c>
      <c r="E455" s="717"/>
      <c r="F455" s="6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 t="shared" ca="1" si="137"/>
        <v/>
      </c>
      <c r="L455" s="709" t="str">
        <f t="shared" ca="1" si="138"/>
        <v/>
      </c>
      <c r="M455" s="599">
        <f>IF($F455="","",IF($C455="売",CEILING($F455*IF($C455="売",1-$AG$3,1+$AG$3),IF($F455*IF($C455="売",1-$AG$3,1+$AG$3)&lt;=3000,1,IF($F455*IF($C455="売",1-$AG$3,1+$AG$3)&lt;=5000,5,IF($F455*IF($C455="売",1-$AG$3,1+$AG$3)&lt;=30000,10,IF($F455*IF($C455="売",1-$AG$3,1+$AG$3)&lt;=50000,50,IF($F455*IF($C455="売",1-$AG$3,1+$AG$3)&lt;=300000,100,500)))))),FLOOR($F455*IF($C455="売",1-$AG$3,1+$AG$3),IF($F455*IF($C455="売",1-$AG$3,1+$AG$3)&lt;=3000,1,IF($F455*IF($C455="売",1-$AG$3,1+$AG$3)&lt;=5000,5,IF($F455*IF($C455="売",1-$AG$3,1+$AG$3)&lt;=30000,10,IF($F455*IF($C455="売",1-$AG$3,1+$AG$3)&lt;=50000,50,IF($F455*IF($C455="売",1-$AG$3,1+$AG$3)&lt;=300000,100,500))))))))</f>
      </c>
      <c r="N455" s="599">
        <f>IF($F455="","",IF($C455="売",CEILING($F455*IF($C455="売",1+$AG$2,1-$AG$2),IF($F455*IF($C455="売",1+$AG$2,1-$AG$2)&lt;=3000,1,IF($F455*IF($C455="売",1+$AG$2,1-$AG$2)&lt;=5000,5,IF($F455*IF($C455="売",1+$AG$2,1-$AG$2)&lt;=30000,10,IF($F455*IF($C455="売",1+$AG$2,1-$AG$2)&lt;=50000,50,IF($F455*IF($C455="売",1+$AG$2,1-$AG$2)&lt;=300000,100,500)))))),FLOOR($F455*IF($C455="売",1+$AG$2,1-$AG$2),IF($F455*IF($C455="売",1+$AG$2,1-$AG$2)&lt;=3000,1,IF($F455*IF($C455="売",1+$AG$2,1-$AG$2)&lt;=5000,5,IF($F455*IF($C455="売",1+$AG$2,1-$AG$2)&lt;=30000,10,IF($F455*IF($C455="売",1+$AG$2,1-$AG$2)&lt;=50000,50,IF($F455*IF($C455="売",1+$AG$2,1-$AG$2)&lt;=300000,100,500))))))))</f>
      </c>
      <c r="O455" s="478">
        <f>IF(OR($B455="",$F455="",$H455=""),"",IF($S455="✅売却済","―決済済―",IF($C455="売",  IF($H455&lt;=$M455,"🟢利確",  IF(AND($R455&lt;&gt;"",$H455&gt;=$R455),"🟠TRAIL決済",  IF($H455&gt;=$N455,"🔴損切",  IF($W455&gt;=$AG$5,"⏱時間決済",  IF($H455&gt;=$F455*(1+$AG$2*0.7),"⚠️損切接近","保持継続"))))),  IF($H455&gt;=$M455,"🟢利確",  IF(AND($R455&lt;&gt;"",$H455&lt;=$R455),"🟠TRAIL決済",  IF($H455&lt;=$N455,"🔴損切",  IF($W455&gt;=$AG$5,"⏱時間決済",  IF($H455&lt;=$F455*(1-$AG$2*0.7),"⚠️損切接近","保持継続")))))))</f>
      </c>
      <c r="P455" s="445"/>
      <c r="R455" s="440">
        <f>IF(OR($F455="",$H455="",$N455=""),"",IF($S455="✅売却済","",IF($C455="売",  IF($H455&gt;$F455*(1-$AG$2),$N455,CEILING(MIN($N455,IF($Q455="",$N455,$Q455*1.03)),IF($N455&lt;=3000,1,IF($N455&lt;=5000,5,IF($N455&lt;=30000,10,IF($N455&lt;=50000,50,IF($N455&lt;=300000,100,500))))))),  IF($H455&lt;$F455*(1+$AG$2),$N455,FLOOR(MAX($N455,IF($P455="",$N455,$P455*0.97)),IF($N455&lt;=3000,1,IF($N455&lt;=5000,5,IF($N455&lt;=30000,10,IF($N455&lt;=50000,50,IF($N455&lt;=300000,100,500))))))))))</f>
      </c>
      <c r="S455" s="440" t="str">
        <f t="shared" si="140"/>
        <v/>
      </c>
      <c r="T455" s="597" t="str">
        <f t="shared" ca="1" si="146"/>
        <v/>
      </c>
      <c r="U455" s="599" t="str">
        <f t="shared" ca="1" si="147"/>
        <v/>
      </c>
      <c r="V455" s="704" t="str">
        <f t="shared" ca="1" si="141"/>
        <v/>
      </c>
      <c r="W455" s="440" t="str">
        <f t="shared" ca="1" si="148"/>
        <v/>
      </c>
      <c r="X455" s="440" t="str">
        <f t="shared" ca="1" si="149"/>
        <v/>
      </c>
      <c r="Y455">
        <f>IF($B455="","",IF(COUNTIFS($B$4:$B455,$B455,$C$4:$C455,$C455)&gt;1,"⛔重複"&amp;COUNTIFS($B$4:$B455,$B455,$C$4:$C455,$C455)&amp;"回目",""))</f>
      </c>
      <c r="AB455">
        <f>IF($F455="","",MAX(100,ROUNDDOWN($AG$4/($F455*$AG$2)/100,0)*100))</f>
      </c>
      <c r="AC455">
        <f>IF(OR($F455="",$G455="",$U455=""),"",ROUND($V455-($F455+$U455)*$G455*$AG$6-IF($C455="売",$F455*$G455*$AG$7*$W455/365,0),0))</f>
      </c>
      <c r="AD455" s="608"/>
      <c r="AE455" s="600" t="str">
        <f t="shared" si="150"/>
        <v/>
      </c>
      <c r="AF455" s="600"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00"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00" t="str">
        <f t="shared" ca="1" si="151"/>
        <v/>
      </c>
      <c r="AI455" s="600" t="str" cm="1">
        <f t="array" ref="AI455">IFERROR(INDEX(始値!$E$6:$BT$305,MATCH(TEXT($B455,"0"),TEXT(銘柄管理!$B$6:$B$305,"0"),0),MATCH($AE455,始値!$E$3:$BT$3,0)),"")</f>
        <v/>
      </c>
      <c r="AJ455" s="608" t="str">
        <f t="shared" ca="1" si="152"/>
        <v/>
      </c>
      <c r="AK455" s="600" t="str">
        <f t="shared" ca="1" si="153"/>
        <v/>
      </c>
    </row>
    <row r="456" spans="1:37" ht="17.25" customHeight="1">
      <c r="A456" s="622" t="str">
        <f t="shared" si="142"/>
        <v/>
      </c>
      <c r="D456" s="440" t="str" cm="1">
        <f t="array" ref="D456">_xll.RssMarket(B456, "銘柄名称")</f>
        <v/>
      </c>
      <c r="E456" s="717"/>
      <c r="F456" s="6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 t="shared" ca="1" si="137"/>
        <v/>
      </c>
      <c r="L456" s="709" t="str">
        <f t="shared" ca="1" si="138"/>
        <v/>
      </c>
      <c r="M456" s="599">
        <f>IF($F456="","",IF($C456="売",CEILING($F456*IF($C456="売",1-$AG$3,1+$AG$3),IF($F456*IF($C456="売",1-$AG$3,1+$AG$3)&lt;=3000,1,IF($F456*IF($C456="売",1-$AG$3,1+$AG$3)&lt;=5000,5,IF($F456*IF($C456="売",1-$AG$3,1+$AG$3)&lt;=30000,10,IF($F456*IF($C456="売",1-$AG$3,1+$AG$3)&lt;=50000,50,IF($F456*IF($C456="売",1-$AG$3,1+$AG$3)&lt;=300000,100,500)))))),FLOOR($F456*IF($C456="売",1-$AG$3,1+$AG$3),IF($F456*IF($C456="売",1-$AG$3,1+$AG$3)&lt;=3000,1,IF($F456*IF($C456="売",1-$AG$3,1+$AG$3)&lt;=5000,5,IF($F456*IF($C456="売",1-$AG$3,1+$AG$3)&lt;=30000,10,IF($F456*IF($C456="売",1-$AG$3,1+$AG$3)&lt;=50000,50,IF($F456*IF($C456="売",1-$AG$3,1+$AG$3)&lt;=300000,100,500))))))))</f>
      </c>
      <c r="N456" s="599">
        <f>IF($F456="","",IF($C456="売",CEILING($F456*IF($C456="売",1+$AG$2,1-$AG$2),IF($F456*IF($C456="売",1+$AG$2,1-$AG$2)&lt;=3000,1,IF($F456*IF($C456="売",1+$AG$2,1-$AG$2)&lt;=5000,5,IF($F456*IF($C456="売",1+$AG$2,1-$AG$2)&lt;=30000,10,IF($F456*IF($C456="売",1+$AG$2,1-$AG$2)&lt;=50000,50,IF($F456*IF($C456="売",1+$AG$2,1-$AG$2)&lt;=300000,100,500)))))),FLOOR($F456*IF($C456="売",1+$AG$2,1-$AG$2),IF($F456*IF($C456="売",1+$AG$2,1-$AG$2)&lt;=3000,1,IF($F456*IF($C456="売",1+$AG$2,1-$AG$2)&lt;=5000,5,IF($F456*IF($C456="売",1+$AG$2,1-$AG$2)&lt;=30000,10,IF($F456*IF($C456="売",1+$AG$2,1-$AG$2)&lt;=50000,50,IF($F456*IF($C456="売",1+$AG$2,1-$AG$2)&lt;=300000,100,500))))))))</f>
      </c>
      <c r="O456" s="478">
        <f>IF(OR($B456="",$F456="",$H456=""),"",IF($S456="✅売却済","―決済済―",IF($C456="売",  IF($H456&lt;=$M456,"🟢利確",  IF(AND($R456&lt;&gt;"",$H456&gt;=$R456),"🟠TRAIL決済",  IF($H456&gt;=$N456,"🔴損切",  IF($W456&gt;=$AG$5,"⏱時間決済",  IF($H456&gt;=$F456*(1+$AG$2*0.7),"⚠️損切接近","保持継続"))))),  IF($H456&gt;=$M456,"🟢利確",  IF(AND($R456&lt;&gt;"",$H456&lt;=$R456),"🟠TRAIL決済",  IF($H456&lt;=$N456,"🔴損切",  IF($W456&gt;=$AG$5,"⏱時間決済",  IF($H456&lt;=$F456*(1-$AG$2*0.7),"⚠️損切接近","保持継続")))))))</f>
      </c>
      <c r="P456" s="445"/>
      <c r="R456" s="440">
        <f>IF(OR($F456="",$H456="",$N456=""),"",IF($S456="✅売却済","",IF($C456="売",  IF($H456&gt;$F456*(1-$AG$2),$N456,CEILING(MIN($N456,IF($Q456="",$N456,$Q456*1.03)),IF($N456&lt;=3000,1,IF($N456&lt;=5000,5,IF($N456&lt;=30000,10,IF($N456&lt;=50000,50,IF($N456&lt;=300000,100,500))))))),  IF($H456&lt;$F456*(1+$AG$2),$N456,FLOOR(MAX($N456,IF($P456="",$N456,$P456*0.97)),IF($N456&lt;=3000,1,IF($N456&lt;=5000,5,IF($N456&lt;=30000,10,IF($N456&lt;=50000,50,IF($N456&lt;=300000,100,500))))))))))</f>
      </c>
      <c r="S456" s="440" t="str">
        <f t="shared" si="140"/>
        <v/>
      </c>
      <c r="T456" s="597" t="str">
        <f t="shared" ca="1" si="146"/>
        <v/>
      </c>
      <c r="U456" s="599" t="str">
        <f t="shared" ca="1" si="147"/>
        <v/>
      </c>
      <c r="V456" s="704" t="str">
        <f t="shared" ca="1" si="141"/>
        <v/>
      </c>
      <c r="W456" s="440" t="str">
        <f t="shared" ca="1" si="148"/>
        <v/>
      </c>
      <c r="X456" s="440" t="str">
        <f t="shared" ca="1" si="149"/>
        <v/>
      </c>
      <c r="Y456">
        <f>IF($B456="","",IF(COUNTIFS($B$4:$B456,$B456,$C$4:$C456,$C456)&gt;1,"⛔重複"&amp;COUNTIFS($B$4:$B456,$B456,$C$4:$C456,$C456)&amp;"回目",""))</f>
      </c>
      <c r="AB456">
        <f>IF($F456="","",MAX(100,ROUNDDOWN($AG$4/($F456*$AG$2)/100,0)*100))</f>
      </c>
      <c r="AC456">
        <f>IF(OR($F456="",$G456="",$U456=""),"",ROUND($V456-($F456+$U456)*$G456*$AG$6-IF($C456="売",$F456*$G456*$AG$7*$W456/365,0),0))</f>
      </c>
      <c r="AD456" s="608"/>
      <c r="AE456" s="600" t="str">
        <f t="shared" si="150"/>
        <v/>
      </c>
      <c r="AF456" s="600"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00"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00" t="str">
        <f t="shared" ca="1" si="151"/>
        <v/>
      </c>
      <c r="AI456" s="600" t="str" cm="1">
        <f t="array" ref="AI456">IFERROR(INDEX(始値!$E$6:$BT$305,MATCH(TEXT($B456,"0"),TEXT(銘柄管理!$B$6:$B$305,"0"),0),MATCH($AE456,始値!$E$3:$BT$3,0)),"")</f>
        <v/>
      </c>
      <c r="AJ456" s="608" t="str">
        <f t="shared" ca="1" si="152"/>
        <v/>
      </c>
      <c r="AK456" s="600" t="str">
        <f t="shared" ca="1" si="153"/>
        <v/>
      </c>
    </row>
    <row r="457" spans="1:37" ht="17.25" customHeight="1">
      <c r="A457" s="622" t="str">
        <f t="shared" si="142"/>
        <v/>
      </c>
      <c r="D457" s="440" t="str" cm="1">
        <f t="array" ref="D457">_xll.RssMarket(B457, "銘柄名称")</f>
        <v/>
      </c>
      <c r="E457" s="717"/>
      <c r="F457" s="6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 t="shared" ca="1" si="137"/>
        <v/>
      </c>
      <c r="L457" s="709" t="str">
        <f t="shared" ca="1" si="138"/>
        <v/>
      </c>
      <c r="M457" s="599">
        <f>IF($F457="","",IF($C457="売",CEILING($F457*IF($C457="売",1-$AG$3,1+$AG$3),IF($F457*IF($C457="売",1-$AG$3,1+$AG$3)&lt;=3000,1,IF($F457*IF($C457="売",1-$AG$3,1+$AG$3)&lt;=5000,5,IF($F457*IF($C457="売",1-$AG$3,1+$AG$3)&lt;=30000,10,IF($F457*IF($C457="売",1-$AG$3,1+$AG$3)&lt;=50000,50,IF($F457*IF($C457="売",1-$AG$3,1+$AG$3)&lt;=300000,100,500)))))),FLOOR($F457*IF($C457="売",1-$AG$3,1+$AG$3),IF($F457*IF($C457="売",1-$AG$3,1+$AG$3)&lt;=3000,1,IF($F457*IF($C457="売",1-$AG$3,1+$AG$3)&lt;=5000,5,IF($F457*IF($C457="売",1-$AG$3,1+$AG$3)&lt;=30000,10,IF($F457*IF($C457="売",1-$AG$3,1+$AG$3)&lt;=50000,50,IF($F457*IF($C457="売",1-$AG$3,1+$AG$3)&lt;=300000,100,500))))))))</f>
      </c>
      <c r="N457" s="599">
        <f>IF($F457="","",IF($C457="売",CEILING($F457*IF($C457="売",1+$AG$2,1-$AG$2),IF($F457*IF($C457="売",1+$AG$2,1-$AG$2)&lt;=3000,1,IF($F457*IF($C457="売",1+$AG$2,1-$AG$2)&lt;=5000,5,IF($F457*IF($C457="売",1+$AG$2,1-$AG$2)&lt;=30000,10,IF($F457*IF($C457="売",1+$AG$2,1-$AG$2)&lt;=50000,50,IF($F457*IF($C457="売",1+$AG$2,1-$AG$2)&lt;=300000,100,500)))))),FLOOR($F457*IF($C457="売",1+$AG$2,1-$AG$2),IF($F457*IF($C457="売",1+$AG$2,1-$AG$2)&lt;=3000,1,IF($F457*IF($C457="売",1+$AG$2,1-$AG$2)&lt;=5000,5,IF($F457*IF($C457="売",1+$AG$2,1-$AG$2)&lt;=30000,10,IF($F457*IF($C457="売",1+$AG$2,1-$AG$2)&lt;=50000,50,IF($F457*IF($C457="売",1+$AG$2,1-$AG$2)&lt;=300000,100,500))))))))</f>
      </c>
      <c r="O457" s="478">
        <f>IF(OR($B457="",$F457="",$H457=""),"",IF($S457="✅売却済","―決済済―",IF($C457="売",  IF($H457&lt;=$M457,"🟢利確",  IF(AND($R457&lt;&gt;"",$H457&gt;=$R457),"🟠TRAIL決済",  IF($H457&gt;=$N457,"🔴損切",  IF($W457&gt;=$AG$5,"⏱時間決済",  IF($H457&gt;=$F457*(1+$AG$2*0.7),"⚠️損切接近","保持継続"))))),  IF($H457&gt;=$M457,"🟢利確",  IF(AND($R457&lt;&gt;"",$H457&lt;=$R457),"🟠TRAIL決済",  IF($H457&lt;=$N457,"🔴損切",  IF($W457&gt;=$AG$5,"⏱時間決済",  IF($H457&lt;=$F457*(1-$AG$2*0.7),"⚠️損切接近","保持継続")))))))</f>
      </c>
      <c r="P457" s="445"/>
      <c r="R457" s="440">
        <f>IF(OR($F457="",$H457="",$N457=""),"",IF($S457="✅売却済","",IF($C457="売",  IF($H457&gt;$F457*(1-$AG$2),$N457,CEILING(MIN($N457,IF($Q457="",$N457,$Q457*1.03)),IF($N457&lt;=3000,1,IF($N457&lt;=5000,5,IF($N457&lt;=30000,10,IF($N457&lt;=50000,50,IF($N457&lt;=300000,100,500))))))),  IF($H457&lt;$F457*(1+$AG$2),$N457,FLOOR(MAX($N457,IF($P457="",$N457,$P457*0.97)),IF($N457&lt;=3000,1,IF($N457&lt;=5000,5,IF($N457&lt;=30000,10,IF($N457&lt;=50000,50,IF($N457&lt;=300000,100,500))))))))))</f>
      </c>
      <c r="S457" s="440" t="str">
        <f t="shared" si="140"/>
        <v/>
      </c>
      <c r="T457" s="597" t="str">
        <f t="shared" ca="1" si="146"/>
        <v/>
      </c>
      <c r="U457" s="599" t="str">
        <f t="shared" ca="1" si="147"/>
        <v/>
      </c>
      <c r="V457" s="704" t="str">
        <f t="shared" ca="1" si="141"/>
        <v/>
      </c>
      <c r="W457" s="440" t="str">
        <f t="shared" ca="1" si="148"/>
        <v/>
      </c>
      <c r="X457" s="440" t="str">
        <f t="shared" ca="1" si="149"/>
        <v/>
      </c>
      <c r="Y457">
        <f>IF($B457="","",IF(COUNTIFS($B$4:$B457,$B457,$C$4:$C457,$C457)&gt;1,"⛔重複"&amp;COUNTIFS($B$4:$B457,$B457,$C$4:$C457,$C457)&amp;"回目",""))</f>
      </c>
      <c r="AB457">
        <f>IF($F457="","",MAX(100,ROUNDDOWN($AG$4/($F457*$AG$2)/100,0)*100))</f>
      </c>
      <c r="AC457">
        <f>IF(OR($F457="",$G457="",$U457=""),"",ROUND($V457-($F457+$U457)*$G457*$AG$6-IF($C457="売",$F457*$G457*$AG$7*$W457/365,0),0))</f>
      </c>
      <c r="AD457" s="608"/>
      <c r="AE457" s="600" t="str">
        <f t="shared" si="150"/>
        <v/>
      </c>
      <c r="AF457" s="600"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00"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00" t="str">
        <f t="shared" ca="1" si="151"/>
        <v/>
      </c>
      <c r="AI457" s="600" t="str" cm="1">
        <f t="array" ref="AI457">IFERROR(INDEX(始値!$E$6:$BT$305,MATCH(TEXT($B457,"0"),TEXT(銘柄管理!$B$6:$B$305,"0"),0),MATCH($AE457,始値!$E$3:$BT$3,0)),"")</f>
        <v/>
      </c>
      <c r="AJ457" s="608" t="str">
        <f t="shared" ca="1" si="152"/>
        <v/>
      </c>
      <c r="AK457" s="600" t="str">
        <f t="shared" ca="1" si="153"/>
        <v/>
      </c>
    </row>
    <row r="458" spans="1:37" ht="17.25" customHeight="1">
      <c r="A458" s="622" t="str">
        <f t="shared" si="142"/>
        <v/>
      </c>
      <c r="D458" s="440" t="str" cm="1">
        <f t="array" ref="D458">_xll.RssMarket(B458, "銘柄名称")</f>
        <v/>
      </c>
      <c r="E458" s="717"/>
      <c r="F458" s="6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f>IF($F458="","",IF($C458="売",CEILING($F458*IF($C458="売",1-$AG$3,1+$AG$3),IF($F458*IF($C458="売",1-$AG$3,1+$AG$3)&lt;=3000,1,IF($F458*IF($C458="売",1-$AG$3,1+$AG$3)&lt;=5000,5,IF($F458*IF($C458="売",1-$AG$3,1+$AG$3)&lt;=30000,10,IF($F458*IF($C458="売",1-$AG$3,1+$AG$3)&lt;=50000,50,IF($F458*IF($C458="売",1-$AG$3,1+$AG$3)&lt;=300000,100,500)))))),FLOOR($F458*IF($C458="売",1-$AG$3,1+$AG$3),IF($F458*IF($C458="売",1-$AG$3,1+$AG$3)&lt;=3000,1,IF($F458*IF($C458="売",1-$AG$3,1+$AG$3)&lt;=5000,5,IF($F458*IF($C458="売",1-$AG$3,1+$AG$3)&lt;=30000,10,IF($F458*IF($C458="売",1-$AG$3,1+$AG$3)&lt;=50000,50,IF($F458*IF($C458="売",1-$AG$3,1+$AG$3)&lt;=300000,100,500))))))))</f>
      </c>
      <c r="N458" s="599">
        <f>IF($F458="","",IF($C458="売",CEILING($F458*IF($C458="売",1+$AG$2,1-$AG$2),IF($F458*IF($C458="売",1+$AG$2,1-$AG$2)&lt;=3000,1,IF($F458*IF($C458="売",1+$AG$2,1-$AG$2)&lt;=5000,5,IF($F458*IF($C458="売",1+$AG$2,1-$AG$2)&lt;=30000,10,IF($F458*IF($C458="売",1+$AG$2,1-$AG$2)&lt;=50000,50,IF($F458*IF($C458="売",1+$AG$2,1-$AG$2)&lt;=300000,100,500)))))),FLOOR($F458*IF($C458="売",1+$AG$2,1-$AG$2),IF($F458*IF($C458="売",1+$AG$2,1-$AG$2)&lt;=3000,1,IF($F458*IF($C458="売",1+$AG$2,1-$AG$2)&lt;=5000,5,IF($F458*IF($C458="売",1+$AG$2,1-$AG$2)&lt;=30000,10,IF($F458*IF($C458="売",1+$AG$2,1-$AG$2)&lt;=50000,50,IF($F458*IF($C458="売",1+$AG$2,1-$AG$2)&lt;=300000,100,500))))))))</f>
      </c>
      <c r="O458" s="478">
        <f>IF(OR($B458="",$F458="",$H458=""),"",IF($S458="✅売却済","―決済済―",IF($C458="売",  IF($H458&lt;=$M458,"🟢利確",  IF(AND($R458&lt;&gt;"",$H458&gt;=$R458),"🟠TRAIL決済",  IF($H458&gt;=$N458,"🔴損切",  IF($W458&gt;=$AG$5,"⏱時間決済",  IF($H458&gt;=$F458*(1+$AG$2*0.7),"⚠️損切接近","保持継続"))))),  IF($H458&gt;=$M458,"🟢利確",  IF(AND($R458&lt;&gt;"",$H458&lt;=$R458),"🟠TRAIL決済",  IF($H458&lt;=$N458,"🔴損切",  IF($W458&gt;=$AG$5,"⏱時間決済",  IF($H458&lt;=$F458*(1-$AG$2*0.7),"⚠️損切接近","保持継続")))))))</f>
      </c>
      <c r="P458" s="445"/>
      <c r="R458" s="440">
        <f>IF(OR($F458="",$H458="",$N458=""),"",IF($S458="✅売却済","",IF($C458="売",  IF($H458&gt;$F458*(1-$AG$2),$N458,CEILING(MIN($N458,IF($Q458="",$N458,$Q458*1.03)),IF($N458&lt;=3000,1,IF($N458&lt;=5000,5,IF($N458&lt;=30000,10,IF($N458&lt;=50000,50,IF($N458&lt;=300000,100,500))))))),  IF($H458&lt;$F458*(1+$AG$2),$N458,FLOOR(MAX($N458,IF($P458="",$N458,$P458*0.97)),IF($N458&lt;=3000,1,IF($N458&lt;=5000,5,IF($N458&lt;=30000,10,IF($N458&lt;=50000,50,IF($N458&lt;=300000,100,500))))))))))</f>
      </c>
      <c r="S458" s="440" t="str">
        <f>IF(B458="","",IF(T458&lt;&gt;"","✅売却済",IF(OR(H458="",L458=""),"📌保有中",IF(L458&gt;=0.06,"🟢利確推奨",IF(L458&gt;=0.05,"🟡利確直近",IF(L458&gt;=0.045,"🔵トレーリング検討",IF(L458&gt;-0.03,"📌保有中",IF(L458&gt;-0.04,"⚠️損切注意","🔴損切り"))))))))</f>
        <v/>
      </c>
      <c r="T458" s="597" t="str">
        <f t="shared" ca="1" si="146"/>
        <v/>
      </c>
      <c r="U458" s="599" t="str">
        <f t="shared" ca="1" si="147"/>
        <v/>
      </c>
      <c r="V458" s="704" t="str">
        <f ca="1">IF(OR(F458="",G458="",U458=""),"",IF(C458="売",(F458-U458)*G458,(U458-F458)*G458))</f>
        <v/>
      </c>
      <c r="W458" s="440" t="str">
        <f t="shared" ca="1" si="148"/>
        <v/>
      </c>
      <c r="X458" s="440" t="str">
        <f t="shared" ca="1" si="149"/>
        <v/>
      </c>
      <c r="Y458">
        <f>IF($B458="","",IF(COUNTIFS($B$4:$B458,$B458,$C$4:$C458,$C458)&gt;1,"⛔重複"&amp;COUNTIFS($B$4:$B458,$B458,$C$4:$C458,$C458)&amp;"回目",""))</f>
      </c>
      <c r="AB458">
        <f>IF($F458="","",MAX(100,ROUNDDOWN($AG$4/($F458*$AG$2)/100,0)*100))</f>
      </c>
      <c r="AC458">
        <f>IF(OR($F458="",$G458="",$U458=""),"",ROUND($V458-($F458+$U458)*$G458*$AG$6-IF($C458="売",$F458*$G458*$AG$7*$W458/365,0),0))</f>
      </c>
      <c r="AD458" s="608"/>
      <c r="AE458" s="600" t="str">
        <f t="shared" si="150"/>
        <v/>
      </c>
      <c r="AF458" s="600"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00"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00" t="str">
        <f t="shared" ca="1" si="151"/>
        <v/>
      </c>
      <c r="AI458" s="600" t="str" cm="1">
        <f t="array" ref="AI458">IFERROR(INDEX(始値!$E$6:$BT$305,MATCH(TEXT($B458,"0"),TEXT(銘柄管理!$B$6:$B$305,"0"),0),MATCH($AE458,始値!$E$3:$BT$3,0)),"")</f>
        <v/>
      </c>
      <c r="AJ458" s="608" t="str">
        <f t="shared" ca="1" si="152"/>
        <v/>
      </c>
      <c r="AK458" s="600" t="str">
        <f t="shared" ca="1" si="153"/>
        <v/>
      </c>
    </row>
    <row r="459" spans="1:37" ht="17.25" customHeight="1">
      <c r="A459" s="622" t="str">
        <f t="shared" si="142"/>
        <v/>
      </c>
      <c r="D459" s="440" t="str" cm="1">
        <f t="array" ref="D459">_xll.RssMarket(B459, "銘柄名称")</f>
        <v/>
      </c>
      <c r="E459" s="717"/>
      <c r="F459" s="6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f>IF($F459="","",IF($C459="売",CEILING($F459*IF($C459="売",1-$AG$3,1+$AG$3),IF($F459*IF($C459="売",1-$AG$3,1+$AG$3)&lt;=3000,1,IF($F459*IF($C459="売",1-$AG$3,1+$AG$3)&lt;=5000,5,IF($F459*IF($C459="売",1-$AG$3,1+$AG$3)&lt;=30000,10,IF($F459*IF($C459="売",1-$AG$3,1+$AG$3)&lt;=50000,50,IF($F459*IF($C459="売",1-$AG$3,1+$AG$3)&lt;=300000,100,500)))))),FLOOR($F459*IF($C459="売",1-$AG$3,1+$AG$3),IF($F459*IF($C459="売",1-$AG$3,1+$AG$3)&lt;=3000,1,IF($F459*IF($C459="売",1-$AG$3,1+$AG$3)&lt;=5000,5,IF($F459*IF($C459="売",1-$AG$3,1+$AG$3)&lt;=30000,10,IF($F459*IF($C459="売",1-$AG$3,1+$AG$3)&lt;=50000,50,IF($F459*IF($C459="売",1-$AG$3,1+$AG$3)&lt;=300000,100,500))))))))</f>
      </c>
      <c r="N459" s="599">
        <f>IF($F459="","",IF($C459="売",CEILING($F459*IF($C459="売",1+$AG$2,1-$AG$2),IF($F459*IF($C459="売",1+$AG$2,1-$AG$2)&lt;=3000,1,IF($F459*IF($C459="売",1+$AG$2,1-$AG$2)&lt;=5000,5,IF($F459*IF($C459="売",1+$AG$2,1-$AG$2)&lt;=30000,10,IF($F459*IF($C459="売",1+$AG$2,1-$AG$2)&lt;=50000,50,IF($F459*IF($C459="売",1+$AG$2,1-$AG$2)&lt;=300000,100,500)))))),FLOOR($F459*IF($C459="売",1+$AG$2,1-$AG$2),IF($F459*IF($C459="売",1+$AG$2,1-$AG$2)&lt;=3000,1,IF($F459*IF($C459="売",1+$AG$2,1-$AG$2)&lt;=5000,5,IF($F459*IF($C459="売",1+$AG$2,1-$AG$2)&lt;=30000,10,IF($F459*IF($C459="売",1+$AG$2,1-$AG$2)&lt;=50000,50,IF($F459*IF($C459="売",1+$AG$2,1-$AG$2)&lt;=300000,100,500))))))))</f>
      </c>
      <c r="O459" s="478">
        <f>IF(OR($B459="",$F459="",$H459=""),"",IF($S459="✅売却済","―決済済―",IF($C459="売",  IF($H459&lt;=$M459,"🟢利確",  IF(AND($R459&lt;&gt;"",$H459&gt;=$R459),"🟠TRAIL決済",  IF($H459&gt;=$N459,"🔴損切",  IF($W459&gt;=$AG$5,"⏱時間決済",  IF($H459&gt;=$F459*(1+$AG$2*0.7),"⚠️損切接近","保持継続"))))),  IF($H459&gt;=$M459,"🟢利確",  IF(AND($R459&lt;&gt;"",$H459&lt;=$R459),"🟠TRAIL決済",  IF($H459&lt;=$N459,"🔴損切",  IF($W459&gt;=$AG$5,"⏱時間決済",  IF($H459&lt;=$F459*(1-$AG$2*0.7),"⚠️損切接近","保持継続")))))))</f>
      </c>
      <c r="P459" s="445"/>
      <c r="R459" s="440">
        <f>IF(OR($F459="",$H459="",$N459=""),"",IF($S459="✅売却済","",IF($C459="売",  IF($H459&gt;$F459*(1-$AG$2),$N459,CEILING(MIN($N459,IF($Q459="",$N459,$Q459*1.03)),IF($N459&lt;=3000,1,IF($N459&lt;=5000,5,IF($N459&lt;=30000,10,IF($N459&lt;=50000,50,IF($N459&lt;=300000,100,500))))))),  IF($H459&lt;$F459*(1+$AG$2),$N459,FLOOR(MAX($N459,IF($P459="",$N459,$P459*0.97)),IF($N459&lt;=3000,1,IF($N459&lt;=5000,5,IF($N459&lt;=30000,10,IF($N459&lt;=50000,50,IF($N459&lt;=300000,100,500))))))))))</f>
      </c>
      <c r="S459" s="440" t="str">
        <f>IF(B459="","",IF(T459&lt;&gt;"","✅売却済",IF(OR(H459="",L459=""),"📌保有中",IF(L459&gt;=0.06,"🟢利確推奨",IF(L459&gt;=0.05,"🟡利確直近",IF(L459&gt;=0.045,"🔵トレーリング検討",IF(L459&gt;-0.03,"📌保有中",IF(L459&gt;-0.04,"⚠️損切注意","🔴損切り"))))))))</f>
        <v/>
      </c>
      <c r="T459" s="597" t="str">
        <f t="shared" ca="1" si="146"/>
        <v/>
      </c>
      <c r="U459" s="599" t="str">
        <f t="shared" ca="1" si="147"/>
        <v/>
      </c>
      <c r="V459" s="704" t="str">
        <f ca="1">IF(OR(F459="",G459="",U459=""),"",IF(C459="売",(F459-U459)*G459,(U459-F459)*G459))</f>
        <v/>
      </c>
      <c r="W459" s="440" t="str">
        <f t="shared" ca="1" si="148"/>
        <v/>
      </c>
      <c r="X459" s="440" t="str">
        <f t="shared" ca="1" si="149"/>
        <v/>
      </c>
      <c r="Y459">
        <f>IF($B459="","",IF(COUNTIFS($B$4:$B459,$B459,$C$4:$C459,$C459)&gt;1,"⛔重複"&amp;COUNTIFS($B$4:$B459,$B459,$C$4:$C459,$C459)&amp;"回目",""))</f>
      </c>
      <c r="AB459">
        <f>IF($F459="","",MAX(100,ROUNDDOWN($AG$4/($F459*$AG$2)/100,0)*100))</f>
      </c>
      <c r="AC459">
        <f>IF(OR($F459="",$G459="",$U459=""),"",ROUND($V459-($F459+$U459)*$G459*$AG$6-IF($C459="売",$F459*$G459*$AG$7*$W459/365,0),0))</f>
      </c>
      <c r="AD459" s="608"/>
      <c r="AE459" s="600" t="str">
        <f t="shared" si="150"/>
        <v/>
      </c>
      <c r="AF459" s="600"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00"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00" t="str">
        <f t="shared" ca="1" si="151"/>
        <v/>
      </c>
      <c r="AI459" s="600" t="str" cm="1">
        <f t="array" ref="AI459">IFERROR(INDEX(始値!$E$6:$BT$305,MATCH(TEXT($B459,"0"),TEXT(銘柄管理!$B$6:$B$305,"0"),0),MATCH($AE459,始値!$E$3:$BT$3,0)),"")</f>
        <v/>
      </c>
      <c r="AJ459" s="608" t="str">
        <f t="shared" ca="1" si="152"/>
        <v/>
      </c>
      <c r="AK459" s="600" t="str">
        <f t="shared" ca="1" si="153"/>
        <v/>
      </c>
    </row>
    <row r="460" spans="1:37" ht="17.25" customHeight="1">
      <c r="A460" s="622" t="str">
        <f t="shared" si="142"/>
        <v/>
      </c>
      <c r="D460" s="440" t="str" cm="1">
        <f t="array" ref="D460">_xll.RssMarket(B460, "銘柄名称")</f>
        <v/>
      </c>
      <c r="E460" s="717"/>
      <c r="F460" s="6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f>IF($F460="","",IF($C460="売",CEILING($F460*IF($C460="売",1-$AG$3,1+$AG$3),IF($F460*IF($C460="売",1-$AG$3,1+$AG$3)&lt;=3000,1,IF($F460*IF($C460="売",1-$AG$3,1+$AG$3)&lt;=5000,5,IF($F460*IF($C460="売",1-$AG$3,1+$AG$3)&lt;=30000,10,IF($F460*IF($C460="売",1-$AG$3,1+$AG$3)&lt;=50000,50,IF($F460*IF($C460="売",1-$AG$3,1+$AG$3)&lt;=300000,100,500)))))),FLOOR($F460*IF($C460="売",1-$AG$3,1+$AG$3),IF($F460*IF($C460="売",1-$AG$3,1+$AG$3)&lt;=3000,1,IF($F460*IF($C460="売",1-$AG$3,1+$AG$3)&lt;=5000,5,IF($F460*IF($C460="売",1-$AG$3,1+$AG$3)&lt;=30000,10,IF($F460*IF($C460="売",1-$AG$3,1+$AG$3)&lt;=50000,50,IF($F460*IF($C460="売",1-$AG$3,1+$AG$3)&lt;=300000,100,500))))))))</f>
      </c>
      <c r="N460" s="599">
        <f>IF($F460="","",IF($C460="売",CEILING($F460*IF($C460="売",1+$AG$2,1-$AG$2),IF($F460*IF($C460="売",1+$AG$2,1-$AG$2)&lt;=3000,1,IF($F460*IF($C460="売",1+$AG$2,1-$AG$2)&lt;=5000,5,IF($F460*IF($C460="売",1+$AG$2,1-$AG$2)&lt;=30000,10,IF($F460*IF($C460="売",1+$AG$2,1-$AG$2)&lt;=50000,50,IF($F460*IF($C460="売",1+$AG$2,1-$AG$2)&lt;=300000,100,500)))))),FLOOR($F460*IF($C460="売",1+$AG$2,1-$AG$2),IF($F460*IF($C460="売",1+$AG$2,1-$AG$2)&lt;=3000,1,IF($F460*IF($C460="売",1+$AG$2,1-$AG$2)&lt;=5000,5,IF($F460*IF($C460="売",1+$AG$2,1-$AG$2)&lt;=30000,10,IF($F460*IF($C460="売",1+$AG$2,1-$AG$2)&lt;=50000,50,IF($F460*IF($C460="売",1+$AG$2,1-$AG$2)&lt;=300000,100,500))))))))</f>
      </c>
      <c r="O460" s="478">
        <f>IF(OR($B460="",$F460="",$H460=""),"",IF($S460="✅売却済","―決済済―",IF($C460="売",  IF($H460&lt;=$M460,"🟢利確",  IF(AND($R460&lt;&gt;"",$H460&gt;=$R460),"🟠TRAIL決済",  IF($H460&gt;=$N460,"🔴損切",  IF($W460&gt;=$AG$5,"⏱時間決済",  IF($H460&gt;=$F460*(1+$AG$2*0.7),"⚠️損切接近","保持継続"))))),  IF($H460&gt;=$M460,"🟢利確",  IF(AND($R460&lt;&gt;"",$H460&lt;=$R460),"🟠TRAIL決済",  IF($H460&lt;=$N460,"🔴損切",  IF($W460&gt;=$AG$5,"⏱時間決済",  IF($H460&lt;=$F460*(1-$AG$2*0.7),"⚠️損切接近","保持継続")))))))</f>
      </c>
      <c r="P460" s="445"/>
      <c r="R460" s="440">
        <f>IF(OR($F460="",$H460="",$N460=""),"",IF($S460="✅売却済","",IF($C460="売",  IF($H460&gt;$F460*(1-$AG$2),$N460,CEILING(MIN($N460,IF($Q460="",$N460,$Q460*1.03)),IF($N460&lt;=3000,1,IF($N460&lt;=5000,5,IF($N460&lt;=30000,10,IF($N460&lt;=50000,50,IF($N460&lt;=300000,100,500))))))),  IF($H460&lt;$F460*(1+$AG$2),$N460,FLOOR(MAX($N460,IF($P460="",$N460,$P460*0.97)),IF($N460&lt;=3000,1,IF($N460&lt;=5000,5,IF($N460&lt;=30000,10,IF($N460&lt;=50000,50,IF($N460&lt;=300000,100,500))))))))))</f>
      </c>
      <c r="S460" s="440" t="str">
        <f>IF(B460="","",IF(T460&lt;&gt;"","✅売却済",IF(OR(H460="",L460=""),"📌保有中",IF(L460&gt;=0.06,"🟢利確推奨",IF(L460&gt;=0.05,"🟡利確直近",IF(L460&gt;=0.045,"🔵トレーリング検討",IF(L460&gt;-0.03,"📌保有中",IF(L460&gt;-0.04,"⚠️損切注意","🔴損切り"))))))))</f>
        <v/>
      </c>
      <c r="T460" s="597" t="str">
        <f t="shared" ca="1" si="146"/>
        <v/>
      </c>
      <c r="U460" s="599" t="str">
        <f t="shared" ca="1" si="147"/>
        <v/>
      </c>
      <c r="V460" s="704" t="str">
        <f ca="1">IF(OR(F460="",G460="",U460=""),"",IF(C460="売",(F460-U460)*G460,(U460-F460)*G460))</f>
        <v/>
      </c>
      <c r="W460" s="440" t="str">
        <f t="shared" ca="1" si="148"/>
        <v/>
      </c>
      <c r="X460" s="440" t="str">
        <f t="shared" ca="1" si="149"/>
        <v/>
      </c>
      <c r="Y460">
        <f>IF($B460="","",IF(COUNTIFS($B$4:$B460,$B460,$C$4:$C460,$C460)&gt;1,"⛔重複"&amp;COUNTIFS($B$4:$B460,$B460,$C$4:$C460,$C460)&amp;"回目",""))</f>
      </c>
      <c r="AB460">
        <f>IF($F460="","",MAX(100,ROUNDDOWN($AG$4/($F460*$AG$2)/100,0)*100))</f>
      </c>
      <c r="AC460">
        <f>IF(OR($F460="",$G460="",$U460=""),"",ROUND($V460-($F460+$U460)*$G460*$AG$6-IF($C460="売",$F460*$G460*$AG$7*$W460/365,0),0))</f>
      </c>
      <c r="AD460" s="608"/>
      <c r="AE460" s="600" t="str">
        <f t="shared" si="150"/>
        <v/>
      </c>
      <c r="AF460" s="600"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00"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00" t="str">
        <f t="shared" ca="1" si="151"/>
        <v/>
      </c>
      <c r="AI460" s="600" t="str" cm="1">
        <f t="array" ref="AI460">IFERROR(INDEX(始値!$E$6:$BT$305,MATCH(TEXT($B460,"0"),TEXT(銘柄管理!$B$6:$B$305,"0"),0),MATCH($AE460,始値!$E$3:$BT$3,0)),"")</f>
        <v/>
      </c>
      <c r="AJ460" s="608" t="str">
        <f t="shared" ca="1" si="152"/>
        <v/>
      </c>
      <c r="AK460" s="600" t="str">
        <f t="shared" ca="1" si="153"/>
        <v/>
      </c>
    </row>
    <row r="461" spans="1:37" ht="17.25" customHeight="1">
      <c r="A461" s="622" t="str">
        <f t="shared" si="142"/>
        <v/>
      </c>
      <c r="D461" s="440" t="str" cm="1">
        <f t="array" ref="D461">_xll.RssMarket(B461, "銘柄名称")</f>
        <v/>
      </c>
      <c r="E461" s="717"/>
      <c r="F461" s="6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f>IF($F461="","",IF($C461="売",CEILING($F461*IF($C461="売",1-$AG$3,1+$AG$3),IF($F461*IF($C461="売",1-$AG$3,1+$AG$3)&lt;=3000,1,IF($F461*IF($C461="売",1-$AG$3,1+$AG$3)&lt;=5000,5,IF($F461*IF($C461="売",1-$AG$3,1+$AG$3)&lt;=30000,10,IF($F461*IF($C461="売",1-$AG$3,1+$AG$3)&lt;=50000,50,IF($F461*IF($C461="売",1-$AG$3,1+$AG$3)&lt;=300000,100,500)))))),FLOOR($F461*IF($C461="売",1-$AG$3,1+$AG$3),IF($F461*IF($C461="売",1-$AG$3,1+$AG$3)&lt;=3000,1,IF($F461*IF($C461="売",1-$AG$3,1+$AG$3)&lt;=5000,5,IF($F461*IF($C461="売",1-$AG$3,1+$AG$3)&lt;=30000,10,IF($F461*IF($C461="売",1-$AG$3,1+$AG$3)&lt;=50000,50,IF($F461*IF($C461="売",1-$AG$3,1+$AG$3)&lt;=300000,100,500))))))))</f>
      </c>
      <c r="N461" s="599">
        <f>IF($F461="","",IF($C461="売",CEILING($F461*IF($C461="売",1+$AG$2,1-$AG$2),IF($F461*IF($C461="売",1+$AG$2,1-$AG$2)&lt;=3000,1,IF($F461*IF($C461="売",1+$AG$2,1-$AG$2)&lt;=5000,5,IF($F461*IF($C461="売",1+$AG$2,1-$AG$2)&lt;=30000,10,IF($F461*IF($C461="売",1+$AG$2,1-$AG$2)&lt;=50000,50,IF($F461*IF($C461="売",1+$AG$2,1-$AG$2)&lt;=300000,100,500)))))),FLOOR($F461*IF($C461="売",1+$AG$2,1-$AG$2),IF($F461*IF($C461="売",1+$AG$2,1-$AG$2)&lt;=3000,1,IF($F461*IF($C461="売",1+$AG$2,1-$AG$2)&lt;=5000,5,IF($F461*IF($C461="売",1+$AG$2,1-$AG$2)&lt;=30000,10,IF($F461*IF($C461="売",1+$AG$2,1-$AG$2)&lt;=50000,50,IF($F461*IF($C461="売",1+$AG$2,1-$AG$2)&lt;=300000,100,500))))))))</f>
      </c>
      <c r="O461" s="478">
        <f>IF(OR($B461="",$F461="",$H461=""),"",IF($S461="✅売却済","―決済済―",IF($C461="売",  IF($H461&lt;=$M461,"🟢利確",  IF(AND($R461&lt;&gt;"",$H461&gt;=$R461),"🟠TRAIL決済",  IF($H461&gt;=$N461,"🔴損切",  IF($W461&gt;=$AG$5,"⏱時間決済",  IF($H461&gt;=$F461*(1+$AG$2*0.7),"⚠️損切接近","保持継続"))))),  IF($H461&gt;=$M461,"🟢利確",  IF(AND($R461&lt;&gt;"",$H461&lt;=$R461),"🟠TRAIL決済",  IF($H461&lt;=$N461,"🔴損切",  IF($W461&gt;=$AG$5,"⏱時間決済",  IF($H461&lt;=$F461*(1-$AG$2*0.7),"⚠️損切接近","保持継続")))))))</f>
      </c>
      <c r="P461" s="445"/>
      <c r="R461" s="440">
        <f>IF(OR($F461="",$H461="",$N461=""),"",IF($S461="✅売却済","",IF($C461="売",  IF($H461&gt;$F461*(1-$AG$2),$N461,CEILING(MIN($N461,IF($Q461="",$N461,$Q461*1.03)),IF($N461&lt;=3000,1,IF($N461&lt;=5000,5,IF($N461&lt;=30000,10,IF($N461&lt;=50000,50,IF($N461&lt;=300000,100,500))))))),  IF($H461&lt;$F461*(1+$AG$2),$N461,FLOOR(MAX($N461,IF($P461="",$N461,$P461*0.97)),IF($N461&lt;=3000,1,IF($N461&lt;=5000,5,IF($N461&lt;=30000,10,IF($N461&lt;=50000,50,IF($N461&lt;=300000,100,500))))))))))</f>
      </c>
      <c r="S461" s="440" t="str">
        <f>IF(B461="","",IF(T461&lt;&gt;"","✅売却済",IF(OR(H461="",L461=""),"📌保有中",IF(L461&gt;=0.06,"🟢利確推奨",IF(L461&gt;=0.05,"🟡利確直近",IF(L461&gt;=0.045,"🔵トレーリング検討",IF(L461&gt;-0.03,"📌保有中",IF(L461&gt;-0.04,"⚠️損切注意","🔴損切り"))))))))</f>
        <v/>
      </c>
      <c r="T461" s="597" t="str">
        <f t="shared" ca="1" si="146"/>
        <v/>
      </c>
      <c r="U461" s="599" t="str">
        <f t="shared" ca="1" si="147"/>
        <v/>
      </c>
      <c r="V461" s="704" t="str">
        <f ca="1">IF(OR(F461="",G461="",U461=""),"",IF(C461="売",(F461-U461)*G461,(U461-F461)*G461))</f>
        <v/>
      </c>
      <c r="W461" s="440" t="str">
        <f t="shared" ca="1" si="148"/>
        <v/>
      </c>
      <c r="X461" s="440" t="str">
        <f t="shared" ca="1" si="149"/>
        <v/>
      </c>
      <c r="Y461">
        <f>IF($B461="","",IF(COUNTIFS($B$4:$B461,$B461,$C$4:$C461,$C461)&gt;1,"⛔重複"&amp;COUNTIFS($B$4:$B461,$B461,$C$4:$C461,$C461)&amp;"回目",""))</f>
      </c>
      <c r="AB461">
        <f>IF($F461="","",MAX(100,ROUNDDOWN($AG$4/($F461*$AG$2)/100,0)*100))</f>
      </c>
      <c r="AC461">
        <f>IF(OR($F461="",$G461="",$U461=""),"",ROUND($V461-($F461+$U461)*$G461*$AG$6-IF($C461="売",$F461*$G461*$AG$7*$W461/365,0),0))</f>
      </c>
      <c r="AD461" s="608"/>
      <c r="AE461" s="600" t="str">
        <f t="shared" si="150"/>
        <v/>
      </c>
      <c r="AF461" s="600"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00"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00" t="str">
        <f t="shared" ca="1" si="151"/>
        <v/>
      </c>
      <c r="AI461" s="600" t="str" cm="1">
        <f t="array" ref="AI461">IFERROR(INDEX(始値!$E$6:$BT$305,MATCH(TEXT($B461,"0"),TEXT(銘柄管理!$B$6:$B$305,"0"),0),MATCH($AE461,始値!$E$3:$BT$3,0)),"")</f>
        <v/>
      </c>
      <c r="AJ461" s="608" t="str">
        <f t="shared" ca="1" si="152"/>
        <v/>
      </c>
      <c r="AK461" s="600" t="str">
        <f t="shared" ca="1" si="153"/>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1:52" s="435" customFormat="1" ht="19.2">
      <c r="T3">
        <f>IF(AND(分析!$C3&lt;&gt;"",分析!$C3&lt;&gt;"TOPX",N(分析!$BG3)=1),(N(分析!$BF3)+100)*10000-ROW(),"")</f>
      </c>
      <c r="V3">
        <f>IF(AND(売分析!$C3&lt;&gt;"",売分析!$C3&lt;&gt;"TOPX",N(売分析!$BG3)=1),(N(売分析!$BF3)+100)*10000-ROW(),"")</f>
      </c>
      <c r="AC3"/>
      <c r="AD3"/>
      <c r="AE3"/>
      <c r="AF3"/>
      <c r="AG3"/>
      <c r="AH3"/>
      <c r="AI3"/>
      <c r="AJ3"/>
      <c r="AK3"/>
      <c r="AL3"/>
      <c r="AM3"/>
      <c r="AN3"/>
      <c r="AO3"/>
      <c r="AP3"/>
      <c r="AQ3"/>
      <c r="AR3"/>
      <c r="AS3"/>
      <c r="AT3"/>
      <c r="AU3"/>
      <c r="AV3"/>
      <c r="AW3"/>
      <c r="AX3"/>
      <c r="AY3"/>
      <c r="AZ3"/>
    </row>
    <row r="4" spans="1:52" s="435" customFormat="1" ht="19.2">
      <c r="A4" s="561" t="s">
        <v>1226</v>
      </c>
      <c r="E4" s="561" t="s">
        <v>1239</v>
      </c>
      <c r="T4">
        <f>IF(AND(分析!$C4&lt;&gt;"",分析!$C4&lt;&gt;"TOPX",N(分析!$BG4)=1),(N(分析!$BF4)+100)*10000-ROW(),"")</f>
      </c>
      <c r="V4">
        <f>IF(AND(売分析!$C4&lt;&gt;"",売分析!$C4&lt;&gt;"TOPX",N(売分析!$BG4)=1),(N(売分析!$BF4)+100)*10000-ROW(),"")</f>
      </c>
      <c r="AC4"/>
      <c r="AD4"/>
      <c r="AE4"/>
      <c r="AF4"/>
      <c r="AG4"/>
      <c r="AH4"/>
      <c r="AI4"/>
      <c r="AJ4"/>
      <c r="AK4"/>
      <c r="AL4"/>
      <c r="AM4"/>
      <c r="AN4"/>
      <c r="AO4"/>
      <c r="AP4"/>
      <c r="AQ4"/>
      <c r="AR4"/>
      <c r="AS4"/>
      <c r="AT4"/>
      <c r="AU4"/>
      <c r="AV4"/>
      <c r="AW4"/>
      <c r="AX4"/>
      <c r="AY4"/>
      <c r="AZ4"/>
    </row>
    <row r="5" spans="1:52" s="435" customFormat="1" ht="19.2">
      <c r="A5" s="435" t="s">
        <v>1227</v>
      </c>
      <c r="B5">
        <v>3</v>
      </c>
      <c r="C5" s="560" t="s">
        <v>1228</v>
      </c>
      <c r="E5" s="435" t="s">
        <v>1240</v>
      </c>
      <c r="F5" s="563">
        <f>COUNT($T$3:$T$206)</f>
        <v>3</v>
      </c>
      <c r="T5">
        <f>IF(AND(分析!$C5&lt;&gt;"",分析!$C5&lt;&gt;"TOPX",N(分析!$BG5)=1),(N(分析!$BF5)+100)*10000-ROW(),"")</f>
      </c>
      <c r="V5">
        <f>IF(AND(売分析!$C5&lt;&gt;"",売分析!$C5&lt;&gt;"TOPX",N(売分析!$BG5)=1),(N(売分析!$BF5)+100)*10000-ROW(),"")</f>
      </c>
      <c r="AC5"/>
      <c r="AD5"/>
      <c r="AE5"/>
      <c r="AF5"/>
      <c r="AG5"/>
      <c r="AH5"/>
      <c r="AI5"/>
      <c r="AJ5"/>
      <c r="AK5"/>
      <c r="AL5"/>
      <c r="AM5"/>
      <c r="AN5"/>
      <c r="AO5"/>
      <c r="AP5"/>
      <c r="AQ5"/>
      <c r="AR5"/>
      <c r="AS5"/>
      <c r="AT5"/>
      <c r="AU5"/>
      <c r="AV5"/>
      <c r="AW5"/>
      <c r="AX5"/>
      <c r="AY5"/>
      <c r="AZ5"/>
    </row>
    <row r="6" spans="1:52" s="435" customFormat="1" ht="19.2">
      <c r="A6" t="inlineStr">
        <is>
          <t>【買い】V807ゲート ― 分析シート BJ1:BK10 で調整</t>
        </is>
      </c>
      <c r="E6" s="435" t="s">
        <v>1241</v>
      </c>
      <c r="F6" s="563">
        <f>COUNT($V$3:$V$206)</f>
        <v>4</v>
      </c>
      <c r="T6">
        <f>IF(AND(分析!$C6&lt;&gt;"",分析!$C6&lt;&gt;"TOPX",N(分析!$BG6)=1),(N(分析!$BF6)+100)*10000-ROW(),"")</f>
      </c>
      <c r="V6">
        <f>IF(AND(売分析!$C6&lt;&gt;"",売分析!$C6&lt;&gt;"TOPX",N(売分析!$BG6)=1),(N(売分析!$BF6)+100)*10000-ROW(),"")</f>
      </c>
      <c r="AC6"/>
      <c r="AD6"/>
      <c r="AE6"/>
      <c r="AF6"/>
      <c r="AG6"/>
      <c r="AH6"/>
      <c r="AI6"/>
      <c r="AJ6"/>
      <c r="AK6"/>
      <c r="AL6"/>
      <c r="AM6"/>
      <c r="AN6"/>
      <c r="AO6"/>
      <c r="AP6"/>
      <c r="AQ6"/>
      <c r="AR6"/>
      <c r="AS6"/>
      <c r="AT6"/>
      <c r="AU6"/>
      <c r="AV6"/>
      <c r="AW6"/>
      <c r="AX6"/>
      <c r="AY6"/>
      <c r="AZ6"/>
    </row>
    <row r="7" spans="1:52" s="435" customFormat="1" ht="19.2">
      <c r="A7" t="inlineStr">
        <is>
          <t>旧スコアしきい値（V807では未使用）</t>
        </is>
      </c>
      <c r="B7" s="562">
        <v>11</v>
      </c>
      <c r="C7" s="560" t="s">
        <v>1242</v>
      </c>
      <c r="E7" s="560" t="str">
        <f>IF(F5=0,"⚠ 買いは条件が厳しすぎて該当なし。B7またはB9を下げてください",IF(F5&lt;=5,"✓ 適正な厳しさ","△ やや緩い：B7を上げると絞れます"))</f>
        <v>✓ 適正な厳しさ</v>
      </c>
      <c r="T7">
        <f>IF(AND(分析!$C7&lt;&gt;"",分析!$C7&lt;&gt;"TOPX",N(分析!$BG7)=1),(N(分析!$BF7)+100)*10000-ROW(),"")</f>
      </c>
      <c r="V7">
        <f>IF(AND(売分析!$C7&lt;&gt;"",売分析!$C7&lt;&gt;"TOPX",N(売分析!$BG7)=1),(N(売分析!$BF7)+100)*10000-ROW(),"")</f>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f>IF(AND(分析!$C8&lt;&gt;"",分析!$C8&lt;&gt;"TOPX",N(分析!$BG8)=1),(N(分析!$BF8)+100)*10000-ROW(),"")</f>
      </c>
      <c r="V8">
        <f>IF(AND(売分析!$C8&lt;&gt;"",売分析!$C8&lt;&gt;"TOPX",N(売分析!$BG8)=1),(N(売分析!$BF8)+100)*10000-ROW(),"")</f>
      </c>
      <c r="AC8"/>
      <c r="AD8"/>
      <c r="AE8"/>
      <c r="AF8"/>
      <c r="AG8"/>
      <c r="AH8"/>
      <c r="AI8"/>
      <c r="AJ8"/>
      <c r="AK8"/>
      <c r="AL8"/>
      <c r="AM8"/>
      <c r="AN8"/>
      <c r="AO8"/>
      <c r="AP8"/>
      <c r="AQ8"/>
      <c r="AR8"/>
      <c r="AS8"/>
      <c r="AT8"/>
      <c r="AU8"/>
      <c r="AV8"/>
      <c r="AW8"/>
      <c r="AX8"/>
      <c r="AY8"/>
      <c r="AZ8"/>
    </row>
    <row r="9" spans="1:52" s="435" customFormat="1" ht="19.2">
      <c r="A9" s="435" t="s">
        <v>1233</v>
      </c>
      <c r="B9" s="565">
        <v>1.5</v>
      </c>
      <c r="C9" s="560" t="s">
        <v>1243</v>
      </c>
      <c r="T9">
        <f>IF(AND(分析!$C9&lt;&gt;"",分析!$C9&lt;&gt;"TOPX",N(分析!$BG9)=1),(N(分析!$BF9)+100)*10000-ROW(),"")</f>
      </c>
      <c r="V9">
        <f>IF(AND(売分析!$C9&lt;&gt;"",売分析!$C9&lt;&gt;"TOPX",N(売分析!$BG9)=1),(N(売分析!$BF9)+100)*10000-ROW(),"")</f>
      </c>
      <c r="AC9"/>
      <c r="AD9"/>
      <c r="AE9"/>
      <c r="AF9"/>
      <c r="AG9"/>
      <c r="AH9"/>
      <c r="AI9"/>
      <c r="AJ9"/>
      <c r="AK9"/>
      <c r="AL9"/>
      <c r="AM9"/>
      <c r="AN9"/>
      <c r="AO9"/>
      <c r="AP9"/>
      <c r="AQ9"/>
      <c r="AR9"/>
      <c r="AS9"/>
      <c r="AT9"/>
      <c r="AU9"/>
      <c r="AV9"/>
      <c r="AW9"/>
      <c r="AX9"/>
      <c r="AY9"/>
      <c r="AZ9"/>
    </row>
    <row r="10" spans="1:52" s="435" customFormat="1" ht="19.2">
      <c r="A10" t="inlineStr">
        <is>
          <t>【売り】V807では既定で停止 ― 売分析!BK10 を 1 にすると有効化</t>
        </is>
      </c>
      <c r="T10">
        <f>IF(AND(分析!$C10&lt;&gt;"",分析!$C10&lt;&gt;"TOPX",N(分析!$BG10)=1),(N(分析!$BF10)+100)*10000-ROW(),"")</f>
      </c>
      <c r="V10">
        <f>IF(AND(売分析!$C10&lt;&gt;"",売分析!$C10&lt;&gt;"TOPX",N(売分析!$BG10)=1),(N(売分析!$BF10)+100)*10000-ROW(),"")</f>
      </c>
      <c r="AC10"/>
      <c r="AD10"/>
      <c r="AE10"/>
      <c r="AF10"/>
      <c r="AG10"/>
      <c r="AH10"/>
      <c r="AI10"/>
      <c r="AJ10"/>
      <c r="AK10"/>
      <c r="AL10"/>
      <c r="AM10"/>
      <c r="AN10"/>
      <c r="AO10"/>
      <c r="AP10"/>
      <c r="AQ10"/>
      <c r="AR10"/>
      <c r="AS10"/>
      <c r="AT10"/>
      <c r="AU10"/>
      <c r="AV10"/>
      <c r="AW10"/>
      <c r="AX10"/>
      <c r="AY10"/>
      <c r="AZ10"/>
    </row>
    <row r="11" spans="1:52" s="435" customFormat="1" ht="19.2">
      <c r="A11" t="inlineStr">
        <is>
          <t>旧スコアしきい値（V807では未使用）</t>
        </is>
      </c>
      <c r="B11" s="562">
        <v>15</v>
      </c>
      <c r="C11" s="560" t="s">
        <v>1244</v>
      </c>
      <c r="T11">
        <f>IF(AND(分析!$C11&lt;&gt;"",分析!$C11&lt;&gt;"TOPX",N(分析!$BG11)=1),(N(分析!$BF11)+100)*10000-ROW(),"")</f>
      </c>
      <c r="V11">
        <f>IF(AND(売分析!$C11&lt;&gt;"",売分析!$C11&lt;&gt;"TOPX",N(売分析!$BG11)=1),(N(売分析!$BF11)+100)*10000-ROW(),"")</f>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f>IF(AND(分析!$C12&lt;&gt;"",分析!$C12&lt;&gt;"TOPX",N(分析!$BG12)=1),(N(分析!$BF12)+100)*10000-ROW(),"")</f>
      </c>
      <c r="V12">
        <f>IF(AND(売分析!$C12&lt;&gt;"",売分析!$C12&lt;&gt;"TOPX",N(売分析!$BG12)=1),(N(売分析!$BF12)+100)*10000-ROW(),"")</f>
      </c>
      <c r="AC12"/>
      <c r="AD12"/>
      <c r="AE12"/>
      <c r="AF12"/>
      <c r="AG12"/>
      <c r="AH12"/>
      <c r="AI12"/>
      <c r="AJ12"/>
      <c r="AK12"/>
      <c r="AL12"/>
      <c r="AM12"/>
      <c r="AN12"/>
      <c r="AO12"/>
      <c r="AP12"/>
      <c r="AQ12"/>
      <c r="AR12"/>
      <c r="AS12"/>
      <c r="AT12"/>
      <c r="AU12"/>
      <c r="AV12"/>
      <c r="AW12"/>
      <c r="AX12"/>
      <c r="AY12"/>
      <c r="AZ12"/>
    </row>
    <row r="13" spans="1:52" s="435" customFormat="1" ht="19.2">
      <c r="A13" s="435" t="s">
        <v>1233</v>
      </c>
      <c r="B13" s="565">
        <v>1.5</v>
      </c>
      <c r="C13" s="560" t="s">
        <v>1245</v>
      </c>
      <c r="T13">
        <f>IF(AND(分析!$C13&lt;&gt;"",分析!$C13&lt;&gt;"TOPX",N(分析!$BG13)=1),(N(分析!$BF13)+100)*10000-ROW(),"")</f>
      </c>
      <c r="V13">
        <f>IF(AND(売分析!$C13&lt;&gt;"",売分析!$C13&lt;&gt;"TOPX",N(売分析!$BG13)=1),(N(売分析!$BF13)+100)*10000-ROW(),"")</f>
      </c>
      <c r="AC13"/>
      <c r="AD13"/>
      <c r="AE13"/>
      <c r="AF13"/>
      <c r="AG13"/>
      <c r="AH13"/>
      <c r="AI13"/>
      <c r="AJ13"/>
      <c r="AK13"/>
      <c r="AL13"/>
      <c r="AM13"/>
      <c r="AN13"/>
      <c r="AO13"/>
      <c r="AP13"/>
      <c r="AQ13"/>
      <c r="AR13"/>
      <c r="AS13"/>
      <c r="AT13"/>
      <c r="AU13"/>
      <c r="AV13"/>
      <c r="AW13"/>
      <c r="AX13"/>
      <c r="AY13"/>
      <c r="AZ13"/>
    </row>
    <row r="14" spans="1:52" s="435" customFormat="1" ht="19.2">
      <c r="A14" t="inlineStr">
        <is>
          <t>※ 順位付け：V807スコア（有効5指標の合成）の高い順。ゲート全滅の日は候補0件＝見送りが正しい動作です。</t>
        </is>
      </c>
      <c r="T14">
        <f>IF(AND(分析!$C14&lt;&gt;"",分析!$C14&lt;&gt;"TOPX",N(分析!$BG14)=1),(N(分析!$BF14)+100)*10000-ROW(),"")</f>
      </c>
      <c r="V14">
        <f>IF(AND(売分析!$C14&lt;&gt;"",売分析!$C14&lt;&gt;"TOPX",N(売分析!$BG14)=1),(N(売分析!$BF14)+100)*10000-ROW(),"")</f>
      </c>
      <c r="AC14"/>
      <c r="AD14"/>
      <c r="AE14"/>
      <c r="AF14"/>
      <c r="AG14"/>
      <c r="AH14"/>
      <c r="AI14"/>
      <c r="AJ14"/>
      <c r="AK14"/>
      <c r="AL14"/>
      <c r="AM14"/>
      <c r="AN14"/>
      <c r="AO14"/>
      <c r="AP14"/>
      <c r="AQ14"/>
      <c r="AR14"/>
      <c r="AS14"/>
      <c r="AT14"/>
      <c r="AU14"/>
      <c r="AV14"/>
      <c r="AW14"/>
      <c r="AX14"/>
      <c r="AY14"/>
      <c r="AZ14"/>
    </row>
    <row r="15" spans="1:52" s="435" customFormat="1" ht="19.2">
      <c r="T15">
        <f>IF(AND(分析!$C15&lt;&gt;"",分析!$C15&lt;&gt;"TOPX",N(分析!$BG15)=1),(N(分析!$BF15)+100)*10000-ROW(),"")</f>
      </c>
      <c r="V15">
        <f>IF(AND(売分析!$C15&lt;&gt;"",売分析!$C15&lt;&gt;"TOPX",N(売分析!$BG15)=1),(N(売分析!$BF15)+100)*10000-ROW(),"")</f>
      </c>
      <c r="AC15"/>
      <c r="AD15"/>
      <c r="AE15"/>
      <c r="AF15"/>
      <c r="AG15"/>
      <c r="AH15"/>
      <c r="AI15"/>
      <c r="AJ15"/>
      <c r="AK15"/>
      <c r="AL15"/>
      <c r="AM15"/>
      <c r="AN15"/>
      <c r="AO15"/>
      <c r="AP15"/>
      <c r="AQ15"/>
      <c r="AR15"/>
      <c r="AS15"/>
      <c r="AT15"/>
      <c r="AU15"/>
      <c r="AV15"/>
      <c r="AW15"/>
      <c r="AX15"/>
      <c r="AY15"/>
      <c r="AZ15"/>
    </row>
    <row r="16" spans="1:52" s="435" customFormat="1" ht="19.2">
      <c r="A16" s="564" t="s">
        <v>1223</v>
      </c>
      <c r="T16">
        <f>IF(AND(分析!$C16&lt;&gt;"",分析!$C16&lt;&gt;"TOPX",N(分析!$BG16)=1),(N(分析!$BF16)+100)*10000-ROW(),"")</f>
      </c>
      <c r="V16">
        <f>IF(AND(売分析!$C16&lt;&gt;"",売分析!$C16&lt;&gt;"TOPX",N(売分析!$BG16)=1),(N(売分析!$BF16)+100)*10000-ROW(),"")</f>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f>IF(AND(分析!$C17&lt;&gt;"",分析!$C17&lt;&gt;"TOPX",N(分析!$BG17)=1),(N(分析!$BF17)+100)*10000-ROW(),"")</f>
      </c>
      <c r="V17">
        <f>IF(AND(売分析!$C17&lt;&gt;"",売分析!$C17&lt;&gt;"TOPX",N(売分析!$BG17)=1),(N(売分析!$BF17)+100)*10000-ROW(),"")</f>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f>IF(AND(分析!$C18&lt;&gt;"",分析!$C18&lt;&gt;"TOPX",N(分析!$BG18)=1),(N(分析!$BF18)+100)*10000-ROW(),"")</f>
      </c>
      <c r="V18">
        <f>IF(AND(売分析!$C18&lt;&gt;"",売分析!$C18&lt;&gt;"TOPX",N(売分析!$BG18)=1),(N(売分析!$BF18)+100)*10000-ROW(),"")</f>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f>IF(AND(分析!$C19&lt;&gt;"",分析!$C19&lt;&gt;"TOPX",N(分析!$BG19)=1),(N(分析!$BF19)+100)*10000-ROW(),"")</f>
      </c>
      <c r="V19">
        <f>IF(AND(売分析!$C19&lt;&gt;"",売分析!$C19&lt;&gt;"TOPX",N(売分析!$BG19)=1),(N(売分析!$BF19)+100)*10000-ROW(),"")</f>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f>IF(AND(分析!$C20&lt;&gt;"",分析!$C20&lt;&gt;"TOPX",N(分析!$BG20)=1),(N(分析!$BF20)+100)*10000-ROW(),"")</f>
      </c>
      <c r="V20">
        <f>IF(AND(売分析!$C20&lt;&gt;"",売分析!$C20&lt;&gt;"TOPX",N(売分析!$BG20)=1),(N(売分析!$BF20)+100)*10000-ROW(),"")</f>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f>IF(AND(分析!$C21&lt;&gt;"",分析!$C21&lt;&gt;"TOPX",N(分析!$BG21)=1),(N(分析!$BF21)+100)*10000-ROW(),"")</f>
      </c>
      <c r="V21">
        <f>IF(AND(売分析!$C21&lt;&gt;"",売分析!$C21&lt;&gt;"TOPX",N(売分析!$BG21)=1),(N(売分析!$BF21)+100)*10000-ROW(),"")</f>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f>IF(AND(分析!$C22&lt;&gt;"",分析!$C22&lt;&gt;"TOPX",N(分析!$BG22)=1),(N(分析!$BF22)+100)*10000-ROW(),"")</f>
      </c>
      <c r="V22">
        <f>IF(AND(売分析!$C22&lt;&gt;"",売分析!$C22&lt;&gt;"TOPX",N(売分析!$BG22)=1),(N(売分析!$BF22)+100)*10000-ROW(),"")</f>
      </c>
      <c r="AC22"/>
      <c r="AD22"/>
      <c r="AE22"/>
      <c r="AF22"/>
      <c r="AG22"/>
      <c r="AH22"/>
      <c r="AI22"/>
      <c r="AJ22"/>
      <c r="AK22"/>
      <c r="AL22"/>
      <c r="AM22"/>
      <c r="AN22"/>
      <c r="AO22"/>
      <c r="AP22"/>
      <c r="AQ22"/>
      <c r="AR22"/>
      <c r="AS22"/>
      <c r="AT22"/>
      <c r="AU22"/>
      <c r="AV22"/>
      <c r="AW22"/>
      <c r="AX22"/>
      <c r="AY22"/>
      <c r="AZ22"/>
    </row>
    <row r="23" spans="1:52" s="435" customFormat="1" ht="19.2">
      <c r="T23">
        <f>IF(AND(分析!$C23&lt;&gt;"",分析!$C23&lt;&gt;"TOPX",N(分析!$BG23)=1),(N(分析!$BF23)+100)*10000-ROW(),"")</f>
      </c>
      <c r="V23">
        <f>IF(AND(売分析!$C23&lt;&gt;"",売分析!$C23&lt;&gt;"TOPX",N(売分析!$BG23)=1),(N(売分析!$BF23)+100)*10000-ROW(),"")</f>
      </c>
      <c r="AC23"/>
      <c r="AD23"/>
      <c r="AE23"/>
      <c r="AF23"/>
      <c r="AG23"/>
      <c r="AH23"/>
      <c r="AI23"/>
      <c r="AJ23"/>
      <c r="AK23"/>
      <c r="AL23"/>
      <c r="AM23"/>
      <c r="AN23"/>
      <c r="AO23"/>
      <c r="AP23"/>
      <c r="AQ23"/>
      <c r="AR23"/>
      <c r="AS23"/>
      <c r="AT23"/>
      <c r="AU23"/>
      <c r="AV23"/>
      <c r="AW23"/>
      <c r="AX23"/>
      <c r="AY23"/>
      <c r="AZ23"/>
    </row>
    <row r="24" spans="1:52" s="435" customFormat="1" ht="19.2">
      <c r="A24" s="566" t="s">
        <v>1224</v>
      </c>
      <c r="T24">
        <f>IF(AND(分析!$C24&lt;&gt;"",分析!$C24&lt;&gt;"TOPX",N(分析!$BG24)=1),(N(分析!$BF24)+100)*10000-ROW(),"")</f>
      </c>
      <c r="V24">
        <f>IF(AND(売分析!$C24&lt;&gt;"",売分析!$C24&lt;&gt;"TOPX",N(売分析!$BG24)=1),(N(売分析!$BF24)+100)*10000-ROW(),"")</f>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f>IF(AND(分析!$C25&lt;&gt;"",分析!$C25&lt;&gt;"TOPX",N(分析!$BG25)=1),(N(分析!$BF25)+100)*10000-ROW(),"")</f>
      </c>
      <c r="V25">
        <f>IF(AND(売分析!$C25&lt;&gt;"",売分析!$C25&lt;&gt;"TOPX",N(売分析!$BG25)=1),(N(売分析!$BF25)+100)*10000-ROW(),"")</f>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f>IF(AND(分析!$C26&lt;&gt;"",分析!$C26&lt;&gt;"TOPX",N(分析!$BG26)=1),(N(分析!$BF26)+100)*10000-ROW(),"")</f>
      </c>
      <c r="V26">
        <f>IF(AND(売分析!$C26&lt;&gt;"",売分析!$C26&lt;&gt;"TOPX",N(売分析!$BG26)=1),(N(売分析!$BF26)+100)*10000-ROW(),"")</f>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f>IF(AND(分析!$C27&lt;&gt;"",分析!$C27&lt;&gt;"TOPX",N(分析!$BG27)=1),(N(分析!$BF27)+100)*10000-ROW(),"")</f>
      </c>
      <c r="V27">
        <f>IF(AND(売分析!$C27&lt;&gt;"",売分析!$C27&lt;&gt;"TOPX",N(売分析!$BG27)=1),(N(売分析!$BF27)+100)*10000-ROW(),"")</f>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f>IF(AND(分析!$C28&lt;&gt;"",分析!$C28&lt;&gt;"TOPX",N(分析!$BG28)=1),(N(分析!$BF28)+100)*10000-ROW(),"")</f>
      </c>
      <c r="V28">
        <f>IF(AND(売分析!$C28&lt;&gt;"",売分析!$C28&lt;&gt;"TOPX",N(売分析!$BG28)=1),(N(売分析!$BF28)+100)*10000-ROW(),"")</f>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f>IF(AND(分析!$C29&lt;&gt;"",分析!$C29&lt;&gt;"TOPX",N(分析!$BG29)=1),(N(分析!$BF29)+100)*10000-ROW(),"")</f>
      </c>
      <c r="V29">
        <f>IF(AND(売分析!$C29&lt;&gt;"",売分析!$C29&lt;&gt;"TOPX",N(売分析!$BG29)=1),(N(売分析!$BF29)+100)*10000-ROW(),"")</f>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f>IF(AND(分析!$C30&lt;&gt;"",分析!$C30&lt;&gt;"TOPX",N(分析!$BG30)=1),(N(分析!$BF30)+100)*10000-ROW(),"")</f>
      </c>
      <c r="V30">
        <f>IF(AND(売分析!$C30&lt;&gt;"",売分析!$C30&lt;&gt;"TOPX",N(売分析!$BG30)=1),(N(売分析!$BF30)+100)*10000-ROW(),"")</f>
      </c>
      <c r="AC30"/>
      <c r="AD30"/>
      <c r="AE30"/>
      <c r="AF30"/>
      <c r="AG30"/>
      <c r="AH30"/>
      <c r="AI30"/>
      <c r="AJ30"/>
      <c r="AK30"/>
      <c r="AL30"/>
      <c r="AM30"/>
      <c r="AN30"/>
      <c r="AO30"/>
      <c r="AP30"/>
      <c r="AQ30"/>
      <c r="AR30"/>
      <c r="AS30"/>
      <c r="AT30"/>
      <c r="AU30"/>
      <c r="AV30"/>
      <c r="AW30"/>
      <c r="AX30"/>
      <c r="AY30"/>
      <c r="AZ30"/>
    </row>
    <row r="31" spans="1:52" s="435" customFormat="1" ht="19.2">
      <c r="T31">
        <f>IF(AND(分析!$C31&lt;&gt;"",分析!$C31&lt;&gt;"TOPX",N(分析!$BG31)=1),(N(分析!$BF31)+100)*10000-ROW(),"")</f>
      </c>
      <c r="V31">
        <f>IF(AND(売分析!$C31&lt;&gt;"",売分析!$C31&lt;&gt;"TOPX",N(売分析!$BG31)=1),(N(売分析!$BF31)+100)*10000-ROW(),"")</f>
      </c>
      <c r="AC31"/>
      <c r="AD31"/>
      <c r="AE31"/>
      <c r="AF31"/>
      <c r="AG31"/>
      <c r="AH31"/>
      <c r="AI31"/>
      <c r="AJ31"/>
      <c r="AK31"/>
      <c r="AL31"/>
      <c r="AM31"/>
      <c r="AN31"/>
      <c r="AO31"/>
      <c r="AP31"/>
      <c r="AQ31"/>
      <c r="AR31"/>
      <c r="AS31"/>
      <c r="AT31"/>
      <c r="AU31"/>
      <c r="AV31"/>
      <c r="AW31"/>
      <c r="AX31"/>
      <c r="AY31"/>
      <c r="AZ31"/>
    </row>
    <row r="32" spans="1:52" s="435" customFormat="1" ht="19.2">
      <c r="A32" s="561" t="s">
        <v>1249</v>
      </c>
      <c r="T32">
        <f>IF(AND(分析!$C32&lt;&gt;"",分析!$C32&lt;&gt;"TOPX",N(分析!$BG32)=1),(N(分析!$BF32)+100)*10000-ROW(),"")</f>
      </c>
      <c r="V32">
        <f>IF(AND(売分析!$C32&lt;&gt;"",売分析!$C32&lt;&gt;"TOPX",N(売分析!$BG32)=1),(N(売分析!$BF32)+100)*10000-ROW(),"")</f>
      </c>
      <c r="AC32"/>
      <c r="AD32"/>
      <c r="AE32"/>
      <c r="AF32"/>
      <c r="AG32"/>
      <c r="AH32"/>
      <c r="AI32"/>
      <c r="AJ32"/>
      <c r="AK32"/>
      <c r="AL32"/>
      <c r="AM32"/>
      <c r="AN32"/>
      <c r="AO32"/>
      <c r="AP32"/>
      <c r="AQ32"/>
      <c r="AR32"/>
      <c r="AS32"/>
      <c r="AT32"/>
      <c r="AU32"/>
      <c r="AV32"/>
      <c r="AW32"/>
      <c r="AX32"/>
      <c r="AY32"/>
      <c r="AZ32"/>
    </row>
    <row r="33" spans="1:52" s="435" customFormat="1" ht="19.2">
      <c r="A33" s="560" t="s">
        <v>1250</v>
      </c>
      <c r="T33">
        <f>IF(AND(分析!$C33&lt;&gt;"",分析!$C33&lt;&gt;"TOPX",N(分析!$BG33)=1),(N(分析!$BF33)+100)*10000-ROW(),"")</f>
      </c>
      <c r="V33">
        <f>IF(AND(売分析!$C33&lt;&gt;"",売分析!$C33&lt;&gt;"TOPX",N(売分析!$BG33)=1),(N(売分析!$BF33)+100)*10000-ROW(),"")</f>
      </c>
      <c r="AC33"/>
      <c r="AD33"/>
      <c r="AE33"/>
      <c r="AF33"/>
      <c r="AG33"/>
      <c r="AH33"/>
      <c r="AI33"/>
      <c r="AJ33"/>
      <c r="AK33"/>
      <c r="AL33"/>
      <c r="AM33"/>
      <c r="AN33"/>
      <c r="AO33"/>
      <c r="AP33"/>
      <c r="AQ33"/>
      <c r="AR33"/>
      <c r="AS33"/>
      <c r="AT33"/>
      <c r="AU33"/>
      <c r="AV33"/>
      <c r="AW33"/>
      <c r="AX33"/>
      <c r="AY33"/>
      <c r="AZ33"/>
    </row>
    <row r="34" spans="1:52" s="435" customFormat="1" ht="19.2">
      <c r="A34" s="560" t="s">
        <v>1251</v>
      </c>
      <c r="T34">
        <f>IF(AND(分析!$C34&lt;&gt;"",分析!$C34&lt;&gt;"TOPX",N(分析!$BG34)=1),(N(分析!$BF34)+100)*10000-ROW(),"")</f>
      </c>
      <c r="V34">
        <f>IF(AND(売分析!$C34&lt;&gt;"",売分析!$C34&lt;&gt;"TOPX",N(売分析!$BG34)=1),(N(売分析!$BF34)+100)*10000-ROW(),"")</f>
      </c>
      <c r="AC34"/>
      <c r="AD34"/>
      <c r="AE34"/>
      <c r="AF34"/>
      <c r="AG34"/>
      <c r="AH34"/>
      <c r="AI34"/>
      <c r="AJ34"/>
      <c r="AK34"/>
      <c r="AL34"/>
      <c r="AM34"/>
      <c r="AN34"/>
      <c r="AO34"/>
      <c r="AP34"/>
      <c r="AQ34"/>
      <c r="AR34"/>
      <c r="AS34"/>
      <c r="AT34"/>
      <c r="AU34"/>
      <c r="AV34"/>
      <c r="AW34"/>
      <c r="AX34"/>
      <c r="AY34"/>
      <c r="AZ34"/>
    </row>
    <row r="35" spans="1:52" s="435" customFormat="1" ht="19.2">
      <c r="A35" s="560" t="s">
        <v>1252</v>
      </c>
      <c r="T35">
        <f>IF(AND(分析!$C35&lt;&gt;"",分析!$C35&lt;&gt;"TOPX",N(分析!$BG35)=1),(N(分析!$BF35)+100)*10000-ROW(),"")</f>
      </c>
      <c r="V35">
        <f>IF(AND(売分析!$C35&lt;&gt;"",売分析!$C35&lt;&gt;"TOPX",N(売分析!$BG35)=1),(N(売分析!$BF35)+100)*10000-ROW(),"")</f>
      </c>
      <c r="AC35"/>
      <c r="AD35"/>
      <c r="AE35"/>
      <c r="AF35"/>
      <c r="AG35"/>
      <c r="AH35"/>
      <c r="AI35"/>
      <c r="AJ35"/>
      <c r="AK35"/>
      <c r="AL35"/>
      <c r="AM35"/>
      <c r="AN35"/>
      <c r="AO35"/>
      <c r="AP35"/>
      <c r="AQ35"/>
      <c r="AR35"/>
      <c r="AS35"/>
      <c r="AT35"/>
      <c r="AU35"/>
      <c r="AV35"/>
      <c r="AW35"/>
      <c r="AX35"/>
      <c r="AY35"/>
      <c r="AZ35"/>
    </row>
    <row r="36" spans="1:52" s="435" customFormat="1" ht="19.2">
      <c r="A36" s="560" t="s">
        <v>1253</v>
      </c>
      <c r="T36">
        <f>IF(AND(分析!$C36&lt;&gt;"",分析!$C36&lt;&gt;"TOPX",N(分析!$BG36)=1),(N(分析!$BF36)+100)*10000-ROW(),"")</f>
      </c>
      <c r="V36">
        <f>IF(AND(売分析!$C36&lt;&gt;"",売分析!$C36&lt;&gt;"TOPX",N(売分析!$BG36)=1),(N(売分析!$BF36)+100)*10000-ROW(),"")</f>
      </c>
      <c r="AC36"/>
      <c r="AD36"/>
      <c r="AE36"/>
      <c r="AF36"/>
      <c r="AG36"/>
      <c r="AH36"/>
      <c r="AI36"/>
      <c r="AJ36"/>
      <c r="AK36"/>
      <c r="AL36"/>
      <c r="AM36"/>
      <c r="AN36"/>
      <c r="AO36"/>
      <c r="AP36"/>
      <c r="AQ36"/>
      <c r="AR36"/>
      <c r="AS36"/>
      <c r="AT36"/>
      <c r="AU36"/>
      <c r="AV36"/>
      <c r="AW36"/>
      <c r="AX36"/>
      <c r="AY36"/>
      <c r="AZ36"/>
    </row>
    <row r="37" spans="1:52" s="435" customFormat="1" ht="19.2">
      <c r="A37" s="560" t="s">
        <v>1254</v>
      </c>
      <c r="T37">
        <f>IF(AND(分析!$C37&lt;&gt;"",分析!$C37&lt;&gt;"TOPX",N(分析!$BG37)=1),(N(分析!$BF37)+100)*10000-ROW(),"")</f>
      </c>
      <c r="V37">
        <f>IF(AND(売分析!$C37&lt;&gt;"",売分析!$C37&lt;&gt;"TOPX",N(売分析!$BG37)=1),(N(売分析!$BF37)+100)*10000-ROW(),"")</f>
      </c>
      <c r="AC37"/>
      <c r="AD37"/>
      <c r="AE37"/>
      <c r="AF37"/>
      <c r="AG37"/>
      <c r="AH37"/>
      <c r="AI37"/>
      <c r="AJ37"/>
      <c r="AK37"/>
      <c r="AL37"/>
      <c r="AM37"/>
      <c r="AN37"/>
      <c r="AO37"/>
      <c r="AP37"/>
      <c r="AQ37"/>
      <c r="AR37"/>
      <c r="AS37"/>
      <c r="AT37"/>
      <c r="AU37"/>
      <c r="AV37"/>
      <c r="AW37"/>
      <c r="AX37"/>
      <c r="AY37"/>
      <c r="AZ37"/>
    </row>
    <row r="38" spans="1:52" s="435" customFormat="1" ht="19.2">
      <c r="T38">
        <f>IF(AND(分析!$C38&lt;&gt;"",分析!$C38&lt;&gt;"TOPX",N(分析!$BG38)=1),(N(分析!$BF38)+100)*10000-ROW(),"")</f>
      </c>
      <c r="V38">
        <f>IF(AND(売分析!$C38&lt;&gt;"",売分析!$C38&lt;&gt;"TOPX",N(売分析!$BG38)=1),(N(売分析!$BF38)+100)*10000-ROW(),"")</f>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f>IF(AND(分析!$C39&lt;&gt;"",分析!$C39&lt;&gt;"TOPX",N(分析!$BG39)=1),(N(分析!$BF39)+100)*10000-ROW(),"")</f>
      </c>
      <c r="U39"/>
      <c r="V39">
        <f>IF(AND(売分析!$C39&lt;&gt;"",売分析!$C39&lt;&gt;"TOPX",N(売分析!$BG39)=1),(N(売分析!$BF39)+100)*10000-ROW(),"")</f>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f>IF(AND(分析!$C40&lt;&gt;"",分析!$C40&lt;&gt;"TOPX",N(分析!$BG40)=1),(N(分析!$BF40)+100)*10000-ROW(),"")</f>
      </c>
      <c r="U40"/>
      <c r="V40">
        <f>IF(AND(売分析!$C40&lt;&gt;"",売分析!$C40&lt;&gt;"TOPX",N(売分析!$BG40)=1),(N(売分析!$BF40)+100)*10000-ROW(),"")</f>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f>IF(AND(分析!$C41&lt;&gt;"",分析!$C41&lt;&gt;"TOPX",N(分析!$BG41)=1),(N(分析!$BF41)+100)*10000-ROW(),"")</f>
      </c>
      <c r="U41"/>
      <c r="V41">
        <f>IF(AND(売分析!$C41&lt;&gt;"",売分析!$C41&lt;&gt;"TOPX",N(売分析!$BG41)=1),(N(売分析!$BF41)+100)*10000-ROW(),"")</f>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f>IF(AND(分析!$C42&lt;&gt;"",分析!$C42&lt;&gt;"TOPX",N(分析!$BG42)=1),(N(分析!$BF42)+100)*10000-ROW(),"")</f>
      </c>
      <c r="U42"/>
      <c r="V42">
        <f>IF(AND(売分析!$C42&lt;&gt;"",売分析!$C42&lt;&gt;"TOPX",N(売分析!$BG42)=1),(N(売分析!$BF42)+100)*10000-ROW(),"")</f>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f>IF(AND(分析!$C43&lt;&gt;"",分析!$C43&lt;&gt;"TOPX",N(分析!$BG43)=1),(N(分析!$BF43)+100)*10000-ROW(),"")</f>
      </c>
      <c r="U43"/>
      <c r="V43">
        <f>IF(AND(売分析!$C43&lt;&gt;"",売分析!$C43&lt;&gt;"TOPX",N(売分析!$BG43)=1),(N(売分析!$BF43)+100)*10000-ROW(),"")</f>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f>IF(AND(分析!$C44&lt;&gt;"",分析!$C44&lt;&gt;"TOPX",N(分析!$BG44)=1),(N(分析!$BF44)+100)*10000-ROW(),"")</f>
      </c>
      <c r="U44"/>
      <c r="V44">
        <f>IF(AND(売分析!$C44&lt;&gt;"",売分析!$C44&lt;&gt;"TOPX",N(売分析!$BG44)=1),(N(売分析!$BF44)+100)*10000-ROW(),"")</f>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f>IF(AND(分析!$C45&lt;&gt;"",分析!$C45&lt;&gt;"TOPX",N(分析!$BG45)=1),(N(分析!$BF45)+100)*10000-ROW(),"")</f>
      </c>
      <c r="U45"/>
      <c r="V45">
        <f>IF(AND(売分析!$C45&lt;&gt;"",売分析!$C45&lt;&gt;"TOPX",N(売分析!$BG45)=1),(N(売分析!$BF45)+100)*10000-ROW(),"")</f>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f>IF(AND(分析!$C46&lt;&gt;"",分析!$C46&lt;&gt;"TOPX",N(分析!$BG46)=1),(N(分析!$BF46)+100)*10000-ROW(),"")</f>
      </c>
      <c r="U46"/>
      <c r="V46">
        <f>IF(AND(売分析!$C46&lt;&gt;"",売分析!$C46&lt;&gt;"TOPX",N(売分析!$BG46)=1),(N(売分析!$BF46)+100)*10000-ROW(),"")</f>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f>IF(AND(分析!$C47&lt;&gt;"",分析!$C47&lt;&gt;"TOPX",N(分析!$BG47)=1),(N(分析!$BF47)+100)*10000-ROW(),"")</f>
      </c>
      <c r="U47"/>
      <c r="V47">
        <f>IF(AND(売分析!$C47&lt;&gt;"",売分析!$C47&lt;&gt;"TOPX",N(売分析!$BG47)=1),(N(売分析!$BF47)+100)*10000-ROW(),"")</f>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f>IF(AND(分析!$C48&lt;&gt;"",分析!$C48&lt;&gt;"TOPX",N(分析!$BG48)=1),(N(分析!$BF48)+100)*10000-ROW(),"")</f>
      </c>
      <c r="U48"/>
      <c r="V48">
        <f>IF(AND(売分析!$C48&lt;&gt;"",売分析!$C48&lt;&gt;"TOPX",N(売分析!$BG48)=1),(N(売分析!$BF48)+100)*10000-ROW(),"")</f>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f>IF(AND(分析!$C49&lt;&gt;"",分析!$C49&lt;&gt;"TOPX",N(分析!$BG49)=1),(N(分析!$BF49)+100)*10000-ROW(),"")</f>
      </c>
      <c r="U49"/>
      <c r="V49">
        <f>IF(AND(売分析!$C49&lt;&gt;"",売分析!$C49&lt;&gt;"TOPX",N(売分析!$BG49)=1),(N(売分析!$BF49)+100)*10000-ROW(),"")</f>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f>IF(AND(分析!$C50&lt;&gt;"",分析!$C50&lt;&gt;"TOPX",N(分析!$BG50)=1),(N(分析!$BF50)+100)*10000-ROW(),"")</f>
      </c>
      <c r="U50"/>
      <c r="V50">
        <f>IF(AND(売分析!$C50&lt;&gt;"",売分析!$C50&lt;&gt;"TOPX",N(売分析!$BG50)=1),(N(売分析!$BF50)+100)*10000-ROW(),"")</f>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f>IF(AND(分析!$C51&lt;&gt;"",分析!$C51&lt;&gt;"TOPX",N(分析!$BG51)=1),(N(分析!$BF51)+100)*10000-ROW(),"")</f>
      </c>
      <c r="U51"/>
      <c r="V51">
        <f>IF(AND(売分析!$C51&lt;&gt;"",売分析!$C51&lt;&gt;"TOPX",N(売分析!$BG51)=1),(N(売分析!$BF51)+100)*10000-ROW(),"")</f>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f>IF(AND(分析!$C52&lt;&gt;"",分析!$C52&lt;&gt;"TOPX",N(分析!$BG52)=1),(N(分析!$BF52)+100)*10000-ROW(),"")</f>
      </c>
      <c r="U52"/>
      <c r="V52">
        <f>IF(AND(売分析!$C52&lt;&gt;"",売分析!$C52&lt;&gt;"TOPX",N(売分析!$BG52)=1),(N(売分析!$BF52)+100)*10000-ROW(),"")</f>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f>IF(AND(分析!$C53&lt;&gt;"",分析!$C53&lt;&gt;"TOPX",N(分析!$BG53)=1),(N(分析!$BF53)+100)*10000-ROW(),"")</f>
      </c>
      <c r="U53"/>
      <c r="V53">
        <f>IF(AND(売分析!$C53&lt;&gt;"",売分析!$C53&lt;&gt;"TOPX",N(売分析!$BG53)=1),(N(売分析!$BF53)+100)*10000-ROW(),"")</f>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f>IF(AND(分析!$C54&lt;&gt;"",分析!$C54&lt;&gt;"TOPX",N(分析!$BG54)=1),(N(分析!$BF54)+100)*10000-ROW(),"")</f>
      </c>
      <c r="U54"/>
      <c r="V54">
        <f>IF(AND(売分析!$C54&lt;&gt;"",売分析!$C54&lt;&gt;"TOPX",N(売分析!$BG54)=1),(N(売分析!$BF54)+100)*10000-ROW(),"")</f>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f>IF(AND(分析!$C55&lt;&gt;"",分析!$C55&lt;&gt;"TOPX",N(分析!$BG55)=1),(N(分析!$BF55)+100)*10000-ROW(),"")</f>
      </c>
      <c r="U55"/>
      <c r="V55">
        <f>IF(AND(売分析!$C55&lt;&gt;"",売分析!$C55&lt;&gt;"TOPX",N(売分析!$BG55)=1),(N(売分析!$BF55)+100)*10000-ROW(),"")</f>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f>IF(AND(分析!$C56&lt;&gt;"",分析!$C56&lt;&gt;"TOPX",N(分析!$BG56)=1),(N(分析!$BF56)+100)*10000-ROW(),"")</f>
      </c>
      <c r="U56"/>
      <c r="V56">
        <f>IF(AND(売分析!$C56&lt;&gt;"",売分析!$C56&lt;&gt;"TOPX",N(売分析!$BG56)=1),(N(売分析!$BF56)+100)*10000-ROW(),"")</f>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f>IF(AND(分析!$C57&lt;&gt;"",分析!$C57&lt;&gt;"TOPX",N(分析!$BG57)=1),(N(分析!$BF57)+100)*10000-ROW(),"")</f>
      </c>
      <c r="U57"/>
      <c r="V57">
        <f>IF(AND(売分析!$C57&lt;&gt;"",売分析!$C57&lt;&gt;"TOPX",N(売分析!$BG57)=1),(N(売分析!$BF57)+100)*10000-ROW(),"")</f>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f>IF(AND(分析!$C58&lt;&gt;"",分析!$C58&lt;&gt;"TOPX",N(分析!$BG58)=1),(N(分析!$BF58)+100)*10000-ROW(),"")</f>
      </c>
      <c r="U58"/>
      <c r="V58">
        <f>IF(AND(売分析!$C58&lt;&gt;"",売分析!$C58&lt;&gt;"TOPX",N(売分析!$BG58)=1),(N(売分析!$BF58)+100)*10000-ROW(),"")</f>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f>IF(AND(分析!$C59&lt;&gt;"",分析!$C59&lt;&gt;"TOPX",N(分析!$BG59)=1),(N(分析!$BF59)+100)*10000-ROW(),"")</f>
      </c>
      <c r="U59"/>
      <c r="V59">
        <f>IF(AND(売分析!$C59&lt;&gt;"",売分析!$C59&lt;&gt;"TOPX",N(売分析!$BG59)=1),(N(売分析!$BF59)+100)*10000-ROW(),"")</f>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f>IF(AND(分析!$C60&lt;&gt;"",分析!$C60&lt;&gt;"TOPX",N(分析!$BG60)=1),(N(分析!$BF60)+100)*10000-ROW(),"")</f>
      </c>
      <c r="U60"/>
      <c r="V60">
        <f>IF(AND(売分析!$C60&lt;&gt;"",売分析!$C60&lt;&gt;"TOPX",N(売分析!$BG60)=1),(N(売分析!$BF60)+100)*10000-ROW(),"")</f>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f>IF(AND(分析!$C61&lt;&gt;"",分析!$C61&lt;&gt;"TOPX",N(分析!$BG61)=1),(N(分析!$BF61)+100)*10000-ROW(),"")</f>
      </c>
      <c r="U61"/>
      <c r="V61">
        <f>IF(AND(売分析!$C61&lt;&gt;"",売分析!$C61&lt;&gt;"TOPX",N(売分析!$BG61)=1),(N(売分析!$BF61)+100)*10000-ROW(),"")</f>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f>IF(AND(分析!$C62&lt;&gt;"",分析!$C62&lt;&gt;"TOPX",N(分析!$BG62)=1),(N(分析!$BF62)+100)*10000-ROW(),"")</f>
      </c>
      <c r="U62"/>
      <c r="V62">
        <f>IF(AND(売分析!$C62&lt;&gt;"",売分析!$C62&lt;&gt;"TOPX",N(売分析!$BG62)=1),(N(売分析!$BF62)+100)*10000-ROW(),"")</f>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f>IF(AND(分析!$C63&lt;&gt;"",分析!$C63&lt;&gt;"TOPX",N(分析!$BG63)=1),(N(分析!$BF63)+100)*10000-ROW(),"")</f>
      </c>
      <c r="U63"/>
      <c r="V63">
        <f>IF(AND(売分析!$C63&lt;&gt;"",売分析!$C63&lt;&gt;"TOPX",N(売分析!$BG63)=1),(N(売分析!$BF63)+100)*10000-ROW(),"")</f>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f>IF(AND(分析!$C64&lt;&gt;"",分析!$C64&lt;&gt;"TOPX",N(分析!$BG64)=1),(N(分析!$BF64)+100)*10000-ROW(),"")</f>
      </c>
      <c r="U64"/>
      <c r="V64">
        <f>IF(AND(売分析!$C64&lt;&gt;"",売分析!$C64&lt;&gt;"TOPX",N(売分析!$BG64)=1),(N(売分析!$BF64)+100)*10000-ROW(),"")</f>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f>IF(AND(分析!$C65&lt;&gt;"",分析!$C65&lt;&gt;"TOPX",N(分析!$BG65)=1),(N(分析!$BF65)+100)*10000-ROW(),"")</f>
      </c>
      <c r="U65"/>
      <c r="V65">
        <f>IF(AND(売分析!$C65&lt;&gt;"",売分析!$C65&lt;&gt;"TOPX",N(売分析!$BG65)=1),(N(売分析!$BF65)+100)*10000-ROW(),"")</f>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f>IF(AND(分析!$C66&lt;&gt;"",分析!$C66&lt;&gt;"TOPX",N(分析!$BG66)=1),(N(分析!$BF66)+100)*10000-ROW(),"")</f>
      </c>
      <c r="U66"/>
      <c r="V66">
        <f>IF(AND(売分析!$C66&lt;&gt;"",売分析!$C66&lt;&gt;"TOPX",N(売分析!$BG66)=1),(N(売分析!$BF66)+100)*10000-ROW(),"")</f>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f>IF(AND(分析!$C67&lt;&gt;"",分析!$C67&lt;&gt;"TOPX",N(分析!$BG67)=1),(N(分析!$BF67)+100)*10000-ROW(),"")</f>
      </c>
      <c r="U67"/>
      <c r="V67">
        <f>IF(AND(売分析!$C67&lt;&gt;"",売分析!$C67&lt;&gt;"TOPX",N(売分析!$BG67)=1),(N(売分析!$BF67)+100)*10000-ROW(),"")</f>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f>IF(AND(分析!$C68&lt;&gt;"",分析!$C68&lt;&gt;"TOPX",N(分析!$BG68)=1),(N(分析!$BF68)+100)*10000-ROW(),"")</f>
      </c>
      <c r="U68"/>
      <c r="V68">
        <f>IF(AND(売分析!$C68&lt;&gt;"",売分析!$C68&lt;&gt;"TOPX",N(売分析!$BG68)=1),(N(売分析!$BF68)+100)*10000-ROW(),"")</f>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f>IF(AND(分析!$C69&lt;&gt;"",分析!$C69&lt;&gt;"TOPX",N(分析!$BG69)=1),(N(分析!$BF69)+100)*10000-ROW(),"")</f>
      </c>
      <c r="U69"/>
      <c r="V69">
        <f>IF(AND(売分析!$C69&lt;&gt;"",売分析!$C69&lt;&gt;"TOPX",N(売分析!$BG69)=1),(N(売分析!$BF69)+100)*10000-ROW(),"")</f>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f>IF(AND(分析!$C70&lt;&gt;"",分析!$C70&lt;&gt;"TOPX",N(分析!$BG70)=1),(N(分析!$BF70)+100)*10000-ROW(),"")</f>
      </c>
      <c r="U70"/>
      <c r="V70">
        <f>IF(AND(売分析!$C70&lt;&gt;"",売分析!$C70&lt;&gt;"TOPX",N(売分析!$BG70)=1),(N(売分析!$BF70)+100)*10000-ROW(),"")</f>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f>IF(AND(分析!$C71&lt;&gt;"",分析!$C71&lt;&gt;"TOPX",N(分析!$BG71)=1),(N(分析!$BF71)+100)*10000-ROW(),"")</f>
      </c>
      <c r="U71"/>
      <c r="V71">
        <f>IF(AND(売分析!$C71&lt;&gt;"",売分析!$C71&lt;&gt;"TOPX",N(売分析!$BG71)=1),(N(売分析!$BF71)+100)*10000-ROW(),"")</f>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f>IF(AND(分析!$C72&lt;&gt;"",分析!$C72&lt;&gt;"TOPX",N(分析!$BG72)=1),(N(分析!$BF72)+100)*10000-ROW(),"")</f>
      </c>
      <c r="U72"/>
      <c r="V72">
        <f>IF(AND(売分析!$C72&lt;&gt;"",売分析!$C72&lt;&gt;"TOPX",N(売分析!$BG72)=1),(N(売分析!$BF72)+100)*10000-ROW(),"")</f>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f>IF(AND(分析!$C73&lt;&gt;"",分析!$C73&lt;&gt;"TOPX",N(分析!$BG73)=1),(N(分析!$BF73)+100)*10000-ROW(),"")</f>
      </c>
      <c r="U73"/>
      <c r="V73">
        <f>IF(AND(売分析!$C73&lt;&gt;"",売分析!$C73&lt;&gt;"TOPX",N(売分析!$BG73)=1),(N(売分析!$BF73)+100)*10000-ROW(),"")</f>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f>IF(AND(分析!$C74&lt;&gt;"",分析!$C74&lt;&gt;"TOPX",N(分析!$BG74)=1),(N(分析!$BF74)+100)*10000-ROW(),"")</f>
      </c>
      <c r="U74"/>
      <c r="V74">
        <f>IF(AND(売分析!$C74&lt;&gt;"",売分析!$C74&lt;&gt;"TOPX",N(売分析!$BG74)=1),(N(売分析!$BF74)+100)*10000-ROW(),"")</f>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f>IF(AND(分析!$C75&lt;&gt;"",分析!$C75&lt;&gt;"TOPX",N(分析!$BG75)=1),(N(分析!$BF75)+100)*10000-ROW(),"")</f>
      </c>
      <c r="U75"/>
      <c r="V75">
        <f>IF(AND(売分析!$C75&lt;&gt;"",売分析!$C75&lt;&gt;"TOPX",N(売分析!$BG75)=1),(N(売分析!$BF75)+100)*10000-ROW(),"")</f>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f>IF(AND(分析!$C76&lt;&gt;"",分析!$C76&lt;&gt;"TOPX",N(分析!$BG76)=1),(N(分析!$BF76)+100)*10000-ROW(),"")</f>
      </c>
      <c r="U76"/>
      <c r="V76">
        <f>IF(AND(売分析!$C76&lt;&gt;"",売分析!$C76&lt;&gt;"TOPX",N(売分析!$BG76)=1),(N(売分析!$BF76)+100)*10000-ROW(),"")</f>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f>IF(AND(分析!$C77&lt;&gt;"",分析!$C77&lt;&gt;"TOPX",N(分析!$BG77)=1),(N(分析!$BF77)+100)*10000-ROW(),"")</f>
      </c>
      <c r="U77"/>
      <c r="V77">
        <f>IF(AND(売分析!$C77&lt;&gt;"",売分析!$C77&lt;&gt;"TOPX",N(売分析!$BG77)=1),(N(売分析!$BF77)+100)*10000-ROW(),"")</f>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f>IF(AND(分析!$C78&lt;&gt;"",分析!$C78&lt;&gt;"TOPX",N(分析!$BG78)=1),(N(分析!$BF78)+100)*10000-ROW(),"")</f>
      </c>
      <c r="U78"/>
      <c r="V78">
        <f>IF(AND(売分析!$C78&lt;&gt;"",売分析!$C78&lt;&gt;"TOPX",N(売分析!$BG78)=1),(N(売分析!$BF78)+100)*10000-ROW(),"")</f>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f>IF(AND(分析!$C79&lt;&gt;"",分析!$C79&lt;&gt;"TOPX",N(分析!$BG79)=1),(N(分析!$BF79)+100)*10000-ROW(),"")</f>
      </c>
      <c r="U79"/>
      <c r="V79">
        <f>IF(AND(売分析!$C79&lt;&gt;"",売分析!$C79&lt;&gt;"TOPX",N(売分析!$BG79)=1),(N(売分析!$BF79)+100)*10000-ROW(),"")</f>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f>IF(AND(分析!$C80&lt;&gt;"",分析!$C80&lt;&gt;"TOPX",N(分析!$BG80)=1),(N(分析!$BF80)+100)*10000-ROW(),"")</f>
      </c>
      <c r="U80"/>
      <c r="V80">
        <f>IF(AND(売分析!$C80&lt;&gt;"",売分析!$C80&lt;&gt;"TOPX",N(売分析!$BG80)=1),(N(売分析!$BF80)+100)*10000-ROW(),"")</f>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f>IF(AND(分析!$C81&lt;&gt;"",分析!$C81&lt;&gt;"TOPX",N(分析!$BG81)=1),(N(分析!$BF81)+100)*10000-ROW(),"")</f>
      </c>
      <c r="U81"/>
      <c r="V81">
        <f>IF(AND(売分析!$C81&lt;&gt;"",売分析!$C81&lt;&gt;"TOPX",N(売分析!$BG81)=1),(N(売分析!$BF81)+100)*10000-ROW(),"")</f>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f>IF(AND(分析!$C82&lt;&gt;"",分析!$C82&lt;&gt;"TOPX",N(分析!$BG82)=1),(N(分析!$BF82)+100)*10000-ROW(),"")</f>
      </c>
      <c r="U82"/>
      <c r="V82">
        <f>IF(AND(売分析!$C82&lt;&gt;"",売分析!$C82&lt;&gt;"TOPX",N(売分析!$BG82)=1),(N(売分析!$BF82)+100)*10000-ROW(),"")</f>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f>IF(AND(分析!$C83&lt;&gt;"",分析!$C83&lt;&gt;"TOPX",N(分析!$BG83)=1),(N(分析!$BF83)+100)*10000-ROW(),"")</f>
      </c>
      <c r="U83"/>
      <c r="V83">
        <f>IF(AND(売分析!$C83&lt;&gt;"",売分析!$C83&lt;&gt;"TOPX",N(売分析!$BG83)=1),(N(売分析!$BF83)+100)*10000-ROW(),"")</f>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f>IF(AND(分析!$C84&lt;&gt;"",分析!$C84&lt;&gt;"TOPX",N(分析!$BG84)=1),(N(分析!$BF84)+100)*10000-ROW(),"")</f>
      </c>
      <c r="U84"/>
      <c r="V84">
        <f>IF(AND(売分析!$C84&lt;&gt;"",売分析!$C84&lt;&gt;"TOPX",N(売分析!$BG84)=1),(N(売分析!$BF84)+100)*10000-ROW(),"")</f>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f>IF(AND(分析!$C85&lt;&gt;"",分析!$C85&lt;&gt;"TOPX",N(分析!$BG85)=1),(N(分析!$BF85)+100)*10000-ROW(),"")</f>
      </c>
      <c r="U85"/>
      <c r="V85">
        <f>IF(AND(売分析!$C85&lt;&gt;"",売分析!$C85&lt;&gt;"TOPX",N(売分析!$BG85)=1),(N(売分析!$BF85)+100)*10000-ROW(),"")</f>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f>IF(AND(分析!$C86&lt;&gt;"",分析!$C86&lt;&gt;"TOPX",N(分析!$BG86)=1),(N(分析!$BF86)+100)*10000-ROW(),"")</f>
      </c>
      <c r="U86"/>
      <c r="V86">
        <f>IF(AND(売分析!$C86&lt;&gt;"",売分析!$C86&lt;&gt;"TOPX",N(売分析!$BG86)=1),(N(売分析!$BF86)+100)*10000-ROW(),"")</f>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f>IF(AND(分析!$C87&lt;&gt;"",分析!$C87&lt;&gt;"TOPX",N(分析!$BG87)=1),(N(分析!$BF87)+100)*10000-ROW(),"")</f>
      </c>
      <c r="U87"/>
      <c r="V87">
        <f>IF(AND(売分析!$C87&lt;&gt;"",売分析!$C87&lt;&gt;"TOPX",N(売分析!$BG87)=1),(N(売分析!$BF87)+100)*10000-ROW(),"")</f>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f>IF(AND(分析!$C88&lt;&gt;"",分析!$C88&lt;&gt;"TOPX",N(分析!$BG88)=1),(N(分析!$BF88)+100)*10000-ROW(),"")</f>
      </c>
      <c r="U88"/>
      <c r="V88">
        <f>IF(AND(売分析!$C88&lt;&gt;"",売分析!$C88&lt;&gt;"TOPX",N(売分析!$BG88)=1),(N(売分析!$BF88)+100)*10000-ROW(),"")</f>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f>IF(AND(分析!$C89&lt;&gt;"",分析!$C89&lt;&gt;"TOPX",N(分析!$BG89)=1),(N(分析!$BF89)+100)*10000-ROW(),"")</f>
      </c>
      <c r="U89"/>
      <c r="V89">
        <f>IF(AND(売分析!$C89&lt;&gt;"",売分析!$C89&lt;&gt;"TOPX",N(売分析!$BG89)=1),(N(売分析!$BF89)+100)*10000-ROW(),"")</f>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f>IF(AND(分析!$C90&lt;&gt;"",分析!$C90&lt;&gt;"TOPX",N(分析!$BG90)=1),(N(分析!$BF90)+100)*10000-ROW(),"")</f>
      </c>
      <c r="U90"/>
      <c r="V90">
        <f>IF(AND(売分析!$C90&lt;&gt;"",売分析!$C90&lt;&gt;"TOPX",N(売分析!$BG90)=1),(N(売分析!$BF90)+100)*10000-ROW(),"")</f>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f>IF(AND(分析!$C91&lt;&gt;"",分析!$C91&lt;&gt;"TOPX",N(分析!$BG91)=1),(N(分析!$BF91)+100)*10000-ROW(),"")</f>
      </c>
      <c r="U91"/>
      <c r="V91">
        <f>IF(AND(売分析!$C91&lt;&gt;"",売分析!$C91&lt;&gt;"TOPX",N(売分析!$BG91)=1),(N(売分析!$BF91)+100)*10000-ROW(),"")</f>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f>IF(AND(分析!$C92&lt;&gt;"",分析!$C92&lt;&gt;"TOPX",N(分析!$BG92)=1),(N(分析!$BF92)+100)*10000-ROW(),"")</f>
      </c>
      <c r="U92"/>
      <c r="V92">
        <f>IF(AND(売分析!$C92&lt;&gt;"",売分析!$C92&lt;&gt;"TOPX",N(売分析!$BG92)=1),(N(売分析!$BF92)+100)*10000-ROW(),"")</f>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f>IF(AND(分析!$C93&lt;&gt;"",分析!$C93&lt;&gt;"TOPX",N(分析!$BG93)=1),(N(分析!$BF93)+100)*10000-ROW(),"")</f>
      </c>
      <c r="U93"/>
      <c r="V93">
        <f>IF(AND(売分析!$C93&lt;&gt;"",売分析!$C93&lt;&gt;"TOPX",N(売分析!$BG93)=1),(N(売分析!$BF93)+100)*10000-ROW(),"")</f>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f>IF(AND(分析!$C94&lt;&gt;"",分析!$C94&lt;&gt;"TOPX",N(分析!$BG94)=1),(N(分析!$BF94)+100)*10000-ROW(),"")</f>
      </c>
      <c r="U94"/>
      <c r="V94">
        <f>IF(AND(売分析!$C94&lt;&gt;"",売分析!$C94&lt;&gt;"TOPX",N(売分析!$BG94)=1),(N(売分析!$BF94)+100)*10000-ROW(),"")</f>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f>IF(AND(分析!$C95&lt;&gt;"",分析!$C95&lt;&gt;"TOPX",N(分析!$BG95)=1),(N(分析!$BF95)+100)*10000-ROW(),"")</f>
      </c>
      <c r="U95"/>
      <c r="V95">
        <f>IF(AND(売分析!$C95&lt;&gt;"",売分析!$C95&lt;&gt;"TOPX",N(売分析!$BG95)=1),(N(売分析!$BF95)+100)*10000-ROW(),"")</f>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f>IF(AND(分析!$C96&lt;&gt;"",分析!$C96&lt;&gt;"TOPX",N(分析!$BG96)=1),(N(分析!$BF96)+100)*10000-ROW(),"")</f>
      </c>
      <c r="U96"/>
      <c r="V96">
        <f>IF(AND(売分析!$C96&lt;&gt;"",売分析!$C96&lt;&gt;"TOPX",N(売分析!$BG96)=1),(N(売分析!$BF96)+100)*10000-ROW(),"")</f>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f>IF(AND(分析!$C97&lt;&gt;"",分析!$C97&lt;&gt;"TOPX",N(分析!$BG97)=1),(N(分析!$BF97)+100)*10000-ROW(),"")</f>
      </c>
      <c r="U97"/>
      <c r="V97">
        <f>IF(AND(売分析!$C97&lt;&gt;"",売分析!$C97&lt;&gt;"TOPX",N(売分析!$BG97)=1),(N(売分析!$BF97)+100)*10000-ROW(),"")</f>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f>IF(AND(分析!$C98&lt;&gt;"",分析!$C98&lt;&gt;"TOPX",N(分析!$BG98)=1),(N(分析!$BF98)+100)*10000-ROW(),"")</f>
      </c>
      <c r="U98"/>
      <c r="V98">
        <f>IF(AND(売分析!$C98&lt;&gt;"",売分析!$C98&lt;&gt;"TOPX",N(売分析!$BG98)=1),(N(売分析!$BF98)+100)*10000-ROW(),"")</f>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f>IF(AND(分析!$C99&lt;&gt;"",分析!$C99&lt;&gt;"TOPX",N(分析!$BG99)=1),(N(分析!$BF99)+100)*10000-ROW(),"")</f>
      </c>
      <c r="U99"/>
      <c r="V99">
        <f>IF(AND(売分析!$C99&lt;&gt;"",売分析!$C99&lt;&gt;"TOPX",N(売分析!$BG99)=1),(N(売分析!$BF99)+100)*10000-ROW(),"")</f>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f>IF(AND(分析!$C100&lt;&gt;"",分析!$C100&lt;&gt;"TOPX",N(分析!$BG100)=1),(N(分析!$BF100)+100)*10000-ROW(),"")</f>
      </c>
      <c r="U100"/>
      <c r="V100">
        <f>IF(AND(売分析!$C100&lt;&gt;"",売分析!$C100&lt;&gt;"TOPX",N(売分析!$BG100)=1),(N(売分析!$BF100)+100)*10000-ROW(),"")</f>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f>IF(AND(分析!$C101&lt;&gt;"",分析!$C101&lt;&gt;"TOPX",N(分析!$BG101)=1),(N(分析!$BF101)+100)*10000-ROW(),"")</f>
      </c>
      <c r="U101"/>
      <c r="V101">
        <f>IF(AND(売分析!$C101&lt;&gt;"",売分析!$C101&lt;&gt;"TOPX",N(売分析!$BG101)=1),(N(売分析!$BF101)+100)*10000-ROW(),"")</f>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f>IF(AND(分析!$C102&lt;&gt;"",分析!$C102&lt;&gt;"TOPX",N(分析!$BG102)=1),(N(分析!$BF102)+100)*10000-ROW(),"")</f>
      </c>
      <c r="U102"/>
      <c r="V102">
        <f>IF(AND(売分析!$C102&lt;&gt;"",売分析!$C102&lt;&gt;"TOPX",N(売分析!$BG102)=1),(N(売分析!$BF102)+100)*10000-ROW(),"")</f>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f>IF(AND(分析!$C103&lt;&gt;"",分析!$C103&lt;&gt;"TOPX",N(分析!$BG103)=1),(N(分析!$BF103)+100)*10000-ROW(),"")</f>
      </c>
      <c r="U103"/>
      <c r="V103">
        <f>IF(AND(売分析!$C103&lt;&gt;"",売分析!$C103&lt;&gt;"TOPX",N(売分析!$BG103)=1),(N(売分析!$BF103)+100)*10000-ROW(),"")</f>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f>IF(AND(分析!$C104&lt;&gt;"",分析!$C104&lt;&gt;"TOPX",N(分析!$BG104)=1),(N(分析!$BF104)+100)*10000-ROW(),"")</f>
      </c>
      <c r="U104"/>
      <c r="V104">
        <f>IF(AND(売分析!$C104&lt;&gt;"",売分析!$C104&lt;&gt;"TOPX",N(売分析!$BG104)=1),(N(売分析!$BF104)+100)*10000-ROW(),"")</f>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f>IF(AND(分析!$C105&lt;&gt;"",分析!$C105&lt;&gt;"TOPX",N(分析!$BG105)=1),(N(分析!$BF105)+100)*10000-ROW(),"")</f>
      </c>
      <c r="U105"/>
      <c r="V105">
        <f>IF(AND(売分析!$C105&lt;&gt;"",売分析!$C105&lt;&gt;"TOPX",N(売分析!$BG105)=1),(N(売分析!$BF105)+100)*10000-ROW(),"")</f>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f>IF(AND(分析!$C106&lt;&gt;"",分析!$C106&lt;&gt;"TOPX",N(分析!$BG106)=1),(N(分析!$BF106)+100)*10000-ROW(),"")</f>
      </c>
      <c r="U106"/>
      <c r="V106">
        <f>IF(AND(売分析!$C106&lt;&gt;"",売分析!$C106&lt;&gt;"TOPX",N(売分析!$BG106)=1),(N(売分析!$BF106)+100)*10000-ROW(),"")</f>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f>IF(AND(分析!$C107&lt;&gt;"",分析!$C107&lt;&gt;"TOPX",N(分析!$BG107)=1),(N(分析!$BF107)+100)*10000-ROW(),"")</f>
      </c>
      <c r="U107"/>
      <c r="V107">
        <f>IF(AND(売分析!$C107&lt;&gt;"",売分析!$C107&lt;&gt;"TOPX",N(売分析!$BG107)=1),(N(売分析!$BF107)+100)*10000-ROW(),"")</f>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f>IF(AND(分析!$C108&lt;&gt;"",分析!$C108&lt;&gt;"TOPX",N(分析!$BG108)=1),(N(分析!$BF108)+100)*10000-ROW(),"")</f>
      </c>
      <c r="U108"/>
      <c r="V108">
        <f>IF(AND(売分析!$C108&lt;&gt;"",売分析!$C108&lt;&gt;"TOPX",N(売分析!$BG108)=1),(N(売分析!$BF108)+100)*10000-ROW(),"")</f>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f>IF(AND(分析!$C109&lt;&gt;"",分析!$C109&lt;&gt;"TOPX",N(分析!$BG109)=1),(N(分析!$BF109)+100)*10000-ROW(),"")</f>
      </c>
      <c r="U109"/>
      <c r="V109">
        <f>IF(AND(売分析!$C109&lt;&gt;"",売分析!$C109&lt;&gt;"TOPX",N(売分析!$BG109)=1),(N(売分析!$BF109)+100)*10000-ROW(),"")</f>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f>IF(AND(分析!$C110&lt;&gt;"",分析!$C110&lt;&gt;"TOPX",N(分析!$BG110)=1),(N(分析!$BF110)+100)*10000-ROW(),"")</f>
      </c>
      <c r="U110"/>
      <c r="V110">
        <f>IF(AND(売分析!$C110&lt;&gt;"",売分析!$C110&lt;&gt;"TOPX",N(売分析!$BG110)=1),(N(売分析!$BF110)+100)*10000-ROW(),"")</f>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f>IF(AND(分析!$C111&lt;&gt;"",分析!$C111&lt;&gt;"TOPX",N(分析!$BG111)=1),(N(分析!$BF111)+100)*10000-ROW(),"")</f>
      </c>
      <c r="U111"/>
      <c r="V111">
        <f>IF(AND(売分析!$C111&lt;&gt;"",売分析!$C111&lt;&gt;"TOPX",N(売分析!$BG111)=1),(N(売分析!$BF111)+100)*10000-ROW(),"")</f>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f>IF(AND(分析!$C112&lt;&gt;"",分析!$C112&lt;&gt;"TOPX",N(分析!$BG112)=1),(N(分析!$BF112)+100)*10000-ROW(),"")</f>
      </c>
      <c r="U112"/>
      <c r="V112">
        <f>IF(AND(売分析!$C112&lt;&gt;"",売分析!$C112&lt;&gt;"TOPX",N(売分析!$BG112)=1),(N(売分析!$BF112)+100)*10000-ROW(),"")</f>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f>IF(AND(分析!$C113&lt;&gt;"",分析!$C113&lt;&gt;"TOPX",N(分析!$BG113)=1),(N(分析!$BF113)+100)*10000-ROW(),"")</f>
      </c>
      <c r="U113"/>
      <c r="V113">
        <f>IF(AND(売分析!$C113&lt;&gt;"",売分析!$C113&lt;&gt;"TOPX",N(売分析!$BG113)=1),(N(売分析!$BF113)+100)*10000-ROW(),"")</f>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f>IF(AND(分析!$C114&lt;&gt;"",分析!$C114&lt;&gt;"TOPX",N(分析!$BG114)=1),(N(分析!$BF114)+100)*10000-ROW(),"")</f>
      </c>
      <c r="U114"/>
      <c r="V114">
        <f>IF(AND(売分析!$C114&lt;&gt;"",売分析!$C114&lt;&gt;"TOPX",N(売分析!$BG114)=1),(N(売分析!$BF114)+100)*10000-ROW(),"")</f>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f>IF(AND(分析!$C115&lt;&gt;"",分析!$C115&lt;&gt;"TOPX",N(分析!$BG115)=1),(N(分析!$BF115)+100)*10000-ROW(),"")</f>
      </c>
      <c r="U115"/>
      <c r="V115">
        <f>IF(AND(売分析!$C115&lt;&gt;"",売分析!$C115&lt;&gt;"TOPX",N(売分析!$BG115)=1),(N(売分析!$BF115)+100)*10000-ROW(),"")</f>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f>IF(AND(分析!$C116&lt;&gt;"",分析!$C116&lt;&gt;"TOPX",N(分析!$BG116)=1),(N(分析!$BF116)+100)*10000-ROW(),"")</f>
      </c>
      <c r="U116"/>
      <c r="V116">
        <f>IF(AND(売分析!$C116&lt;&gt;"",売分析!$C116&lt;&gt;"TOPX",N(売分析!$BG116)=1),(N(売分析!$BF116)+100)*10000-ROW(),"")</f>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f>IF(AND(分析!$C117&lt;&gt;"",分析!$C117&lt;&gt;"TOPX",N(分析!$BG117)=1),(N(分析!$BF117)+100)*10000-ROW(),"")</f>
      </c>
      <c r="U117"/>
      <c r="V117">
        <f>IF(AND(売分析!$C117&lt;&gt;"",売分析!$C117&lt;&gt;"TOPX",N(売分析!$BG117)=1),(N(売分析!$BF117)+100)*10000-ROW(),"")</f>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f>IF(AND(分析!$C118&lt;&gt;"",分析!$C118&lt;&gt;"TOPX",N(分析!$BG118)=1),(N(分析!$BF118)+100)*10000-ROW(),"")</f>
      </c>
      <c r="U118"/>
      <c r="V118">
        <f>IF(AND(売分析!$C118&lt;&gt;"",売分析!$C118&lt;&gt;"TOPX",N(売分析!$BG118)=1),(N(売分析!$BF118)+100)*10000-ROW(),"")</f>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f>IF(AND(分析!$C119&lt;&gt;"",分析!$C119&lt;&gt;"TOPX",N(分析!$BG119)=1),(N(分析!$BF119)+100)*10000-ROW(),"")</f>
      </c>
      <c r="U119"/>
      <c r="V119">
        <f>IF(AND(売分析!$C119&lt;&gt;"",売分析!$C119&lt;&gt;"TOPX",N(売分析!$BG119)=1),(N(売分析!$BF119)+100)*10000-ROW(),"")</f>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f>IF(AND(分析!$C120&lt;&gt;"",分析!$C120&lt;&gt;"TOPX",N(分析!$BG120)=1),(N(分析!$BF120)+100)*10000-ROW(),"")</f>
      </c>
      <c r="U120"/>
      <c r="V120">
        <f>IF(AND(売分析!$C120&lt;&gt;"",売分析!$C120&lt;&gt;"TOPX",N(売分析!$BG120)=1),(N(売分析!$BF120)+100)*10000-ROW(),"")</f>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f>IF(AND(分析!$C121&lt;&gt;"",分析!$C121&lt;&gt;"TOPX",N(分析!$BG121)=1),(N(分析!$BF121)+100)*10000-ROW(),"")</f>
      </c>
      <c r="U121"/>
      <c r="V121">
        <f>IF(AND(売分析!$C121&lt;&gt;"",売分析!$C121&lt;&gt;"TOPX",N(売分析!$BG121)=1),(N(売分析!$BF121)+100)*10000-ROW(),"")</f>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f>IF(AND(分析!$C122&lt;&gt;"",分析!$C122&lt;&gt;"TOPX",N(分析!$BG122)=1),(N(分析!$BF122)+100)*10000-ROW(),"")</f>
      </c>
      <c r="U122"/>
      <c r="V122">
        <f>IF(AND(売分析!$C122&lt;&gt;"",売分析!$C122&lt;&gt;"TOPX",N(売分析!$BG122)=1),(N(売分析!$BF122)+100)*10000-ROW(),"")</f>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f>IF(AND(分析!$C123&lt;&gt;"",分析!$C123&lt;&gt;"TOPX",N(分析!$BG123)=1),(N(分析!$BF123)+100)*10000-ROW(),"")</f>
      </c>
      <c r="U123"/>
      <c r="V123">
        <f>IF(AND(売分析!$C123&lt;&gt;"",売分析!$C123&lt;&gt;"TOPX",N(売分析!$BG123)=1),(N(売分析!$BF123)+100)*10000-ROW(),"")</f>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f>IF(AND(分析!$C124&lt;&gt;"",分析!$C124&lt;&gt;"TOPX",N(分析!$BG124)=1),(N(分析!$BF124)+100)*10000-ROW(),"")</f>
      </c>
      <c r="U124"/>
      <c r="V124">
        <f>IF(AND(売分析!$C124&lt;&gt;"",売分析!$C124&lt;&gt;"TOPX",N(売分析!$BG124)=1),(N(売分析!$BF124)+100)*10000-ROW(),"")</f>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f>IF(AND(分析!$C125&lt;&gt;"",分析!$C125&lt;&gt;"TOPX",N(分析!$BG125)=1),(N(分析!$BF125)+100)*10000-ROW(),"")</f>
      </c>
      <c r="U125"/>
      <c r="V125">
        <f>IF(AND(売分析!$C125&lt;&gt;"",売分析!$C125&lt;&gt;"TOPX",N(売分析!$BG125)=1),(N(売分析!$BF125)+100)*10000-ROW(),"")</f>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f>IF(AND(分析!$C126&lt;&gt;"",分析!$C126&lt;&gt;"TOPX",N(分析!$BG126)=1),(N(分析!$BF126)+100)*10000-ROW(),"")</f>
      </c>
      <c r="U126"/>
      <c r="V126">
        <f>IF(AND(売分析!$C126&lt;&gt;"",売分析!$C126&lt;&gt;"TOPX",N(売分析!$BG126)=1),(N(売分析!$BF126)+100)*10000-ROW(),"")</f>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f>IF(AND(分析!$C127&lt;&gt;"",分析!$C127&lt;&gt;"TOPX",N(分析!$BG127)=1),(N(分析!$BF127)+100)*10000-ROW(),"")</f>
      </c>
      <c r="U127"/>
      <c r="V127">
        <f>IF(AND(売分析!$C127&lt;&gt;"",売分析!$C127&lt;&gt;"TOPX",N(売分析!$BG127)=1),(N(売分析!$BF127)+100)*10000-ROW(),"")</f>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f>IF(AND(分析!$C128&lt;&gt;"",分析!$C128&lt;&gt;"TOPX",N(分析!$BG128)=1),(N(分析!$BF128)+100)*10000-ROW(),"")</f>
      </c>
      <c r="U128"/>
      <c r="V128">
        <f>IF(AND(売分析!$C128&lt;&gt;"",売分析!$C128&lt;&gt;"TOPX",N(売分析!$BG128)=1),(N(売分析!$BF128)+100)*10000-ROW(),"")</f>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f>IF(AND(分析!$C129&lt;&gt;"",分析!$C129&lt;&gt;"TOPX",N(分析!$BG129)=1),(N(分析!$BF129)+100)*10000-ROW(),"")</f>
      </c>
      <c r="U129"/>
      <c r="V129">
        <f>IF(AND(売分析!$C129&lt;&gt;"",売分析!$C129&lt;&gt;"TOPX",N(売分析!$BG129)=1),(N(売分析!$BF129)+100)*10000-ROW(),"")</f>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f>IF(AND(分析!$C130&lt;&gt;"",分析!$C130&lt;&gt;"TOPX",N(分析!$BG130)=1),(N(分析!$BF130)+100)*10000-ROW(),"")</f>
      </c>
      <c r="U130"/>
      <c r="V130">
        <f>IF(AND(売分析!$C130&lt;&gt;"",売分析!$C130&lt;&gt;"TOPX",N(売分析!$BG130)=1),(N(売分析!$BF130)+100)*10000-ROW(),"")</f>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f>IF(AND(分析!$C131&lt;&gt;"",分析!$C131&lt;&gt;"TOPX",N(分析!$BG131)=1),(N(分析!$BF131)+100)*10000-ROW(),"")</f>
      </c>
      <c r="U131"/>
      <c r="V131">
        <f>IF(AND(売分析!$C131&lt;&gt;"",売分析!$C131&lt;&gt;"TOPX",N(売分析!$BG131)=1),(N(売分析!$BF131)+100)*10000-ROW(),"")</f>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f>IF(AND(分析!$C132&lt;&gt;"",分析!$C132&lt;&gt;"TOPX",N(分析!$BG132)=1),(N(分析!$BF132)+100)*10000-ROW(),"")</f>
      </c>
      <c r="U132"/>
      <c r="V132">
        <f>IF(AND(売分析!$C132&lt;&gt;"",売分析!$C132&lt;&gt;"TOPX",N(売分析!$BG132)=1),(N(売分析!$BF132)+100)*10000-ROW(),"")</f>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f>IF(AND(分析!$C133&lt;&gt;"",分析!$C133&lt;&gt;"TOPX",N(分析!$BG133)=1),(N(分析!$BF133)+100)*10000-ROW(),"")</f>
      </c>
      <c r="U133"/>
      <c r="V133">
        <f>IF(AND(売分析!$C133&lt;&gt;"",売分析!$C133&lt;&gt;"TOPX",N(売分析!$BG133)=1),(N(売分析!$BF133)+100)*10000-ROW(),"")</f>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f>IF(AND(分析!$C134&lt;&gt;"",分析!$C134&lt;&gt;"TOPX",N(分析!$BG134)=1),(N(分析!$BF134)+100)*10000-ROW(),"")</f>
      </c>
      <c r="U134"/>
      <c r="V134">
        <f>IF(AND(売分析!$C134&lt;&gt;"",売分析!$C134&lt;&gt;"TOPX",N(売分析!$BG134)=1),(N(売分析!$BF134)+100)*10000-ROW(),"")</f>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f>IF(AND(分析!$C135&lt;&gt;"",分析!$C135&lt;&gt;"TOPX",N(分析!$BG135)=1),(N(分析!$BF135)+100)*10000-ROW(),"")</f>
      </c>
      <c r="U135"/>
      <c r="V135">
        <f>IF(AND(売分析!$C135&lt;&gt;"",売分析!$C135&lt;&gt;"TOPX",N(売分析!$BG135)=1),(N(売分析!$BF135)+100)*10000-ROW(),"")</f>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f>IF(AND(分析!$C136&lt;&gt;"",分析!$C136&lt;&gt;"TOPX",N(分析!$BG136)=1),(N(分析!$BF136)+100)*10000-ROW(),"")</f>
      </c>
      <c r="U136"/>
      <c r="V136">
        <f>IF(AND(売分析!$C136&lt;&gt;"",売分析!$C136&lt;&gt;"TOPX",N(売分析!$BG136)=1),(N(売分析!$BF136)+100)*10000-ROW(),"")</f>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f>IF(AND(分析!$C137&lt;&gt;"",分析!$C137&lt;&gt;"TOPX",N(分析!$BG137)=1),(N(分析!$BF137)+100)*10000-ROW(),"")</f>
      </c>
      <c r="U137"/>
      <c r="V137">
        <f>IF(AND(売分析!$C137&lt;&gt;"",売分析!$C137&lt;&gt;"TOPX",N(売分析!$BG137)=1),(N(売分析!$BF137)+100)*10000-ROW(),"")</f>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f>IF(AND(分析!$C138&lt;&gt;"",分析!$C138&lt;&gt;"TOPX",N(分析!$BG138)=1),(N(分析!$BF138)+100)*10000-ROW(),"")</f>
      </c>
      <c r="U138"/>
      <c r="V138">
        <f>IF(AND(売分析!$C138&lt;&gt;"",売分析!$C138&lt;&gt;"TOPX",N(売分析!$BG138)=1),(N(売分析!$BF138)+100)*10000-ROW(),"")</f>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f>IF(AND(分析!$C139&lt;&gt;"",分析!$C139&lt;&gt;"TOPX",N(分析!$BG139)=1),(N(分析!$BF139)+100)*10000-ROW(),"")</f>
      </c>
      <c r="U139"/>
      <c r="V139">
        <f>IF(AND(売分析!$C139&lt;&gt;"",売分析!$C139&lt;&gt;"TOPX",N(売分析!$BG139)=1),(N(売分析!$BF139)+100)*10000-ROW(),"")</f>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f>IF(AND(分析!$C140&lt;&gt;"",分析!$C140&lt;&gt;"TOPX",N(分析!$BG140)=1),(N(分析!$BF140)+100)*10000-ROW(),"")</f>
      </c>
      <c r="U140"/>
      <c r="V140">
        <f>IF(AND(売分析!$C140&lt;&gt;"",売分析!$C140&lt;&gt;"TOPX",N(売分析!$BG140)=1),(N(売分析!$BF140)+100)*10000-ROW(),"")</f>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f>IF(AND(分析!$C141&lt;&gt;"",分析!$C141&lt;&gt;"TOPX",N(分析!$BG141)=1),(N(分析!$BF141)+100)*10000-ROW(),"")</f>
      </c>
      <c r="U141"/>
      <c r="V141">
        <f>IF(AND(売分析!$C141&lt;&gt;"",売分析!$C141&lt;&gt;"TOPX",N(売分析!$BG141)=1),(N(売分析!$BF141)+100)*10000-ROW(),"")</f>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f>IF(AND(分析!$C142&lt;&gt;"",分析!$C142&lt;&gt;"TOPX",N(分析!$BG142)=1),(N(分析!$BF142)+100)*10000-ROW(),"")</f>
      </c>
      <c r="U142"/>
      <c r="V142">
        <f>IF(AND(売分析!$C142&lt;&gt;"",売分析!$C142&lt;&gt;"TOPX",N(売分析!$BG142)=1),(N(売分析!$BF142)+100)*10000-ROW(),"")</f>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f>IF(AND(分析!$C143&lt;&gt;"",分析!$C143&lt;&gt;"TOPX",N(分析!$BG143)=1),(N(分析!$BF143)+100)*10000-ROW(),"")</f>
      </c>
      <c r="U143"/>
      <c r="V143">
        <f>IF(AND(売分析!$C143&lt;&gt;"",売分析!$C143&lt;&gt;"TOPX",N(売分析!$BG143)=1),(N(売分析!$BF143)+100)*10000-ROW(),"")</f>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IF(AND(分析!$C144&lt;&gt;"",分析!$C144&lt;&gt;"TOPX",N(分析!$BG144)=1),(N(分析!$BF144)+100)*10000-ROW(),"")</f>
      </c>
      <c r="U144"/>
      <c r="V144">
        <f>IF(AND(売分析!$C144&lt;&gt;"",売分析!$C144&lt;&gt;"TOPX",N(売分析!$BG144)=1),(N(売分析!$BF144)+100)*10000-ROW(),"")</f>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f>IF(AND(分析!$C145&lt;&gt;"",分析!$C145&lt;&gt;"TOPX",N(分析!$BG145)=1),(N(分析!$BF145)+100)*10000-ROW(),"")</f>
      </c>
      <c r="U145"/>
      <c r="V145">
        <f>IF(AND(売分析!$C145&lt;&gt;"",売分析!$C145&lt;&gt;"TOPX",N(売分析!$BG145)=1),(N(売分析!$BF145)+100)*10000-ROW(),"")</f>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f>IF(AND(分析!$C146&lt;&gt;"",分析!$C146&lt;&gt;"TOPX",N(分析!$BG146)=1),(N(分析!$BF146)+100)*10000-ROW(),"")</f>
      </c>
      <c r="U146"/>
      <c r="V146">
        <f>IF(AND(売分析!$C146&lt;&gt;"",売分析!$C146&lt;&gt;"TOPX",N(売分析!$BG146)=1),(N(売分析!$BF146)+100)*10000-ROW(),"")</f>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f>IF(AND(分析!$C147&lt;&gt;"",分析!$C147&lt;&gt;"TOPX",N(分析!$BG147)=1),(N(分析!$BF147)+100)*10000-ROW(),"")</f>
      </c>
      <c r="U147"/>
      <c r="V147">
        <f>IF(AND(売分析!$C147&lt;&gt;"",売分析!$C147&lt;&gt;"TOPX",N(売分析!$BG147)=1),(N(売分析!$BF147)+100)*10000-ROW(),"")</f>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f>IF(AND(分析!$C148&lt;&gt;"",分析!$C148&lt;&gt;"TOPX",N(分析!$BG148)=1),(N(分析!$BF148)+100)*10000-ROW(),"")</f>
      </c>
      <c r="U148"/>
      <c r="V148">
        <f>IF(AND(売分析!$C148&lt;&gt;"",売分析!$C148&lt;&gt;"TOPX",N(売分析!$BG148)=1),(N(売分析!$BF148)+100)*10000-ROW(),"")</f>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f>IF(AND(分析!$C149&lt;&gt;"",分析!$C149&lt;&gt;"TOPX",N(分析!$BG149)=1),(N(分析!$BF149)+100)*10000-ROW(),"")</f>
      </c>
      <c r="U149"/>
      <c r="V149">
        <f>IF(AND(売分析!$C149&lt;&gt;"",売分析!$C149&lt;&gt;"TOPX",N(売分析!$BG149)=1),(N(売分析!$BF149)+100)*10000-ROW(),"")</f>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f>IF(AND(分析!$C150&lt;&gt;"",分析!$C150&lt;&gt;"TOPX",N(分析!$BG150)=1),(N(分析!$BF150)+100)*10000-ROW(),"")</f>
      </c>
      <c r="U150"/>
      <c r="V150">
        <f>IF(AND(売分析!$C150&lt;&gt;"",売分析!$C150&lt;&gt;"TOPX",N(売分析!$BG150)=1),(N(売分析!$BF150)+100)*10000-ROW(),"")</f>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f>IF(AND(分析!$C151&lt;&gt;"",分析!$C151&lt;&gt;"TOPX",N(分析!$BG151)=1),(N(分析!$BF151)+100)*10000-ROW(),"")</f>
      </c>
      <c r="U151"/>
      <c r="V151">
        <f>IF(AND(売分析!$C151&lt;&gt;"",売分析!$C151&lt;&gt;"TOPX",N(売分析!$BG151)=1),(N(売分析!$BF151)+100)*10000-ROW(),"")</f>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f>IF(AND(分析!$C152&lt;&gt;"",分析!$C152&lt;&gt;"TOPX",N(分析!$BG152)=1),(N(分析!$BF152)+100)*10000-ROW(),"")</f>
      </c>
      <c r="U152"/>
      <c r="V152">
        <f>IF(AND(売分析!$C152&lt;&gt;"",売分析!$C152&lt;&gt;"TOPX",N(売分析!$BG152)=1),(N(売分析!$BF152)+100)*10000-ROW(),"")</f>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f>IF(AND(分析!$C153&lt;&gt;"",分析!$C153&lt;&gt;"TOPX",N(分析!$BG153)=1),(N(分析!$BF153)+100)*10000-ROW(),"")</f>
      </c>
      <c r="U153"/>
      <c r="V153">
        <f>IF(AND(売分析!$C153&lt;&gt;"",売分析!$C153&lt;&gt;"TOPX",N(売分析!$BG153)=1),(N(売分析!$BF153)+100)*10000-ROW(),"")</f>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f>IF(AND(分析!$C154&lt;&gt;"",分析!$C154&lt;&gt;"TOPX",N(分析!$BG154)=1),(N(分析!$BF154)+100)*10000-ROW(),"")</f>
      </c>
      <c r="U154"/>
      <c r="V154">
        <f>IF(AND(売分析!$C154&lt;&gt;"",売分析!$C154&lt;&gt;"TOPX",N(売分析!$BG154)=1),(N(売分析!$BF154)+100)*10000-ROW(),"")</f>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f>IF(AND(分析!$C155&lt;&gt;"",分析!$C155&lt;&gt;"TOPX",N(分析!$BG155)=1),(N(分析!$BF155)+100)*10000-ROW(),"")</f>
      </c>
      <c r="U155"/>
      <c r="V155">
        <f>IF(AND(売分析!$C155&lt;&gt;"",売分析!$C155&lt;&gt;"TOPX",N(売分析!$BG155)=1),(N(売分析!$BF155)+100)*10000-ROW(),"")</f>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f>IF(AND(分析!$C156&lt;&gt;"",分析!$C156&lt;&gt;"TOPX",N(分析!$BG156)=1),(N(分析!$BF156)+100)*10000-ROW(),"")</f>
      </c>
      <c r="U156"/>
      <c r="V156">
        <f>IF(AND(売分析!$C156&lt;&gt;"",売分析!$C156&lt;&gt;"TOPX",N(売分析!$BG156)=1),(N(売分析!$BF156)+100)*10000-ROW(),"")</f>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f>IF(AND(分析!$C157&lt;&gt;"",分析!$C157&lt;&gt;"TOPX",N(分析!$BG157)=1),(N(分析!$BF157)+100)*10000-ROW(),"")</f>
      </c>
      <c r="U157"/>
      <c r="V157">
        <f>IF(AND(売分析!$C157&lt;&gt;"",売分析!$C157&lt;&gt;"TOPX",N(売分析!$BG157)=1),(N(売分析!$BF157)+100)*10000-ROW(),"")</f>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f>IF(AND(分析!$C158&lt;&gt;"",分析!$C158&lt;&gt;"TOPX",N(分析!$BG158)=1),(N(分析!$BF158)+100)*10000-ROW(),"")</f>
      </c>
      <c r="U158"/>
      <c r="V158">
        <f>IF(AND(売分析!$C158&lt;&gt;"",売分析!$C158&lt;&gt;"TOPX",N(売分析!$BG158)=1),(N(売分析!$BF158)+100)*10000-ROW(),"")</f>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f>IF(AND(分析!$C159&lt;&gt;"",分析!$C159&lt;&gt;"TOPX",N(分析!$BG159)=1),(N(分析!$BF159)+100)*10000-ROW(),"")</f>
      </c>
      <c r="U159"/>
      <c r="V159">
        <f>IF(AND(売分析!$C159&lt;&gt;"",売分析!$C159&lt;&gt;"TOPX",N(売分析!$BG159)=1),(N(売分析!$BF159)+100)*10000-ROW(),"")</f>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f>IF(AND(分析!$C160&lt;&gt;"",分析!$C160&lt;&gt;"TOPX",N(分析!$BG160)=1),(N(分析!$BF160)+100)*10000-ROW(),"")</f>
      </c>
      <c r="U160"/>
      <c r="V160">
        <f>IF(AND(売分析!$C160&lt;&gt;"",売分析!$C160&lt;&gt;"TOPX",N(売分析!$BG160)=1),(N(売分析!$BF160)+100)*10000-ROW(),"")</f>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f>IF(AND(分析!$C161&lt;&gt;"",分析!$C161&lt;&gt;"TOPX",N(分析!$BG161)=1),(N(分析!$BF161)+100)*10000-ROW(),"")</f>
      </c>
      <c r="U161"/>
      <c r="V161">
        <f>IF(AND(売分析!$C161&lt;&gt;"",売分析!$C161&lt;&gt;"TOPX",N(売分析!$BG161)=1),(N(売分析!$BF161)+100)*10000-ROW(),"")</f>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f>IF(AND(分析!$C162&lt;&gt;"",分析!$C162&lt;&gt;"TOPX",N(分析!$BG162)=1),(N(分析!$BF162)+100)*10000-ROW(),"")</f>
      </c>
      <c r="U162"/>
      <c r="V162">
        <f>IF(AND(売分析!$C162&lt;&gt;"",売分析!$C162&lt;&gt;"TOPX",N(売分析!$BG162)=1),(N(売分析!$BF162)+100)*10000-ROW(),"")</f>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f>IF(AND(分析!$C163&lt;&gt;"",分析!$C163&lt;&gt;"TOPX",N(分析!$BG163)=1),(N(分析!$BF163)+100)*10000-ROW(),"")</f>
      </c>
      <c r="U163"/>
      <c r="V163">
        <f>IF(AND(売分析!$C163&lt;&gt;"",売分析!$C163&lt;&gt;"TOPX",N(売分析!$BG163)=1),(N(売分析!$BF163)+100)*10000-ROW(),"")</f>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f>IF(AND(分析!$C164&lt;&gt;"",分析!$C164&lt;&gt;"TOPX",N(分析!$BG164)=1),(N(分析!$BF164)+100)*10000-ROW(),"")</f>
      </c>
      <c r="U164"/>
      <c r="V164">
        <f>IF(AND(売分析!$C164&lt;&gt;"",売分析!$C164&lt;&gt;"TOPX",N(売分析!$BG164)=1),(N(売分析!$BF164)+100)*10000-ROW(),"")</f>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f>IF(AND(分析!$C165&lt;&gt;"",分析!$C165&lt;&gt;"TOPX",N(分析!$BG165)=1),(N(分析!$BF165)+100)*10000-ROW(),"")</f>
      </c>
      <c r="U165"/>
      <c r="V165">
        <f>IF(AND(売分析!$C165&lt;&gt;"",売分析!$C165&lt;&gt;"TOPX",N(売分析!$BG165)=1),(N(売分析!$BF165)+100)*10000-ROW(),"")</f>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f>IF(AND(分析!$C166&lt;&gt;"",分析!$C166&lt;&gt;"TOPX",N(分析!$BG166)=1),(N(分析!$BF166)+100)*10000-ROW(),"")</f>
      </c>
      <c r="U166"/>
      <c r="V166">
        <f>IF(AND(売分析!$C166&lt;&gt;"",売分析!$C166&lt;&gt;"TOPX",N(売分析!$BG166)=1),(N(売分析!$BF166)+100)*10000-ROW(),"")</f>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f>IF(AND(分析!$C167&lt;&gt;"",分析!$C167&lt;&gt;"TOPX",N(分析!$BG167)=1),(N(分析!$BF167)+100)*10000-ROW(),"")</f>
      </c>
      <c r="U167"/>
      <c r="V167">
        <f>IF(AND(売分析!$C167&lt;&gt;"",売分析!$C167&lt;&gt;"TOPX",N(売分析!$BG167)=1),(N(売分析!$BF167)+100)*10000-ROW(),"")</f>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f>IF(AND(分析!$C168&lt;&gt;"",分析!$C168&lt;&gt;"TOPX",N(分析!$BG168)=1),(N(分析!$BF168)+100)*10000-ROW(),"")</f>
      </c>
      <c r="U168"/>
      <c r="V168">
        <f>IF(AND(売分析!$C168&lt;&gt;"",売分析!$C168&lt;&gt;"TOPX",N(売分析!$BG168)=1),(N(売分析!$BF168)+100)*10000-ROW(),"")</f>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f>IF(AND(分析!$C169&lt;&gt;"",分析!$C169&lt;&gt;"TOPX",N(分析!$BG169)=1),(N(分析!$BF169)+100)*10000-ROW(),"")</f>
      </c>
      <c r="U169"/>
      <c r="V169">
        <f>IF(AND(売分析!$C169&lt;&gt;"",売分析!$C169&lt;&gt;"TOPX",N(売分析!$BG169)=1),(N(売分析!$BF169)+100)*10000-ROW(),"")</f>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f>IF(AND(分析!$C170&lt;&gt;"",分析!$C170&lt;&gt;"TOPX",N(分析!$BG170)=1),(N(分析!$BF170)+100)*10000-ROW(),"")</f>
      </c>
      <c r="U170"/>
      <c r="V170">
        <f>IF(AND(売分析!$C170&lt;&gt;"",売分析!$C170&lt;&gt;"TOPX",N(売分析!$BG170)=1),(N(売分析!$BF170)+100)*10000-ROW(),"")</f>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f>IF(AND(分析!$C171&lt;&gt;"",分析!$C171&lt;&gt;"TOPX",N(分析!$BG171)=1),(N(分析!$BF171)+100)*10000-ROW(),"")</f>
      </c>
      <c r="U171"/>
      <c r="V171">
        <f>IF(AND(売分析!$C171&lt;&gt;"",売分析!$C171&lt;&gt;"TOPX",N(売分析!$BG171)=1),(N(売分析!$BF171)+100)*10000-ROW(),"")</f>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f>IF(AND(分析!$C172&lt;&gt;"",分析!$C172&lt;&gt;"TOPX",N(分析!$BG172)=1),(N(分析!$BF172)+100)*10000-ROW(),"")</f>
      </c>
      <c r="U172"/>
      <c r="V172">
        <f>IF(AND(売分析!$C172&lt;&gt;"",売分析!$C172&lt;&gt;"TOPX",N(売分析!$BG172)=1),(N(売分析!$BF172)+100)*10000-ROW(),"")</f>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f>IF(AND(分析!$C173&lt;&gt;"",分析!$C173&lt;&gt;"TOPX",N(分析!$BG173)=1),(N(分析!$BF173)+100)*10000-ROW(),"")</f>
      </c>
      <c r="U173"/>
      <c r="V173">
        <f>IF(AND(売分析!$C173&lt;&gt;"",売分析!$C173&lt;&gt;"TOPX",N(売分析!$BG173)=1),(N(売分析!$BF173)+100)*10000-ROW(),"")</f>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f>IF(AND(分析!$C174&lt;&gt;"",分析!$C174&lt;&gt;"TOPX",N(分析!$BG174)=1),(N(分析!$BF174)+100)*10000-ROW(),"")</f>
      </c>
      <c r="U174"/>
      <c r="V174">
        <f>IF(AND(売分析!$C174&lt;&gt;"",売分析!$C174&lt;&gt;"TOPX",N(売分析!$BG174)=1),(N(売分析!$BF174)+100)*10000-ROW(),"")</f>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IF(AND(分析!$C175&lt;&gt;"",分析!$C175&lt;&gt;"TOPX",N(分析!$BG175)=1),(N(分析!$BF175)+100)*10000-ROW(),"")</f>
      </c>
      <c r="U175"/>
      <c r="V175">
        <f>IF(AND(売分析!$C175&lt;&gt;"",売分析!$C175&lt;&gt;"TOPX",N(売分析!$BG175)=1),(N(売分析!$BF175)+100)*10000-ROW(),"")</f>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f>IF(AND(分析!$C176&lt;&gt;"",分析!$C176&lt;&gt;"TOPX",N(分析!$BG176)=1),(N(分析!$BF176)+100)*10000-ROW(),"")</f>
      </c>
      <c r="U176"/>
      <c r="V176">
        <f>IF(AND(売分析!$C176&lt;&gt;"",売分析!$C176&lt;&gt;"TOPX",N(売分析!$BG176)=1),(N(売分析!$BF176)+100)*10000-ROW(),"")</f>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f>IF(AND(分析!$C177&lt;&gt;"",分析!$C177&lt;&gt;"TOPX",N(分析!$BG177)=1),(N(分析!$BF177)+100)*10000-ROW(),"")</f>
      </c>
      <c r="U177"/>
      <c r="V177">
        <f>IF(AND(売分析!$C177&lt;&gt;"",売分析!$C177&lt;&gt;"TOPX",N(売分析!$BG177)=1),(N(売分析!$BF177)+100)*10000-ROW(),"")</f>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f>IF(AND(分析!$C178&lt;&gt;"",分析!$C178&lt;&gt;"TOPX",N(分析!$BG178)=1),(N(分析!$BF178)+100)*10000-ROW(),"")</f>
      </c>
      <c r="U178"/>
      <c r="V178">
        <f>IF(AND(売分析!$C178&lt;&gt;"",売分析!$C178&lt;&gt;"TOPX",N(売分析!$BG178)=1),(N(売分析!$BF178)+100)*10000-ROW(),"")</f>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f>IF(AND(分析!$C179&lt;&gt;"",分析!$C179&lt;&gt;"TOPX",N(分析!$BG179)=1),(N(分析!$BF179)+100)*10000-ROW(),"")</f>
      </c>
      <c r="U179"/>
      <c r="V179">
        <f>IF(AND(売分析!$C179&lt;&gt;"",売分析!$C179&lt;&gt;"TOPX",N(売分析!$BG179)=1),(N(売分析!$BF179)+100)*10000-ROW(),"")</f>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f>IF(AND(分析!$C180&lt;&gt;"",分析!$C180&lt;&gt;"TOPX",N(分析!$BG180)=1),(N(分析!$BF180)+100)*10000-ROW(),"")</f>
      </c>
      <c r="U180"/>
      <c r="V180">
        <f>IF(AND(売分析!$C180&lt;&gt;"",売分析!$C180&lt;&gt;"TOPX",N(売分析!$BG180)=1),(N(売分析!$BF180)+100)*10000-ROW(),"")</f>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f>IF(AND(分析!$C181&lt;&gt;"",分析!$C181&lt;&gt;"TOPX",N(分析!$BG181)=1),(N(分析!$BF181)+100)*10000-ROW(),"")</f>
      </c>
      <c r="U181"/>
      <c r="V181">
        <f>IF(AND(売分析!$C181&lt;&gt;"",売分析!$C181&lt;&gt;"TOPX",N(売分析!$BG181)=1),(N(売分析!$BF181)+100)*10000-ROW(),"")</f>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f>IF(AND(分析!$C182&lt;&gt;"",分析!$C182&lt;&gt;"TOPX",N(分析!$BG182)=1),(N(分析!$BF182)+100)*10000-ROW(),"")</f>
      </c>
      <c r="U182"/>
      <c r="V182">
        <f>IF(AND(売分析!$C182&lt;&gt;"",売分析!$C182&lt;&gt;"TOPX",N(売分析!$BG182)=1),(N(売分析!$BF182)+100)*10000-ROW(),"")</f>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f>IF(AND(分析!$C183&lt;&gt;"",分析!$C183&lt;&gt;"TOPX",N(分析!$BG183)=1),(N(分析!$BF183)+100)*10000-ROW(),"")</f>
      </c>
      <c r="U183"/>
      <c r="V183">
        <f>IF(AND(売分析!$C183&lt;&gt;"",売分析!$C183&lt;&gt;"TOPX",N(売分析!$BG183)=1),(N(売分析!$BF183)+100)*10000-ROW(),"")</f>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f>IF(AND(分析!$C184&lt;&gt;"",分析!$C184&lt;&gt;"TOPX",N(分析!$BG184)=1),(N(分析!$BF184)+100)*10000-ROW(),"")</f>
      </c>
      <c r="U184"/>
      <c r="V184">
        <f>IF(AND(売分析!$C184&lt;&gt;"",売分析!$C184&lt;&gt;"TOPX",N(売分析!$BG184)=1),(N(売分析!$BF184)+100)*10000-ROW(),"")</f>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f>IF(AND(分析!$C185&lt;&gt;"",分析!$C185&lt;&gt;"TOPX",N(分析!$BG185)=1),(N(分析!$BF185)+100)*10000-ROW(),"")</f>
      </c>
      <c r="U185"/>
      <c r="V185">
        <f>IF(AND(売分析!$C185&lt;&gt;"",売分析!$C185&lt;&gt;"TOPX",N(売分析!$BG185)=1),(N(売分析!$BF185)+100)*10000-ROW(),"")</f>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IF(AND(分析!$C186&lt;&gt;"",分析!$C186&lt;&gt;"TOPX",N(分析!$BG186)=1),(N(分析!$BF186)+100)*10000-ROW(),"")</f>
      </c>
      <c r="U186"/>
      <c r="V186">
        <f>IF(AND(売分析!$C186&lt;&gt;"",売分析!$C186&lt;&gt;"TOPX",N(売分析!$BG186)=1),(N(売分析!$BF186)+100)*10000-ROW(),"")</f>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f>IF(AND(分析!$C187&lt;&gt;"",分析!$C187&lt;&gt;"TOPX",N(分析!$BG187)=1),(N(分析!$BF187)+100)*10000-ROW(),"")</f>
      </c>
      <c r="U187"/>
      <c r="V187">
        <f>IF(AND(売分析!$C187&lt;&gt;"",売分析!$C187&lt;&gt;"TOPX",N(売分析!$BG187)=1),(N(売分析!$BF187)+100)*10000-ROW(),"")</f>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f>IF(AND(分析!$C188&lt;&gt;"",分析!$C188&lt;&gt;"TOPX",N(分析!$BG188)=1),(N(分析!$BF188)+100)*10000-ROW(),"")</f>
      </c>
      <c r="U188"/>
      <c r="V188">
        <f>IF(AND(売分析!$C188&lt;&gt;"",売分析!$C188&lt;&gt;"TOPX",N(売分析!$BG188)=1),(N(売分析!$BF188)+100)*10000-ROW(),"")</f>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f>IF(AND(分析!$C189&lt;&gt;"",分析!$C189&lt;&gt;"TOPX",N(分析!$BG189)=1),(N(分析!$BF189)+100)*10000-ROW(),"")</f>
      </c>
      <c r="U189"/>
      <c r="V189">
        <f>IF(AND(売分析!$C189&lt;&gt;"",売分析!$C189&lt;&gt;"TOPX",N(売分析!$BG189)=1),(N(売分析!$BF189)+100)*10000-ROW(),"")</f>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f>IF(AND(分析!$C190&lt;&gt;"",分析!$C190&lt;&gt;"TOPX",N(分析!$BG190)=1),(N(分析!$BF190)+100)*10000-ROW(),"")</f>
      </c>
      <c r="U190"/>
      <c r="V190">
        <f>IF(AND(売分析!$C190&lt;&gt;"",売分析!$C190&lt;&gt;"TOPX",N(売分析!$BG190)=1),(N(売分析!$BF190)+100)*10000-ROW(),"")</f>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f>IF(AND(分析!$C191&lt;&gt;"",分析!$C191&lt;&gt;"TOPX",N(分析!$BG191)=1),(N(分析!$BF191)+100)*10000-ROW(),"")</f>
      </c>
      <c r="U191"/>
      <c r="V191">
        <f>IF(AND(売分析!$C191&lt;&gt;"",売分析!$C191&lt;&gt;"TOPX",N(売分析!$BG191)=1),(N(売分析!$BF191)+100)*10000-ROW(),"")</f>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f>IF(AND(分析!$C192&lt;&gt;"",分析!$C192&lt;&gt;"TOPX",N(分析!$BG192)=1),(N(分析!$BF192)+100)*10000-ROW(),"")</f>
      </c>
      <c r="U192"/>
      <c r="V192">
        <f>IF(AND(売分析!$C192&lt;&gt;"",売分析!$C192&lt;&gt;"TOPX",N(売分析!$BG192)=1),(N(売分析!$BF192)+100)*10000-ROW(),"")</f>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f>IF(AND(分析!$C193&lt;&gt;"",分析!$C193&lt;&gt;"TOPX",N(分析!$BG193)=1),(N(分析!$BF193)+100)*10000-ROW(),"")</f>
      </c>
      <c r="U193"/>
      <c r="V193">
        <f>IF(AND(売分析!$C193&lt;&gt;"",売分析!$C193&lt;&gt;"TOPX",N(売分析!$BG193)=1),(N(売分析!$BF193)+100)*10000-ROW(),"")</f>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f>IF(AND(分析!$C194&lt;&gt;"",分析!$C194&lt;&gt;"TOPX",N(分析!$BG194)=1),(N(分析!$BF194)+100)*10000-ROW(),"")</f>
      </c>
      <c r="U194"/>
      <c r="V194">
        <f>IF(AND(売分析!$C194&lt;&gt;"",売分析!$C194&lt;&gt;"TOPX",N(売分析!$BG194)=1),(N(売分析!$BF194)+100)*10000-ROW(),"")</f>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f>IF(AND(分析!$C195&lt;&gt;"",分析!$C195&lt;&gt;"TOPX",N(分析!$BG195)=1),(N(分析!$BF195)+100)*10000-ROW(),"")</f>
      </c>
      <c r="U195"/>
      <c r="V195">
        <f>IF(AND(売分析!$C195&lt;&gt;"",売分析!$C195&lt;&gt;"TOPX",N(売分析!$BG195)=1),(N(売分析!$BF195)+100)*10000-ROW(),"")</f>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f>IF(AND(分析!$C196&lt;&gt;"",分析!$C196&lt;&gt;"TOPX",N(分析!$BG196)=1),(N(分析!$BF196)+100)*10000-ROW(),"")</f>
      </c>
      <c r="U196"/>
      <c r="V196">
        <f>IF(AND(売分析!$C196&lt;&gt;"",売分析!$C196&lt;&gt;"TOPX",N(売分析!$BG196)=1),(N(売分析!$BF196)+100)*10000-ROW(),"")</f>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f>IF(AND(分析!$C197&lt;&gt;"",分析!$C197&lt;&gt;"TOPX",N(分析!$BG197)=1),(N(分析!$BF197)+100)*10000-ROW(),"")</f>
      </c>
      <c r="U197"/>
      <c r="V197">
        <f>IF(AND(売分析!$C197&lt;&gt;"",売分析!$C197&lt;&gt;"TOPX",N(売分析!$BG197)=1),(N(売分析!$BF197)+100)*10000-ROW(),"")</f>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f>IF(AND(分析!$C198&lt;&gt;"",分析!$C198&lt;&gt;"TOPX",N(分析!$BG198)=1),(N(分析!$BF198)+100)*10000-ROW(),"")</f>
      </c>
      <c r="U198"/>
      <c r="V198">
        <f>IF(AND(売分析!$C198&lt;&gt;"",売分析!$C198&lt;&gt;"TOPX",N(売分析!$BG198)=1),(N(売分析!$BF198)+100)*10000-ROW(),"")</f>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f>IF(AND(分析!$C199&lt;&gt;"",分析!$C199&lt;&gt;"TOPX",N(分析!$BG199)=1),(N(分析!$BF199)+100)*10000-ROW(),"")</f>
      </c>
      <c r="U199"/>
      <c r="V199">
        <f>IF(AND(売分析!$C199&lt;&gt;"",売分析!$C199&lt;&gt;"TOPX",N(売分析!$BG199)=1),(N(売分析!$BF199)+100)*10000-ROW(),"")</f>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f>IF(AND(分析!$C200&lt;&gt;"",分析!$C200&lt;&gt;"TOPX",N(分析!$BG200)=1),(N(分析!$BF200)+100)*10000-ROW(),"")</f>
      </c>
      <c r="U200"/>
      <c r="V200">
        <f>IF(AND(売分析!$C200&lt;&gt;"",売分析!$C200&lt;&gt;"TOPX",N(売分析!$BG200)=1),(N(売分析!$BF200)+100)*10000-ROW(),"")</f>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f>IF(AND(分析!$C201&lt;&gt;"",分析!$C201&lt;&gt;"TOPX",N(分析!$BG201)=1),(N(分析!$BF201)+100)*10000-ROW(),"")</f>
      </c>
      <c r="U201"/>
      <c r="V201">
        <f>IF(AND(売分析!$C201&lt;&gt;"",売分析!$C201&lt;&gt;"TOPX",N(売分析!$BG201)=1),(N(売分析!$BF201)+100)*10000-ROW(),"")</f>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f>IF(AND(分析!$C202&lt;&gt;"",分析!$C202&lt;&gt;"TOPX",N(分析!$BG202)=1),(N(分析!$BF202)+100)*10000-ROW(),"")</f>
      </c>
      <c r="U202"/>
      <c r="V202">
        <f>IF(AND(売分析!$C202&lt;&gt;"",売分析!$C202&lt;&gt;"TOPX",N(売分析!$BG202)=1),(N(売分析!$BF202)+100)*10000-ROW(),"")</f>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f>IF(AND(分析!$C203&lt;&gt;"",分析!$C203&lt;&gt;"TOPX",N(分析!$BG203)=1),(N(分析!$BF203)+100)*10000-ROW(),"")</f>
      </c>
      <c r="U203"/>
      <c r="V203">
        <f>IF(AND(売分析!$C203&lt;&gt;"",売分析!$C203&lt;&gt;"TOPX",N(売分析!$BG203)=1),(N(売分析!$BF203)+100)*10000-ROW(),"")</f>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f>IF(AND(分析!$C204&lt;&gt;"",分析!$C204&lt;&gt;"TOPX",N(分析!$BG204)=1),(N(分析!$BF204)+100)*10000-ROW(),"")</f>
      </c>
      <c r="U204"/>
      <c r="V204">
        <f>IF(AND(売分析!$C204&lt;&gt;"",売分析!$C204&lt;&gt;"TOPX",N(売分析!$BG204)=1),(N(売分析!$BF204)+100)*10000-ROW(),"")</f>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f>IF(AND(分析!$C205&lt;&gt;"",分析!$C205&lt;&gt;"TOPX",N(分析!$BG205)=1),(N(分析!$BF205)+100)*10000-ROW(),"")</f>
      </c>
      <c r="U205"/>
      <c r="V205">
        <f>IF(AND(売分析!$C205&lt;&gt;"",売分析!$C205&lt;&gt;"TOPX",N(売分析!$BG205)=1),(N(売分析!$BF205)+100)*10000-ROW(),"")</f>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f>IF(AND(分析!$C206&lt;&gt;"",分析!$C206&lt;&gt;"TOPX",N(分析!$BG206)=1),(N(分析!$BF206)+100)*10000-ROW(),"")</f>
      </c>
      <c r="U206"/>
      <c r="V206">
        <f>IF(AND(売分析!$C206&lt;&gt;"",売分析!$C206&lt;&gt;"TOPX",N(売分析!$BG206)=1),(N(売分析!$BF206)+100)*10000-ROW(),"")</f>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c r="BJ1" t="inlineStr">
        <is>
          <t>⚙ V807 抽出ゲート（BK列を変更）</t>
        </is>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57</v>
      </c>
      <c r="AL2" s="368">
        <f>MIN(25,AK2)</f>
        <v>25</v>
      </c>
      <c r="BA2" t="inlineStr">
        <is>
          <t>14日平均レンジ率(%)</t>
        </is>
      </c>
      <c r="BB2" t="inlineStr">
        <is>
          <t>25日レンジ幅(%)</t>
        </is>
      </c>
      <c r="BC2" t="inlineStr">
        <is>
          <t>ギャップ率(%)</t>
        </is>
      </c>
      <c r="BD2" t="inlineStr">
        <is>
          <t>25日高値距離(%)</t>
        </is>
      </c>
      <c r="BE2" t="inlineStr">
        <is>
          <t>日中レンジ率(%)</t>
        </is>
      </c>
      <c r="BF2" t="inlineStr">
        <is>
          <t>V807スコア</t>
        </is>
      </c>
      <c r="BG2" t="inlineStr">
        <is>
          <t>ゲート通過</t>
        </is>
      </c>
      <c r="BH2" t="inlineStr">
        <is>
          <t>判定</t>
        </is>
      </c>
      <c r="BJ2" t="inlineStr">
        <is>
          <t>14日平均レンジ率 上限(%)</t>
        </is>
      </c>
      <c r="BK2">
        <v>2.2</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 t="shared" ref="L3:L66" si="0">IF(AND(E3&lt;&gt;"",K3&lt;&gt;"",K3&lt;&gt;0),(E3-K3)/K3*100,"")</f>
        <v>-1.9762568819756281</v>
      </c>
      <c r="M3" s="166">
        <f>IF(C3&lt;&gt;"",IFERROR(AVERAGE(出来高!E5:H5),""),"")</f>
        <v>303258.5</v>
      </c>
      <c r="N3" s="166">
        <f>IF(C3&lt;&gt;"",IFERROR(AVERAGE(出来高!E5:AB5),""),"")</f>
        <v>276880.70833333331</v>
      </c>
      <c r="O3" s="168">
        <f t="shared" ref="O3:O66" si="1">IF(AND(J3&lt;&gt;"",M3&lt;&gt;"",M3&lt;&gt;0),J3/M3,"")</f>
        <v>0.98836471195366327</v>
      </c>
      <c r="P3" s="163" t="str">
        <f t="shared" ref="P3:P66" si="2">IF(O3="","",IF(O3&gt;=2,"急増↑↑",IF(O3&gt;=1.5,"増加↑",IF(O3&gt;=1,"普通→","減少↓"))))</f>
        <v>減少↓</v>
      </c>
      <c r="Q3" s="163" t="str">
        <f t="shared" ref="Q3:Q66" si="3">IF(E3="","",IF(AND(E3&gt;G3,O3&gt;=1.5),"買い▲",IF(E3&lt;G3,"様子見▼","中立→")))</f>
        <v>中立→</v>
      </c>
      <c r="R3" s="166">
        <f>IF(E3&lt;&gt;"",ROUND(E3*1.05,0),"")</f>
        <v>4259</v>
      </c>
      <c r="S3" s="166">
        <f>IF(E3&lt;&gt;"",ROUND(E3*0.95,0),"")</f>
        <v>3853</v>
      </c>
      <c r="T3" s="163">
        <f>IF(C3="","",IFERROR(IF(O3&gt;=2,3,IF(O3&gt;=1.5,2,IF(O3&gt;=1,1,0)))+IF(E3&gt;G3,1,0)+IF(L3&gt;=-5,1,0)+IF(Q3="買い▲",2,0)+IF(W3&gt;=78,-4,IF(W3&gt;=72,-2,IF(W3&gt;=55,2,IF(W3&gt;=45,1,0))))+IF(X3&gt;0,1,0)+IF(V3="年初来高値更新●",3,IF(V3="高値圏",2,0))+IF(AD3="パーフェクト▲",3,IF(AD3="上昇トレンド▲",2,0))+IF(AE3="25日線押し目●",2,IF(AE3="5日線押し目○",1,0))+IF(P3="急増↑↑",2,IF(P3="増加↑",1,0))+N(AI3),0))</f>
      </c>
      <c r="U3" s="163"/>
      <c r="V3" s="163" t="str">
        <f t="shared" ref="V3:V66" si="5">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IFERROR((終値!$E$5-INDEX(終値!$E$5:$CZ$5,1,$AL$2))/INDEX(終値!$E$5:$CZ$5,1,$AL$2)*100,"")</f>
        <v>1.0179378228534113</v>
      </c>
      <c r="AH3" s="366">
        <f t="shared" ref="AH3:AH66" si="6">IF(OR(AF3="",AG3=""),"",AF3-AG3)</f>
        <v>0</v>
      </c>
      <c r="AI3" s="364">
        <f t="shared" ref="AI3:AI66" si="7">IF(AH3="","",IF(AH3&gt;5,3,IF(AH3&gt;0,1,IF(AH3&gt;-3,-1,-2))))</f>
        <v>-1</v>
      </c>
      <c r="BA3">
        <f>IFERROR((SUM(OFFSET(高値!$E$6,IFERROR(MATCH($C3,銘柄管理!$B$6:$B$305,0),MATCH(TEXT($C3,"0"),銘柄管理!$B$6:$B$305,0))-1,0,1,14))-SUM(OFFSET(安値!$E$6,IFERROR(MATCH($C3,銘柄管理!$B$6:$B$305,0),MATCH(TEXT($C3,"0"),銘柄管理!$B$6:$B$305,0))-1,0,1,14)))/SUM(OFFSET(終値!$E$6,IFERROR(MATCH($C3,銘柄管理!$B$6:$B$305,0),MATCH(TEXT($C3,"0"),銘柄管理!$B$6:$B$305,0))-1,0,1,14))*100,"")</f>
      </c>
      <c r="BB3">
        <f>IFERROR((MAX(OFFSET(高値!$E$6,IFERROR(MATCH($C3,銘柄管理!$B$6:$B$305,0),MATCH(TEXT($C3,"0"),銘柄管理!$B$6:$B$305,0))-1,0,1,25))-MIN(OFFSET(安値!$E$6,IFERROR(MATCH($C3,銘柄管理!$B$6:$B$305,0),MATCH(TEXT($C3,"0"),銘柄管理!$B$6:$B$305,0))-1,0,1,25)))/$E3*100,"")</f>
      </c>
      <c r="BC3">
        <f>IFERROR(($F3-$G3)/$G3*100,"")</f>
      </c>
      <c r="BD3">
        <f>IFERROR(($E3-MAX(OFFSET(高値!$E$6,IFERROR(MATCH($C3,銘柄管理!$B$6:$B$305,0),MATCH(TEXT($C3,"0"),銘柄管理!$B$6:$B$305,0))-1,0,1,25)))/MAX(OFFSET(高値!$E$6,IFERROR(MATCH($C3,銘柄管理!$B$6:$B$305,0),MATCH(TEXT($C3,"0"),銘柄管理!$B$6:$B$305,0))-1,0,1,25))*100,"")</f>
      </c>
      <c r="BE3">
        <f>IFERROR(($H3-$I3)/$F3*100,"")</f>
      </c>
      <c r="BF3">
        <f>IFERROR(-(($BA3-AVERAGE($BA$3:$BA$206))/STDEV($BA$3:$BA$206))-(($BE3-AVERAGE($BE$3:$BE$206))/STDEV($BE$3:$BE$206))-(($BB3-AVERAGE($BB$3:$BB$206))/STDEV($BB$3:$BB$206))-(($Z3-AVERAGE($Z$3:$Z$206))/STDEV($Z$3:$Z$206))-(($BC3-AVERAGE($BC$3:$BC$206))/STDEV($BC$3:$BC$206)),"")</f>
      </c>
      <c r="BG3">
        <f>IF(OR($C3="",$C3="TOPX",$BA3="",$BF3=""),0,IF(AND($BK$10=1,$BA3&lt;=$BK$2,$BB3&lt;=$BK$3,$BC3&lt;=$BK$4,$Z3&lt;=$BK$5,$Z3&gt;=$BK$6,$BD3&gt;=$BK$7,$BE3&lt;=$BK$8),1,0))</f>
      </c>
      <c r="BH3">
        <f>IF($C3="","",IF($BG3=1,"○ゲート通過",IF($BK$10&lt;&gt;1,"― この方向は停止中",IF($BA3&gt;$BK$2,"×値動きが荒い",IF($BB3&gt;$BK$3,"×レンジが広い",IF($BC3&gt;$BK$4,"×窓を開けて上昇",IF($Z3&gt;$BK$5,"×前日に急騰",IF($Z3&lt;$BK$6,"×前日に急落",IF($BD3&lt;$BK$7,"×高値から離れすぎ",IF($BE3&gt;$BK$8,"×当日の値幅が大きい","×")))))))))</f>
      </c>
      <c r="BJ3" t="inlineStr">
        <is>
          <t>25日レンジ幅 上限(%)</t>
        </is>
      </c>
      <c r="BK3">
        <v>9.0</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 t="shared" si="0"/>
        <v>-16.813186813186814</v>
      </c>
      <c r="M4" s="166">
        <f>IF(C4&lt;&gt;"",IFERROR(AVERAGE(出来高!E189:I189),""),"")</f>
        <v>2093260</v>
      </c>
      <c r="N4" s="166">
        <f>IF(C4&lt;&gt;"",IFERROR(AVERAGE(出来高!E189:AC189),""),"")</f>
        <v>1468836</v>
      </c>
      <c r="O4" s="168">
        <f t="shared" si="1"/>
        <v>1.1747704537420101</v>
      </c>
      <c r="P4" s="163" t="str">
        <f t="shared" si="2"/>
        <v>普通→</v>
      </c>
      <c r="Q4" s="163" t="str">
        <f t="shared" si="3"/>
        <v>中立→</v>
      </c>
      <c r="R4" s="166">
        <f t="shared" ref="R4:R67" si="8">IF(E4&lt;&gt;"",ROUND(E4*1.08,0),"")</f>
        <v>2044</v>
      </c>
      <c r="S4" s="166">
        <f t="shared" ref="S4:S67" si="9">IF(E4&lt;&gt;"",ROUND(E4*0.96,0),"")</f>
        <v>1817</v>
      </c>
      <c r="T4" s="163">
        <f>IF(C4="","",IFERROR(IF(O4&gt;=2,3,IF(O4&gt;=1.5,2,IF(O4&gt;=1,1,0)))+IF(E4&gt;G4,1,0)+IF(L4&gt;=-5,1,0)+IF(Q4="買い▲",2,0)+IF(W4&gt;=78,-4,IF(W4&gt;=72,-2,IF(W4&gt;=55,2,IF(W4&gt;=45,1,0))))+IF(X4&gt;0,1,0)+IF(V4="年初来高値更新●",3,IF(V4="高値圏",2,0))+IF(AD4="パーフェクト▲",3,IF(AD4="上昇トレンド▲",2,0))+IF(AE4="25日線押し目●",2,IF(AE4="5日線押し目○",1,0))+IF(P4="急増↑↑",2,IF(P4="増加↑",1,0))+N(AI4),0))</f>
      </c>
      <c r="U4" s="163" t="str">
        <f t="shared" ref="U4:U67" si="10">IF(T4="","",IF(AND(T4&gt;=3,O4&gt;=1.5),"有効",IF(T4&gt;=3,"要確認","除外")))</f>
        <v>要確認</v>
      </c>
      <c r="V4" s="163" t="str">
        <f t="shared" si="5"/>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 t="shared" ref="Z4:Z67" si="11">IF(AND(E4&lt;&gt;"",G4&lt;&gt;"",G4&lt;&gt;0),(E4-G4)/G4*100,"")</f>
        <v>0.66489361702127658</v>
      </c>
      <c r="AA4" s="163" t="str">
        <f t="shared" ref="AA4:AA67" si="12">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 t="shared" ref="AD4:AD34" si="13">IF(OR(C4="",AB4="",AC4=""),"",IF(AND(E4&gt;AB4,AB4&gt;AC4),"パーフェクト▲",IF(E4&gt;AC4,"上昇トレンド▲",IF(AND(E4&lt;AB4,AB4&lt;AC4),"下降トレンド▼","もみ合い→"))))</f>
        <v>下降トレンド▼</v>
      </c>
      <c r="AE4" s="404" t="str">
        <f t="shared" ref="AE4:AE34" si="14">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IFERROR((終値!$E$5-INDEX(終値!$E$5:$CZ$5,1,$AL$2))/INDEX(終値!$E$5:$CZ$5,1,$AL$2)*100,"")</f>
        <v>1.0179378228534113</v>
      </c>
      <c r="AH4" s="366">
        <f t="shared" si="6"/>
        <v>1.8632798993537099</v>
      </c>
      <c r="AI4" s="364">
        <f t="shared" si="7"/>
        <v>1</v>
      </c>
      <c r="BA4">
        <f>IFERROR((SUM(OFFSET(高値!$E$6,IFERROR(MATCH($C4,銘柄管理!$B$6:$B$305,0),MATCH(TEXT($C4,"0"),銘柄管理!$B$6:$B$305,0))-1,0,1,14))-SUM(OFFSET(安値!$E$6,IFERROR(MATCH($C4,銘柄管理!$B$6:$B$305,0),MATCH(TEXT($C4,"0"),銘柄管理!$B$6:$B$305,0))-1,0,1,14)))/SUM(OFFSET(終値!$E$6,IFERROR(MATCH($C4,銘柄管理!$B$6:$B$305,0),MATCH(TEXT($C4,"0"),銘柄管理!$B$6:$B$305,0))-1,0,1,14))*100,"")</f>
      </c>
      <c r="BB4">
        <f>IFERROR((MAX(OFFSET(高値!$E$6,IFERROR(MATCH($C4,銘柄管理!$B$6:$B$305,0),MATCH(TEXT($C4,"0"),銘柄管理!$B$6:$B$305,0))-1,0,1,25))-MIN(OFFSET(安値!$E$6,IFERROR(MATCH($C4,銘柄管理!$B$6:$B$305,0),MATCH(TEXT($C4,"0"),銘柄管理!$B$6:$B$305,0))-1,0,1,25)))/$E4*100,"")</f>
      </c>
      <c r="BC4">
        <f>IFERROR(($F4-$G4)/$G4*100,"")</f>
      </c>
      <c r="BD4">
        <f>IFERROR(($E4-MAX(OFFSET(高値!$E$6,IFERROR(MATCH($C4,銘柄管理!$B$6:$B$305,0),MATCH(TEXT($C4,"0"),銘柄管理!$B$6:$B$305,0))-1,0,1,25)))/MAX(OFFSET(高値!$E$6,IFERROR(MATCH($C4,銘柄管理!$B$6:$B$305,0),MATCH(TEXT($C4,"0"),銘柄管理!$B$6:$B$305,0))-1,0,1,25))*100,"")</f>
      </c>
      <c r="BE4">
        <f>IFERROR(($H4-$I4)/$F4*100,"")</f>
      </c>
      <c r="BF4">
        <f>IFERROR(-(($BA4-AVERAGE($BA$3:$BA$206))/STDEV($BA$3:$BA$206))-(($BE4-AVERAGE($BE$3:$BE$206))/STDEV($BE$3:$BE$206))-(($BB4-AVERAGE($BB$3:$BB$206))/STDEV($BB$3:$BB$206))-(($Z4-AVERAGE($Z$3:$Z$206))/STDEV($Z$3:$Z$206))-(($BC4-AVERAGE($BC$3:$BC$206))/STDEV($BC$3:$BC$206)),"")</f>
      </c>
      <c r="BG4">
        <f>IF(OR($C4="",$C4="TOPX",$BA4="",$BF4=""),0,IF(AND($BK$10=1,$BA4&lt;=$BK$2,$BB4&lt;=$BK$3,$BC4&lt;=$BK$4,$Z4&lt;=$BK$5,$Z4&gt;=$BK$6,$BD4&gt;=$BK$7,$BE4&lt;=$BK$8),1,0))</f>
      </c>
      <c r="BH4">
        <f>IF($C4="","",IF($BG4=1,"○ゲート通過",IF($BK$10&lt;&gt;1,"― この方向は停止中",IF($BA4&gt;$BK$2,"×値動きが荒い",IF($BB4&gt;$BK$3,"×レンジが広い",IF($BC4&gt;$BK$4,"×窓を開けて上昇",IF($Z4&gt;$BK$5,"×前日に急騰",IF($Z4&lt;$BK$6,"×前日に急落",IF($BD4&lt;$BK$7,"×高値から離れすぎ",IF($BE4&gt;$BK$8,"×当日の値幅が大きい","×")))))))))</f>
      </c>
      <c r="BJ4" t="inlineStr">
        <is>
          <t>ギャップ率 上限(%)</t>
        </is>
      </c>
      <c r="BK4">
        <v>0.5</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 t="shared" si="0"/>
        <v>-2.6147426981919333</v>
      </c>
      <c r="M5" s="166">
        <f>IF(C5&lt;&gt;"",IFERROR(AVERAGE(出来高!E190:I190),""),"")</f>
        <v>2128920</v>
      </c>
      <c r="N5" s="166">
        <f>IF(C5&lt;&gt;"",IFERROR(AVERAGE(出来高!E190:AC190),""),"")</f>
        <v>2316672</v>
      </c>
      <c r="O5" s="168">
        <f t="shared" si="1"/>
        <v>0.88716344437555195</v>
      </c>
      <c r="P5" s="163" t="str">
        <f t="shared" si="2"/>
        <v>減少↓</v>
      </c>
      <c r="Q5" s="163" t="str">
        <f t="shared" si="3"/>
        <v>中立→</v>
      </c>
      <c r="R5" s="166">
        <f t="shared" si="8"/>
        <v>1891</v>
      </c>
      <c r="S5" s="166">
        <f t="shared" si="9"/>
        <v>1680</v>
      </c>
      <c r="T5" s="163">
        <f>IF(C5="","",IFERROR(IF(O5&gt;=2,3,IF(O5&gt;=1.5,2,IF(O5&gt;=1,1,0)))+IF(E5&gt;G5,1,0)+IF(L5&gt;=-5,1,0)+IF(Q5="買い▲",2,0)+IF(W5&gt;=78,-4,IF(W5&gt;=72,-2,IF(W5&gt;=55,2,IF(W5&gt;=45,1,0))))+IF(X5&gt;0,1,0)+IF(V5="年初来高値更新●",3,IF(V5="高値圏",2,0))+IF(AD5="パーフェクト▲",3,IF(AD5="上昇トレンド▲",2,0))+IF(AE5="25日線押し目●",2,IF(AE5="5日線押し目○",1,0))+IF(P5="急増↑↑",2,IF(P5="増加↑",1,0))+N(AI5),0))</f>
      </c>
      <c r="U5" s="163" t="str">
        <f t="shared" si="10"/>
        <v>要確認</v>
      </c>
      <c r="V5" s="163" t="str">
        <f t="shared" si="5"/>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 t="shared" si="11"/>
        <v>1.7141196978500872</v>
      </c>
      <c r="AA5" s="163" t="str">
        <f t="shared" si="12"/>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 t="shared" si="13"/>
        <v>上昇トレンド▲</v>
      </c>
      <c r="AE5" s="406" t="str">
        <f t="shared" si="14"/>
        <v>25日押し目★</v>
      </c>
      <c r="AF5" s="365">
        <f t="array" ref="AF5">IF(C5="","",IFERROR((INDEX(終値!$E:$E,MATCH(TEXT(C5,"0"),終値!$A:$A,0))-INDEX(終値!$E:$CZ,MATCH(TEXT(C5,"0"),終値!$A:$A,0),$AL$2))/INDEX(終値!$E:$CZ,MATCH(TEXT(C5,"0"),終値!$A:$A,0),$AL$2)*100,""))</f>
        <v>15.240289664252799</v>
      </c>
      <c r="AG5" s="365">
        <f t="array" ref="AG5">IFERROR((終値!$E$5-INDEX(終値!$E$5:$CZ$5,1,$AL$2))/INDEX(終値!$E$5:$CZ$5,1,$AL$2)*100,"")</f>
        <v>1.0179378228534113</v>
      </c>
      <c r="AH5" s="366">
        <f t="shared" si="6"/>
        <v>14.222351841399387</v>
      </c>
      <c r="AI5" s="364">
        <f t="shared" si="7"/>
        <v>3</v>
      </c>
      <c r="BA5">
        <f>IFERROR((SUM(OFFSET(高値!$E$6,IFERROR(MATCH($C5,銘柄管理!$B$6:$B$305,0),MATCH(TEXT($C5,"0"),銘柄管理!$B$6:$B$305,0))-1,0,1,14))-SUM(OFFSET(安値!$E$6,IFERROR(MATCH($C5,銘柄管理!$B$6:$B$305,0),MATCH(TEXT($C5,"0"),銘柄管理!$B$6:$B$305,0))-1,0,1,14)))/SUM(OFFSET(終値!$E$6,IFERROR(MATCH($C5,銘柄管理!$B$6:$B$305,0),MATCH(TEXT($C5,"0"),銘柄管理!$B$6:$B$305,0))-1,0,1,14))*100,"")</f>
      </c>
      <c r="BB5">
        <f>IFERROR((MAX(OFFSET(高値!$E$6,IFERROR(MATCH($C5,銘柄管理!$B$6:$B$305,0),MATCH(TEXT($C5,"0"),銘柄管理!$B$6:$B$305,0))-1,0,1,25))-MIN(OFFSET(安値!$E$6,IFERROR(MATCH($C5,銘柄管理!$B$6:$B$305,0),MATCH(TEXT($C5,"0"),銘柄管理!$B$6:$B$305,0))-1,0,1,25)))/$E5*100,"")</f>
      </c>
      <c r="BC5">
        <f>IFERROR(($F5-$G5)/$G5*100,"")</f>
      </c>
      <c r="BD5">
        <f>IFERROR(($E5-MAX(OFFSET(高値!$E$6,IFERROR(MATCH($C5,銘柄管理!$B$6:$B$305,0),MATCH(TEXT($C5,"0"),銘柄管理!$B$6:$B$305,0))-1,0,1,25)))/MAX(OFFSET(高値!$E$6,IFERROR(MATCH($C5,銘柄管理!$B$6:$B$305,0),MATCH(TEXT($C5,"0"),銘柄管理!$B$6:$B$305,0))-1,0,1,25))*100,"")</f>
      </c>
      <c r="BE5">
        <f>IFERROR(($H5-$I5)/$F5*100,"")</f>
      </c>
      <c r="BF5">
        <f>IFERROR(-(($BA5-AVERAGE($BA$3:$BA$206))/STDEV($BA$3:$BA$206))-(($BE5-AVERAGE($BE$3:$BE$206))/STDEV($BE$3:$BE$206))-(($BB5-AVERAGE($BB$3:$BB$206))/STDEV($BB$3:$BB$206))-(($Z5-AVERAGE($Z$3:$Z$206))/STDEV($Z$3:$Z$206))-(($BC5-AVERAGE($BC$3:$BC$206))/STDEV($BC$3:$BC$206)),"")</f>
      </c>
      <c r="BG5">
        <f>IF(OR($C5="",$C5="TOPX",$BA5="",$BF5=""),0,IF(AND($BK$10=1,$BA5&lt;=$BK$2,$BB5&lt;=$BK$3,$BC5&lt;=$BK$4,$Z5&lt;=$BK$5,$Z5&gt;=$BK$6,$BD5&gt;=$BK$7,$BE5&lt;=$BK$8),1,0))</f>
      </c>
      <c r="BH5">
        <f>IF($C5="","",IF($BG5=1,"○ゲート通過",IF($BK$10&lt;&gt;1,"― この方向は停止中",IF($BA5&gt;$BK$2,"×値動きが荒い",IF($BB5&gt;$BK$3,"×レンジが広い",IF($BC5&gt;$BK$4,"×窓を開けて上昇",IF($Z5&gt;$BK$5,"×前日に急騰",IF($Z5&lt;$BK$6,"×前日に急落",IF($BD5&lt;$BK$7,"×高値から離れすぎ",IF($BE5&gt;$BK$8,"×当日の値幅が大きい","×")))))))))</f>
      </c>
      <c r="BJ5" t="inlineStr">
        <is>
          <t>前日比 上限(%)</t>
        </is>
      </c>
      <c r="BK5">
        <v>1.5</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 t="shared" si="0"/>
        <v>-10.184667039731393</v>
      </c>
      <c r="M6" s="166">
        <f>IF(C6&lt;&gt;"",IFERROR(AVERAGE(出来高!E191:I191),""),"")</f>
        <v>23540</v>
      </c>
      <c r="N6" s="166">
        <f>IF(C6&lt;&gt;"",IFERROR(AVERAGE(出来高!E191:AC191),""),"")</f>
        <v>23432</v>
      </c>
      <c r="O6" s="168">
        <f t="shared" si="1"/>
        <v>1.1682242990654206</v>
      </c>
      <c r="P6" s="163" t="str">
        <f t="shared" si="2"/>
        <v>普通→</v>
      </c>
      <c r="Q6" s="163" t="str">
        <f t="shared" si="3"/>
        <v>中立→</v>
      </c>
      <c r="R6" s="166">
        <f t="shared" si="8"/>
        <v>1733</v>
      </c>
      <c r="S6" s="166">
        <f t="shared" si="9"/>
        <v>1541</v>
      </c>
      <c r="T6" s="163">
        <f>IF(C6="","",IFERROR(IF(O6&gt;=2,3,IF(O6&gt;=1.5,2,IF(O6&gt;=1,1,0)))+IF(E6&gt;G6,1,0)+IF(L6&gt;=-5,1,0)+IF(Q6="買い▲",2,0)+IF(W6&gt;=78,-4,IF(W6&gt;=72,-2,IF(W6&gt;=55,2,IF(W6&gt;=45,1,0))))+IF(X6&gt;0,1,0)+IF(V6="年初来高値更新●",3,IF(V6="高値圏",2,0))+IF(AD6="パーフェクト▲",3,IF(AD6="上昇トレンド▲",2,0))+IF(AE6="25日線押し目●",2,IF(AE6="5日線押し目○",1,0))+IF(P6="急増↑↑",2,IF(P6="増加↑",1,0))+N(AI6),0))</f>
      </c>
      <c r="U6" s="163" t="str">
        <f t="shared" si="10"/>
        <v>要確認</v>
      </c>
      <c r="V6" s="163" t="str">
        <f t="shared" si="5"/>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 t="shared" si="11"/>
        <v>1.1342155009451798</v>
      </c>
      <c r="AA6" s="163" t="str">
        <f t="shared" si="12"/>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 t="shared" si="13"/>
        <v>もみ合い→</v>
      </c>
      <c r="AE6" s="404" t="str">
        <f t="shared" si="14"/>
        <v>なし</v>
      </c>
      <c r="AF6" s="365">
        <f t="array" ref="AF6">IF(C6="","",IFERROR((INDEX(終値!$E:$E,MATCH(TEXT(C6,"0"),終値!$A:$A,0))-INDEX(終値!$E:$CZ,MATCH(TEXT(C6,"0"),終値!$A:$A,0),$AL$2))/INDEX(終値!$E:$CZ,MATCH(TEXT(C6,"0"),終値!$A:$A,0),$AL$2)*100,""))</f>
        <v>5.6616194865042786</v>
      </c>
      <c r="AG6" s="365">
        <f t="array" ref="AG6">IFERROR((終値!$E$5-INDEX(終値!$E$5:$CZ$5,1,$AL$2))/INDEX(終値!$E$5:$CZ$5,1,$AL$2)*100,"")</f>
        <v>1.0179378228534113</v>
      </c>
      <c r="AH6" s="366">
        <f t="shared" si="6"/>
        <v>4.6436816636508675</v>
      </c>
      <c r="AI6" s="364">
        <f t="shared" si="7"/>
        <v>1</v>
      </c>
      <c r="BA6">
        <f>IFERROR((SUM(OFFSET(高値!$E$6,IFERROR(MATCH($C6,銘柄管理!$B$6:$B$305,0),MATCH(TEXT($C6,"0"),銘柄管理!$B$6:$B$305,0))-1,0,1,14))-SUM(OFFSET(安値!$E$6,IFERROR(MATCH($C6,銘柄管理!$B$6:$B$305,0),MATCH(TEXT($C6,"0"),銘柄管理!$B$6:$B$305,0))-1,0,1,14)))/SUM(OFFSET(終値!$E$6,IFERROR(MATCH($C6,銘柄管理!$B$6:$B$305,0),MATCH(TEXT($C6,"0"),銘柄管理!$B$6:$B$305,0))-1,0,1,14))*100,"")</f>
      </c>
      <c r="BB6">
        <f>IFERROR((MAX(OFFSET(高値!$E$6,IFERROR(MATCH($C6,銘柄管理!$B$6:$B$305,0),MATCH(TEXT($C6,"0"),銘柄管理!$B$6:$B$305,0))-1,0,1,25))-MIN(OFFSET(安値!$E$6,IFERROR(MATCH($C6,銘柄管理!$B$6:$B$305,0),MATCH(TEXT($C6,"0"),銘柄管理!$B$6:$B$305,0))-1,0,1,25)))/$E6*100,"")</f>
      </c>
      <c r="BC6">
        <f>IFERROR(($F6-$G6)/$G6*100,"")</f>
      </c>
      <c r="BD6">
        <f>IFERROR(($E6-MAX(OFFSET(高値!$E$6,IFERROR(MATCH($C6,銘柄管理!$B$6:$B$305,0),MATCH(TEXT($C6,"0"),銘柄管理!$B$6:$B$305,0))-1,0,1,25)))/MAX(OFFSET(高値!$E$6,IFERROR(MATCH($C6,銘柄管理!$B$6:$B$305,0),MATCH(TEXT($C6,"0"),銘柄管理!$B$6:$B$305,0))-1,0,1,25))*100,"")</f>
      </c>
      <c r="BE6">
        <f>IFERROR(($H6-$I6)/$F6*100,"")</f>
      </c>
      <c r="BF6">
        <f>IFERROR(-(($BA6-AVERAGE($BA$3:$BA$206))/STDEV($BA$3:$BA$206))-(($BE6-AVERAGE($BE$3:$BE$206))/STDEV($BE$3:$BE$206))-(($BB6-AVERAGE($BB$3:$BB$206))/STDEV($BB$3:$BB$206))-(($Z6-AVERAGE($Z$3:$Z$206))/STDEV($Z$3:$Z$206))-(($BC6-AVERAGE($BC$3:$BC$206))/STDEV($BC$3:$BC$206)),"")</f>
      </c>
      <c r="BG6">
        <f>IF(OR($C6="",$C6="TOPX",$BA6="",$BF6=""),0,IF(AND($BK$10=1,$BA6&lt;=$BK$2,$BB6&lt;=$BK$3,$BC6&lt;=$BK$4,$Z6&lt;=$BK$5,$Z6&gt;=$BK$6,$BD6&gt;=$BK$7,$BE6&lt;=$BK$8),1,0))</f>
      </c>
      <c r="BH6">
        <f>IF($C6="","",IF($BG6=1,"○ゲート通過",IF($BK$10&lt;&gt;1,"― この方向は停止中",IF($BA6&gt;$BK$2,"×値動きが荒い",IF($BB6&gt;$BK$3,"×レンジが広い",IF($BC6&gt;$BK$4,"×窓を開けて上昇",IF($Z6&gt;$BK$5,"×前日に急騰",IF($Z6&lt;$BK$6,"×前日に急落",IF($BD6&lt;$BK$7,"×高値から離れすぎ",IF($BE6&gt;$BK$8,"×当日の値幅が大きい","×")))))))))</f>
      </c>
      <c r="BJ6" t="inlineStr">
        <is>
          <t>前日比 下限(%)</t>
        </is>
      </c>
      <c r="BK6">
        <v>-3.0</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 t="shared" si="0"/>
        <v>-26.620689655172413</v>
      </c>
      <c r="M7" s="166">
        <f>IF(C7&lt;&gt;"",IFERROR(AVERAGE(出来高!E142:I142),""),"")</f>
        <v>10034380</v>
      </c>
      <c r="N7" s="166">
        <f>IF(C7&lt;&gt;"",IFERROR(AVERAGE(出来高!E142:AC142),""),"")</f>
        <v>7121316</v>
      </c>
      <c r="O7" s="168">
        <f t="shared" si="1"/>
        <v>0.68583210920854099</v>
      </c>
      <c r="P7" s="163" t="str">
        <f t="shared" si="2"/>
        <v>減少↓</v>
      </c>
      <c r="Q7" s="163" t="str">
        <f t="shared" si="3"/>
        <v>中立→</v>
      </c>
      <c r="R7" s="166">
        <f t="shared" si="8"/>
        <v>2873</v>
      </c>
      <c r="S7" s="166">
        <f t="shared" si="9"/>
        <v>2554</v>
      </c>
      <c r="T7" s="163">
        <f>IF(C7="","",IFERROR(IF(O7&gt;=2,3,IF(O7&gt;=1.5,2,IF(O7&gt;=1,1,0)))+IF(E7&gt;G7,1,0)+IF(L7&gt;=-5,1,0)+IF(Q7="買い▲",2,0)+IF(W7&gt;=78,-4,IF(W7&gt;=72,-2,IF(W7&gt;=55,2,IF(W7&gt;=45,1,0))))+IF(X7&gt;0,1,0)+IF(V7="年初来高値更新●",3,IF(V7="高値圏",2,0))+IF(AD7="パーフェクト▲",3,IF(AD7="上昇トレンド▲",2,0))+IF(AE7="25日線押し目●",2,IF(AE7="5日線押し目○",1,0))+IF(P7="急増↑↑",2,IF(P7="増加↑",1,0))+N(AI7),0))</f>
      </c>
      <c r="U7" s="163" t="str">
        <f t="shared" si="10"/>
        <v>要確認</v>
      </c>
      <c r="V7" s="163" t="str">
        <f t="shared" si="5"/>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 t="shared" si="11"/>
        <v>2.9013539651837523</v>
      </c>
      <c r="AA7" s="163" t="str">
        <f t="shared" si="12"/>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 t="shared" si="13"/>
        <v>もみ合い→</v>
      </c>
      <c r="AE7" s="406" t="str">
        <f t="shared" si="14"/>
        <v>なし</v>
      </c>
      <c r="AF7" s="365">
        <f t="array" ref="AF7">IF(C7="","",IFERROR((INDEX(終値!$E:$E,MATCH(TEXT(C7,"0"),終値!$A:$A,0))-INDEX(終値!$E:$CZ,MATCH(TEXT(C7,"0"),終値!$A:$A,0),$AL$2))/INDEX(終値!$E:$CZ,MATCH(TEXT(C7,"0"),終値!$A:$A,0),$AL$2)*100,""))</f>
        <v>3.160752375412061</v>
      </c>
      <c r="AG7" s="365">
        <f t="array" ref="AG7">IFERROR((終値!$E$5-INDEX(終値!$E$5:$CZ$5,1,$AL$2))/INDEX(終値!$E$5:$CZ$5,1,$AL$2)*100,"")</f>
        <v>1.0179378228534113</v>
      </c>
      <c r="AH7" s="366">
        <f t="shared" si="6"/>
        <v>2.1428145525586499</v>
      </c>
      <c r="AI7" s="364">
        <f t="shared" si="7"/>
        <v>1</v>
      </c>
      <c r="BA7">
        <f>IFERROR((SUM(OFFSET(高値!$E$6,IFERROR(MATCH($C7,銘柄管理!$B$6:$B$305,0),MATCH(TEXT($C7,"0"),銘柄管理!$B$6:$B$305,0))-1,0,1,14))-SUM(OFFSET(安値!$E$6,IFERROR(MATCH($C7,銘柄管理!$B$6:$B$305,0),MATCH(TEXT($C7,"0"),銘柄管理!$B$6:$B$305,0))-1,0,1,14)))/SUM(OFFSET(終値!$E$6,IFERROR(MATCH($C7,銘柄管理!$B$6:$B$305,0),MATCH(TEXT($C7,"0"),銘柄管理!$B$6:$B$305,0))-1,0,1,14))*100,"")</f>
      </c>
      <c r="BB7">
        <f>IFERROR((MAX(OFFSET(高値!$E$6,IFERROR(MATCH($C7,銘柄管理!$B$6:$B$305,0),MATCH(TEXT($C7,"0"),銘柄管理!$B$6:$B$305,0))-1,0,1,25))-MIN(OFFSET(安値!$E$6,IFERROR(MATCH($C7,銘柄管理!$B$6:$B$305,0),MATCH(TEXT($C7,"0"),銘柄管理!$B$6:$B$305,0))-1,0,1,25)))/$E7*100,"")</f>
      </c>
      <c r="BC7">
        <f>IFERROR(($F7-$G7)/$G7*100,"")</f>
      </c>
      <c r="BD7">
        <f>IFERROR(($E7-MAX(OFFSET(高値!$E$6,IFERROR(MATCH($C7,銘柄管理!$B$6:$B$305,0),MATCH(TEXT($C7,"0"),銘柄管理!$B$6:$B$305,0))-1,0,1,25)))/MAX(OFFSET(高値!$E$6,IFERROR(MATCH($C7,銘柄管理!$B$6:$B$305,0),MATCH(TEXT($C7,"0"),銘柄管理!$B$6:$B$305,0))-1,0,1,25))*100,"")</f>
      </c>
      <c r="BE7">
        <f>IFERROR(($H7-$I7)/$F7*100,"")</f>
      </c>
      <c r="BF7">
        <f>IFERROR(-(($BA7-AVERAGE($BA$3:$BA$206))/STDEV($BA$3:$BA$206))-(($BE7-AVERAGE($BE$3:$BE$206))/STDEV($BE$3:$BE$206))-(($BB7-AVERAGE($BB$3:$BB$206))/STDEV($BB$3:$BB$206))-(($Z7-AVERAGE($Z$3:$Z$206))/STDEV($Z$3:$Z$206))-(($BC7-AVERAGE($BC$3:$BC$206))/STDEV($BC$3:$BC$206)),"")</f>
      </c>
      <c r="BG7">
        <f>IF(OR($C7="",$C7="TOPX",$BA7="",$BF7=""),0,IF(AND($BK$10=1,$BA7&lt;=$BK$2,$BB7&lt;=$BK$3,$BC7&lt;=$BK$4,$Z7&lt;=$BK$5,$Z7&gt;=$BK$6,$BD7&gt;=$BK$7,$BE7&lt;=$BK$8),1,0))</f>
      </c>
      <c r="BH7">
        <f>IF($C7="","",IF($BG7=1,"○ゲート通過",IF($BK$10&lt;&gt;1,"― この方向は停止中",IF($BA7&gt;$BK$2,"×値動きが荒い",IF($BB7&gt;$BK$3,"×レンジが広い",IF($BC7&gt;$BK$4,"×窓を開けて上昇",IF($Z7&gt;$BK$5,"×前日に急騰",IF($Z7&lt;$BK$6,"×前日に急落",IF($BD7&lt;$BK$7,"×高値から離れすぎ",IF($BE7&gt;$BK$8,"×当日の値幅が大きい","×")))))))))</f>
      </c>
      <c r="BJ7" t="inlineStr">
        <is>
          <t>25日高値距離 下限(%)</t>
        </is>
      </c>
      <c r="BK7">
        <v>-10.0</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 t="shared" si="0"/>
        <v>-37.238263169495262</v>
      </c>
      <c r="M8" s="166">
        <f>IF(C8&lt;&gt;"",IFERROR(AVERAGE(出来高!E65:I65),""),"")</f>
        <v>53510180</v>
      </c>
      <c r="N8" s="166">
        <f>IF(C8&lt;&gt;"",IFERROR(AVERAGE(出来高!E65:AC65),""),"")</f>
        <v>52209192</v>
      </c>
      <c r="O8" s="168">
        <f t="shared" si="1"/>
        <v>0.87750966264736918</v>
      </c>
      <c r="P8" s="163" t="str">
        <f t="shared" si="2"/>
        <v>減少↓</v>
      </c>
      <c r="Q8" s="163" t="str">
        <f t="shared" si="3"/>
        <v>様子見▼</v>
      </c>
      <c r="R8" s="166">
        <f t="shared" si="8"/>
        <v>6151</v>
      </c>
      <c r="S8" s="166">
        <f t="shared" si="9"/>
        <v>5467</v>
      </c>
      <c r="T8" s="163">
        <f>IF(C8="","",IFERROR(IF(O8&gt;=2,3,IF(O8&gt;=1.5,2,IF(O8&gt;=1,1,0)))+IF(E8&gt;G8,1,0)+IF(L8&gt;=-5,1,0)+IF(Q8="買い▲",2,0)+IF(W8&gt;=78,-4,IF(W8&gt;=72,-2,IF(W8&gt;=55,2,IF(W8&gt;=45,1,0))))+IF(X8&gt;0,1,0)+IF(V8="年初来高値更新●",3,IF(V8="高値圏",2,0))+IF(AD8="パーフェクト▲",3,IF(AD8="上昇トレンド▲",2,0))+IF(AE8="25日線押し目●",2,IF(AE8="5日線押し目○",1,0))+IF(P8="急増↑↑",2,IF(P8="増加↑",1,0))+N(AI8),0))</f>
      </c>
      <c r="U8" s="163" t="str">
        <f t="shared" si="10"/>
        <v>除外</v>
      </c>
      <c r="V8" s="163" t="str">
        <f t="shared" si="5"/>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 t="shared" si="11"/>
        <v>-4.4142329640819069</v>
      </c>
      <c r="AA8" s="163" t="str">
        <f t="shared" si="12"/>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 t="shared" si="13"/>
        <v>もみ合い→</v>
      </c>
      <c r="AE8" s="404" t="str">
        <f t="shared" si="14"/>
        <v>なし</v>
      </c>
      <c r="AF8" s="365">
        <f t="array" ref="AF8">IF(C8="","",IFERROR((INDEX(終値!$E:$E,MATCH(TEXT(C8,"0"),終値!$A:$A,0))-INDEX(終値!$E:$CZ,MATCH(TEXT(C8,"0"),終値!$A:$A,0),$AL$2))/INDEX(終値!$E:$CZ,MATCH(TEXT(C8,"0"),終値!$A:$A,0),$AL$2)*100,""))</f>
        <v>-5.083333333333333</v>
      </c>
      <c r="AG8" s="365">
        <f t="array" ref="AG8">IFERROR((終値!$E$5-INDEX(終値!$E$5:$CZ$5,1,$AL$2))/INDEX(終値!$E$5:$CZ$5,1,$AL$2)*100,"")</f>
        <v>1.0179378228534113</v>
      </c>
      <c r="AH8" s="366">
        <f t="shared" si="6"/>
        <v>-6.1012711561867441</v>
      </c>
      <c r="AI8" s="364">
        <f t="shared" si="7"/>
        <v>-2</v>
      </c>
      <c r="BA8">
        <f>IFERROR((SUM(OFFSET(高値!$E$6,IFERROR(MATCH($C8,銘柄管理!$B$6:$B$305,0),MATCH(TEXT($C8,"0"),銘柄管理!$B$6:$B$305,0))-1,0,1,14))-SUM(OFFSET(安値!$E$6,IFERROR(MATCH($C8,銘柄管理!$B$6:$B$305,0),MATCH(TEXT($C8,"0"),銘柄管理!$B$6:$B$305,0))-1,0,1,14)))/SUM(OFFSET(終値!$E$6,IFERROR(MATCH($C8,銘柄管理!$B$6:$B$305,0),MATCH(TEXT($C8,"0"),銘柄管理!$B$6:$B$305,0))-1,0,1,14))*100,"")</f>
      </c>
      <c r="BB8">
        <f>IFERROR((MAX(OFFSET(高値!$E$6,IFERROR(MATCH($C8,銘柄管理!$B$6:$B$305,0),MATCH(TEXT($C8,"0"),銘柄管理!$B$6:$B$305,0))-1,0,1,25))-MIN(OFFSET(安値!$E$6,IFERROR(MATCH($C8,銘柄管理!$B$6:$B$305,0),MATCH(TEXT($C8,"0"),銘柄管理!$B$6:$B$305,0))-1,0,1,25)))/$E8*100,"")</f>
      </c>
      <c r="BC8">
        <f>IFERROR(($F8-$G8)/$G8*100,"")</f>
      </c>
      <c r="BD8">
        <f>IFERROR(($E8-MAX(OFFSET(高値!$E$6,IFERROR(MATCH($C8,銘柄管理!$B$6:$B$305,0),MATCH(TEXT($C8,"0"),銘柄管理!$B$6:$B$305,0))-1,0,1,25)))/MAX(OFFSET(高値!$E$6,IFERROR(MATCH($C8,銘柄管理!$B$6:$B$305,0),MATCH(TEXT($C8,"0"),銘柄管理!$B$6:$B$305,0))-1,0,1,25))*100,"")</f>
      </c>
      <c r="BE8">
        <f>IFERROR(($H8-$I8)/$F8*100,"")</f>
      </c>
      <c r="BF8">
        <f>IFERROR(-(($BA8-AVERAGE($BA$3:$BA$206))/STDEV($BA$3:$BA$206))-(($BE8-AVERAGE($BE$3:$BE$206))/STDEV($BE$3:$BE$206))-(($BB8-AVERAGE($BB$3:$BB$206))/STDEV($BB$3:$BB$206))-(($Z8-AVERAGE($Z$3:$Z$206))/STDEV($Z$3:$Z$206))-(($BC8-AVERAGE($BC$3:$BC$206))/STDEV($BC$3:$BC$206)),"")</f>
      </c>
      <c r="BG8">
        <f>IF(OR($C8="",$C8="TOPX",$BA8="",$BF8=""),0,IF(AND($BK$10=1,$BA8&lt;=$BK$2,$BB8&lt;=$BK$3,$BC8&lt;=$BK$4,$Z8&lt;=$BK$5,$Z8&gt;=$BK$6,$BD8&gt;=$BK$7,$BE8&lt;=$BK$8),1,0))</f>
      </c>
      <c r="BH8">
        <f>IF($C8="","",IF($BG8=1,"○ゲート通過",IF($BK$10&lt;&gt;1,"― この方向は停止中",IF($BA8&gt;$BK$2,"×値動きが荒い",IF($BB8&gt;$BK$3,"×レンジが広い",IF($BC8&gt;$BK$4,"×窓を開けて上昇",IF($Z8&gt;$BK$5,"×前日に急騰",IF($Z8&lt;$BK$6,"×前日に急落",IF($BD8&lt;$BK$7,"×高値から離れすぎ",IF($BE8&gt;$BK$8,"×当日の値幅が大きい","×")))))))))</f>
      </c>
      <c r="BJ8" t="inlineStr">
        <is>
          <t>日中レンジ率 上限(%)</t>
        </is>
      </c>
      <c r="BK8">
        <v>2.0</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 t="shared" si="0"/>
        <v>-8.0909571655208889</v>
      </c>
      <c r="M9" s="166">
        <f>IF(C9&lt;&gt;"",IFERROR(AVERAGE(出来高!E116:I116),""),"")</f>
        <v>230540</v>
      </c>
      <c r="N9" s="166">
        <f>IF(C9&lt;&gt;"",IFERROR(AVERAGE(出来高!E116:AC116),""),"")</f>
        <v>197472</v>
      </c>
      <c r="O9" s="168">
        <f t="shared" si="1"/>
        <v>0.76038865272837686</v>
      </c>
      <c r="P9" s="163" t="str">
        <f t="shared" si="2"/>
        <v>減少↓</v>
      </c>
      <c r="Q9" s="163" t="str">
        <f t="shared" si="3"/>
        <v>中立→</v>
      </c>
      <c r="R9" s="166">
        <f t="shared" si="8"/>
        <v>1877</v>
      </c>
      <c r="S9" s="166">
        <f t="shared" si="9"/>
        <v>1668</v>
      </c>
      <c r="T9" s="163">
        <f>IF(C9="","",IFERROR(IF(O9&gt;=2,3,IF(O9&gt;=1.5,2,IF(O9&gt;=1,1,0)))+IF(E9&gt;G9,1,0)+IF(L9&gt;=-5,1,0)+IF(Q9="買い▲",2,0)+IF(W9&gt;=78,-4,IF(W9&gt;=72,-2,IF(W9&gt;=55,2,IF(W9&gt;=45,1,0))))+IF(X9&gt;0,1,0)+IF(V9="年初来高値更新●",3,IF(V9="高値圏",2,0))+IF(AD9="パーフェクト▲",3,IF(AD9="上昇トレンド▲",2,0))+IF(AE9="25日線押し目●",2,IF(AE9="5日線押し目○",1,0))+IF(P9="急増↑↑",2,IF(P9="増加↑",1,0))+N(AI9),0))</f>
      </c>
      <c r="U9" s="163" t="str">
        <f t="shared" si="10"/>
        <v>除外</v>
      </c>
      <c r="V9" s="163" t="str">
        <f t="shared" si="5"/>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 t="shared" si="11"/>
        <v>1.4002333722287048</v>
      </c>
      <c r="AA9" s="163" t="str">
        <f t="shared" si="12"/>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 t="shared" si="13"/>
        <v>もみ合い→</v>
      </c>
      <c r="AE9" s="406" t="str">
        <f t="shared" si="14"/>
        <v>なし</v>
      </c>
      <c r="AF9" s="365">
        <f t="array" ref="AF9">IF(C9="","",IFERROR((INDEX(終値!$E:$E,MATCH(TEXT(C9,"0"),終値!$A:$A,0))-INDEX(終値!$E:$CZ,MATCH(TEXT(C9,"0"),終値!$A:$A,0),$AL$2))/INDEX(終値!$E:$CZ,MATCH(TEXT(C9,"0"),終値!$A:$A,0),$AL$2)*100,""))</f>
        <v>-0.17231476163124643</v>
      </c>
      <c r="AG9" s="365">
        <f t="array" ref="AG9">IFERROR((終値!$E$5-INDEX(終値!$E$5:$CZ$5,1,$AL$2))/INDEX(終値!$E$5:$CZ$5,1,$AL$2)*100,"")</f>
        <v>1.0179378228534113</v>
      </c>
      <c r="AH9" s="366">
        <f t="shared" si="6"/>
        <v>-1.1902525844846576</v>
      </c>
      <c r="AI9" s="364">
        <f t="shared" si="7"/>
        <v>-1</v>
      </c>
      <c r="BA9">
        <f>IFERROR((SUM(OFFSET(高値!$E$6,IFERROR(MATCH($C9,銘柄管理!$B$6:$B$305,0),MATCH(TEXT($C9,"0"),銘柄管理!$B$6:$B$305,0))-1,0,1,14))-SUM(OFFSET(安値!$E$6,IFERROR(MATCH($C9,銘柄管理!$B$6:$B$305,0),MATCH(TEXT($C9,"0"),銘柄管理!$B$6:$B$305,0))-1,0,1,14)))/SUM(OFFSET(終値!$E$6,IFERROR(MATCH($C9,銘柄管理!$B$6:$B$305,0),MATCH(TEXT($C9,"0"),銘柄管理!$B$6:$B$305,0))-1,0,1,14))*100,"")</f>
      </c>
      <c r="BB9">
        <f>IFERROR((MAX(OFFSET(高値!$E$6,IFERROR(MATCH($C9,銘柄管理!$B$6:$B$305,0),MATCH(TEXT($C9,"0"),銘柄管理!$B$6:$B$305,0))-1,0,1,25))-MIN(OFFSET(安値!$E$6,IFERROR(MATCH($C9,銘柄管理!$B$6:$B$305,0),MATCH(TEXT($C9,"0"),銘柄管理!$B$6:$B$305,0))-1,0,1,25)))/$E9*100,"")</f>
      </c>
      <c r="BC9">
        <f>IFERROR(($F9-$G9)/$G9*100,"")</f>
      </c>
      <c r="BD9">
        <f>IFERROR(($E9-MAX(OFFSET(高値!$E$6,IFERROR(MATCH($C9,銘柄管理!$B$6:$B$305,0),MATCH(TEXT($C9,"0"),銘柄管理!$B$6:$B$305,0))-1,0,1,25)))/MAX(OFFSET(高値!$E$6,IFERROR(MATCH($C9,銘柄管理!$B$6:$B$305,0),MATCH(TEXT($C9,"0"),銘柄管理!$B$6:$B$305,0))-1,0,1,25))*100,"")</f>
      </c>
      <c r="BE9">
        <f>IFERROR(($H9-$I9)/$F9*100,"")</f>
      </c>
      <c r="BF9">
        <f>IFERROR(-(($BA9-AVERAGE($BA$3:$BA$206))/STDEV($BA$3:$BA$206))-(($BE9-AVERAGE($BE$3:$BE$206))/STDEV($BE$3:$BE$206))-(($BB9-AVERAGE($BB$3:$BB$206))/STDEV($BB$3:$BB$206))-(($Z9-AVERAGE($Z$3:$Z$206))/STDEV($Z$3:$Z$206))-(($BC9-AVERAGE($BC$3:$BC$206))/STDEV($BC$3:$BC$206)),"")</f>
      </c>
      <c r="BG9">
        <f>IF(OR($C9="",$C9="TOPX",$BA9="",$BF9=""),0,IF(AND($BK$10=1,$BA9&lt;=$BK$2,$BB9&lt;=$BK$3,$BC9&lt;=$BK$4,$Z9&lt;=$BK$5,$Z9&gt;=$BK$6,$BD9&gt;=$BK$7,$BE9&lt;=$BK$8),1,0))</f>
      </c>
      <c r="BH9">
        <f>IF($C9="","",IF($BG9=1,"○ゲート通過",IF($BK$10&lt;&gt;1,"― この方向は停止中",IF($BA9&gt;$BK$2,"×値動きが荒い",IF($BB9&gt;$BK$3,"×レンジが広い",IF($BC9&gt;$BK$4,"×窓を開けて上昇",IF($Z9&gt;$BK$5,"×前日に急騰",IF($Z9&lt;$BK$6,"×前日に急落",IF($BD9&lt;$BK$7,"×高値から離れすぎ",IF($BE9&gt;$BK$8,"×当日の値幅が大きい","×")))))))))</f>
      </c>
      <c r="BJ9" t="inlineStr">
        <is>
          <t>1日の採用上限(件)</t>
        </is>
      </c>
      <c r="BK9">
        <v>3</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 t="shared" si="0"/>
        <v>-20.611748348974626</v>
      </c>
      <c r="M10" s="166">
        <f>IF(C10&lt;&gt;"",IFERROR(AVERAGE(出来高!E166:I166),""),"")</f>
        <v>17620</v>
      </c>
      <c r="N10" s="166">
        <f>IF(C10&lt;&gt;"",IFERROR(AVERAGE(出来高!E166:AC166),""),"")</f>
        <v>25232</v>
      </c>
      <c r="O10" s="168">
        <f t="shared" si="1"/>
        <v>0.38592508513053347</v>
      </c>
      <c r="P10" s="163" t="str">
        <f t="shared" si="2"/>
        <v>減少↓</v>
      </c>
      <c r="Q10" s="163" t="str">
        <f t="shared" si="3"/>
        <v>中立→</v>
      </c>
      <c r="R10" s="166">
        <f t="shared" si="8"/>
        <v>2467</v>
      </c>
      <c r="S10" s="166">
        <f t="shared" si="9"/>
        <v>2193</v>
      </c>
      <c r="T10" s="163">
        <f>IF(C10="","",IFERROR(IF(O10&gt;=2,3,IF(O10&gt;=1.5,2,IF(O10&gt;=1,1,0)))+IF(E10&gt;G10,1,0)+IF(L10&gt;=-5,1,0)+IF(Q10="買い▲",2,0)+IF(W10&gt;=78,-4,IF(W10&gt;=72,-2,IF(W10&gt;=55,2,IF(W10&gt;=45,1,0))))+IF(X10&gt;0,1,0)+IF(V10="年初来高値更新●",3,IF(V10="高値圏",2,0))+IF(AD10="パーフェクト▲",3,IF(AD10="上昇トレンド▲",2,0))+IF(AE10="25日線押し目●",2,IF(AE10="5日線押し目○",1,0))+IF(P10="急増↑↑",2,IF(P10="増加↑",1,0))+N(AI10),0))</f>
      </c>
      <c r="U10" s="163" t="str">
        <f t="shared" si="10"/>
        <v>除外</v>
      </c>
      <c r="V10" s="163" t="str">
        <f t="shared" si="5"/>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 t="shared" si="11"/>
        <v>8.7642418930762495E-2</v>
      </c>
      <c r="AA10" s="163" t="str">
        <f t="shared" si="12"/>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 t="shared" si="13"/>
        <v>下降トレンド▼</v>
      </c>
      <c r="AE10" s="404" t="str">
        <f t="shared" si="14"/>
        <v>なし</v>
      </c>
      <c r="AF10" s="365">
        <f t="array" ref="AF10">IF(C10="","",IFERROR((INDEX(終値!$E:$E,MATCH(TEXT(C10,"0"),終値!$A:$A,0))-INDEX(終値!$E:$CZ,MATCH(TEXT(C10,"0"),終値!$A:$A,0),$AL$2))/INDEX(終値!$E:$CZ,MATCH(TEXT(C10,"0"),終値!$A:$A,0),$AL$2)*100,""))</f>
        <v>-1.1255411255411256</v>
      </c>
      <c r="AG10" s="365">
        <f t="array" ref="AG10">IFERROR((終値!$E$5-INDEX(終値!$E$5:$CZ$5,1,$AL$2))/INDEX(終値!$E$5:$CZ$5,1,$AL$2)*100,"")</f>
        <v>1.0179378228534113</v>
      </c>
      <c r="AH10" s="366">
        <f t="shared" si="6"/>
        <v>-2.1434789483945371</v>
      </c>
      <c r="AI10" s="364">
        <f t="shared" si="7"/>
        <v>-1</v>
      </c>
      <c r="BA10">
        <f>IFERROR((SUM(OFFSET(高値!$E$6,IFERROR(MATCH($C10,銘柄管理!$B$6:$B$305,0),MATCH(TEXT($C10,"0"),銘柄管理!$B$6:$B$305,0))-1,0,1,14))-SUM(OFFSET(安値!$E$6,IFERROR(MATCH($C10,銘柄管理!$B$6:$B$305,0),MATCH(TEXT($C10,"0"),銘柄管理!$B$6:$B$305,0))-1,0,1,14)))/SUM(OFFSET(終値!$E$6,IFERROR(MATCH($C10,銘柄管理!$B$6:$B$305,0),MATCH(TEXT($C10,"0"),銘柄管理!$B$6:$B$305,0))-1,0,1,14))*100,"")</f>
      </c>
      <c r="BB10">
        <f>IFERROR((MAX(OFFSET(高値!$E$6,IFERROR(MATCH($C10,銘柄管理!$B$6:$B$305,0),MATCH(TEXT($C10,"0"),銘柄管理!$B$6:$B$305,0))-1,0,1,25))-MIN(OFFSET(安値!$E$6,IFERROR(MATCH($C10,銘柄管理!$B$6:$B$305,0),MATCH(TEXT($C10,"0"),銘柄管理!$B$6:$B$305,0))-1,0,1,25)))/$E10*100,"")</f>
      </c>
      <c r="BC10">
        <f>IFERROR(($F10-$G10)/$G10*100,"")</f>
      </c>
      <c r="BD10">
        <f>IFERROR(($E10-MAX(OFFSET(高値!$E$6,IFERROR(MATCH($C10,銘柄管理!$B$6:$B$305,0),MATCH(TEXT($C10,"0"),銘柄管理!$B$6:$B$305,0))-1,0,1,25)))/MAX(OFFSET(高値!$E$6,IFERROR(MATCH($C10,銘柄管理!$B$6:$B$305,0),MATCH(TEXT($C10,"0"),銘柄管理!$B$6:$B$305,0))-1,0,1,25))*100,"")</f>
      </c>
      <c r="BE10">
        <f>IFERROR(($H10-$I10)/$F10*100,"")</f>
      </c>
      <c r="BF10">
        <f>IFERROR(-(($BA10-AVERAGE($BA$3:$BA$206))/STDEV($BA$3:$BA$206))-(($BE10-AVERAGE($BE$3:$BE$206))/STDEV($BE$3:$BE$206))-(($BB10-AVERAGE($BB$3:$BB$206))/STDEV($BB$3:$BB$206))-(($Z10-AVERAGE($Z$3:$Z$206))/STDEV($Z$3:$Z$206))-(($BC10-AVERAGE($BC$3:$BC$206))/STDEV($BC$3:$BC$206)),"")</f>
      </c>
      <c r="BG10">
        <f>IF(OR($C10="",$C10="TOPX",$BA10="",$BF10=""),0,IF(AND($BK$10=1,$BA10&lt;=$BK$2,$BB10&lt;=$BK$3,$BC10&lt;=$BK$4,$Z10&lt;=$BK$5,$Z10&gt;=$BK$6,$BD10&gt;=$BK$7,$BE10&lt;=$BK$8),1,0))</f>
      </c>
      <c r="BH10">
        <f>IF($C10="","",IF($BG10=1,"○ゲート通過",IF($BK$10&lt;&gt;1,"― この方向は停止中",IF($BA10&gt;$BK$2,"×値動きが荒い",IF($BB10&gt;$BK$3,"×レンジが広い",IF($BC10&gt;$BK$4,"×窓を開けて上昇",IF($Z10&gt;$BK$5,"×前日に急騰",IF($Z10&lt;$BK$6,"×前日に急落",IF($BD10&lt;$BK$7,"×高値から離れすぎ",IF($BE10&gt;$BK$8,"×当日の値幅が大きい","×")))))))))</f>
      </c>
      <c r="BJ10" t="inlineStr">
        <is>
          <t>この方向を使う 1=使う 0=停止</t>
        </is>
      </c>
      <c r="BK10">
        <v>1</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 t="shared" si="0"/>
        <v>-17.387218045112782</v>
      </c>
      <c r="M11" s="166">
        <f>IF(C11&lt;&gt;"",IFERROR(AVERAGE(出来高!E162:I162),""),"")</f>
        <v>780</v>
      </c>
      <c r="N11" s="166">
        <f>IF(C11&lt;&gt;"",IFERROR(AVERAGE(出来高!E162:AC162),""),"")</f>
        <v>1270.8333333333333</v>
      </c>
      <c r="O11" s="168">
        <f t="shared" si="1"/>
        <v>0.64102564102564108</v>
      </c>
      <c r="P11" s="163" t="str">
        <f t="shared" si="2"/>
        <v>減少↓</v>
      </c>
      <c r="Q11" s="163" t="str">
        <f t="shared" si="3"/>
        <v>様子見▼</v>
      </c>
      <c r="R11" s="166">
        <f t="shared" si="8"/>
        <v>4747</v>
      </c>
      <c r="S11" s="166">
        <f t="shared" si="9"/>
        <v>4219</v>
      </c>
      <c r="T11" s="163">
        <f>IF(C11="","",IFERROR(IF(O11&gt;=2,3,IF(O11&gt;=1.5,2,IF(O11&gt;=1,1,0)))+IF(E11&gt;G11,1,0)+IF(L11&gt;=-5,1,0)+IF(Q11="買い▲",2,0)+IF(W11&gt;=78,-4,IF(W11&gt;=72,-2,IF(W11&gt;=55,2,IF(W11&gt;=45,1,0))))+IF(X11&gt;0,1,0)+IF(V11="年初来高値更新●",3,IF(V11="高値圏",2,0))+IF(AD11="パーフェクト▲",3,IF(AD11="上昇トレンド▲",2,0))+IF(AE11="25日線押し目●",2,IF(AE11="5日線押し目○",1,0))+IF(P11="急増↑↑",2,IF(P11="増加↑",1,0))+N(AI11),0))</f>
      </c>
      <c r="U11" s="163" t="str">
        <f t="shared" si="10"/>
        <v>要確認</v>
      </c>
      <c r="V11" s="163" t="str">
        <f t="shared" si="5"/>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 t="shared" si="11"/>
        <v>-1.124859392575928</v>
      </c>
      <c r="AA11" s="163" t="str">
        <f t="shared" si="12"/>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 t="shared" si="13"/>
        <v>パーフェクト▲</v>
      </c>
      <c r="AE11" s="406" t="str">
        <f t="shared" si="14"/>
        <v>なし</v>
      </c>
      <c r="AF11" s="365">
        <f t="array" ref="AF11">IF(C11="","",IFERROR((INDEX(終値!$E:$E,MATCH(TEXT(C11,"0"),終値!$A:$A,0))-INDEX(終値!$E:$CZ,MATCH(TEXT(C11,"0"),終値!$A:$A,0),$AL$2))/INDEX(終値!$E:$CZ,MATCH(TEXT(C11,"0"),終値!$A:$A,0),$AL$2)*100,""))</f>
        <v>0.57208237986270016</v>
      </c>
      <c r="AG11" s="365">
        <f t="array" ref="AG11">IFERROR((終値!$E$5-INDEX(終値!$E$5:$CZ$5,1,$AL$2))/INDEX(終値!$E$5:$CZ$5,1,$AL$2)*100,"")</f>
        <v>1.0179378228534113</v>
      </c>
      <c r="AH11" s="366">
        <f t="shared" si="6"/>
        <v>-0.44585544299071111</v>
      </c>
      <c r="AI11" s="364">
        <f t="shared" si="7"/>
        <v>-1</v>
      </c>
      <c r="BA11">
        <f>IFERROR((SUM(OFFSET(高値!$E$6,IFERROR(MATCH($C11,銘柄管理!$B$6:$B$305,0),MATCH(TEXT($C11,"0"),銘柄管理!$B$6:$B$305,0))-1,0,1,14))-SUM(OFFSET(安値!$E$6,IFERROR(MATCH($C11,銘柄管理!$B$6:$B$305,0),MATCH(TEXT($C11,"0"),銘柄管理!$B$6:$B$305,0))-1,0,1,14)))/SUM(OFFSET(終値!$E$6,IFERROR(MATCH($C11,銘柄管理!$B$6:$B$305,0),MATCH(TEXT($C11,"0"),銘柄管理!$B$6:$B$305,0))-1,0,1,14))*100,"")</f>
      </c>
      <c r="BB11">
        <f>IFERROR((MAX(OFFSET(高値!$E$6,IFERROR(MATCH($C11,銘柄管理!$B$6:$B$305,0),MATCH(TEXT($C11,"0"),銘柄管理!$B$6:$B$305,0))-1,0,1,25))-MIN(OFFSET(安値!$E$6,IFERROR(MATCH($C11,銘柄管理!$B$6:$B$305,0),MATCH(TEXT($C11,"0"),銘柄管理!$B$6:$B$305,0))-1,0,1,25)))/$E11*100,"")</f>
      </c>
      <c r="BC11">
        <f>IFERROR(($F11-$G11)/$G11*100,"")</f>
      </c>
      <c r="BD11">
        <f>IFERROR(($E11-MAX(OFFSET(高値!$E$6,IFERROR(MATCH($C11,銘柄管理!$B$6:$B$305,0),MATCH(TEXT($C11,"0"),銘柄管理!$B$6:$B$305,0))-1,0,1,25)))/MAX(OFFSET(高値!$E$6,IFERROR(MATCH($C11,銘柄管理!$B$6:$B$305,0),MATCH(TEXT($C11,"0"),銘柄管理!$B$6:$B$305,0))-1,0,1,25))*100,"")</f>
      </c>
      <c r="BE11">
        <f>IFERROR(($H11-$I11)/$F11*100,"")</f>
      </c>
      <c r="BF11">
        <f>IFERROR(-(($BA11-AVERAGE($BA$3:$BA$206))/STDEV($BA$3:$BA$206))-(($BE11-AVERAGE($BE$3:$BE$206))/STDEV($BE$3:$BE$206))-(($BB11-AVERAGE($BB$3:$BB$206))/STDEV($BB$3:$BB$206))-(($Z11-AVERAGE($Z$3:$Z$206))/STDEV($Z$3:$Z$206))-(($BC11-AVERAGE($BC$3:$BC$206))/STDEV($BC$3:$BC$206)),"")</f>
      </c>
      <c r="BG11">
        <f>IF(OR($C11="",$C11="TOPX",$BA11="",$BF11=""),0,IF(AND($BK$10=1,$BA11&lt;=$BK$2,$BB11&lt;=$BK$3,$BC11&lt;=$BK$4,$Z11&lt;=$BK$5,$Z11&gt;=$BK$6,$BD11&gt;=$BK$7,$BE11&lt;=$BK$8),1,0))</f>
      </c>
      <c r="BH11">
        <f>IF($C11="","",IF($BG11=1,"○ゲート通過",IF($BK$10&lt;&gt;1,"― この方向は停止中",IF($BA11&gt;$BK$2,"×値動きが荒い",IF($BB11&gt;$BK$3,"×レンジが広い",IF($BC11&gt;$BK$4,"×窓を開けて上昇",IF($Z11&gt;$BK$5,"×前日に急騰",IF($Z11&lt;$BK$6,"×前日に急落",IF($BD11&lt;$BK$7,"×高値から離れすぎ",IF($BE11&gt;$BK$8,"×当日の値幅が大きい","×")))))))))</f>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 t="shared" si="0"/>
        <v>-22.037914691943129</v>
      </c>
      <c r="M12" s="166">
        <f>IF(C12&lt;&gt;"",IFERROR(AVERAGE(出来高!E167:I167),""),"")</f>
        <v>160860</v>
      </c>
      <c r="N12" s="166">
        <f>IF(C12&lt;&gt;"",IFERROR(AVERAGE(出来高!E167:AC167),""),"")</f>
        <v>143537.5</v>
      </c>
      <c r="O12" s="168">
        <f t="shared" si="1"/>
        <v>0.58498072858386174</v>
      </c>
      <c r="P12" s="163" t="str">
        <f t="shared" si="2"/>
        <v>減少↓</v>
      </c>
      <c r="Q12" s="163" t="str">
        <f t="shared" si="3"/>
        <v>様子見▼</v>
      </c>
      <c r="R12" s="166">
        <f t="shared" si="8"/>
        <v>3553</v>
      </c>
      <c r="S12" s="166">
        <f t="shared" si="9"/>
        <v>3158</v>
      </c>
      <c r="T12" s="163">
        <f>IF(C12="","",IFERROR(IF(O12&gt;=2,3,IF(O12&gt;=1.5,2,IF(O12&gt;=1,1,0)))+IF(E12&gt;G12,1,0)+IF(L12&gt;=-5,1,0)+IF(Q12="買い▲",2,0)+IF(W12&gt;=78,-4,IF(W12&gt;=72,-2,IF(W12&gt;=55,2,IF(W12&gt;=45,1,0))))+IF(X12&gt;0,1,0)+IF(V12="年初来高値更新●",3,IF(V12="高値圏",2,0))+IF(AD12="パーフェクト▲",3,IF(AD12="上昇トレンド▲",2,0))+IF(AE12="25日線押し目●",2,IF(AE12="5日線押し目○",1,0))+IF(P12="急増↑↑",2,IF(P12="増加↑",1,0))+N(AI12),0))</f>
      </c>
      <c r="U12" s="163" t="str">
        <f t="shared" si="10"/>
        <v>除外</v>
      </c>
      <c r="V12" s="163" t="str">
        <f t="shared" si="5"/>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 t="shared" si="11"/>
        <v>-1.3493253373313343</v>
      </c>
      <c r="AA12" s="163" t="str">
        <f t="shared" si="12"/>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 t="shared" si="13"/>
        <v>下降トレンド▼</v>
      </c>
      <c r="AE12" s="404" t="str">
        <f t="shared" si="14"/>
        <v>なし</v>
      </c>
      <c r="AF12" s="365">
        <f t="array" ref="AF12">IF(C12="","",IFERROR((INDEX(終値!$E:$E,MATCH(TEXT(C12,"0"),終値!$A:$A,0))-INDEX(終値!$E:$CZ,MATCH(TEXT(C12,"0"),終値!$A:$A,0),$AL$2))/INDEX(終値!$E:$CZ,MATCH(TEXT(C12,"0"),終値!$A:$A,0),$AL$2)*100,""))</f>
        <v>-1.791044776119403</v>
      </c>
      <c r="AG12" s="365">
        <f t="array" ref="AG12">IFERROR((終値!$E$5-INDEX(終値!$E$5:$CZ$5,1,$AL$2))/INDEX(終値!$E$5:$CZ$5,1,$AL$2)*100,"")</f>
        <v>1.0179378228534113</v>
      </c>
      <c r="AH12" s="366">
        <f t="shared" si="6"/>
        <v>-2.8089825989728143</v>
      </c>
      <c r="AI12" s="364">
        <f t="shared" si="7"/>
        <v>-1</v>
      </c>
      <c r="BA12">
        <f>IFERROR((SUM(OFFSET(高値!$E$6,IFERROR(MATCH($C12,銘柄管理!$B$6:$B$305,0),MATCH(TEXT($C12,"0"),銘柄管理!$B$6:$B$305,0))-1,0,1,14))-SUM(OFFSET(安値!$E$6,IFERROR(MATCH($C12,銘柄管理!$B$6:$B$305,0),MATCH(TEXT($C12,"0"),銘柄管理!$B$6:$B$305,0))-1,0,1,14)))/SUM(OFFSET(終値!$E$6,IFERROR(MATCH($C12,銘柄管理!$B$6:$B$305,0),MATCH(TEXT($C12,"0"),銘柄管理!$B$6:$B$305,0))-1,0,1,14))*100,"")</f>
      </c>
      <c r="BB12">
        <f>IFERROR((MAX(OFFSET(高値!$E$6,IFERROR(MATCH($C12,銘柄管理!$B$6:$B$305,0),MATCH(TEXT($C12,"0"),銘柄管理!$B$6:$B$305,0))-1,0,1,25))-MIN(OFFSET(安値!$E$6,IFERROR(MATCH($C12,銘柄管理!$B$6:$B$305,0),MATCH(TEXT($C12,"0"),銘柄管理!$B$6:$B$305,0))-1,0,1,25)))/$E12*100,"")</f>
      </c>
      <c r="BC12">
        <f>IFERROR(($F12-$G12)/$G12*100,"")</f>
      </c>
      <c r="BD12">
        <f>IFERROR(($E12-MAX(OFFSET(高値!$E$6,IFERROR(MATCH($C12,銘柄管理!$B$6:$B$305,0),MATCH(TEXT($C12,"0"),銘柄管理!$B$6:$B$305,0))-1,0,1,25)))/MAX(OFFSET(高値!$E$6,IFERROR(MATCH($C12,銘柄管理!$B$6:$B$305,0),MATCH(TEXT($C12,"0"),銘柄管理!$B$6:$B$305,0))-1,0,1,25))*100,"")</f>
      </c>
      <c r="BE12">
        <f>IFERROR(($H12-$I12)/$F12*100,"")</f>
      </c>
      <c r="BF12">
        <f>IFERROR(-(($BA12-AVERAGE($BA$3:$BA$206))/STDEV($BA$3:$BA$206))-(($BE12-AVERAGE($BE$3:$BE$206))/STDEV($BE$3:$BE$206))-(($BB12-AVERAGE($BB$3:$BB$206))/STDEV($BB$3:$BB$206))-(($Z12-AVERAGE($Z$3:$Z$206))/STDEV($Z$3:$Z$206))-(($BC12-AVERAGE($BC$3:$BC$206))/STDEV($BC$3:$BC$206)),"")</f>
      </c>
      <c r="BG12">
        <f>IF(OR($C12="",$C12="TOPX",$BA12="",$BF12=""),0,IF(AND($BK$10=1,$BA12&lt;=$BK$2,$BB12&lt;=$BK$3,$BC12&lt;=$BK$4,$Z12&lt;=$BK$5,$Z12&gt;=$BK$6,$BD12&gt;=$BK$7,$BE12&lt;=$BK$8),1,0))</f>
      </c>
      <c r="BH12">
        <f>IF($C12="","",IF($BG12=1,"○ゲート通過",IF($BK$10&lt;&gt;1,"― この方向は停止中",IF($BA12&gt;$BK$2,"×値動きが荒い",IF($BB12&gt;$BK$3,"×レンジが広い",IF($BC12&gt;$BK$4,"×窓を開けて上昇",IF($Z12&gt;$BK$5,"×前日に急騰",IF($Z12&lt;$BK$6,"×前日に急落",IF($BD12&lt;$BK$7,"×高値から離れすぎ",IF($BE12&gt;$BK$8,"×当日の値幅が大きい","×")))))))))</f>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 t="shared" si="0"/>
        <v>-10.44039483675019</v>
      </c>
      <c r="M13" s="166">
        <f>IF(C13&lt;&gt;"",IFERROR(AVERAGE(出来高!E185:I185),""),"")</f>
        <v>86920</v>
      </c>
      <c r="N13" s="166">
        <f>IF(C13&lt;&gt;"",IFERROR(AVERAGE(出来高!E185:AC185),""),"")</f>
        <v>75796</v>
      </c>
      <c r="O13" s="168">
        <f t="shared" si="1"/>
        <v>0.81914404049700873</v>
      </c>
      <c r="P13" s="163" t="str">
        <f t="shared" si="2"/>
        <v>減少↓</v>
      </c>
      <c r="Q13" s="163" t="str">
        <f t="shared" si="3"/>
        <v>中立→</v>
      </c>
      <c r="R13" s="166">
        <f t="shared" si="8"/>
        <v>2548</v>
      </c>
      <c r="S13" s="166">
        <f t="shared" si="9"/>
        <v>2265</v>
      </c>
      <c r="T13" s="163">
        <f>IF(C13="","",IFERROR(IF(O13&gt;=2,3,IF(O13&gt;=1.5,2,IF(O13&gt;=1,1,0)))+IF(E13&gt;G13,1,0)+IF(L13&gt;=-5,1,0)+IF(Q13="買い▲",2,0)+IF(W13&gt;=78,-4,IF(W13&gt;=72,-2,IF(W13&gt;=55,2,IF(W13&gt;=45,1,0))))+IF(X13&gt;0,1,0)+IF(V13="年初来高値更新●",3,IF(V13="高値圏",2,0))+IF(AD13="パーフェクト▲",3,IF(AD13="上昇トレンド▲",2,0))+IF(AE13="25日線押し目●",2,IF(AE13="5日線押し目○",1,0))+IF(P13="急増↑↑",2,IF(P13="増加↑",1,0))+N(AI13),0))</f>
      </c>
      <c r="U13" s="163" t="str">
        <f t="shared" si="10"/>
        <v>要確認</v>
      </c>
      <c r="V13" s="163" t="str">
        <f t="shared" si="5"/>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 t="shared" si="11"/>
        <v>1.1144449207029576</v>
      </c>
      <c r="AA13" s="163" t="str">
        <f t="shared" si="12"/>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 t="shared" si="13"/>
        <v>下降トレンド▼</v>
      </c>
      <c r="AE13" s="406" t="str">
        <f t="shared" si="14"/>
        <v>なし</v>
      </c>
      <c r="AF13" s="365">
        <f t="array" ref="AF13">IF(C13="","",IFERROR((INDEX(終値!$E:$E,MATCH(TEXT(C13,"0"),終値!$A:$A,0))-INDEX(終値!$E:$CZ,MATCH(TEXT(C13,"0"),終値!$A:$A,0),$AL$2))/INDEX(終値!$E:$CZ,MATCH(TEXT(C13,"0"),終値!$A:$A,0),$AL$2)*100,""))</f>
        <v>6.02247191011236</v>
      </c>
      <c r="AG13" s="365">
        <f t="array" ref="AG13">IFERROR((終値!$E$5-INDEX(終値!$E$5:$CZ$5,1,$AL$2))/INDEX(終値!$E$5:$CZ$5,1,$AL$2)*100,"")</f>
        <v>1.0179378228534113</v>
      </c>
      <c r="AH13" s="366">
        <f t="shared" si="6"/>
        <v>5.004534087258949</v>
      </c>
      <c r="AI13" s="364">
        <f t="shared" si="7"/>
        <v>3</v>
      </c>
      <c r="BA13">
        <f>IFERROR((SUM(OFFSET(高値!$E$6,IFERROR(MATCH($C13,銘柄管理!$B$6:$B$305,0),MATCH(TEXT($C13,"0"),銘柄管理!$B$6:$B$305,0))-1,0,1,14))-SUM(OFFSET(安値!$E$6,IFERROR(MATCH($C13,銘柄管理!$B$6:$B$305,0),MATCH(TEXT($C13,"0"),銘柄管理!$B$6:$B$305,0))-1,0,1,14)))/SUM(OFFSET(終値!$E$6,IFERROR(MATCH($C13,銘柄管理!$B$6:$B$305,0),MATCH(TEXT($C13,"0"),銘柄管理!$B$6:$B$305,0))-1,0,1,14))*100,"")</f>
      </c>
      <c r="BB13">
        <f>IFERROR((MAX(OFFSET(高値!$E$6,IFERROR(MATCH($C13,銘柄管理!$B$6:$B$305,0),MATCH(TEXT($C13,"0"),銘柄管理!$B$6:$B$305,0))-1,0,1,25))-MIN(OFFSET(安値!$E$6,IFERROR(MATCH($C13,銘柄管理!$B$6:$B$305,0),MATCH(TEXT($C13,"0"),銘柄管理!$B$6:$B$305,0))-1,0,1,25)))/$E13*100,"")</f>
      </c>
      <c r="BC13">
        <f>IFERROR(($F13-$G13)/$G13*100,"")</f>
      </c>
      <c r="BD13">
        <f>IFERROR(($E13-MAX(OFFSET(高値!$E$6,IFERROR(MATCH($C13,銘柄管理!$B$6:$B$305,0),MATCH(TEXT($C13,"0"),銘柄管理!$B$6:$B$305,0))-1,0,1,25)))/MAX(OFFSET(高値!$E$6,IFERROR(MATCH($C13,銘柄管理!$B$6:$B$305,0),MATCH(TEXT($C13,"0"),銘柄管理!$B$6:$B$305,0))-1,0,1,25))*100,"")</f>
      </c>
      <c r="BE13">
        <f>IFERROR(($H13-$I13)/$F13*100,"")</f>
      </c>
      <c r="BF13">
        <f>IFERROR(-(($BA13-AVERAGE($BA$3:$BA$206))/STDEV($BA$3:$BA$206))-(($BE13-AVERAGE($BE$3:$BE$206))/STDEV($BE$3:$BE$206))-(($BB13-AVERAGE($BB$3:$BB$206))/STDEV($BB$3:$BB$206))-(($Z13-AVERAGE($Z$3:$Z$206))/STDEV($Z$3:$Z$206))-(($BC13-AVERAGE($BC$3:$BC$206))/STDEV($BC$3:$BC$206)),"")</f>
      </c>
      <c r="BG13">
        <f>IF(OR($C13="",$C13="TOPX",$BA13="",$BF13=""),0,IF(AND($BK$10=1,$BA13&lt;=$BK$2,$BB13&lt;=$BK$3,$BC13&lt;=$BK$4,$Z13&lt;=$BK$5,$Z13&gt;=$BK$6,$BD13&gt;=$BK$7,$BE13&lt;=$BK$8),1,0))</f>
      </c>
      <c r="BH13">
        <f>IF($C13="","",IF($BG13=1,"○ゲート通過",IF($BK$10&lt;&gt;1,"― この方向は停止中",IF($BA13&gt;$BK$2,"×値動きが荒い",IF($BB13&gt;$BK$3,"×レンジが広い",IF($BC13&gt;$BK$4,"×窓を開けて上昇",IF($Z13&gt;$BK$5,"×前日に急騰",IF($Z13&lt;$BK$6,"×前日に急落",IF($BD13&lt;$BK$7,"×高値から離れすぎ",IF($BE13&gt;$BK$8,"×当日の値幅が大きい","×")))))))))</f>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 t="shared" si="0"/>
        <v>-21.045694200351495</v>
      </c>
      <c r="M14" s="166">
        <f>IF(C14&lt;&gt;"",IFERROR(AVERAGE(出来高!E127:I127),""),"")</f>
        <v>1011680</v>
      </c>
      <c r="N14" s="166">
        <f>IF(C14&lt;&gt;"",IFERROR(AVERAGE(出来高!E127:AC127),""),"")</f>
        <v>926596</v>
      </c>
      <c r="O14" s="168">
        <f t="shared" si="1"/>
        <v>0.99735094100901467</v>
      </c>
      <c r="P14" s="163" t="str">
        <f t="shared" si="2"/>
        <v>減少↓</v>
      </c>
      <c r="Q14" s="163" t="str">
        <f t="shared" si="3"/>
        <v>中立→</v>
      </c>
      <c r="R14" s="166">
        <f t="shared" si="8"/>
        <v>5822</v>
      </c>
      <c r="S14" s="166">
        <f t="shared" si="9"/>
        <v>5175</v>
      </c>
      <c r="T14" s="163">
        <f>IF(C14="","",IFERROR(IF(O14&gt;=2,3,IF(O14&gt;=1.5,2,IF(O14&gt;=1,1,0)))+IF(E14&gt;G14,1,0)+IF(L14&gt;=-5,1,0)+IF(Q14="買い▲",2,0)+IF(W14&gt;=78,-4,IF(W14&gt;=72,-2,IF(W14&gt;=55,2,IF(W14&gt;=45,1,0))))+IF(X14&gt;0,1,0)+IF(V14="年初来高値更新●",3,IF(V14="高値圏",2,0))+IF(AD14="パーフェクト▲",3,IF(AD14="上昇トレンド▲",2,0))+IF(AE14="25日線押し目●",2,IF(AE14="5日線押し目○",1,0))+IF(P14="急増↑↑",2,IF(P14="増加↑",1,0))+N(AI14),0))</f>
      </c>
      <c r="U14" s="163" t="str">
        <f t="shared" si="10"/>
        <v>要確認</v>
      </c>
      <c r="V14" s="163" t="str">
        <f t="shared" si="5"/>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 t="shared" si="11"/>
        <v>1.5254237288135595</v>
      </c>
      <c r="AA14" s="163" t="str">
        <f t="shared" si="12"/>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 t="shared" si="13"/>
        <v>パーフェクト▲</v>
      </c>
      <c r="AE14" s="404" t="str">
        <f t="shared" si="14"/>
        <v>なし</v>
      </c>
      <c r="AF14" s="365">
        <f t="array" ref="AF14">IF(C14="","",IFERROR((INDEX(終値!$E:$E,MATCH(TEXT(C14,"0"),終値!$A:$A,0))-INDEX(終値!$E:$CZ,MATCH(TEXT(C14,"0"),終値!$A:$A,0),$AL$2))/INDEX(終値!$E:$CZ,MATCH(TEXT(C14,"0"),終値!$A:$A,0),$AL$2)*100,""))</f>
        <v>1.7553793884484712</v>
      </c>
      <c r="AG14" s="365">
        <f t="array" ref="AG14">IFERROR((終値!$E$5-INDEX(終値!$E$5:$CZ$5,1,$AL$2))/INDEX(終値!$E$5:$CZ$5,1,$AL$2)*100,"")</f>
        <v>1.0179378228534113</v>
      </c>
      <c r="AH14" s="366">
        <f t="shared" si="6"/>
        <v>0.73744156559505991</v>
      </c>
      <c r="AI14" s="364">
        <f t="shared" si="7"/>
        <v>1</v>
      </c>
      <c r="BA14">
        <f>IFERROR((SUM(OFFSET(高値!$E$6,IFERROR(MATCH($C14,銘柄管理!$B$6:$B$305,0),MATCH(TEXT($C14,"0"),銘柄管理!$B$6:$B$305,0))-1,0,1,14))-SUM(OFFSET(安値!$E$6,IFERROR(MATCH($C14,銘柄管理!$B$6:$B$305,0),MATCH(TEXT($C14,"0"),銘柄管理!$B$6:$B$305,0))-1,0,1,14)))/SUM(OFFSET(終値!$E$6,IFERROR(MATCH($C14,銘柄管理!$B$6:$B$305,0),MATCH(TEXT($C14,"0"),銘柄管理!$B$6:$B$305,0))-1,0,1,14))*100,"")</f>
      </c>
      <c r="BB14">
        <f>IFERROR((MAX(OFFSET(高値!$E$6,IFERROR(MATCH($C14,銘柄管理!$B$6:$B$305,0),MATCH(TEXT($C14,"0"),銘柄管理!$B$6:$B$305,0))-1,0,1,25))-MIN(OFFSET(安値!$E$6,IFERROR(MATCH($C14,銘柄管理!$B$6:$B$305,0),MATCH(TEXT($C14,"0"),銘柄管理!$B$6:$B$305,0))-1,0,1,25)))/$E14*100,"")</f>
      </c>
      <c r="BC14">
        <f>IFERROR(($F14-$G14)/$G14*100,"")</f>
      </c>
      <c r="BD14">
        <f>IFERROR(($E14-MAX(OFFSET(高値!$E$6,IFERROR(MATCH($C14,銘柄管理!$B$6:$B$305,0),MATCH(TEXT($C14,"0"),銘柄管理!$B$6:$B$305,0))-1,0,1,25)))/MAX(OFFSET(高値!$E$6,IFERROR(MATCH($C14,銘柄管理!$B$6:$B$305,0),MATCH(TEXT($C14,"0"),銘柄管理!$B$6:$B$305,0))-1,0,1,25))*100,"")</f>
      </c>
      <c r="BE14">
        <f>IFERROR(($H14-$I14)/$F14*100,"")</f>
      </c>
      <c r="BF14">
        <f>IFERROR(-(($BA14-AVERAGE($BA$3:$BA$206))/STDEV($BA$3:$BA$206))-(($BE14-AVERAGE($BE$3:$BE$206))/STDEV($BE$3:$BE$206))-(($BB14-AVERAGE($BB$3:$BB$206))/STDEV($BB$3:$BB$206))-(($Z14-AVERAGE($Z$3:$Z$206))/STDEV($Z$3:$Z$206))-(($BC14-AVERAGE($BC$3:$BC$206))/STDEV($BC$3:$BC$206)),"")</f>
      </c>
      <c r="BG14">
        <f>IF(OR($C14="",$C14="TOPX",$BA14="",$BF14=""),0,IF(AND($BK$10=1,$BA14&lt;=$BK$2,$BB14&lt;=$BK$3,$BC14&lt;=$BK$4,$Z14&lt;=$BK$5,$Z14&gt;=$BK$6,$BD14&gt;=$BK$7,$BE14&lt;=$BK$8),1,0))</f>
      </c>
      <c r="BH14">
        <f>IF($C14="","",IF($BG14=1,"○ゲート通過",IF($BK$10&lt;&gt;1,"― この方向は停止中",IF($BA14&gt;$BK$2,"×値動きが荒い",IF($BB14&gt;$BK$3,"×レンジが広い",IF($BC14&gt;$BK$4,"×窓を開けて上昇",IF($Z14&gt;$BK$5,"×前日に急騰",IF($Z14&lt;$BK$6,"×前日に急落",IF($BD14&lt;$BK$7,"×高値から離れすぎ",IF($BE14&gt;$BK$8,"×当日の値幅が大きい","×")))))))))</f>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 t="shared" si="0"/>
        <v>-25.1035521526296</v>
      </c>
      <c r="M15" s="166">
        <f>IF(C15&lt;&gt;"",IFERROR(AVERAGE(出来高!E115:I115),""),"")</f>
        <v>1019980</v>
      </c>
      <c r="N15" s="166">
        <f>IF(C15&lt;&gt;"",IFERROR(AVERAGE(出来高!E115:AC115),""),"")</f>
        <v>1033772</v>
      </c>
      <c r="O15" s="168">
        <f t="shared" si="1"/>
        <v>0.84540873350457857</v>
      </c>
      <c r="P15" s="163" t="str">
        <f t="shared" si="2"/>
        <v>減少↓</v>
      </c>
      <c r="Q15" s="163" t="str">
        <f t="shared" si="3"/>
        <v>中立→</v>
      </c>
      <c r="R15" s="166">
        <f t="shared" si="8"/>
        <v>6444</v>
      </c>
      <c r="S15" s="166">
        <f t="shared" si="9"/>
        <v>5728</v>
      </c>
      <c r="T15" s="163">
        <f>IF(C15="","",IFERROR(IF(O15&gt;=2,3,IF(O15&gt;=1.5,2,IF(O15&gt;=1,1,0)))+IF(E15&gt;G15,1,0)+IF(L15&gt;=-5,1,0)+IF(Q15="買い▲",2,0)+IF(W15&gt;=78,-4,IF(W15&gt;=72,-2,IF(W15&gt;=55,2,IF(W15&gt;=45,1,0))))+IF(X15&gt;0,1,0)+IF(V15="年初来高値更新●",3,IF(V15="高値圏",2,0))+IF(AD15="パーフェクト▲",3,IF(AD15="上昇トレンド▲",2,0))+IF(AE15="25日線押し目●",2,IF(AE15="5日線押し目○",1,0))+IF(P15="急増↑↑",2,IF(P15="増加↑",1,0))+N(AI15),0))</f>
      </c>
      <c r="U15" s="163" t="str">
        <f t="shared" si="10"/>
        <v>要確認</v>
      </c>
      <c r="V15" s="163" t="str">
        <f t="shared" si="5"/>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 t="shared" si="11"/>
        <v>0.50530570995452251</v>
      </c>
      <c r="AA15" s="163" t="str">
        <f t="shared" si="12"/>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 t="shared" si="13"/>
        <v>もみ合い→</v>
      </c>
      <c r="AE15" s="406" t="str">
        <f t="shared" si="14"/>
        <v>なし</v>
      </c>
      <c r="AF15" s="365">
        <f t="array" ref="AF15">IF(C15="","",IFERROR((INDEX(終値!$E:$E,MATCH(TEXT(C15,"0"),終値!$A:$A,0))-INDEX(終値!$E:$CZ,MATCH(TEXT(C15,"0"),終値!$A:$A,0),$AL$2))/INDEX(終値!$E:$CZ,MATCH(TEXT(C15,"0"),終値!$A:$A,0),$AL$2)*100,""))</f>
        <v>-0.33405712376816438</v>
      </c>
      <c r="AG15" s="365">
        <f t="array" ref="AG15">IFERROR((終値!$E$5-INDEX(終値!$E$5:$CZ$5,1,$AL$2))/INDEX(終値!$E$5:$CZ$5,1,$AL$2)*100,"")</f>
        <v>1.0179378228534113</v>
      </c>
      <c r="AH15" s="366">
        <f t="shared" si="6"/>
        <v>-1.3519949466215757</v>
      </c>
      <c r="AI15" s="364">
        <f t="shared" si="7"/>
        <v>-1</v>
      </c>
      <c r="BA15">
        <f>IFERROR((SUM(OFFSET(高値!$E$6,IFERROR(MATCH($C15,銘柄管理!$B$6:$B$305,0),MATCH(TEXT($C15,"0"),銘柄管理!$B$6:$B$305,0))-1,0,1,14))-SUM(OFFSET(安値!$E$6,IFERROR(MATCH($C15,銘柄管理!$B$6:$B$305,0),MATCH(TEXT($C15,"0"),銘柄管理!$B$6:$B$305,0))-1,0,1,14)))/SUM(OFFSET(終値!$E$6,IFERROR(MATCH($C15,銘柄管理!$B$6:$B$305,0),MATCH(TEXT($C15,"0"),銘柄管理!$B$6:$B$305,0))-1,0,1,14))*100,"")</f>
      </c>
      <c r="BB15">
        <f>IFERROR((MAX(OFFSET(高値!$E$6,IFERROR(MATCH($C15,銘柄管理!$B$6:$B$305,0),MATCH(TEXT($C15,"0"),銘柄管理!$B$6:$B$305,0))-1,0,1,25))-MIN(OFFSET(安値!$E$6,IFERROR(MATCH($C15,銘柄管理!$B$6:$B$305,0),MATCH(TEXT($C15,"0"),銘柄管理!$B$6:$B$305,0))-1,0,1,25)))/$E15*100,"")</f>
      </c>
      <c r="BC15">
        <f>IFERROR(($F15-$G15)/$G15*100,"")</f>
      </c>
      <c r="BD15">
        <f>IFERROR(($E15-MAX(OFFSET(高値!$E$6,IFERROR(MATCH($C15,銘柄管理!$B$6:$B$305,0),MATCH(TEXT($C15,"0"),銘柄管理!$B$6:$B$305,0))-1,0,1,25)))/MAX(OFFSET(高値!$E$6,IFERROR(MATCH($C15,銘柄管理!$B$6:$B$305,0),MATCH(TEXT($C15,"0"),銘柄管理!$B$6:$B$305,0))-1,0,1,25))*100,"")</f>
      </c>
      <c r="BE15">
        <f>IFERROR(($H15-$I15)/$F15*100,"")</f>
      </c>
      <c r="BF15">
        <f>IFERROR(-(($BA15-AVERAGE($BA$3:$BA$206))/STDEV($BA$3:$BA$206))-(($BE15-AVERAGE($BE$3:$BE$206))/STDEV($BE$3:$BE$206))-(($BB15-AVERAGE($BB$3:$BB$206))/STDEV($BB$3:$BB$206))-(($Z15-AVERAGE($Z$3:$Z$206))/STDEV($Z$3:$Z$206))-(($BC15-AVERAGE($BC$3:$BC$206))/STDEV($BC$3:$BC$206)),"")</f>
      </c>
      <c r="BG15">
        <f>IF(OR($C15="",$C15="TOPX",$BA15="",$BF15=""),0,IF(AND($BK$10=1,$BA15&lt;=$BK$2,$BB15&lt;=$BK$3,$BC15&lt;=$BK$4,$Z15&lt;=$BK$5,$Z15&gt;=$BK$6,$BD15&gt;=$BK$7,$BE15&lt;=$BK$8),1,0))</f>
      </c>
      <c r="BH15">
        <f>IF($C15="","",IF($BG15=1,"○ゲート通過",IF($BK$10&lt;&gt;1,"― この方向は停止中",IF($BA15&gt;$BK$2,"×値動きが荒い",IF($BB15&gt;$BK$3,"×レンジが広い",IF($BC15&gt;$BK$4,"×窓を開けて上昇",IF($Z15&gt;$BK$5,"×前日に急騰",IF($Z15&lt;$BK$6,"×前日に急落",IF($BD15&lt;$BK$7,"×高値から離れすぎ",IF($BE15&gt;$BK$8,"×当日の値幅が大きい","×")))))))))</f>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 t="shared" si="0"/>
        <v>-8.9191232048374918</v>
      </c>
      <c r="M16" s="166">
        <f>IF(C16&lt;&gt;"",IFERROR(AVERAGE(出来高!E186:I186),""),"")</f>
        <v>3383820</v>
      </c>
      <c r="N16" s="166">
        <f>IF(C16&lt;&gt;"",IFERROR(AVERAGE(出来高!E186:AC186),""),"")</f>
        <v>2731824</v>
      </c>
      <c r="O16" s="168">
        <f t="shared" si="1"/>
        <v>0.93223043778924408</v>
      </c>
      <c r="P16" s="163" t="str">
        <f t="shared" si="2"/>
        <v>減少↓</v>
      </c>
      <c r="Q16" s="163" t="str">
        <f t="shared" si="3"/>
        <v>中立→</v>
      </c>
      <c r="R16" s="166">
        <f t="shared" si="8"/>
        <v>1301</v>
      </c>
      <c r="S16" s="166">
        <f t="shared" si="9"/>
        <v>1157</v>
      </c>
      <c r="T16" s="163">
        <f>IF(C16="","",IFERROR(IF(O16&gt;=2,3,IF(O16&gt;=1.5,2,IF(O16&gt;=1,1,0)))+IF(E16&gt;G16,1,0)+IF(L16&gt;=-5,1,0)+IF(Q16="買い▲",2,0)+IF(W16&gt;=78,-4,IF(W16&gt;=72,-2,IF(W16&gt;=55,2,IF(W16&gt;=45,1,0))))+IF(X16&gt;0,1,0)+IF(V16="年初来高値更新●",3,IF(V16="高値圏",2,0))+IF(AD16="パーフェクト▲",3,IF(AD16="上昇トレンド▲",2,0))+IF(AE16="25日線押し目●",2,IF(AE16="5日線押し目○",1,0))+IF(P16="急増↑↑",2,IF(P16="増加↑",1,0))+N(AI16),0))</f>
      </c>
      <c r="U16" s="163" t="str">
        <f t="shared" si="10"/>
        <v>要確認</v>
      </c>
      <c r="V16" s="163" t="str">
        <f t="shared" si="5"/>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 t="shared" si="11"/>
        <v>1.8166455428812844</v>
      </c>
      <c r="AA16" s="163" t="str">
        <f t="shared" si="12"/>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 t="shared" si="13"/>
        <v>もみ合い→</v>
      </c>
      <c r="AE16" s="404" t="str">
        <f t="shared" si="14"/>
        <v>なし</v>
      </c>
      <c r="AF16" s="365">
        <f t="array" ref="AF16">IF(C16="","",IFERROR((INDEX(終値!$E:$E,MATCH(TEXT(C16,"0"),終値!$A:$A,0))-INDEX(終値!$E:$CZ,MATCH(TEXT(C16,"0"),終値!$A:$A,0),$AL$2))/INDEX(終値!$E:$CZ,MATCH(TEXT(C16,"0"),終値!$A:$A,0),$AL$2)*100,""))</f>
        <v>13.465160075329566</v>
      </c>
      <c r="AG16" s="365">
        <f t="array" ref="AG16">IFERROR((終値!$E$5-INDEX(終値!$E$5:$CZ$5,1,$AL$2))/INDEX(終値!$E$5:$CZ$5,1,$AL$2)*100,"")</f>
        <v>1.0179378228534113</v>
      </c>
      <c r="AH16" s="366">
        <f t="shared" si="6"/>
        <v>12.447222252476154</v>
      </c>
      <c r="AI16" s="364">
        <f t="shared" si="7"/>
        <v>3</v>
      </c>
      <c r="BA16">
        <f>IFERROR((SUM(OFFSET(高値!$E$6,IFERROR(MATCH($C16,銘柄管理!$B$6:$B$305,0),MATCH(TEXT($C16,"0"),銘柄管理!$B$6:$B$305,0))-1,0,1,14))-SUM(OFFSET(安値!$E$6,IFERROR(MATCH($C16,銘柄管理!$B$6:$B$305,0),MATCH(TEXT($C16,"0"),銘柄管理!$B$6:$B$305,0))-1,0,1,14)))/SUM(OFFSET(終値!$E$6,IFERROR(MATCH($C16,銘柄管理!$B$6:$B$305,0),MATCH(TEXT($C16,"0"),銘柄管理!$B$6:$B$305,0))-1,0,1,14))*100,"")</f>
      </c>
      <c r="BB16">
        <f>IFERROR((MAX(OFFSET(高値!$E$6,IFERROR(MATCH($C16,銘柄管理!$B$6:$B$305,0),MATCH(TEXT($C16,"0"),銘柄管理!$B$6:$B$305,0))-1,0,1,25))-MIN(OFFSET(安値!$E$6,IFERROR(MATCH($C16,銘柄管理!$B$6:$B$305,0),MATCH(TEXT($C16,"0"),銘柄管理!$B$6:$B$305,0))-1,0,1,25)))/$E16*100,"")</f>
      </c>
      <c r="BC16">
        <f>IFERROR(($F16-$G16)/$G16*100,"")</f>
      </c>
      <c r="BD16">
        <f>IFERROR(($E16-MAX(OFFSET(高値!$E$6,IFERROR(MATCH($C16,銘柄管理!$B$6:$B$305,0),MATCH(TEXT($C16,"0"),銘柄管理!$B$6:$B$305,0))-1,0,1,25)))/MAX(OFFSET(高値!$E$6,IFERROR(MATCH($C16,銘柄管理!$B$6:$B$305,0),MATCH(TEXT($C16,"0"),銘柄管理!$B$6:$B$305,0))-1,0,1,25))*100,"")</f>
      </c>
      <c r="BE16">
        <f>IFERROR(($H16-$I16)/$F16*100,"")</f>
      </c>
      <c r="BF16">
        <f>IFERROR(-(($BA16-AVERAGE($BA$3:$BA$206))/STDEV($BA$3:$BA$206))-(($BE16-AVERAGE($BE$3:$BE$206))/STDEV($BE$3:$BE$206))-(($BB16-AVERAGE($BB$3:$BB$206))/STDEV($BB$3:$BB$206))-(($Z16-AVERAGE($Z$3:$Z$206))/STDEV($Z$3:$Z$206))-(($BC16-AVERAGE($BC$3:$BC$206))/STDEV($BC$3:$BC$206)),"")</f>
      </c>
      <c r="BG16">
        <f>IF(OR($C16="",$C16="TOPX",$BA16="",$BF16=""),0,IF(AND($BK$10=1,$BA16&lt;=$BK$2,$BB16&lt;=$BK$3,$BC16&lt;=$BK$4,$Z16&lt;=$BK$5,$Z16&gt;=$BK$6,$BD16&gt;=$BK$7,$BE16&lt;=$BK$8),1,0))</f>
      </c>
      <c r="BH16">
        <f>IF($C16="","",IF($BG16=1,"○ゲート通過",IF($BK$10&lt;&gt;1,"― この方向は停止中",IF($BA16&gt;$BK$2,"×値動きが荒い",IF($BB16&gt;$BK$3,"×レンジが広い",IF($BC16&gt;$BK$4,"×窓を開けて上昇",IF($Z16&gt;$BK$5,"×前日に急騰",IF($Z16&lt;$BK$6,"×前日に急落",IF($BD16&lt;$BK$7,"×高値から離れすぎ",IF($BE16&gt;$BK$8,"×当日の値幅が大きい","×")))))))))</f>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 t="shared" si="0"/>
        <v>-19.308231173380037</v>
      </c>
      <c r="M17" s="166">
        <f>IF(C17&lt;&gt;"",IFERROR(AVERAGE(出来高!E181:I181),""),"")</f>
        <v>1023140</v>
      </c>
      <c r="N17" s="166">
        <f>IF(C17&lt;&gt;"",IFERROR(AVERAGE(出来高!E181:AC181),""),"")</f>
        <v>932964</v>
      </c>
      <c r="O17" s="168">
        <f t="shared" si="1"/>
        <v>0.91101901987997735</v>
      </c>
      <c r="P17" s="163" t="str">
        <f t="shared" si="2"/>
        <v>減少↓</v>
      </c>
      <c r="Q17" s="163" t="str">
        <f t="shared" si="3"/>
        <v>中立→</v>
      </c>
      <c r="R17" s="166">
        <f t="shared" si="8"/>
        <v>995</v>
      </c>
      <c r="S17" s="166">
        <f t="shared" si="9"/>
        <v>885</v>
      </c>
      <c r="T17" s="163">
        <f>IF(C17="","",IFERROR(IF(O17&gt;=2,3,IF(O17&gt;=1.5,2,IF(O17&gt;=1,1,0)))+IF(E17&gt;G17,1,0)+IF(L17&gt;=-5,1,0)+IF(Q17="買い▲",2,0)+IF(W17&gt;=78,-4,IF(W17&gt;=72,-2,IF(W17&gt;=55,2,IF(W17&gt;=45,1,0))))+IF(X17&gt;0,1,0)+IF(V17="年初来高値更新●",3,IF(V17="高値圏",2,0))+IF(AD17="パーフェクト▲",3,IF(AD17="上昇トレンド▲",2,0))+IF(AE17="25日線押し目●",2,IF(AE17="5日線押し目○",1,0))+IF(P17="急増↑↑",2,IF(P17="増加↑",1,0))+N(AI17),0))</f>
      </c>
      <c r="U17" s="163" t="str">
        <f t="shared" si="10"/>
        <v>要確認</v>
      </c>
      <c r="V17" s="163" t="str">
        <f t="shared" si="5"/>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 t="shared" si="11"/>
        <v>0.62240663900415438</v>
      </c>
      <c r="AA17" s="163" t="str">
        <f t="shared" si="12"/>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 t="shared" si="13"/>
        <v>もみ合い→</v>
      </c>
      <c r="AE17" s="406" t="str">
        <f t="shared" si="14"/>
        <v>なし</v>
      </c>
      <c r="AF17" s="365">
        <f t="array" ref="AF17">IF(C17="","",IFERROR((INDEX(終値!$E:$E,MATCH(TEXT(C17,"0"),終値!$A:$A,0))-INDEX(終値!$E:$CZ,MATCH(TEXT(C17,"0"),終値!$A:$A,0),$AL$2))/INDEX(終値!$E:$CZ,MATCH(TEXT(C17,"0"),終値!$A:$A,0),$AL$2)*100,""))</f>
        <v>5.3142857142857141</v>
      </c>
      <c r="AG17" s="365">
        <f t="array" ref="AG17">IFERROR((終値!$E$5-INDEX(終値!$E$5:$CZ$5,1,$AL$2))/INDEX(終値!$E$5:$CZ$5,1,$AL$2)*100,"")</f>
        <v>1.0179378228534113</v>
      </c>
      <c r="AH17" s="366">
        <f t="shared" si="6"/>
        <v>4.296347891432303</v>
      </c>
      <c r="AI17" s="364">
        <f t="shared" si="7"/>
        <v>1</v>
      </c>
      <c r="BA17">
        <f>IFERROR((SUM(OFFSET(高値!$E$6,IFERROR(MATCH($C17,銘柄管理!$B$6:$B$305,0),MATCH(TEXT($C17,"0"),銘柄管理!$B$6:$B$305,0))-1,0,1,14))-SUM(OFFSET(安値!$E$6,IFERROR(MATCH($C17,銘柄管理!$B$6:$B$305,0),MATCH(TEXT($C17,"0"),銘柄管理!$B$6:$B$305,0))-1,0,1,14)))/SUM(OFFSET(終値!$E$6,IFERROR(MATCH($C17,銘柄管理!$B$6:$B$305,0),MATCH(TEXT($C17,"0"),銘柄管理!$B$6:$B$305,0))-1,0,1,14))*100,"")</f>
      </c>
      <c r="BB17">
        <f>IFERROR((MAX(OFFSET(高値!$E$6,IFERROR(MATCH($C17,銘柄管理!$B$6:$B$305,0),MATCH(TEXT($C17,"0"),銘柄管理!$B$6:$B$305,0))-1,0,1,25))-MIN(OFFSET(安値!$E$6,IFERROR(MATCH($C17,銘柄管理!$B$6:$B$305,0),MATCH(TEXT($C17,"0"),銘柄管理!$B$6:$B$305,0))-1,0,1,25)))/$E17*100,"")</f>
      </c>
      <c r="BC17">
        <f>IFERROR(($F17-$G17)/$G17*100,"")</f>
      </c>
      <c r="BD17">
        <f>IFERROR(($E17-MAX(OFFSET(高値!$E$6,IFERROR(MATCH($C17,銘柄管理!$B$6:$B$305,0),MATCH(TEXT($C17,"0"),銘柄管理!$B$6:$B$305,0))-1,0,1,25)))/MAX(OFFSET(高値!$E$6,IFERROR(MATCH($C17,銘柄管理!$B$6:$B$305,0),MATCH(TEXT($C17,"0"),銘柄管理!$B$6:$B$305,0))-1,0,1,25))*100,"")</f>
      </c>
      <c r="BE17">
        <f>IFERROR(($H17-$I17)/$F17*100,"")</f>
      </c>
      <c r="BF17">
        <f>IFERROR(-(($BA17-AVERAGE($BA$3:$BA$206))/STDEV($BA$3:$BA$206))-(($BE17-AVERAGE($BE$3:$BE$206))/STDEV($BE$3:$BE$206))-(($BB17-AVERAGE($BB$3:$BB$206))/STDEV($BB$3:$BB$206))-(($Z17-AVERAGE($Z$3:$Z$206))/STDEV($Z$3:$Z$206))-(($BC17-AVERAGE($BC$3:$BC$206))/STDEV($BC$3:$BC$206)),"")</f>
      </c>
      <c r="BG17">
        <f>IF(OR($C17="",$C17="TOPX",$BA17="",$BF17=""),0,IF(AND($BK$10=1,$BA17&lt;=$BK$2,$BB17&lt;=$BK$3,$BC17&lt;=$BK$4,$Z17&lt;=$BK$5,$Z17&gt;=$BK$6,$BD17&gt;=$BK$7,$BE17&lt;=$BK$8),1,0))</f>
      </c>
      <c r="BH17">
        <f>IF($C17="","",IF($BG17=1,"○ゲート通過",IF($BK$10&lt;&gt;1,"― この方向は停止中",IF($BA17&gt;$BK$2,"×値動きが荒い",IF($BB17&gt;$BK$3,"×レンジが広い",IF($BC17&gt;$BK$4,"×窓を開けて上昇",IF($Z17&gt;$BK$5,"×前日に急騰",IF($Z17&lt;$BK$6,"×前日に急落",IF($BD17&lt;$BK$7,"×高値から離れすぎ",IF($BE17&gt;$BK$8,"×当日の値幅が大きい","×")))))))))</f>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 t="shared" si="0"/>
        <v>-29.342105263157897</v>
      </c>
      <c r="M18" s="166">
        <f>IF(C18&lt;&gt;"",IFERROR(AVERAGE(出来高!E114:I114),""),"")</f>
        <v>37089640</v>
      </c>
      <c r="N18" s="166">
        <f>IF(C18&lt;&gt;"",IFERROR(AVERAGE(出来高!E114:AC114),""),"")</f>
        <v>35292060</v>
      </c>
      <c r="O18" s="168">
        <f t="shared" si="1"/>
        <v>0.87138079528407397</v>
      </c>
      <c r="P18" s="163" t="str">
        <f t="shared" si="2"/>
        <v>減少↓</v>
      </c>
      <c r="Q18" s="163" t="str">
        <f t="shared" si="3"/>
        <v>中立→</v>
      </c>
      <c r="R18" s="166">
        <f t="shared" si="8"/>
        <v>580</v>
      </c>
      <c r="S18" s="166">
        <f t="shared" si="9"/>
        <v>516</v>
      </c>
      <c r="T18" s="163">
        <f>IF(C18="","",IFERROR(IF(O18&gt;=2,3,IF(O18&gt;=1.5,2,IF(O18&gt;=1,1,0)))+IF(E18&gt;G18,1,0)+IF(L18&gt;=-5,1,0)+IF(Q18="買い▲",2,0)+IF(W18&gt;=78,-4,IF(W18&gt;=72,-2,IF(W18&gt;=55,2,IF(W18&gt;=45,1,0))))+IF(X18&gt;0,1,0)+IF(V18="年初来高値更新●",3,IF(V18="高値圏",2,0))+IF(AD18="パーフェクト▲",3,IF(AD18="上昇トレンド▲",2,0))+IF(AE18="25日線押し目●",2,IF(AE18="5日線押し目○",1,0))+IF(P18="急増↑↑",2,IF(P18="増加↑",1,0))+N(AI18),0))</f>
      </c>
      <c r="U18" s="163" t="str">
        <f t="shared" si="10"/>
        <v>要確認</v>
      </c>
      <c r="V18" s="163" t="str">
        <f t="shared" si="5"/>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 t="shared" si="11"/>
        <v>2.0912547528517109</v>
      </c>
      <c r="AA18" s="163" t="str">
        <f t="shared" si="12"/>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 t="shared" si="13"/>
        <v>もみ合い→</v>
      </c>
      <c r="AE18" s="404" t="str">
        <f t="shared" si="14"/>
        <v>なし</v>
      </c>
      <c r="AF18" s="365">
        <f t="array" ref="AF18">IF(C18="","",IFERROR((INDEX(終値!$E:$E,MATCH(TEXT(C18,"0"),終値!$A:$A,0))-INDEX(終値!$E:$CZ,MATCH(TEXT(C18,"0"),終値!$A:$A,0),$AL$2))/INDEX(終値!$E:$CZ,MATCH(TEXT(C18,"0"),終値!$A:$A,0),$AL$2)*100,""))</f>
        <v>17.996044825313113</v>
      </c>
      <c r="AG18" s="365">
        <f t="array" ref="AG18">IFERROR((終値!$E$5-INDEX(終値!$E$5:$CZ$5,1,$AL$2))/INDEX(終値!$E$5:$CZ$5,1,$AL$2)*100,"")</f>
        <v>1.0179378228534113</v>
      </c>
      <c r="AH18" s="366">
        <f t="shared" si="6"/>
        <v>16.978107002459701</v>
      </c>
      <c r="AI18" s="364">
        <f t="shared" si="7"/>
        <v>3</v>
      </c>
      <c r="BA18">
        <f>IFERROR((SUM(OFFSET(高値!$E$6,IFERROR(MATCH($C18,銘柄管理!$B$6:$B$305,0),MATCH(TEXT($C18,"0"),銘柄管理!$B$6:$B$305,0))-1,0,1,14))-SUM(OFFSET(安値!$E$6,IFERROR(MATCH($C18,銘柄管理!$B$6:$B$305,0),MATCH(TEXT($C18,"0"),銘柄管理!$B$6:$B$305,0))-1,0,1,14)))/SUM(OFFSET(終値!$E$6,IFERROR(MATCH($C18,銘柄管理!$B$6:$B$305,0),MATCH(TEXT($C18,"0"),銘柄管理!$B$6:$B$305,0))-1,0,1,14))*100,"")</f>
      </c>
      <c r="BB18">
        <f>IFERROR((MAX(OFFSET(高値!$E$6,IFERROR(MATCH($C18,銘柄管理!$B$6:$B$305,0),MATCH(TEXT($C18,"0"),銘柄管理!$B$6:$B$305,0))-1,0,1,25))-MIN(OFFSET(安値!$E$6,IFERROR(MATCH($C18,銘柄管理!$B$6:$B$305,0),MATCH(TEXT($C18,"0"),銘柄管理!$B$6:$B$305,0))-1,0,1,25)))/$E18*100,"")</f>
      </c>
      <c r="BC18">
        <f>IFERROR(($F18-$G18)/$G18*100,"")</f>
      </c>
      <c r="BD18">
        <f>IFERROR(($E18-MAX(OFFSET(高値!$E$6,IFERROR(MATCH($C18,銘柄管理!$B$6:$B$305,0),MATCH(TEXT($C18,"0"),銘柄管理!$B$6:$B$305,0))-1,0,1,25)))/MAX(OFFSET(高値!$E$6,IFERROR(MATCH($C18,銘柄管理!$B$6:$B$305,0),MATCH(TEXT($C18,"0"),銘柄管理!$B$6:$B$305,0))-1,0,1,25))*100,"")</f>
      </c>
      <c r="BE18">
        <f>IFERROR(($H18-$I18)/$F18*100,"")</f>
      </c>
      <c r="BF18">
        <f>IFERROR(-(($BA18-AVERAGE($BA$3:$BA$206))/STDEV($BA$3:$BA$206))-(($BE18-AVERAGE($BE$3:$BE$206))/STDEV($BE$3:$BE$206))-(($BB18-AVERAGE($BB$3:$BB$206))/STDEV($BB$3:$BB$206))-(($Z18-AVERAGE($Z$3:$Z$206))/STDEV($Z$3:$Z$206))-(($BC18-AVERAGE($BC$3:$BC$206))/STDEV($BC$3:$BC$206)),"")</f>
      </c>
      <c r="BG18">
        <f>IF(OR($C18="",$C18="TOPX",$BA18="",$BF18=""),0,IF(AND($BK$10=1,$BA18&lt;=$BK$2,$BB18&lt;=$BK$3,$BC18&lt;=$BK$4,$Z18&lt;=$BK$5,$Z18&gt;=$BK$6,$BD18&gt;=$BK$7,$BE18&lt;=$BK$8),1,0))</f>
      </c>
      <c r="BH18">
        <f>IF($C18="","",IF($BG18=1,"○ゲート通過",IF($BK$10&lt;&gt;1,"― この方向は停止中",IF($BA18&gt;$BK$2,"×値動きが荒い",IF($BB18&gt;$BK$3,"×レンジが広い",IF($BC18&gt;$BK$4,"×窓を開けて上昇",IF($Z18&gt;$BK$5,"×前日に急騰",IF($Z18&lt;$BK$6,"×前日に急落",IF($BD18&lt;$BK$7,"×高値から離れすぎ",IF($BE18&gt;$BK$8,"×当日の値幅が大きい","×")))))))))</f>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 t="shared" si="0"/>
        <v>-2.4639702463970248</v>
      </c>
      <c r="M19" s="166">
        <f>IF(C19&lt;&gt;"",IFERROR(AVERAGE(出来高!E113:I113),""),"")</f>
        <v>464320</v>
      </c>
      <c r="N19" s="166">
        <f>IF(C19&lt;&gt;"",IFERROR(AVERAGE(出来高!E113:AC113),""),"")</f>
        <v>509904</v>
      </c>
      <c r="O19" s="168">
        <f t="shared" si="1"/>
        <v>0.80461750516884911</v>
      </c>
      <c r="P19" s="163" t="str">
        <f t="shared" si="2"/>
        <v>減少↓</v>
      </c>
      <c r="Q19" s="163" t="str">
        <f t="shared" si="3"/>
        <v>中立→</v>
      </c>
      <c r="R19" s="166">
        <f t="shared" si="8"/>
        <v>4532</v>
      </c>
      <c r="S19" s="166">
        <f t="shared" si="9"/>
        <v>4028</v>
      </c>
      <c r="T19" s="163">
        <f>IF(C19="","",IFERROR(IF(O19&gt;=2,3,IF(O19&gt;=1.5,2,IF(O19&gt;=1,1,0)))+IF(E19&gt;G19,1,0)+IF(L19&gt;=-5,1,0)+IF(Q19="買い▲",2,0)+IF(W19&gt;=78,-4,IF(W19&gt;=72,-2,IF(W19&gt;=55,2,IF(W19&gt;=45,1,0))))+IF(X19&gt;0,1,0)+IF(V19="年初来高値更新●",3,IF(V19="高値圏",2,0))+IF(AD19="パーフェクト▲",3,IF(AD19="上昇トレンド▲",2,0))+IF(AE19="25日線押し目●",2,IF(AE19="5日線押し目○",1,0))+IF(P19="急増↑↑",2,IF(P19="増加↑",1,0))+N(AI19),0))</f>
      </c>
      <c r="U19" s="163" t="str">
        <f t="shared" si="10"/>
        <v>要確認</v>
      </c>
      <c r="V19" s="163" t="str">
        <f t="shared" si="5"/>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 t="shared" si="11"/>
        <v>0.28680688336520077</v>
      </c>
      <c r="AA19" s="163" t="str">
        <f t="shared" si="12"/>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 t="shared" si="13"/>
        <v>下降トレンド▼</v>
      </c>
      <c r="AE19" s="406" t="str">
        <f t="shared" si="14"/>
        <v>なし</v>
      </c>
      <c r="AF19" s="365">
        <f t="array" ref="AF19">IF(C19="","",IFERROR((INDEX(終値!$E:$E,MATCH(TEXT(C19,"0"),終値!$A:$A,0))-INDEX(終値!$E:$CZ,MATCH(TEXT(C19,"0"),終値!$A:$A,0),$AL$2))/INDEX(終値!$E:$CZ,MATCH(TEXT(C19,"0"),終値!$A:$A,0),$AL$2)*100,""))</f>
        <v>24.510385756676559</v>
      </c>
      <c r="AG19" s="365">
        <f t="array" ref="AG19">IFERROR((終値!$E$5-INDEX(終値!$E$5:$CZ$5,1,$AL$2))/INDEX(終値!$E$5:$CZ$5,1,$AL$2)*100,"")</f>
        <v>1.0179378228534113</v>
      </c>
      <c r="AH19" s="366">
        <f t="shared" si="6"/>
        <v>23.492447933823147</v>
      </c>
      <c r="AI19" s="364">
        <f t="shared" si="7"/>
        <v>3</v>
      </c>
      <c r="BA19">
        <f>IFERROR((SUM(OFFSET(高値!$E$6,IFERROR(MATCH($C19,銘柄管理!$B$6:$B$305,0),MATCH(TEXT($C19,"0"),銘柄管理!$B$6:$B$305,0))-1,0,1,14))-SUM(OFFSET(安値!$E$6,IFERROR(MATCH($C19,銘柄管理!$B$6:$B$305,0),MATCH(TEXT($C19,"0"),銘柄管理!$B$6:$B$305,0))-1,0,1,14)))/SUM(OFFSET(終値!$E$6,IFERROR(MATCH($C19,銘柄管理!$B$6:$B$305,0),MATCH(TEXT($C19,"0"),銘柄管理!$B$6:$B$305,0))-1,0,1,14))*100,"")</f>
      </c>
      <c r="BB19">
        <f>IFERROR((MAX(OFFSET(高値!$E$6,IFERROR(MATCH($C19,銘柄管理!$B$6:$B$305,0),MATCH(TEXT($C19,"0"),銘柄管理!$B$6:$B$305,0))-1,0,1,25))-MIN(OFFSET(安値!$E$6,IFERROR(MATCH($C19,銘柄管理!$B$6:$B$305,0),MATCH(TEXT($C19,"0"),銘柄管理!$B$6:$B$305,0))-1,0,1,25)))/$E19*100,"")</f>
      </c>
      <c r="BC19">
        <f>IFERROR(($F19-$G19)/$G19*100,"")</f>
      </c>
      <c r="BD19">
        <f>IFERROR(($E19-MAX(OFFSET(高値!$E$6,IFERROR(MATCH($C19,銘柄管理!$B$6:$B$305,0),MATCH(TEXT($C19,"0"),銘柄管理!$B$6:$B$305,0))-1,0,1,25)))/MAX(OFFSET(高値!$E$6,IFERROR(MATCH($C19,銘柄管理!$B$6:$B$305,0),MATCH(TEXT($C19,"0"),銘柄管理!$B$6:$B$305,0))-1,0,1,25))*100,"")</f>
      </c>
      <c r="BE19">
        <f>IFERROR(($H19-$I19)/$F19*100,"")</f>
      </c>
      <c r="BF19">
        <f>IFERROR(-(($BA19-AVERAGE($BA$3:$BA$206))/STDEV($BA$3:$BA$206))-(($BE19-AVERAGE($BE$3:$BE$206))/STDEV($BE$3:$BE$206))-(($BB19-AVERAGE($BB$3:$BB$206))/STDEV($BB$3:$BB$206))-(($Z19-AVERAGE($Z$3:$Z$206))/STDEV($Z$3:$Z$206))-(($BC19-AVERAGE($BC$3:$BC$206))/STDEV($BC$3:$BC$206)),"")</f>
      </c>
      <c r="BG19">
        <f>IF(OR($C19="",$C19="TOPX",$BA19="",$BF19=""),0,IF(AND($BK$10=1,$BA19&lt;=$BK$2,$BB19&lt;=$BK$3,$BC19&lt;=$BK$4,$Z19&lt;=$BK$5,$Z19&gt;=$BK$6,$BD19&gt;=$BK$7,$BE19&lt;=$BK$8),1,0))</f>
      </c>
      <c r="BH19">
        <f>IF($C19="","",IF($BG19=1,"○ゲート通過",IF($BK$10&lt;&gt;1,"― この方向は停止中",IF($BA19&gt;$BK$2,"×値動きが荒い",IF($BB19&gt;$BK$3,"×レンジが広い",IF($BC19&gt;$BK$4,"×窓を開けて上昇",IF($Z19&gt;$BK$5,"×前日に急騰",IF($Z19&lt;$BK$6,"×前日に急落",IF($BD19&lt;$BK$7,"×高値から離れすぎ",IF($BE19&gt;$BK$8,"×当日の値幅が大きい","×")))))))))</f>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 t="shared" si="0"/>
        <v>-26.451612903225808</v>
      </c>
      <c r="M20" s="166">
        <f>IF(C20&lt;&gt;"",IFERROR(AVERAGE(出来高!E70:I70),""),"")</f>
        <v>1510420</v>
      </c>
      <c r="N20" s="166">
        <f>IF(C20&lt;&gt;"",IFERROR(AVERAGE(出来高!E70:AC70),""),"")</f>
        <v>1457612.5</v>
      </c>
      <c r="O20" s="168">
        <f t="shared" si="1"/>
        <v>1.607897141192516</v>
      </c>
      <c r="P20" s="163" t="str">
        <f t="shared" si="2"/>
        <v>増加↑</v>
      </c>
      <c r="Q20" s="163" t="str">
        <f t="shared" si="3"/>
        <v>中立→</v>
      </c>
      <c r="R20" s="166">
        <f t="shared" si="8"/>
        <v>123</v>
      </c>
      <c r="S20" s="166">
        <f t="shared" si="9"/>
        <v>109</v>
      </c>
      <c r="T20" s="163">
        <f>IF(C20="","",IFERROR(IF(O20&gt;=2,3,IF(O20&gt;=1.5,2,IF(O20&gt;=1,1,0)))+IF(E20&gt;G20,1,0)+IF(L20&gt;=-5,1,0)+IF(Q20="買い▲",2,0)+IF(W20&gt;=78,-4,IF(W20&gt;=72,-2,IF(W20&gt;=55,2,IF(W20&gt;=45,1,0))))+IF(X20&gt;0,1,0)+IF(V20="年初来高値更新●",3,IF(V20="高値圏",2,0))+IF(AD20="パーフェクト▲",3,IF(AD20="上昇トレンド▲",2,0))+IF(AE20="25日線押し目●",2,IF(AE20="5日線押し目○",1,0))+IF(P20="急増↑↑",2,IF(P20="増加↑",1,0))+N(AI20),0))</f>
      </c>
      <c r="U20" s="163" t="str">
        <f t="shared" si="10"/>
        <v>有効</v>
      </c>
      <c r="V20" s="163" t="str">
        <f t="shared" si="5"/>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 t="shared" si="11"/>
        <v>0</v>
      </c>
      <c r="AA20" s="163" t="str">
        <f t="shared" si="12"/>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 t="shared" si="13"/>
        <v>もみ合い→</v>
      </c>
      <c r="AE20" s="404" t="str">
        <f t="shared" si="14"/>
        <v>なし</v>
      </c>
      <c r="AF20" s="365">
        <f t="array" ref="AF20">IF(C20="","",IFERROR((INDEX(終値!$E:$E,MATCH(TEXT(C20,"0"),終値!$A:$A,0))-INDEX(終値!$E:$CZ,MATCH(TEXT(C20,"0"),終値!$A:$A,0),$AL$2))/INDEX(終値!$E:$CZ,MATCH(TEXT(C20,"0"),終値!$A:$A,0),$AL$2)*100,""))</f>
        <v>8.5714285714285712</v>
      </c>
      <c r="AG20" s="365">
        <f t="array" ref="AG20">IFERROR((終値!$E$5-INDEX(終値!$E$5:$CZ$5,1,$AL$2))/INDEX(終値!$E$5:$CZ$5,1,$AL$2)*100,"")</f>
        <v>1.0179378228534113</v>
      </c>
      <c r="AH20" s="366">
        <f t="shared" si="6"/>
        <v>7.5534907485751601</v>
      </c>
      <c r="AI20" s="364">
        <f t="shared" si="7"/>
        <v>3</v>
      </c>
      <c r="BA20">
        <f>IFERROR((SUM(OFFSET(高値!$E$6,IFERROR(MATCH($C20,銘柄管理!$B$6:$B$305,0),MATCH(TEXT($C20,"0"),銘柄管理!$B$6:$B$305,0))-1,0,1,14))-SUM(OFFSET(安値!$E$6,IFERROR(MATCH($C20,銘柄管理!$B$6:$B$305,0),MATCH(TEXT($C20,"0"),銘柄管理!$B$6:$B$305,0))-1,0,1,14)))/SUM(OFFSET(終値!$E$6,IFERROR(MATCH($C20,銘柄管理!$B$6:$B$305,0),MATCH(TEXT($C20,"0"),銘柄管理!$B$6:$B$305,0))-1,0,1,14))*100,"")</f>
      </c>
      <c r="BB20">
        <f>IFERROR((MAX(OFFSET(高値!$E$6,IFERROR(MATCH($C20,銘柄管理!$B$6:$B$305,0),MATCH(TEXT($C20,"0"),銘柄管理!$B$6:$B$305,0))-1,0,1,25))-MIN(OFFSET(安値!$E$6,IFERROR(MATCH($C20,銘柄管理!$B$6:$B$305,0),MATCH(TEXT($C20,"0"),銘柄管理!$B$6:$B$305,0))-1,0,1,25)))/$E20*100,"")</f>
      </c>
      <c r="BC20">
        <f>IFERROR(($F20-$G20)/$G20*100,"")</f>
      </c>
      <c r="BD20">
        <f>IFERROR(($E20-MAX(OFFSET(高値!$E$6,IFERROR(MATCH($C20,銘柄管理!$B$6:$B$305,0),MATCH(TEXT($C20,"0"),銘柄管理!$B$6:$B$305,0))-1,0,1,25)))/MAX(OFFSET(高値!$E$6,IFERROR(MATCH($C20,銘柄管理!$B$6:$B$305,0),MATCH(TEXT($C20,"0"),銘柄管理!$B$6:$B$305,0))-1,0,1,25))*100,"")</f>
      </c>
      <c r="BE20">
        <f>IFERROR(($H20-$I20)/$F20*100,"")</f>
      </c>
      <c r="BF20">
        <f>IFERROR(-(($BA20-AVERAGE($BA$3:$BA$206))/STDEV($BA$3:$BA$206))-(($BE20-AVERAGE($BE$3:$BE$206))/STDEV($BE$3:$BE$206))-(($BB20-AVERAGE($BB$3:$BB$206))/STDEV($BB$3:$BB$206))-(($Z20-AVERAGE($Z$3:$Z$206))/STDEV($Z$3:$Z$206))-(($BC20-AVERAGE($BC$3:$BC$206))/STDEV($BC$3:$BC$206)),"")</f>
      </c>
      <c r="BG20">
        <f>IF(OR($C20="",$C20="TOPX",$BA20="",$BF20=""),0,IF(AND($BK$10=1,$BA20&lt;=$BK$2,$BB20&lt;=$BK$3,$BC20&lt;=$BK$4,$Z20&lt;=$BK$5,$Z20&gt;=$BK$6,$BD20&gt;=$BK$7,$BE20&lt;=$BK$8),1,0))</f>
      </c>
      <c r="BH20">
        <f>IF($C20="","",IF($BG20=1,"○ゲート通過",IF($BK$10&lt;&gt;1,"― この方向は停止中",IF($BA20&gt;$BK$2,"×値動きが荒い",IF($BB20&gt;$BK$3,"×レンジが広い",IF($BC20&gt;$BK$4,"×窓を開けて上昇",IF($Z20&gt;$BK$5,"×前日に急騰",IF($Z20&lt;$BK$6,"×前日に急落",IF($BD20&lt;$BK$7,"×高値から離れすぎ",IF($BE20&gt;$BK$8,"×当日の値幅が大きい","×")))))))))</f>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 t="shared" si="0"/>
        <v>-23.901712583767683</v>
      </c>
      <c r="M21" s="166">
        <f>IF(C21&lt;&gt;"",IFERROR(AVERAGE(出来高!E126:I126),""),"")</f>
        <v>217800</v>
      </c>
      <c r="N21" s="166">
        <f>IF(C21&lt;&gt;"",IFERROR(AVERAGE(出来高!E126:AC126),""),"")</f>
        <v>331356</v>
      </c>
      <c r="O21" s="168">
        <f t="shared" si="1"/>
        <v>0.76308539944903586</v>
      </c>
      <c r="P21" s="163" t="str">
        <f t="shared" si="2"/>
        <v>減少↓</v>
      </c>
      <c r="Q21" s="163" t="str">
        <f t="shared" si="3"/>
        <v>中立→</v>
      </c>
      <c r="R21" s="166">
        <f t="shared" si="8"/>
        <v>1104</v>
      </c>
      <c r="S21" s="166">
        <f t="shared" si="9"/>
        <v>981</v>
      </c>
      <c r="T21" s="163">
        <f>IF(C21="","",IFERROR(IF(O21&gt;=2,3,IF(O21&gt;=1.5,2,IF(O21&gt;=1,1,0)))+IF(E21&gt;G21,1,0)+IF(L21&gt;=-5,1,0)+IF(Q21="買い▲",2,0)+IF(W21&gt;=78,-4,IF(W21&gt;=72,-2,IF(W21&gt;=55,2,IF(W21&gt;=45,1,0))))+IF(X21&gt;0,1,0)+IF(V21="年初来高値更新●",3,IF(V21="高値圏",2,0))+IF(AD21="パーフェクト▲",3,IF(AD21="上昇トレンド▲",2,0))+IF(AE21="25日線押し目●",2,IF(AE21="5日線押し目○",1,0))+IF(P21="急増↑↑",2,IF(P21="増加↑",1,0))+N(AI21),0))</f>
      </c>
      <c r="U21" s="163" t="str">
        <f t="shared" si="10"/>
        <v>要確認</v>
      </c>
      <c r="V21" s="163" t="str">
        <f t="shared" si="5"/>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 t="shared" si="11"/>
        <v>0.19607843137254902</v>
      </c>
      <c r="AA21" s="163" t="str">
        <f t="shared" si="12"/>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 t="shared" si="13"/>
        <v>もみ合い→</v>
      </c>
      <c r="AE21" s="406" t="str">
        <f t="shared" si="14"/>
        <v>なし</v>
      </c>
      <c r="AF21" s="365">
        <f t="array" ref="AF21">IF(C21="","",IFERROR((INDEX(終値!$E:$E,MATCH(TEXT(C21,"0"),終値!$A:$A,0))-INDEX(終値!$E:$CZ,MATCH(TEXT(C21,"0"),終値!$A:$A,0),$AL$2))/INDEX(終値!$E:$CZ,MATCH(TEXT(C21,"0"),終値!$A:$A,0),$AL$2)*100,""))</f>
        <v>6.0165975103734439</v>
      </c>
      <c r="AG21" s="365">
        <f t="array" ref="AG21">IFERROR((終値!$E$5-INDEX(終値!$E$5:$CZ$5,1,$AL$2))/INDEX(終値!$E$5:$CZ$5,1,$AL$2)*100,"")</f>
        <v>1.0179378228534113</v>
      </c>
      <c r="AH21" s="366">
        <f t="shared" si="6"/>
        <v>4.9986596875200329</v>
      </c>
      <c r="AI21" s="364">
        <f t="shared" si="7"/>
        <v>1</v>
      </c>
      <c r="BA21">
        <f>IFERROR((SUM(OFFSET(高値!$E$6,IFERROR(MATCH($C21,銘柄管理!$B$6:$B$305,0),MATCH(TEXT($C21,"0"),銘柄管理!$B$6:$B$305,0))-1,0,1,14))-SUM(OFFSET(安値!$E$6,IFERROR(MATCH($C21,銘柄管理!$B$6:$B$305,0),MATCH(TEXT($C21,"0"),銘柄管理!$B$6:$B$305,0))-1,0,1,14)))/SUM(OFFSET(終値!$E$6,IFERROR(MATCH($C21,銘柄管理!$B$6:$B$305,0),MATCH(TEXT($C21,"0"),銘柄管理!$B$6:$B$305,0))-1,0,1,14))*100,"")</f>
      </c>
      <c r="BB21">
        <f>IFERROR((MAX(OFFSET(高値!$E$6,IFERROR(MATCH($C21,銘柄管理!$B$6:$B$305,0),MATCH(TEXT($C21,"0"),銘柄管理!$B$6:$B$305,0))-1,0,1,25))-MIN(OFFSET(安値!$E$6,IFERROR(MATCH($C21,銘柄管理!$B$6:$B$305,0),MATCH(TEXT($C21,"0"),銘柄管理!$B$6:$B$305,0))-1,0,1,25)))/$E21*100,"")</f>
      </c>
      <c r="BC21">
        <f>IFERROR(($F21-$G21)/$G21*100,"")</f>
      </c>
      <c r="BD21">
        <f>IFERROR(($E21-MAX(OFFSET(高値!$E$6,IFERROR(MATCH($C21,銘柄管理!$B$6:$B$305,0),MATCH(TEXT($C21,"0"),銘柄管理!$B$6:$B$305,0))-1,0,1,25)))/MAX(OFFSET(高値!$E$6,IFERROR(MATCH($C21,銘柄管理!$B$6:$B$305,0),MATCH(TEXT($C21,"0"),銘柄管理!$B$6:$B$305,0))-1,0,1,25))*100,"")</f>
      </c>
      <c r="BE21">
        <f>IFERROR(($H21-$I21)/$F21*100,"")</f>
      </c>
      <c r="BF21">
        <f>IFERROR(-(($BA21-AVERAGE($BA$3:$BA$206))/STDEV($BA$3:$BA$206))-(($BE21-AVERAGE($BE$3:$BE$206))/STDEV($BE$3:$BE$206))-(($BB21-AVERAGE($BB$3:$BB$206))/STDEV($BB$3:$BB$206))-(($Z21-AVERAGE($Z$3:$Z$206))/STDEV($Z$3:$Z$206))-(($BC21-AVERAGE($BC$3:$BC$206))/STDEV($BC$3:$BC$206)),"")</f>
      </c>
      <c r="BG21">
        <f>IF(OR($C21="",$C21="TOPX",$BA21="",$BF21=""),0,IF(AND($BK$10=1,$BA21&lt;=$BK$2,$BB21&lt;=$BK$3,$BC21&lt;=$BK$4,$Z21&lt;=$BK$5,$Z21&gt;=$BK$6,$BD21&gt;=$BK$7,$BE21&lt;=$BK$8),1,0))</f>
      </c>
      <c r="BH21">
        <f>IF($C21="","",IF($BG21=1,"○ゲート通過",IF($BK$10&lt;&gt;1,"― この方向は停止中",IF($BA21&gt;$BK$2,"×値動きが荒い",IF($BB21&gt;$BK$3,"×レンジが広い",IF($BC21&gt;$BK$4,"×窓を開けて上昇",IF($Z21&gt;$BK$5,"×前日に急騰",IF($Z21&lt;$BK$6,"×前日に急落",IF($BD21&lt;$BK$7,"×高値から離れすぎ",IF($BE21&gt;$BK$8,"×当日の値幅が大きい","×")))))))))</f>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 t="shared" si="0"/>
        <v>-52.5</v>
      </c>
      <c r="M22" s="166">
        <f>IF(C22&lt;&gt;"",IFERROR(AVERAGE(出来高!E56:I56),""),"")</f>
        <v>4240860</v>
      </c>
      <c r="N22" s="166">
        <f>IF(C22&lt;&gt;"",IFERROR(AVERAGE(出来高!E56:AC56),""),"")</f>
        <v>2814848</v>
      </c>
      <c r="O22" s="168">
        <f t="shared" si="1"/>
        <v>1.0687454903014955</v>
      </c>
      <c r="P22" s="163" t="str">
        <f t="shared" si="2"/>
        <v>普通→</v>
      </c>
      <c r="Q22" s="163" t="str">
        <f t="shared" si="3"/>
        <v>様子見▼</v>
      </c>
      <c r="R22" s="166">
        <f t="shared" si="8"/>
        <v>2421</v>
      </c>
      <c r="S22" s="166">
        <f t="shared" si="9"/>
        <v>2152</v>
      </c>
      <c r="T22" s="163">
        <f>IF(C22="","",IFERROR(IF(O22&gt;=2,3,IF(O22&gt;=1.5,2,IF(O22&gt;=1,1,0)))+IF(E22&gt;G22,1,0)+IF(L22&gt;=-5,1,0)+IF(Q22="買い▲",2,0)+IF(W22&gt;=78,-4,IF(W22&gt;=72,-2,IF(W22&gt;=55,2,IF(W22&gt;=45,1,0))))+IF(X22&gt;0,1,0)+IF(V22="年初来高値更新●",3,IF(V22="高値圏",2,0))+IF(AD22="パーフェクト▲",3,IF(AD22="上昇トレンド▲",2,0))+IF(AE22="25日線押し目●",2,IF(AE22="5日線押し目○",1,0))+IF(P22="急増↑↑",2,IF(P22="増加↑",1,0))+N(AI22),0))</f>
      </c>
      <c r="U22" s="163" t="str">
        <f t="shared" si="10"/>
        <v>除外</v>
      </c>
      <c r="V22" s="163" t="str">
        <f t="shared" si="5"/>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 t="shared" si="11"/>
        <v>-10.32</v>
      </c>
      <c r="AA22" s="163" t="str">
        <f t="shared" si="12"/>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 t="shared" si="13"/>
        <v>上昇トレンド▲</v>
      </c>
      <c r="AE22" s="404" t="str">
        <f t="shared" si="14"/>
        <v>なし</v>
      </c>
      <c r="AF22" s="365">
        <f t="array" ref="AF22">IF(C22="","",IFERROR((INDEX(終値!$E:$E,MATCH(TEXT(C22,"0"),終値!$A:$A,0))-INDEX(終値!$E:$CZ,MATCH(TEXT(C22,"0"),終値!$A:$A,0),$AL$2))/INDEX(終値!$E:$CZ,MATCH(TEXT(C22,"0"),終値!$A:$A,0),$AL$2)*100,""))</f>
        <v>-12.147335423197491</v>
      </c>
      <c r="AG22" s="365">
        <f t="array" ref="AG22">IFERROR((終値!$E$5-INDEX(終値!$E$5:$CZ$5,1,$AL$2))/INDEX(終値!$E$5:$CZ$5,1,$AL$2)*100,"")</f>
        <v>1.0179378228534113</v>
      </c>
      <c r="AH22" s="366">
        <f t="shared" si="6"/>
        <v>-13.165273246050903</v>
      </c>
      <c r="AI22" s="364">
        <f t="shared" si="7"/>
        <v>-2</v>
      </c>
      <c r="BA22">
        <f>IFERROR((SUM(OFFSET(高値!$E$6,IFERROR(MATCH($C22,銘柄管理!$B$6:$B$305,0),MATCH(TEXT($C22,"0"),銘柄管理!$B$6:$B$305,0))-1,0,1,14))-SUM(OFFSET(安値!$E$6,IFERROR(MATCH($C22,銘柄管理!$B$6:$B$305,0),MATCH(TEXT($C22,"0"),銘柄管理!$B$6:$B$305,0))-1,0,1,14)))/SUM(OFFSET(終値!$E$6,IFERROR(MATCH($C22,銘柄管理!$B$6:$B$305,0),MATCH(TEXT($C22,"0"),銘柄管理!$B$6:$B$305,0))-1,0,1,14))*100,"")</f>
      </c>
      <c r="BB22">
        <f>IFERROR((MAX(OFFSET(高値!$E$6,IFERROR(MATCH($C22,銘柄管理!$B$6:$B$305,0),MATCH(TEXT($C22,"0"),銘柄管理!$B$6:$B$305,0))-1,0,1,25))-MIN(OFFSET(安値!$E$6,IFERROR(MATCH($C22,銘柄管理!$B$6:$B$305,0),MATCH(TEXT($C22,"0"),銘柄管理!$B$6:$B$305,0))-1,0,1,25)))/$E22*100,"")</f>
      </c>
      <c r="BC22">
        <f>IFERROR(($F22-$G22)/$G22*100,"")</f>
      </c>
      <c r="BD22">
        <f>IFERROR(($E22-MAX(OFFSET(高値!$E$6,IFERROR(MATCH($C22,銘柄管理!$B$6:$B$305,0),MATCH(TEXT($C22,"0"),銘柄管理!$B$6:$B$305,0))-1,0,1,25)))/MAX(OFFSET(高値!$E$6,IFERROR(MATCH($C22,銘柄管理!$B$6:$B$305,0),MATCH(TEXT($C22,"0"),銘柄管理!$B$6:$B$305,0))-1,0,1,25))*100,"")</f>
      </c>
      <c r="BE22">
        <f>IFERROR(($H22-$I22)/$F22*100,"")</f>
      </c>
      <c r="BF22">
        <f>IFERROR(-(($BA22-AVERAGE($BA$3:$BA$206))/STDEV($BA$3:$BA$206))-(($BE22-AVERAGE($BE$3:$BE$206))/STDEV($BE$3:$BE$206))-(($BB22-AVERAGE($BB$3:$BB$206))/STDEV($BB$3:$BB$206))-(($Z22-AVERAGE($Z$3:$Z$206))/STDEV($Z$3:$Z$206))-(($BC22-AVERAGE($BC$3:$BC$206))/STDEV($BC$3:$BC$206)),"")</f>
      </c>
      <c r="BG22">
        <f>IF(OR($C22="",$C22="TOPX",$BA22="",$BF22=""),0,IF(AND($BK$10=1,$BA22&lt;=$BK$2,$BB22&lt;=$BK$3,$BC22&lt;=$BK$4,$Z22&lt;=$BK$5,$Z22&gt;=$BK$6,$BD22&gt;=$BK$7,$BE22&lt;=$BK$8),1,0))</f>
      </c>
      <c r="BH22">
        <f>IF($C22="","",IF($BG22=1,"○ゲート通過",IF($BK$10&lt;&gt;1,"― この方向は停止中",IF($BA22&gt;$BK$2,"×値動きが荒い",IF($BB22&gt;$BK$3,"×レンジが広い",IF($BC22&gt;$BK$4,"×窓を開けて上昇",IF($Z22&gt;$BK$5,"×前日に急騰",IF($Z22&lt;$BK$6,"×前日に急落",IF($BD22&lt;$BK$7,"×高値から離れすぎ",IF($BE22&gt;$BK$8,"×当日の値幅が大きい","×")))))))))</f>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 t="shared" si="0"/>
        <v>-27.371616493802176</v>
      </c>
      <c r="M23" s="166">
        <f>IF(C23&lt;&gt;"",IFERROR(AVERAGE(出来高!E119:I119),""),"")</f>
        <v>674800</v>
      </c>
      <c r="N23" s="166">
        <f>IF(C23&lt;&gt;"",IFERROR(AVERAGE(出来高!E119:AC119),""),"")</f>
        <v>510732</v>
      </c>
      <c r="O23" s="168">
        <f t="shared" si="1"/>
        <v>0.8934499110847659</v>
      </c>
      <c r="P23" s="163" t="str">
        <f t="shared" si="2"/>
        <v>減少↓</v>
      </c>
      <c r="Q23" s="163" t="str">
        <f t="shared" si="3"/>
        <v>中立→</v>
      </c>
      <c r="R23" s="166">
        <f t="shared" si="8"/>
        <v>3101</v>
      </c>
      <c r="S23" s="166">
        <f t="shared" si="9"/>
        <v>2756</v>
      </c>
      <c r="T23" s="163">
        <f>IF(C23="","",IFERROR(IF(O23&gt;=2,3,IF(O23&gt;=1.5,2,IF(O23&gt;=1,1,0)))+IF(E23&gt;G23,1,0)+IF(L23&gt;=-5,1,0)+IF(Q23="買い▲",2,0)+IF(W23&gt;=78,-4,IF(W23&gt;=72,-2,IF(W23&gt;=55,2,IF(W23&gt;=45,1,0))))+IF(X23&gt;0,1,0)+IF(V23="年初来高値更新●",3,IF(V23="高値圏",2,0))+IF(AD23="パーフェクト▲",3,IF(AD23="上昇トレンド▲",2,0))+IF(AE23="25日線押し目●",2,IF(AE23="5日線押し目○",1,0))+IF(P23="急増↑↑",2,IF(P23="増加↑",1,0))+N(AI23),0))</f>
      </c>
      <c r="U23" s="163" t="str">
        <f t="shared" si="10"/>
        <v>要確認</v>
      </c>
      <c r="V23" s="163" t="str">
        <f t="shared" si="5"/>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 t="shared" si="11"/>
        <v>3.5154137371552192</v>
      </c>
      <c r="AA23" s="163" t="str">
        <f t="shared" si="12"/>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 t="shared" si="13"/>
        <v>パーフェクト▲</v>
      </c>
      <c r="AE23" s="406" t="str">
        <f t="shared" si="14"/>
        <v>なし</v>
      </c>
      <c r="AF23" s="365">
        <f t="array" ref="AF23">IF(C23="","",IFERROR((INDEX(終値!$E:$E,MATCH(TEXT(C23,"0"),終値!$A:$A,0))-INDEX(終値!$E:$CZ,MATCH(TEXT(C23,"0"),終値!$A:$A,0),$AL$2))/INDEX(終値!$E:$CZ,MATCH(TEXT(C23,"0"),終値!$A:$A,0),$AL$2)*100,""))</f>
        <v>1.7543859649122806</v>
      </c>
      <c r="AG23" s="365">
        <f t="array" ref="AG23">IFERROR((終値!$E$5-INDEX(終値!$E$5:$CZ$5,1,$AL$2))/INDEX(終値!$E$5:$CZ$5,1,$AL$2)*100,"")</f>
        <v>1.0179378228534113</v>
      </c>
      <c r="AH23" s="366">
        <f t="shared" si="6"/>
        <v>0.73644814205886933</v>
      </c>
      <c r="AI23" s="364">
        <f t="shared" si="7"/>
        <v>1</v>
      </c>
      <c r="BA23">
        <f>IFERROR((SUM(OFFSET(高値!$E$6,IFERROR(MATCH($C23,銘柄管理!$B$6:$B$305,0),MATCH(TEXT($C23,"0"),銘柄管理!$B$6:$B$305,0))-1,0,1,14))-SUM(OFFSET(安値!$E$6,IFERROR(MATCH($C23,銘柄管理!$B$6:$B$305,0),MATCH(TEXT($C23,"0"),銘柄管理!$B$6:$B$305,0))-1,0,1,14)))/SUM(OFFSET(終値!$E$6,IFERROR(MATCH($C23,銘柄管理!$B$6:$B$305,0),MATCH(TEXT($C23,"0"),銘柄管理!$B$6:$B$305,0))-1,0,1,14))*100,"")</f>
      </c>
      <c r="BB23">
        <f>IFERROR((MAX(OFFSET(高値!$E$6,IFERROR(MATCH($C23,銘柄管理!$B$6:$B$305,0),MATCH(TEXT($C23,"0"),銘柄管理!$B$6:$B$305,0))-1,0,1,25))-MIN(OFFSET(安値!$E$6,IFERROR(MATCH($C23,銘柄管理!$B$6:$B$305,0),MATCH(TEXT($C23,"0"),銘柄管理!$B$6:$B$305,0))-1,0,1,25)))/$E23*100,"")</f>
      </c>
      <c r="BC23">
        <f>IFERROR(($F23-$G23)/$G23*100,"")</f>
      </c>
      <c r="BD23">
        <f>IFERROR(($E23-MAX(OFFSET(高値!$E$6,IFERROR(MATCH($C23,銘柄管理!$B$6:$B$305,0),MATCH(TEXT($C23,"0"),銘柄管理!$B$6:$B$305,0))-1,0,1,25)))/MAX(OFFSET(高値!$E$6,IFERROR(MATCH($C23,銘柄管理!$B$6:$B$305,0),MATCH(TEXT($C23,"0"),銘柄管理!$B$6:$B$305,0))-1,0,1,25))*100,"")</f>
      </c>
      <c r="BE23">
        <f>IFERROR(($H23-$I23)/$F23*100,"")</f>
      </c>
      <c r="BF23">
        <f>IFERROR(-(($BA23-AVERAGE($BA$3:$BA$206))/STDEV($BA$3:$BA$206))-(($BE23-AVERAGE($BE$3:$BE$206))/STDEV($BE$3:$BE$206))-(($BB23-AVERAGE($BB$3:$BB$206))/STDEV($BB$3:$BB$206))-(($Z23-AVERAGE($Z$3:$Z$206))/STDEV($Z$3:$Z$206))-(($BC23-AVERAGE($BC$3:$BC$206))/STDEV($BC$3:$BC$206)),"")</f>
      </c>
      <c r="BG23">
        <f>IF(OR($C23="",$C23="TOPX",$BA23="",$BF23=""),0,IF(AND($BK$10=1,$BA23&lt;=$BK$2,$BB23&lt;=$BK$3,$BC23&lt;=$BK$4,$Z23&lt;=$BK$5,$Z23&gt;=$BK$6,$BD23&gt;=$BK$7,$BE23&lt;=$BK$8),1,0))</f>
      </c>
      <c r="BH23">
        <f>IF($C23="","",IF($BG23=1,"○ゲート通過",IF($BK$10&lt;&gt;1,"― この方向は停止中",IF($BA23&gt;$BK$2,"×値動きが荒い",IF($BB23&gt;$BK$3,"×レンジが広い",IF($BC23&gt;$BK$4,"×窓を開けて上昇",IF($Z23&gt;$BK$5,"×前日に急騰",IF($Z23&lt;$BK$6,"×前日に急落",IF($BD23&lt;$BK$7,"×高値から離れすぎ",IF($BE23&gt;$BK$8,"×当日の値幅が大きい","×")))))))))</f>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 t="shared" si="0"/>
        <v>-41.267605633802816</v>
      </c>
      <c r="M24" s="166">
        <f>IF(C24&lt;&gt;"",IFERROR(AVERAGE(出来高!E112:I112),""),"")</f>
        <v>842480</v>
      </c>
      <c r="N24" s="166">
        <f>IF(C24&lt;&gt;"",IFERROR(AVERAGE(出来高!E112:AC112),""),"")</f>
        <v>1585795.8333333333</v>
      </c>
      <c r="O24" s="168">
        <f t="shared" si="1"/>
        <v>0.58850061722533475</v>
      </c>
      <c r="P24" s="163" t="str">
        <f t="shared" si="2"/>
        <v>減少↓</v>
      </c>
      <c r="Q24" s="163" t="str">
        <f t="shared" si="3"/>
        <v>様子見▼</v>
      </c>
      <c r="R24" s="166">
        <f t="shared" si="8"/>
        <v>450</v>
      </c>
      <c r="S24" s="166">
        <f t="shared" si="9"/>
        <v>400</v>
      </c>
      <c r="T24" s="163">
        <f>IF(C24="","",IFERROR(IF(O24&gt;=2,3,IF(O24&gt;=1.5,2,IF(O24&gt;=1,1,0)))+IF(E24&gt;G24,1,0)+IF(L24&gt;=-5,1,0)+IF(Q24="買い▲",2,0)+IF(W24&gt;=78,-4,IF(W24&gt;=72,-2,IF(W24&gt;=55,2,IF(W24&gt;=45,1,0))))+IF(X24&gt;0,1,0)+IF(V24="年初来高値更新●",3,IF(V24="高値圏",2,0))+IF(AD24="パーフェクト▲",3,IF(AD24="上昇トレンド▲",2,0))+IF(AE24="25日線押し目●",2,IF(AE24="5日線押し目○",1,0))+IF(P24="急増↑↑",2,IF(P24="増加↑",1,0))+N(AI24),0))</f>
      </c>
      <c r="U24" s="163" t="str">
        <f t="shared" si="10"/>
        <v>除外</v>
      </c>
      <c r="V24" s="163" t="str">
        <f t="shared" si="5"/>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 t="shared" si="11"/>
        <v>-1.1848341232227488</v>
      </c>
      <c r="AA24" s="163" t="str">
        <f t="shared" si="12"/>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 t="shared" si="13"/>
        <v>もみ合い→</v>
      </c>
      <c r="AE24" s="404" t="str">
        <f t="shared" si="14"/>
        <v>なし</v>
      </c>
      <c r="AF24" s="365">
        <f t="array" ref="AF24">IF(C24="","",IFERROR((INDEX(終値!$E:$E,MATCH(TEXT(C24,"0"),終値!$A:$A,0))-INDEX(終値!$E:$CZ,MATCH(TEXT(C24,"0"),終値!$A:$A,0),$AL$2))/INDEX(終値!$E:$CZ,MATCH(TEXT(C24,"0"),終値!$A:$A,0),$AL$2)*100,""))</f>
        <v>-5.2272727272727266</v>
      </c>
      <c r="AG24" s="365">
        <f t="array" ref="AG24">IFERROR((終値!$E$5-INDEX(終値!$E$5:$CZ$5,1,$AL$2))/INDEX(終値!$E$5:$CZ$5,1,$AL$2)*100,"")</f>
        <v>1.0179378228534113</v>
      </c>
      <c r="AH24" s="366">
        <f t="shared" si="6"/>
        <v>-6.2452105501261377</v>
      </c>
      <c r="AI24" s="364">
        <f t="shared" si="7"/>
        <v>-2</v>
      </c>
      <c r="BA24">
        <f>IFERROR((SUM(OFFSET(高値!$E$6,IFERROR(MATCH($C24,銘柄管理!$B$6:$B$305,0),MATCH(TEXT($C24,"0"),銘柄管理!$B$6:$B$305,0))-1,0,1,14))-SUM(OFFSET(安値!$E$6,IFERROR(MATCH($C24,銘柄管理!$B$6:$B$305,0),MATCH(TEXT($C24,"0"),銘柄管理!$B$6:$B$305,0))-1,0,1,14)))/SUM(OFFSET(終値!$E$6,IFERROR(MATCH($C24,銘柄管理!$B$6:$B$305,0),MATCH(TEXT($C24,"0"),銘柄管理!$B$6:$B$305,0))-1,0,1,14))*100,"")</f>
      </c>
      <c r="BB24">
        <f>IFERROR((MAX(OFFSET(高値!$E$6,IFERROR(MATCH($C24,銘柄管理!$B$6:$B$305,0),MATCH(TEXT($C24,"0"),銘柄管理!$B$6:$B$305,0))-1,0,1,25))-MIN(OFFSET(安値!$E$6,IFERROR(MATCH($C24,銘柄管理!$B$6:$B$305,0),MATCH(TEXT($C24,"0"),銘柄管理!$B$6:$B$305,0))-1,0,1,25)))/$E24*100,"")</f>
      </c>
      <c r="BC24">
        <f>IFERROR(($F24-$G24)/$G24*100,"")</f>
      </c>
      <c r="BD24">
        <f>IFERROR(($E24-MAX(OFFSET(高値!$E$6,IFERROR(MATCH($C24,銘柄管理!$B$6:$B$305,0),MATCH(TEXT($C24,"0"),銘柄管理!$B$6:$B$305,0))-1,0,1,25)))/MAX(OFFSET(高値!$E$6,IFERROR(MATCH($C24,銘柄管理!$B$6:$B$305,0),MATCH(TEXT($C24,"0"),銘柄管理!$B$6:$B$305,0))-1,0,1,25))*100,"")</f>
      </c>
      <c r="BE24">
        <f>IFERROR(($H24-$I24)/$F24*100,"")</f>
      </c>
      <c r="BF24">
        <f>IFERROR(-(($BA24-AVERAGE($BA$3:$BA$206))/STDEV($BA$3:$BA$206))-(($BE24-AVERAGE($BE$3:$BE$206))/STDEV($BE$3:$BE$206))-(($BB24-AVERAGE($BB$3:$BB$206))/STDEV($BB$3:$BB$206))-(($Z24-AVERAGE($Z$3:$Z$206))/STDEV($Z$3:$Z$206))-(($BC24-AVERAGE($BC$3:$BC$206))/STDEV($BC$3:$BC$206)),"")</f>
      </c>
      <c r="BG24">
        <f>IF(OR($C24="",$C24="TOPX",$BA24="",$BF24=""),0,IF(AND($BK$10=1,$BA24&lt;=$BK$2,$BB24&lt;=$BK$3,$BC24&lt;=$BK$4,$Z24&lt;=$BK$5,$Z24&gt;=$BK$6,$BD24&gt;=$BK$7,$BE24&lt;=$BK$8),1,0))</f>
      </c>
      <c r="BH24">
        <f>IF($C24="","",IF($BG24=1,"○ゲート通過",IF($BK$10&lt;&gt;1,"― この方向は停止中",IF($BA24&gt;$BK$2,"×値動きが荒い",IF($BB24&gt;$BK$3,"×レンジが広い",IF($BC24&gt;$BK$4,"×窓を開けて上昇",IF($Z24&gt;$BK$5,"×前日に急騰",IF($Z24&lt;$BK$6,"×前日に急落",IF($BD24&lt;$BK$7,"×高値から離れすぎ",IF($BE24&gt;$BK$8,"×当日の値幅が大きい","×")))))))))</f>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 t="shared" si="0"/>
        <v>-44.506172839506178</v>
      </c>
      <c r="M25" s="166">
        <f>IF(C25&lt;&gt;"",IFERROR(AVERAGE(出来高!E111:I111),""),"")</f>
        <v>256380</v>
      </c>
      <c r="N25" s="166">
        <f>IF(C25&lt;&gt;"",IFERROR(AVERAGE(出来高!E111:AC111),""),"")</f>
        <v>396204.16666666669</v>
      </c>
      <c r="O25" s="168">
        <f t="shared" si="1"/>
        <v>0.58389890007020828</v>
      </c>
      <c r="P25" s="163" t="str">
        <f t="shared" si="2"/>
        <v>減少↓</v>
      </c>
      <c r="Q25" s="163" t="str">
        <f t="shared" si="3"/>
        <v>中立→</v>
      </c>
      <c r="R25" s="166">
        <f t="shared" si="8"/>
        <v>971</v>
      </c>
      <c r="S25" s="166">
        <f t="shared" si="9"/>
        <v>863</v>
      </c>
      <c r="T25" s="163">
        <f>IF(C25="","",IFERROR(IF(O25&gt;=2,3,IF(O25&gt;=1.5,2,IF(O25&gt;=1,1,0)))+IF(E25&gt;G25,1,0)+IF(L25&gt;=-5,1,0)+IF(Q25="買い▲",2,0)+IF(W25&gt;=78,-4,IF(W25&gt;=72,-2,IF(W25&gt;=55,2,IF(W25&gt;=45,1,0))))+IF(X25&gt;0,1,0)+IF(V25="年初来高値更新●",3,IF(V25="高値圏",2,0))+IF(AD25="パーフェクト▲",3,IF(AD25="上昇トレンド▲",2,0))+IF(AE25="25日線押し目●",2,IF(AE25="5日線押し目○",1,0))+IF(P25="急増↑↑",2,IF(P25="増加↑",1,0))+N(AI25),0))</f>
      </c>
      <c r="U25" s="163" t="str">
        <f t="shared" si="10"/>
        <v>除外</v>
      </c>
      <c r="V25" s="163" t="str">
        <f t="shared" si="5"/>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 t="shared" si="11"/>
        <v>0.67189249720044786</v>
      </c>
      <c r="AA25" s="163" t="str">
        <f t="shared" si="12"/>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 t="shared" si="13"/>
        <v>下降トレンド▼</v>
      </c>
      <c r="AE25" s="406" t="str">
        <f t="shared" si="14"/>
        <v>なし</v>
      </c>
      <c r="AF25" s="365">
        <f t="array" ref="AF25">IF(C25="","",IFERROR((INDEX(終値!$E:$E,MATCH(TEXT(C25,"0"),終値!$A:$A,0))-INDEX(終値!$E:$CZ,MATCH(TEXT(C25,"0"),終値!$A:$A,0),$AL$2))/INDEX(終値!$E:$CZ,MATCH(TEXT(C25,"0"),終値!$A:$A,0),$AL$2)*100,""))</f>
        <v>-4.3617021276595747</v>
      </c>
      <c r="AG25" s="365">
        <f t="array" ref="AG25">IFERROR((終値!$E$5-INDEX(終値!$E$5:$CZ$5,1,$AL$2))/INDEX(終値!$E$5:$CZ$5,1,$AL$2)*100,"")</f>
        <v>1.0179378228534113</v>
      </c>
      <c r="AH25" s="366">
        <f t="shared" si="6"/>
        <v>-5.3796399505129857</v>
      </c>
      <c r="AI25" s="364">
        <f t="shared" si="7"/>
        <v>-2</v>
      </c>
      <c r="BA25">
        <f>IFERROR((SUM(OFFSET(高値!$E$6,IFERROR(MATCH($C25,銘柄管理!$B$6:$B$305,0),MATCH(TEXT($C25,"0"),銘柄管理!$B$6:$B$305,0))-1,0,1,14))-SUM(OFFSET(安値!$E$6,IFERROR(MATCH($C25,銘柄管理!$B$6:$B$305,0),MATCH(TEXT($C25,"0"),銘柄管理!$B$6:$B$305,0))-1,0,1,14)))/SUM(OFFSET(終値!$E$6,IFERROR(MATCH($C25,銘柄管理!$B$6:$B$305,0),MATCH(TEXT($C25,"0"),銘柄管理!$B$6:$B$305,0))-1,0,1,14))*100,"")</f>
      </c>
      <c r="BB25">
        <f>IFERROR((MAX(OFFSET(高値!$E$6,IFERROR(MATCH($C25,銘柄管理!$B$6:$B$305,0),MATCH(TEXT($C25,"0"),銘柄管理!$B$6:$B$305,0))-1,0,1,25))-MIN(OFFSET(安値!$E$6,IFERROR(MATCH($C25,銘柄管理!$B$6:$B$305,0),MATCH(TEXT($C25,"0"),銘柄管理!$B$6:$B$305,0))-1,0,1,25)))/$E25*100,"")</f>
      </c>
      <c r="BC25">
        <f>IFERROR(($F25-$G25)/$G25*100,"")</f>
      </c>
      <c r="BD25">
        <f>IFERROR(($E25-MAX(OFFSET(高値!$E$6,IFERROR(MATCH($C25,銘柄管理!$B$6:$B$305,0),MATCH(TEXT($C25,"0"),銘柄管理!$B$6:$B$305,0))-1,0,1,25)))/MAX(OFFSET(高値!$E$6,IFERROR(MATCH($C25,銘柄管理!$B$6:$B$305,0),MATCH(TEXT($C25,"0"),銘柄管理!$B$6:$B$305,0))-1,0,1,25))*100,"")</f>
      </c>
      <c r="BE25">
        <f>IFERROR(($H25-$I25)/$F25*100,"")</f>
      </c>
      <c r="BF25">
        <f>IFERROR(-(($BA25-AVERAGE($BA$3:$BA$206))/STDEV($BA$3:$BA$206))-(($BE25-AVERAGE($BE$3:$BE$206))/STDEV($BE$3:$BE$206))-(($BB25-AVERAGE($BB$3:$BB$206))/STDEV($BB$3:$BB$206))-(($Z25-AVERAGE($Z$3:$Z$206))/STDEV($Z$3:$Z$206))-(($BC25-AVERAGE($BC$3:$BC$206))/STDEV($BC$3:$BC$206)),"")</f>
      </c>
      <c r="BG25">
        <f>IF(OR($C25="",$C25="TOPX",$BA25="",$BF25=""),0,IF(AND($BK$10=1,$BA25&lt;=$BK$2,$BB25&lt;=$BK$3,$BC25&lt;=$BK$4,$Z25&lt;=$BK$5,$Z25&gt;=$BK$6,$BD25&gt;=$BK$7,$BE25&lt;=$BK$8),1,0))</f>
      </c>
      <c r="BH25">
        <f>IF($C25="","",IF($BG25=1,"○ゲート通過",IF($BK$10&lt;&gt;1,"― この方向は停止中",IF($BA25&gt;$BK$2,"×値動きが荒い",IF($BB25&gt;$BK$3,"×レンジが広い",IF($BC25&gt;$BK$4,"×窓を開けて上昇",IF($Z25&gt;$BK$5,"×前日に急騰",IF($Z25&lt;$BK$6,"×前日に急落",IF($BD25&lt;$BK$7,"×高値から離れすぎ",IF($BE25&gt;$BK$8,"×当日の値幅が大きい","×")))))))))</f>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 t="shared" si="0"/>
        <v>-7.4583211465340753</v>
      </c>
      <c r="M26" s="166">
        <f>IF(C26&lt;&gt;"",IFERROR(AVERAGE(出来高!E74:I74),""),"")</f>
        <v>2516960</v>
      </c>
      <c r="N26" s="166">
        <f>IF(C26&lt;&gt;"",IFERROR(AVERAGE(出来高!E74:AC74),""),"")</f>
        <v>2701416</v>
      </c>
      <c r="O26" s="168">
        <f t="shared" si="1"/>
        <v>0.63437639056639761</v>
      </c>
      <c r="P26" s="163" t="str">
        <f t="shared" si="2"/>
        <v>減少↓</v>
      </c>
      <c r="Q26" s="163" t="str">
        <f t="shared" si="3"/>
        <v>中立→</v>
      </c>
      <c r="R26" s="166">
        <f t="shared" si="8"/>
        <v>3417</v>
      </c>
      <c r="S26" s="166">
        <f t="shared" si="9"/>
        <v>3037</v>
      </c>
      <c r="T26" s="163">
        <f>IF(C26="","",IFERROR(IF(O26&gt;=2,3,IF(O26&gt;=1.5,2,IF(O26&gt;=1,1,0)))+IF(E26&gt;G26,1,0)+IF(L26&gt;=-5,1,0)+IF(Q26="買い▲",2,0)+IF(W26&gt;=78,-4,IF(W26&gt;=72,-2,IF(W26&gt;=55,2,IF(W26&gt;=45,1,0))))+IF(X26&gt;0,1,0)+IF(V26="年初来高値更新●",3,IF(V26="高値圏",2,0))+IF(AD26="パーフェクト▲",3,IF(AD26="上昇トレンド▲",2,0))+IF(AE26="25日線押し目●",2,IF(AE26="5日線押し目○",1,0))+IF(P26="急増↑↑",2,IF(P26="増加↑",1,0))+N(AI26),0))</f>
      </c>
      <c r="U26" s="163" t="str">
        <f t="shared" si="10"/>
        <v>要確認</v>
      </c>
      <c r="V26" s="163" t="str">
        <f t="shared" si="5"/>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 t="shared" si="11"/>
        <v>0.41256743890828312</v>
      </c>
      <c r="AA26" s="163" t="str">
        <f t="shared" si="12"/>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 t="shared" si="13"/>
        <v>下降トレンド▼</v>
      </c>
      <c r="AE26" s="404" t="str">
        <f t="shared" si="14"/>
        <v>なし</v>
      </c>
      <c r="AF26" s="365">
        <f t="array" ref="AF26">IF(C26="","",IFERROR((INDEX(終値!$E:$E,MATCH(TEXT(C26,"0"),終値!$A:$A,0))-INDEX(終値!$E:$CZ,MATCH(TEXT(C26,"0"),終値!$A:$A,0),$AL$2))/INDEX(終値!$E:$CZ,MATCH(TEXT(C26,"0"),終値!$A:$A,0),$AL$2)*100,""))</f>
        <v>7.0184339590732279</v>
      </c>
      <c r="AG26" s="365">
        <f t="array" ref="AG26">IFERROR((終値!$E$5-INDEX(終値!$E$5:$CZ$5,1,$AL$2))/INDEX(終値!$E$5:$CZ$5,1,$AL$2)*100,"")</f>
        <v>1.0179378228534113</v>
      </c>
      <c r="AH26" s="366">
        <f t="shared" si="6"/>
        <v>6.0004961362198168</v>
      </c>
      <c r="AI26" s="364">
        <f t="shared" si="7"/>
        <v>3</v>
      </c>
      <c r="BA26">
        <f>IFERROR((SUM(OFFSET(高値!$E$6,IFERROR(MATCH($C26,銘柄管理!$B$6:$B$305,0),MATCH(TEXT($C26,"0"),銘柄管理!$B$6:$B$305,0))-1,0,1,14))-SUM(OFFSET(安値!$E$6,IFERROR(MATCH($C26,銘柄管理!$B$6:$B$305,0),MATCH(TEXT($C26,"0"),銘柄管理!$B$6:$B$305,0))-1,0,1,14)))/SUM(OFFSET(終値!$E$6,IFERROR(MATCH($C26,銘柄管理!$B$6:$B$305,0),MATCH(TEXT($C26,"0"),銘柄管理!$B$6:$B$305,0))-1,0,1,14))*100,"")</f>
      </c>
      <c r="BB26">
        <f>IFERROR((MAX(OFFSET(高値!$E$6,IFERROR(MATCH($C26,銘柄管理!$B$6:$B$305,0),MATCH(TEXT($C26,"0"),銘柄管理!$B$6:$B$305,0))-1,0,1,25))-MIN(OFFSET(安値!$E$6,IFERROR(MATCH($C26,銘柄管理!$B$6:$B$305,0),MATCH(TEXT($C26,"0"),銘柄管理!$B$6:$B$305,0))-1,0,1,25)))/$E26*100,"")</f>
      </c>
      <c r="BC26">
        <f>IFERROR(($F26-$G26)/$G26*100,"")</f>
      </c>
      <c r="BD26">
        <f>IFERROR(($E26-MAX(OFFSET(高値!$E$6,IFERROR(MATCH($C26,銘柄管理!$B$6:$B$305,0),MATCH(TEXT($C26,"0"),銘柄管理!$B$6:$B$305,0))-1,0,1,25)))/MAX(OFFSET(高値!$E$6,IFERROR(MATCH($C26,銘柄管理!$B$6:$B$305,0),MATCH(TEXT($C26,"0"),銘柄管理!$B$6:$B$305,0))-1,0,1,25))*100,"")</f>
      </c>
      <c r="BE26">
        <f>IFERROR(($H26-$I26)/$F26*100,"")</f>
      </c>
      <c r="BF26">
        <f>IFERROR(-(($BA26-AVERAGE($BA$3:$BA$206))/STDEV($BA$3:$BA$206))-(($BE26-AVERAGE($BE$3:$BE$206))/STDEV($BE$3:$BE$206))-(($BB26-AVERAGE($BB$3:$BB$206))/STDEV($BB$3:$BB$206))-(($Z26-AVERAGE($Z$3:$Z$206))/STDEV($Z$3:$Z$206))-(($BC26-AVERAGE($BC$3:$BC$206))/STDEV($BC$3:$BC$206)),"")</f>
      </c>
      <c r="BG26">
        <f>IF(OR($C26="",$C26="TOPX",$BA26="",$BF26=""),0,IF(AND($BK$10=1,$BA26&lt;=$BK$2,$BB26&lt;=$BK$3,$BC26&lt;=$BK$4,$Z26&lt;=$BK$5,$Z26&gt;=$BK$6,$BD26&gt;=$BK$7,$BE26&lt;=$BK$8),1,0))</f>
      </c>
      <c r="BH26">
        <f>IF($C26="","",IF($BG26=1,"○ゲート通過",IF($BK$10&lt;&gt;1,"― この方向は停止中",IF($BA26&gt;$BK$2,"×値動きが荒い",IF($BB26&gt;$BK$3,"×レンジが広い",IF($BC26&gt;$BK$4,"×窓を開けて上昇",IF($Z26&gt;$BK$5,"×前日に急騰",IF($Z26&lt;$BK$6,"×前日に急落",IF($BD26&lt;$BK$7,"×高値から離れすぎ",IF($BE26&gt;$BK$8,"×当日の値幅が大きい","×")))))))))</f>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 t="shared" si="0"/>
        <v>-7.2411635908664369</v>
      </c>
      <c r="M27" s="166">
        <f>IF(C27&lt;&gt;"",IFERROR(AVERAGE(出来高!E206:I206),""),"")</f>
        <v>4034420</v>
      </c>
      <c r="N27" s="166">
        <f>IF(C27&lt;&gt;"",IFERROR(AVERAGE(出来高!E206:AC206),""),"")</f>
        <v>2991568</v>
      </c>
      <c r="O27" s="168">
        <f t="shared" si="1"/>
        <v>0.81062457552758516</v>
      </c>
      <c r="P27" s="163" t="str">
        <f t="shared" si="2"/>
        <v>減少↓</v>
      </c>
      <c r="Q27" s="163" t="str">
        <f t="shared" si="3"/>
        <v>中立→</v>
      </c>
      <c r="R27" s="166">
        <f t="shared" si="8"/>
        <v>6405</v>
      </c>
      <c r="S27" s="166">
        <f t="shared" si="9"/>
        <v>5694</v>
      </c>
      <c r="T27" s="163">
        <f>IF(C27="","",IFERROR(IF(O27&gt;=2,3,IF(O27&gt;=1.5,2,IF(O27&gt;=1,1,0)))+IF(E27&gt;G27,1,0)+IF(L27&gt;=-5,1,0)+IF(Q27="買い▲",2,0)+IF(W27&gt;=78,-4,IF(W27&gt;=72,-2,IF(W27&gt;=55,2,IF(W27&gt;=45,1,0))))+IF(X27&gt;0,1,0)+IF(V27="年初来高値更新●",3,IF(V27="高値圏",2,0))+IF(AD27="パーフェクト▲",3,IF(AD27="上昇トレンド▲",2,0))+IF(AE27="25日線押し目●",2,IF(AE27="5日線押し目○",1,0))+IF(P27="急増↑↑",2,IF(P27="増加↑",1,0))+N(AI27),0))</f>
      </c>
      <c r="U27" s="163" t="str">
        <f t="shared" si="10"/>
        <v>要確認</v>
      </c>
      <c r="V27" s="163" t="str">
        <f t="shared" si="5"/>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 t="shared" si="11"/>
        <v>2.293894446360814</v>
      </c>
      <c r="AA27" s="163" t="str">
        <f t="shared" si="12"/>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 t="shared" si="13"/>
        <v>パーフェクト▲</v>
      </c>
      <c r="AE27" s="406" t="str">
        <f t="shared" si="14"/>
        <v>なし</v>
      </c>
      <c r="AF27" s="365">
        <f t="array" ref="AF27">IF(C27="","",IFERROR((INDEX(終値!$E:$E,MATCH(TEXT(C27,"0"),終値!$A:$A,0))-INDEX(終値!$E:$CZ,MATCH(TEXT(C27,"0"),終値!$A:$A,0),$AL$2))/INDEX(終値!$E:$CZ,MATCH(TEXT(C27,"0"),終値!$A:$A,0),$AL$2)*100,""))</f>
        <v>16.751968503937007</v>
      </c>
      <c r="AG27" s="365">
        <f t="array" ref="AG27">IFERROR((終値!$E$5-INDEX(終値!$E$5:$CZ$5,1,$AL$2))/INDEX(終値!$E$5:$CZ$5,1,$AL$2)*100,"")</f>
        <v>1.0179378228534113</v>
      </c>
      <c r="AH27" s="366">
        <f t="shared" si="6"/>
        <v>15.734030681083595</v>
      </c>
      <c r="AI27" s="364">
        <f t="shared" si="7"/>
        <v>3</v>
      </c>
      <c r="BA27">
        <f>IFERROR((SUM(OFFSET(高値!$E$6,IFERROR(MATCH($C27,銘柄管理!$B$6:$B$305,0),MATCH(TEXT($C27,"0"),銘柄管理!$B$6:$B$305,0))-1,0,1,14))-SUM(OFFSET(安値!$E$6,IFERROR(MATCH($C27,銘柄管理!$B$6:$B$305,0),MATCH(TEXT($C27,"0"),銘柄管理!$B$6:$B$305,0))-1,0,1,14)))/SUM(OFFSET(終値!$E$6,IFERROR(MATCH($C27,銘柄管理!$B$6:$B$305,0),MATCH(TEXT($C27,"0"),銘柄管理!$B$6:$B$305,0))-1,0,1,14))*100,"")</f>
      </c>
      <c r="BB27">
        <f>IFERROR((MAX(OFFSET(高値!$E$6,IFERROR(MATCH($C27,銘柄管理!$B$6:$B$305,0),MATCH(TEXT($C27,"0"),銘柄管理!$B$6:$B$305,0))-1,0,1,25))-MIN(OFFSET(安値!$E$6,IFERROR(MATCH($C27,銘柄管理!$B$6:$B$305,0),MATCH(TEXT($C27,"0"),銘柄管理!$B$6:$B$305,0))-1,0,1,25)))/$E27*100,"")</f>
      </c>
      <c r="BC27">
        <f>IFERROR(($F27-$G27)/$G27*100,"")</f>
      </c>
      <c r="BD27">
        <f>IFERROR(($E27-MAX(OFFSET(高値!$E$6,IFERROR(MATCH($C27,銘柄管理!$B$6:$B$305,0),MATCH(TEXT($C27,"0"),銘柄管理!$B$6:$B$305,0))-1,0,1,25)))/MAX(OFFSET(高値!$E$6,IFERROR(MATCH($C27,銘柄管理!$B$6:$B$305,0),MATCH(TEXT($C27,"0"),銘柄管理!$B$6:$B$305,0))-1,0,1,25))*100,"")</f>
      </c>
      <c r="BE27">
        <f>IFERROR(($H27-$I27)/$F27*100,"")</f>
      </c>
      <c r="BF27">
        <f>IFERROR(-(($BA27-AVERAGE($BA$3:$BA$206))/STDEV($BA$3:$BA$206))-(($BE27-AVERAGE($BE$3:$BE$206))/STDEV($BE$3:$BE$206))-(($BB27-AVERAGE($BB$3:$BB$206))/STDEV($BB$3:$BB$206))-(($Z27-AVERAGE($Z$3:$Z$206))/STDEV($Z$3:$Z$206))-(($BC27-AVERAGE($BC$3:$BC$206))/STDEV($BC$3:$BC$206)),"")</f>
      </c>
      <c r="BG27">
        <f>IF(OR($C27="",$C27="TOPX",$BA27="",$BF27=""),0,IF(AND($BK$10=1,$BA27&lt;=$BK$2,$BB27&lt;=$BK$3,$BC27&lt;=$BK$4,$Z27&lt;=$BK$5,$Z27&gt;=$BK$6,$BD27&gt;=$BK$7,$BE27&lt;=$BK$8),1,0))</f>
      </c>
      <c r="BH27">
        <f>IF($C27="","",IF($BG27=1,"○ゲート通過",IF($BK$10&lt;&gt;1,"― この方向は停止中",IF($BA27&gt;$BK$2,"×値動きが荒い",IF($BB27&gt;$BK$3,"×レンジが広い",IF($BC27&gt;$BK$4,"×窓を開けて上昇",IF($Z27&gt;$BK$5,"×前日に急騰",IF($Z27&lt;$BK$6,"×前日に急落",IF($BD27&lt;$BK$7,"×高値から離れすぎ",IF($BE27&gt;$BK$8,"×当日の値幅が大きい","×")))))))))</f>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 t="shared" si="0"/>
        <v>-2.5725593667546174</v>
      </c>
      <c r="M28" s="166">
        <f>IF(C28&lt;&gt;"",IFERROR(AVERAGE(出来高!E110:I110),""),"")</f>
        <v>509460</v>
      </c>
      <c r="N28" s="166">
        <f>IF(C28&lt;&gt;"",IFERROR(AVERAGE(出来高!E110:AC110),""),"")</f>
        <v>410856</v>
      </c>
      <c r="O28" s="168">
        <f t="shared" si="1"/>
        <v>1.0835001766576375</v>
      </c>
      <c r="P28" s="163" t="str">
        <f t="shared" si="2"/>
        <v>普通→</v>
      </c>
      <c r="Q28" s="163" t="str">
        <f t="shared" si="3"/>
        <v>中立→</v>
      </c>
      <c r="R28" s="166">
        <f t="shared" si="8"/>
        <v>2393</v>
      </c>
      <c r="S28" s="166">
        <f t="shared" si="9"/>
        <v>2127</v>
      </c>
      <c r="T28" s="163">
        <f>IF(C28="","",IFERROR(IF(O28&gt;=2,3,IF(O28&gt;=1.5,2,IF(O28&gt;=1,1,0)))+IF(E28&gt;G28,1,0)+IF(L28&gt;=-5,1,0)+IF(Q28="買い▲",2,0)+IF(W28&gt;=78,-4,IF(W28&gt;=72,-2,IF(W28&gt;=55,2,IF(W28&gt;=45,1,0))))+IF(X28&gt;0,1,0)+IF(V28="年初来高値更新●",3,IF(V28="高値圏",2,0))+IF(AD28="パーフェクト▲",3,IF(AD28="上昇トレンド▲",2,0))+IF(AE28="25日線押し目●",2,IF(AE28="5日線押し目○",1,0))+IF(P28="急増↑↑",2,IF(P28="増加↑",1,0))+N(AI28),0))</f>
      </c>
      <c r="U28" s="163" t="str">
        <f t="shared" si="10"/>
        <v>要確認</v>
      </c>
      <c r="V28" s="163" t="str">
        <f t="shared" si="5"/>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 t="shared" si="11"/>
        <v>0.88797814207650272</v>
      </c>
      <c r="AA28" s="163" t="str">
        <f t="shared" si="12"/>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 t="shared" si="13"/>
        <v>もみ合い→</v>
      </c>
      <c r="AE28" s="404" t="str">
        <f t="shared" si="14"/>
        <v>なし</v>
      </c>
      <c r="AF28" s="365">
        <f t="array" ref="AF28">IF(C28="","",IFERROR((INDEX(終値!$E:$E,MATCH(TEXT(C28,"0"),終値!$A:$A,0))-INDEX(終値!$E:$CZ,MATCH(TEXT(C28,"0"),終値!$A:$A,0),$AL$2))/INDEX(終値!$E:$CZ,MATCH(TEXT(C28,"0"),終値!$A:$A,0),$AL$2)*100,""))</f>
        <v>16.605263157894736</v>
      </c>
      <c r="AG28" s="365">
        <f t="array" ref="AG28">IFERROR((終値!$E$5-INDEX(終値!$E$5:$CZ$5,1,$AL$2))/INDEX(終値!$E$5:$CZ$5,1,$AL$2)*100,"")</f>
        <v>1.0179378228534113</v>
      </c>
      <c r="AH28" s="366">
        <f t="shared" si="6"/>
        <v>15.587325335041324</v>
      </c>
      <c r="AI28" s="364">
        <f t="shared" si="7"/>
        <v>3</v>
      </c>
      <c r="BA28">
        <f>IFERROR((SUM(OFFSET(高値!$E$6,IFERROR(MATCH($C28,銘柄管理!$B$6:$B$305,0),MATCH(TEXT($C28,"0"),銘柄管理!$B$6:$B$305,0))-1,0,1,14))-SUM(OFFSET(安値!$E$6,IFERROR(MATCH($C28,銘柄管理!$B$6:$B$305,0),MATCH(TEXT($C28,"0"),銘柄管理!$B$6:$B$305,0))-1,0,1,14)))/SUM(OFFSET(終値!$E$6,IFERROR(MATCH($C28,銘柄管理!$B$6:$B$305,0),MATCH(TEXT($C28,"0"),銘柄管理!$B$6:$B$305,0))-1,0,1,14))*100,"")</f>
      </c>
      <c r="BB28">
        <f>IFERROR((MAX(OFFSET(高値!$E$6,IFERROR(MATCH($C28,銘柄管理!$B$6:$B$305,0),MATCH(TEXT($C28,"0"),銘柄管理!$B$6:$B$305,0))-1,0,1,25))-MIN(OFFSET(安値!$E$6,IFERROR(MATCH($C28,銘柄管理!$B$6:$B$305,0),MATCH(TEXT($C28,"0"),銘柄管理!$B$6:$B$305,0))-1,0,1,25)))/$E28*100,"")</f>
      </c>
      <c r="BC28">
        <f>IFERROR(($F28-$G28)/$G28*100,"")</f>
      </c>
      <c r="BD28">
        <f>IFERROR(($E28-MAX(OFFSET(高値!$E$6,IFERROR(MATCH($C28,銘柄管理!$B$6:$B$305,0),MATCH(TEXT($C28,"0"),銘柄管理!$B$6:$B$305,0))-1,0,1,25)))/MAX(OFFSET(高値!$E$6,IFERROR(MATCH($C28,銘柄管理!$B$6:$B$305,0),MATCH(TEXT($C28,"0"),銘柄管理!$B$6:$B$305,0))-1,0,1,25))*100,"")</f>
      </c>
      <c r="BE28">
        <f>IFERROR(($H28-$I28)/$F28*100,"")</f>
      </c>
      <c r="BF28">
        <f>IFERROR(-(($BA28-AVERAGE($BA$3:$BA$206))/STDEV($BA$3:$BA$206))-(($BE28-AVERAGE($BE$3:$BE$206))/STDEV($BE$3:$BE$206))-(($BB28-AVERAGE($BB$3:$BB$206))/STDEV($BB$3:$BB$206))-(($Z28-AVERAGE($Z$3:$Z$206))/STDEV($Z$3:$Z$206))-(($BC28-AVERAGE($BC$3:$BC$206))/STDEV($BC$3:$BC$206)),"")</f>
      </c>
      <c r="BG28">
        <f>IF(OR($C28="",$C28="TOPX",$BA28="",$BF28=""),0,IF(AND($BK$10=1,$BA28&lt;=$BK$2,$BB28&lt;=$BK$3,$BC28&lt;=$BK$4,$Z28&lt;=$BK$5,$Z28&gt;=$BK$6,$BD28&gt;=$BK$7,$BE28&lt;=$BK$8),1,0))</f>
      </c>
      <c r="BH28">
        <f>IF($C28="","",IF($BG28=1,"○ゲート通過",IF($BK$10&lt;&gt;1,"― この方向は停止中",IF($BA28&gt;$BK$2,"×値動きが荒い",IF($BB28&gt;$BK$3,"×レンジが広い",IF($BC28&gt;$BK$4,"×窓を開けて上昇",IF($Z28&gt;$BK$5,"×前日に急騰",IF($Z28&lt;$BK$6,"×前日に急落",IF($BD28&lt;$BK$7,"×高値から離れすぎ",IF($BE28&gt;$BK$8,"×当日の値幅が大きい","×")))))))))</f>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 t="shared" si="0"/>
        <v>-20.351966873706004</v>
      </c>
      <c r="M29" s="166">
        <f>IF(C29&lt;&gt;"",IFERROR(AVERAGE(出来高!E184:I184),""),"")</f>
        <v>3419500</v>
      </c>
      <c r="N29" s="166">
        <f>IF(C29&lt;&gt;"",IFERROR(AVERAGE(出来高!E184:AC184),""),"")</f>
        <v>3138100</v>
      </c>
      <c r="O29" s="168">
        <f t="shared" si="1"/>
        <v>0.6305892674367598</v>
      </c>
      <c r="P29" s="163" t="str">
        <f t="shared" si="2"/>
        <v>減少↓</v>
      </c>
      <c r="Q29" s="163" t="str">
        <f t="shared" si="3"/>
        <v>中立→</v>
      </c>
      <c r="R29" s="166">
        <f t="shared" si="8"/>
        <v>4155</v>
      </c>
      <c r="S29" s="166">
        <f t="shared" si="9"/>
        <v>3693</v>
      </c>
      <c r="T29" s="163">
        <f>IF(C29="","",IFERROR(IF(O29&gt;=2,3,IF(O29&gt;=1.5,2,IF(O29&gt;=1,1,0)))+IF(E29&gt;G29,1,0)+IF(L29&gt;=-5,1,0)+IF(Q29="買い▲",2,0)+IF(W29&gt;=78,-4,IF(W29&gt;=72,-2,IF(W29&gt;=55,2,IF(W29&gt;=45,1,0))))+IF(X29&gt;0,1,0)+IF(V29="年初来高値更新●",3,IF(V29="高値圏",2,0))+IF(AD29="パーフェクト▲",3,IF(AD29="上昇トレンド▲",2,0))+IF(AE29="25日線押し目●",2,IF(AE29="5日線押し目○",1,0))+IF(P29="急増↑↑",2,IF(P29="増加↑",1,0))+N(AI29),0))</f>
      </c>
      <c r="U29" s="163" t="str">
        <f t="shared" si="10"/>
        <v>要確認</v>
      </c>
      <c r="V29" s="163" t="str">
        <f t="shared" si="5"/>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 t="shared" si="11"/>
        <v>0.44386422976501305</v>
      </c>
      <c r="AA29" s="163" t="str">
        <f t="shared" si="12"/>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 t="shared" si="13"/>
        <v>上昇トレンド▲</v>
      </c>
      <c r="AE29" s="406" t="str">
        <f t="shared" si="14"/>
        <v>なし</v>
      </c>
      <c r="AF29" s="365">
        <f t="array" ref="AF29">IF(C29="","",IFERROR((INDEX(終値!$E:$E,MATCH(TEXT(C29,"0"),終値!$A:$A,0))-INDEX(終値!$E:$CZ,MATCH(TEXT(C29,"0"),終値!$A:$A,0),$AL$2))/INDEX(終値!$E:$CZ,MATCH(TEXT(C29,"0"),終値!$A:$A,0),$AL$2)*100,""))</f>
        <v>13.682033096926713</v>
      </c>
      <c r="AG29" s="365">
        <f t="array" ref="AG29">IFERROR((終値!$E$5-INDEX(終値!$E$5:$CZ$5,1,$AL$2))/INDEX(終値!$E$5:$CZ$5,1,$AL$2)*100,"")</f>
        <v>1.0179378228534113</v>
      </c>
      <c r="AH29" s="366">
        <f t="shared" si="6"/>
        <v>12.664095274073301</v>
      </c>
      <c r="AI29" s="364">
        <f t="shared" si="7"/>
        <v>3</v>
      </c>
      <c r="BA29">
        <f>IFERROR((SUM(OFFSET(高値!$E$6,IFERROR(MATCH($C29,銘柄管理!$B$6:$B$305,0),MATCH(TEXT($C29,"0"),銘柄管理!$B$6:$B$305,0))-1,0,1,14))-SUM(OFFSET(安値!$E$6,IFERROR(MATCH($C29,銘柄管理!$B$6:$B$305,0),MATCH(TEXT($C29,"0"),銘柄管理!$B$6:$B$305,0))-1,0,1,14)))/SUM(OFFSET(終値!$E$6,IFERROR(MATCH($C29,銘柄管理!$B$6:$B$305,0),MATCH(TEXT($C29,"0"),銘柄管理!$B$6:$B$305,0))-1,0,1,14))*100,"")</f>
      </c>
      <c r="BB29">
        <f>IFERROR((MAX(OFFSET(高値!$E$6,IFERROR(MATCH($C29,銘柄管理!$B$6:$B$305,0),MATCH(TEXT($C29,"0"),銘柄管理!$B$6:$B$305,0))-1,0,1,25))-MIN(OFFSET(安値!$E$6,IFERROR(MATCH($C29,銘柄管理!$B$6:$B$305,0),MATCH(TEXT($C29,"0"),銘柄管理!$B$6:$B$305,0))-1,0,1,25)))/$E29*100,"")</f>
      </c>
      <c r="BC29">
        <f>IFERROR(($F29-$G29)/$G29*100,"")</f>
      </c>
      <c r="BD29">
        <f>IFERROR(($E29-MAX(OFFSET(高値!$E$6,IFERROR(MATCH($C29,銘柄管理!$B$6:$B$305,0),MATCH(TEXT($C29,"0"),銘柄管理!$B$6:$B$305,0))-1,0,1,25)))/MAX(OFFSET(高値!$E$6,IFERROR(MATCH($C29,銘柄管理!$B$6:$B$305,0),MATCH(TEXT($C29,"0"),銘柄管理!$B$6:$B$305,0))-1,0,1,25))*100,"")</f>
      </c>
      <c r="BE29">
        <f>IFERROR(($H29-$I29)/$F29*100,"")</f>
      </c>
      <c r="BF29">
        <f>IFERROR(-(($BA29-AVERAGE($BA$3:$BA$206))/STDEV($BA$3:$BA$206))-(($BE29-AVERAGE($BE$3:$BE$206))/STDEV($BE$3:$BE$206))-(($BB29-AVERAGE($BB$3:$BB$206))/STDEV($BB$3:$BB$206))-(($Z29-AVERAGE($Z$3:$Z$206))/STDEV($Z$3:$Z$206))-(($BC29-AVERAGE($BC$3:$BC$206))/STDEV($BC$3:$BC$206)),"")</f>
      </c>
      <c r="BG29">
        <f>IF(OR($C29="",$C29="TOPX",$BA29="",$BF29=""),0,IF(AND($BK$10=1,$BA29&lt;=$BK$2,$BB29&lt;=$BK$3,$BC29&lt;=$BK$4,$Z29&lt;=$BK$5,$Z29&gt;=$BK$6,$BD29&gt;=$BK$7,$BE29&lt;=$BK$8),1,0))</f>
      </c>
      <c r="BH29">
        <f>IF($C29="","",IF($BG29=1,"○ゲート通過",IF($BK$10&lt;&gt;1,"― この方向は停止中",IF($BA29&gt;$BK$2,"×値動きが荒い",IF($BB29&gt;$BK$3,"×レンジが広い",IF($BC29&gt;$BK$4,"×窓を開けて上昇",IF($Z29&gt;$BK$5,"×前日に急騰",IF($Z29&lt;$BK$6,"×前日に急落",IF($BD29&lt;$BK$7,"×高値から離れすぎ",IF($BE29&gt;$BK$8,"×当日の値幅が大きい","×")))))))))</f>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 t="shared" si="0"/>
        <v>-18.594158157207314</v>
      </c>
      <c r="M30" s="166">
        <f>IF(C30&lt;&gt;"",IFERROR(AVERAGE(出来高!E109:I109),""),"")</f>
        <v>4503300</v>
      </c>
      <c r="N30" s="166">
        <f>IF(C30&lt;&gt;"",IFERROR(AVERAGE(出来高!E109:AC109),""),"")</f>
        <v>3279896</v>
      </c>
      <c r="O30" s="168">
        <f t="shared" si="1"/>
        <v>0.84866653343103948</v>
      </c>
      <c r="P30" s="163" t="str">
        <f t="shared" si="2"/>
        <v>減少↓</v>
      </c>
      <c r="Q30" s="163" t="str">
        <f t="shared" si="3"/>
        <v>中立→</v>
      </c>
      <c r="R30" s="166">
        <f t="shared" si="8"/>
        <v>3702</v>
      </c>
      <c r="S30" s="166">
        <f t="shared" si="9"/>
        <v>3291</v>
      </c>
      <c r="T30" s="163">
        <f>IF(C30="","",IFERROR(IF(O30&gt;=2,3,IF(O30&gt;=1.5,2,IF(O30&gt;=1,1,0)))+IF(E30&gt;G30,1,0)+IF(L30&gt;=-5,1,0)+IF(Q30="買い▲",2,0)+IF(W30&gt;=78,-4,IF(W30&gt;=72,-2,IF(W30&gt;=55,2,IF(W30&gt;=45,1,0))))+IF(X30&gt;0,1,0)+IF(V30="年初来高値更新●",3,IF(V30="高値圏",2,0))+IF(AD30="パーフェクト▲",3,IF(AD30="上昇トレンド▲",2,0))+IF(AE30="25日線押し目●",2,IF(AE30="5日線押し目○",1,0))+IF(P30="急増↑↑",2,IF(P30="増加↑",1,0))+N(AI30),0))</f>
      </c>
      <c r="U30" s="163" t="str">
        <f t="shared" si="10"/>
        <v>要確認</v>
      </c>
      <c r="V30" s="163" t="str">
        <f t="shared" si="5"/>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 t="shared" si="11"/>
        <v>1.7512615019293558</v>
      </c>
      <c r="AA30" s="163" t="str">
        <f t="shared" si="12"/>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 t="shared" si="13"/>
        <v>上昇トレンド▲</v>
      </c>
      <c r="AE30" s="404" t="str">
        <f t="shared" si="14"/>
        <v>なし</v>
      </c>
      <c r="AF30" s="365">
        <f t="array" ref="AF30">IF(C30="","",IFERROR((INDEX(終値!$E:$E,MATCH(TEXT(C30,"0"),終値!$A:$A,0))-INDEX(終値!$E:$CZ,MATCH(TEXT(C30,"0"),終値!$A:$A,0),$AL$2))/INDEX(終値!$E:$CZ,MATCH(TEXT(C30,"0"),終値!$A:$A,0),$AL$2)*100,""))</f>
        <v>4.0364188163884673</v>
      </c>
      <c r="AG30" s="365">
        <f t="array" ref="AG30">IFERROR((終値!$E$5-INDEX(終値!$E$5:$CZ$5,1,$AL$2))/INDEX(終値!$E$5:$CZ$5,1,$AL$2)*100,"")</f>
        <v>1.0179378228534113</v>
      </c>
      <c r="AH30" s="366">
        <f t="shared" si="6"/>
        <v>3.0184809935350563</v>
      </c>
      <c r="AI30" s="364">
        <f t="shared" si="7"/>
        <v>1</v>
      </c>
      <c r="BA30">
        <f>IFERROR((SUM(OFFSET(高値!$E$6,IFERROR(MATCH($C30,銘柄管理!$B$6:$B$305,0),MATCH(TEXT($C30,"0"),銘柄管理!$B$6:$B$305,0))-1,0,1,14))-SUM(OFFSET(安値!$E$6,IFERROR(MATCH($C30,銘柄管理!$B$6:$B$305,0),MATCH(TEXT($C30,"0"),銘柄管理!$B$6:$B$305,0))-1,0,1,14)))/SUM(OFFSET(終値!$E$6,IFERROR(MATCH($C30,銘柄管理!$B$6:$B$305,0),MATCH(TEXT($C30,"0"),銘柄管理!$B$6:$B$305,0))-1,0,1,14))*100,"")</f>
      </c>
      <c r="BB30">
        <f>IFERROR((MAX(OFFSET(高値!$E$6,IFERROR(MATCH($C30,銘柄管理!$B$6:$B$305,0),MATCH(TEXT($C30,"0"),銘柄管理!$B$6:$B$305,0))-1,0,1,25))-MIN(OFFSET(安値!$E$6,IFERROR(MATCH($C30,銘柄管理!$B$6:$B$305,0),MATCH(TEXT($C30,"0"),銘柄管理!$B$6:$B$305,0))-1,0,1,25)))/$E30*100,"")</f>
      </c>
      <c r="BC30">
        <f>IFERROR(($F30-$G30)/$G30*100,"")</f>
      </c>
      <c r="BD30">
        <f>IFERROR(($E30-MAX(OFFSET(高値!$E$6,IFERROR(MATCH($C30,銘柄管理!$B$6:$B$305,0),MATCH(TEXT($C30,"0"),銘柄管理!$B$6:$B$305,0))-1,0,1,25)))/MAX(OFFSET(高値!$E$6,IFERROR(MATCH($C30,銘柄管理!$B$6:$B$305,0),MATCH(TEXT($C30,"0"),銘柄管理!$B$6:$B$305,0))-1,0,1,25))*100,"")</f>
      </c>
      <c r="BE30">
        <f>IFERROR(($H30-$I30)/$F30*100,"")</f>
      </c>
      <c r="BF30">
        <f>IFERROR(-(($BA30-AVERAGE($BA$3:$BA$206))/STDEV($BA$3:$BA$206))-(($BE30-AVERAGE($BE$3:$BE$206))/STDEV($BE$3:$BE$206))-(($BB30-AVERAGE($BB$3:$BB$206))/STDEV($BB$3:$BB$206))-(($Z30-AVERAGE($Z$3:$Z$206))/STDEV($Z$3:$Z$206))-(($BC30-AVERAGE($BC$3:$BC$206))/STDEV($BC$3:$BC$206)),"")</f>
      </c>
      <c r="BG30">
        <f>IF(OR($C30="",$C30="TOPX",$BA30="",$BF30=""),0,IF(AND($BK$10=1,$BA30&lt;=$BK$2,$BB30&lt;=$BK$3,$BC30&lt;=$BK$4,$Z30&lt;=$BK$5,$Z30&gt;=$BK$6,$BD30&gt;=$BK$7,$BE30&lt;=$BK$8),1,0))</f>
      </c>
      <c r="BH30">
        <f>IF($C30="","",IF($BG30=1,"○ゲート通過",IF($BK$10&lt;&gt;1,"― この方向は停止中",IF($BA30&gt;$BK$2,"×値動きが荒い",IF($BB30&gt;$BK$3,"×レンジが広い",IF($BC30&gt;$BK$4,"×窓を開けて上昇",IF($Z30&gt;$BK$5,"×前日に急騰",IF($Z30&lt;$BK$6,"×前日に急落",IF($BD30&lt;$BK$7,"×高値から離れすぎ",IF($BE30&gt;$BK$8,"×当日の値幅が大きい","×")))))))))</f>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 t="shared" si="0"/>
        <v>-15.147313691507799</v>
      </c>
      <c r="M31" s="166">
        <f>IF(C31&lt;&gt;"",IFERROR(AVERAGE(出来高!E125:I125),""),"")</f>
        <v>106800</v>
      </c>
      <c r="N31" s="166">
        <f>IF(C31&lt;&gt;"",IFERROR(AVERAGE(出来高!E125:AC125),""),"")</f>
        <v>115548</v>
      </c>
      <c r="O31" s="168">
        <f t="shared" si="1"/>
        <v>1.1132958801498127</v>
      </c>
      <c r="P31" s="163" t="str">
        <f t="shared" si="2"/>
        <v>普通→</v>
      </c>
      <c r="Q31" s="163" t="str">
        <f t="shared" si="3"/>
        <v>中立→</v>
      </c>
      <c r="R31" s="166">
        <f t="shared" si="8"/>
        <v>2644</v>
      </c>
      <c r="S31" s="166">
        <f t="shared" si="9"/>
        <v>2350</v>
      </c>
      <c r="T31" s="163">
        <f>IF(C31="","",IFERROR(IF(O31&gt;=2,3,IF(O31&gt;=1.5,2,IF(O31&gt;=1,1,0)))+IF(E31&gt;G31,1,0)+IF(L31&gt;=-5,1,0)+IF(Q31="買い▲",2,0)+IF(W31&gt;=78,-4,IF(W31&gt;=72,-2,IF(W31&gt;=55,2,IF(W31&gt;=45,1,0))))+IF(X31&gt;0,1,0)+IF(V31="年初来高値更新●",3,IF(V31="高値圏",2,0))+IF(AD31="パーフェクト▲",3,IF(AD31="上昇トレンド▲",2,0))+IF(AE31="25日線押し目●",2,IF(AE31="5日線押し目○",1,0))+IF(P31="急増↑↑",2,IF(P31="増加↑",1,0))+N(AI31),0))</f>
      </c>
      <c r="U31" s="163" t="str">
        <f t="shared" si="10"/>
        <v>要確認</v>
      </c>
      <c r="V31" s="163" t="str">
        <f t="shared" si="5"/>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 t="shared" si="11"/>
        <v>0.57518488085456043</v>
      </c>
      <c r="AA31" s="163" t="str">
        <f t="shared" si="12"/>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 t="shared" si="13"/>
        <v>パーフェクト▲</v>
      </c>
      <c r="AE31" s="406" t="str">
        <f t="shared" si="14"/>
        <v>なし</v>
      </c>
      <c r="AF31" s="365">
        <f t="array" ref="AF31">IF(C31="","",IFERROR((INDEX(終値!$E:$E,MATCH(TEXT(C31,"0"),終値!$A:$A,0))-INDEX(終値!$E:$CZ,MATCH(TEXT(C31,"0"),終値!$A:$A,0),$AL$2))/INDEX(終値!$E:$CZ,MATCH(TEXT(C31,"0"),終値!$A:$A,0),$AL$2)*100,""))</f>
        <v>2.5555090071219104</v>
      </c>
      <c r="AG31" s="365">
        <f t="array" ref="AG31">IFERROR((終値!$E$5-INDEX(終値!$E$5:$CZ$5,1,$AL$2))/INDEX(終値!$E$5:$CZ$5,1,$AL$2)*100,"")</f>
        <v>1.0179378228534113</v>
      </c>
      <c r="AH31" s="366">
        <f t="shared" si="6"/>
        <v>1.5375711842684991</v>
      </c>
      <c r="AI31" s="364">
        <f t="shared" si="7"/>
        <v>1</v>
      </c>
      <c r="BA31">
        <f>IFERROR((SUM(OFFSET(高値!$E$6,IFERROR(MATCH($C31,銘柄管理!$B$6:$B$305,0),MATCH(TEXT($C31,"0"),銘柄管理!$B$6:$B$305,0))-1,0,1,14))-SUM(OFFSET(安値!$E$6,IFERROR(MATCH($C31,銘柄管理!$B$6:$B$305,0),MATCH(TEXT($C31,"0"),銘柄管理!$B$6:$B$305,0))-1,0,1,14)))/SUM(OFFSET(終値!$E$6,IFERROR(MATCH($C31,銘柄管理!$B$6:$B$305,0),MATCH(TEXT($C31,"0"),銘柄管理!$B$6:$B$305,0))-1,0,1,14))*100,"")</f>
      </c>
      <c r="BB31">
        <f>IFERROR((MAX(OFFSET(高値!$E$6,IFERROR(MATCH($C31,銘柄管理!$B$6:$B$305,0),MATCH(TEXT($C31,"0"),銘柄管理!$B$6:$B$305,0))-1,0,1,25))-MIN(OFFSET(安値!$E$6,IFERROR(MATCH($C31,銘柄管理!$B$6:$B$305,0),MATCH(TEXT($C31,"0"),銘柄管理!$B$6:$B$305,0))-1,0,1,25)))/$E31*100,"")</f>
      </c>
      <c r="BC31">
        <f>IFERROR(($F31-$G31)/$G31*100,"")</f>
      </c>
      <c r="BD31">
        <f>IFERROR(($E31-MAX(OFFSET(高値!$E$6,IFERROR(MATCH($C31,銘柄管理!$B$6:$B$305,0),MATCH(TEXT($C31,"0"),銘柄管理!$B$6:$B$305,0))-1,0,1,25)))/MAX(OFFSET(高値!$E$6,IFERROR(MATCH($C31,銘柄管理!$B$6:$B$305,0),MATCH(TEXT($C31,"0"),銘柄管理!$B$6:$B$305,0))-1,0,1,25))*100,"")</f>
      </c>
      <c r="BE31">
        <f>IFERROR(($H31-$I31)/$F31*100,"")</f>
      </c>
      <c r="BF31">
        <f>IFERROR(-(($BA31-AVERAGE($BA$3:$BA$206))/STDEV($BA$3:$BA$206))-(($BE31-AVERAGE($BE$3:$BE$206))/STDEV($BE$3:$BE$206))-(($BB31-AVERAGE($BB$3:$BB$206))/STDEV($BB$3:$BB$206))-(($Z31-AVERAGE($Z$3:$Z$206))/STDEV($Z$3:$Z$206))-(($BC31-AVERAGE($BC$3:$BC$206))/STDEV($BC$3:$BC$206)),"")</f>
      </c>
      <c r="BG31">
        <f>IF(OR($C31="",$C31="TOPX",$BA31="",$BF31=""),0,IF(AND($BK$10=1,$BA31&lt;=$BK$2,$BB31&lt;=$BK$3,$BC31&lt;=$BK$4,$Z31&lt;=$BK$5,$Z31&gt;=$BK$6,$BD31&gt;=$BK$7,$BE31&lt;=$BK$8),1,0))</f>
      </c>
      <c r="BH31">
        <f>IF($C31="","",IF($BG31=1,"○ゲート通過",IF($BK$10&lt;&gt;1,"― この方向は停止中",IF($BA31&gt;$BK$2,"×値動きが荒い",IF($BB31&gt;$BK$3,"×レンジが広い",IF($BC31&gt;$BK$4,"×窓を開けて上昇",IF($Z31&gt;$BK$5,"×前日に急騰",IF($Z31&lt;$BK$6,"×前日に急落",IF($BD31&lt;$BK$7,"×高値から離れすぎ",IF($BE31&gt;$BK$8,"×当日の値幅が大きい","×")))))))))</f>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 t="shared" si="0"/>
        <v>-15.153906866614051</v>
      </c>
      <c r="M32" s="166">
        <f>IF(C32&lt;&gt;"",IFERROR(AVERAGE(出来高!E161:I161),""),"")</f>
        <v>230220</v>
      </c>
      <c r="N32" s="166">
        <f>IF(C32&lt;&gt;"",IFERROR(AVERAGE(出来高!E161:AC161),""),"")</f>
        <v>185733.33333333334</v>
      </c>
      <c r="O32" s="168">
        <f t="shared" si="1"/>
        <v>0.45174181217965426</v>
      </c>
      <c r="P32" s="163" t="str">
        <f t="shared" si="2"/>
        <v>減少↓</v>
      </c>
      <c r="Q32" s="163" t="str">
        <f t="shared" si="3"/>
        <v>中立→</v>
      </c>
      <c r="R32" s="166">
        <f t="shared" si="8"/>
        <v>1161</v>
      </c>
      <c r="S32" s="166">
        <f t="shared" si="9"/>
        <v>1032</v>
      </c>
      <c r="T32" s="163">
        <f>IF(C32="","",IFERROR(IF(O32&gt;=2,3,IF(O32&gt;=1.5,2,IF(O32&gt;=1,1,0)))+IF(E32&gt;G32,1,0)+IF(L32&gt;=-5,1,0)+IF(Q32="買い▲",2,0)+IF(W32&gt;=78,-4,IF(W32&gt;=72,-2,IF(W32&gt;=55,2,IF(W32&gt;=45,1,0))))+IF(X32&gt;0,1,0)+IF(V32="年初来高値更新●",3,IF(V32="高値圏",2,0))+IF(AD32="パーフェクト▲",3,IF(AD32="上昇トレンド▲",2,0))+IF(AE32="25日線押し目●",2,IF(AE32="5日線押し目○",1,0))+IF(P32="急増↑↑",2,IF(P32="増加↑",1,0))+N(AI32),0))</f>
      </c>
      <c r="U32" s="163" t="str">
        <f t="shared" si="10"/>
        <v>除外</v>
      </c>
      <c r="V32" s="163" t="str">
        <f t="shared" si="5"/>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 t="shared" si="11"/>
        <v>0.27985074626865669</v>
      </c>
      <c r="AA32" s="163" t="str">
        <f t="shared" si="12"/>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 t="shared" si="13"/>
        <v>もみ合い→</v>
      </c>
      <c r="AE32" s="404" t="str">
        <f t="shared" si="14"/>
        <v>なし</v>
      </c>
      <c r="AF32" s="365">
        <f t="array" ref="AF32">IF(C32="","",IFERROR((INDEX(終値!$E:$E,MATCH(TEXT(C32,"0"),終値!$A:$A,0))-INDEX(終値!$E:$CZ,MATCH(TEXT(C32,"0"),終値!$A:$A,0),$AL$2))/INDEX(終値!$E:$CZ,MATCH(TEXT(C32,"0"),終値!$A:$A,0),$AL$2)*100,""))</f>
        <v>9.3109869646182494E-2</v>
      </c>
      <c r="AG32" s="365">
        <f t="array" ref="AG32">IFERROR((終値!$E$5-INDEX(終値!$E$5:$CZ$5,1,$AL$2))/INDEX(終値!$E$5:$CZ$5,1,$AL$2)*100,"")</f>
        <v>1.0179378228534113</v>
      </c>
      <c r="AH32" s="366">
        <f t="shared" si="6"/>
        <v>-0.92482795320722877</v>
      </c>
      <c r="AI32" s="364">
        <f t="shared" si="7"/>
        <v>-1</v>
      </c>
      <c r="BA32">
        <f>IFERROR((SUM(OFFSET(高値!$E$6,IFERROR(MATCH($C32,銘柄管理!$B$6:$B$305,0),MATCH(TEXT($C32,"0"),銘柄管理!$B$6:$B$305,0))-1,0,1,14))-SUM(OFFSET(安値!$E$6,IFERROR(MATCH($C32,銘柄管理!$B$6:$B$305,0),MATCH(TEXT($C32,"0"),銘柄管理!$B$6:$B$305,0))-1,0,1,14)))/SUM(OFFSET(終値!$E$6,IFERROR(MATCH($C32,銘柄管理!$B$6:$B$305,0),MATCH(TEXT($C32,"0"),銘柄管理!$B$6:$B$305,0))-1,0,1,14))*100,"")</f>
      </c>
      <c r="BB32">
        <f>IFERROR((MAX(OFFSET(高値!$E$6,IFERROR(MATCH($C32,銘柄管理!$B$6:$B$305,0),MATCH(TEXT($C32,"0"),銘柄管理!$B$6:$B$305,0))-1,0,1,25))-MIN(OFFSET(安値!$E$6,IFERROR(MATCH($C32,銘柄管理!$B$6:$B$305,0),MATCH(TEXT($C32,"0"),銘柄管理!$B$6:$B$305,0))-1,0,1,25)))/$E32*100,"")</f>
      </c>
      <c r="BC32">
        <f>IFERROR(($F32-$G32)/$G32*100,"")</f>
      </c>
      <c r="BD32">
        <f>IFERROR(($E32-MAX(OFFSET(高値!$E$6,IFERROR(MATCH($C32,銘柄管理!$B$6:$B$305,0),MATCH(TEXT($C32,"0"),銘柄管理!$B$6:$B$305,0))-1,0,1,25)))/MAX(OFFSET(高値!$E$6,IFERROR(MATCH($C32,銘柄管理!$B$6:$B$305,0),MATCH(TEXT($C32,"0"),銘柄管理!$B$6:$B$305,0))-1,0,1,25))*100,"")</f>
      </c>
      <c r="BE32">
        <f>IFERROR(($H32-$I32)/$F32*100,"")</f>
      </c>
      <c r="BF32">
        <f>IFERROR(-(($BA32-AVERAGE($BA$3:$BA$206))/STDEV($BA$3:$BA$206))-(($BE32-AVERAGE($BE$3:$BE$206))/STDEV($BE$3:$BE$206))-(($BB32-AVERAGE($BB$3:$BB$206))/STDEV($BB$3:$BB$206))-(($Z32-AVERAGE($Z$3:$Z$206))/STDEV($Z$3:$Z$206))-(($BC32-AVERAGE($BC$3:$BC$206))/STDEV($BC$3:$BC$206)),"")</f>
      </c>
      <c r="BG32">
        <f>IF(OR($C32="",$C32="TOPX",$BA32="",$BF32=""),0,IF(AND($BK$10=1,$BA32&lt;=$BK$2,$BB32&lt;=$BK$3,$BC32&lt;=$BK$4,$Z32&lt;=$BK$5,$Z32&gt;=$BK$6,$BD32&gt;=$BK$7,$BE32&lt;=$BK$8),1,0))</f>
      </c>
      <c r="BH32">
        <f>IF($C32="","",IF($BG32=1,"○ゲート通過",IF($BK$10&lt;&gt;1,"― この方向は停止中",IF($BA32&gt;$BK$2,"×値動きが荒い",IF($BB32&gt;$BK$3,"×レンジが広い",IF($BC32&gt;$BK$4,"×窓を開けて上昇",IF($Z32&gt;$BK$5,"×前日に急騰",IF($Z32&lt;$BK$6,"×前日に急落",IF($BD32&lt;$BK$7,"×高値から離れすぎ",IF($BE32&gt;$BK$8,"×当日の値幅が大きい","×")))))))))</f>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 t="shared" si="0"/>
        <v>-31.047265987025025</v>
      </c>
      <c r="M33" s="166">
        <f>IF(C33&lt;&gt;"",IFERROR(AVERAGE(出来高!E124:I124),""),"")</f>
        <v>10539140</v>
      </c>
      <c r="N33" s="166">
        <f>IF(C33&lt;&gt;"",IFERROR(AVERAGE(出来高!E124:AC124),""),"")</f>
        <v>8742800</v>
      </c>
      <c r="O33" s="168">
        <f t="shared" si="1"/>
        <v>0.93994386638757998</v>
      </c>
      <c r="P33" s="163" t="str">
        <f t="shared" si="2"/>
        <v>減少↓</v>
      </c>
      <c r="Q33" s="163" t="str">
        <f t="shared" si="3"/>
        <v>中立→</v>
      </c>
      <c r="R33" s="166">
        <f t="shared" si="8"/>
        <v>1607</v>
      </c>
      <c r="S33" s="166">
        <f t="shared" si="9"/>
        <v>1428</v>
      </c>
      <c r="T33" s="163">
        <f>IF(C33="","",IFERROR(IF(O33&gt;=2,3,IF(O33&gt;=1.5,2,IF(O33&gt;=1,1,0)))+IF(E33&gt;G33,1,0)+IF(L33&gt;=-5,1,0)+IF(Q33="買い▲",2,0)+IF(W33&gt;=78,-4,IF(W33&gt;=72,-2,IF(W33&gt;=55,2,IF(W33&gt;=45,1,0))))+IF(X33&gt;0,1,0)+IF(V33="年初来高値更新●",3,IF(V33="高値圏",2,0))+IF(AD33="パーフェクト▲",3,IF(AD33="上昇トレンド▲",2,0))+IF(AE33="25日線押し目●",2,IF(AE33="5日線押し目○",1,0))+IF(P33="急増↑↑",2,IF(P33="増加↑",1,0))+N(AI33),0))</f>
      </c>
      <c r="U33" s="163" t="str">
        <f t="shared" si="10"/>
        <v>除外</v>
      </c>
      <c r="V33" s="163" t="str">
        <f t="shared" si="5"/>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 t="shared" si="11"/>
        <v>0.43874451569355388</v>
      </c>
      <c r="AA33" s="163" t="str">
        <f t="shared" si="12"/>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 t="shared" si="13"/>
        <v>下降トレンド▼</v>
      </c>
      <c r="AE33" s="406" t="str">
        <f t="shared" si="14"/>
        <v>なし</v>
      </c>
      <c r="AF33" s="365">
        <f t="array" ref="AF33">IF(C33="","",IFERROR((INDEX(終値!$E:$E,MATCH(TEXT(C33,"0"),終値!$A:$A,0))-INDEX(終値!$E:$CZ,MATCH(TEXT(C33,"0"),終値!$A:$A,0),$AL$2))/INDEX(終値!$E:$CZ,MATCH(TEXT(C33,"0"),終値!$A:$A,0),$AL$2)*100,""))</f>
        <v>0.6085192697768762</v>
      </c>
      <c r="AG33" s="365">
        <f t="array" ref="AG33">IFERROR((終値!$E$5-INDEX(終値!$E$5:$CZ$5,1,$AL$2))/INDEX(終値!$E$5:$CZ$5,1,$AL$2)*100,"")</f>
        <v>1.0179378228534113</v>
      </c>
      <c r="AH33" s="366">
        <f t="shared" si="6"/>
        <v>-0.40941855307653507</v>
      </c>
      <c r="AI33" s="364">
        <f t="shared" si="7"/>
        <v>-1</v>
      </c>
      <c r="BA33">
        <f>IFERROR((SUM(OFFSET(高値!$E$6,IFERROR(MATCH($C33,銘柄管理!$B$6:$B$305,0),MATCH(TEXT($C33,"0"),銘柄管理!$B$6:$B$305,0))-1,0,1,14))-SUM(OFFSET(安値!$E$6,IFERROR(MATCH($C33,銘柄管理!$B$6:$B$305,0),MATCH(TEXT($C33,"0"),銘柄管理!$B$6:$B$305,0))-1,0,1,14)))/SUM(OFFSET(終値!$E$6,IFERROR(MATCH($C33,銘柄管理!$B$6:$B$305,0),MATCH(TEXT($C33,"0"),銘柄管理!$B$6:$B$305,0))-1,0,1,14))*100,"")</f>
      </c>
      <c r="BB33">
        <f>IFERROR((MAX(OFFSET(高値!$E$6,IFERROR(MATCH($C33,銘柄管理!$B$6:$B$305,0),MATCH(TEXT($C33,"0"),銘柄管理!$B$6:$B$305,0))-1,0,1,25))-MIN(OFFSET(安値!$E$6,IFERROR(MATCH($C33,銘柄管理!$B$6:$B$305,0),MATCH(TEXT($C33,"0"),銘柄管理!$B$6:$B$305,0))-1,0,1,25)))/$E33*100,"")</f>
      </c>
      <c r="BC33">
        <f>IFERROR(($F33-$G33)/$G33*100,"")</f>
      </c>
      <c r="BD33">
        <f>IFERROR(($E33-MAX(OFFSET(高値!$E$6,IFERROR(MATCH($C33,銘柄管理!$B$6:$B$305,0),MATCH(TEXT($C33,"0"),銘柄管理!$B$6:$B$305,0))-1,0,1,25)))/MAX(OFFSET(高値!$E$6,IFERROR(MATCH($C33,銘柄管理!$B$6:$B$305,0),MATCH(TEXT($C33,"0"),銘柄管理!$B$6:$B$305,0))-1,0,1,25))*100,"")</f>
      </c>
      <c r="BE33">
        <f>IFERROR(($H33-$I33)/$F33*100,"")</f>
      </c>
      <c r="BF33">
        <f>IFERROR(-(($BA33-AVERAGE($BA$3:$BA$206))/STDEV($BA$3:$BA$206))-(($BE33-AVERAGE($BE$3:$BE$206))/STDEV($BE$3:$BE$206))-(($BB33-AVERAGE($BB$3:$BB$206))/STDEV($BB$3:$BB$206))-(($Z33-AVERAGE($Z$3:$Z$206))/STDEV($Z$3:$Z$206))-(($BC33-AVERAGE($BC$3:$BC$206))/STDEV($BC$3:$BC$206)),"")</f>
      </c>
      <c r="BG33">
        <f>IF(OR($C33="",$C33="TOPX",$BA33="",$BF33=""),0,IF(AND($BK$10=1,$BA33&lt;=$BK$2,$BB33&lt;=$BK$3,$BC33&lt;=$BK$4,$Z33&lt;=$BK$5,$Z33&gt;=$BK$6,$BD33&gt;=$BK$7,$BE33&lt;=$BK$8),1,0))</f>
      </c>
      <c r="BH33">
        <f>IF($C33="","",IF($BG33=1,"○ゲート通過",IF($BK$10&lt;&gt;1,"― この方向は停止中",IF($BA33&gt;$BK$2,"×値動きが荒い",IF($BB33&gt;$BK$3,"×レンジが広い",IF($BC33&gt;$BK$4,"×窓を開けて上昇",IF($Z33&gt;$BK$5,"×前日に急騰",IF($Z33&lt;$BK$6,"×前日に急落",IF($BD33&lt;$BK$7,"×高値から離れすぎ",IF($BE33&gt;$BK$8,"×当日の値幅が大きい","×")))))))))</f>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 t="shared" si="0"/>
        <v>-4.1344667697063366</v>
      </c>
      <c r="M34" s="166">
        <f>IF(C34&lt;&gt;"",IFERROR(AVERAGE(出来高!E23:I23),""),"")</f>
        <v>1516460</v>
      </c>
      <c r="N34" s="166">
        <f>IF(C34&lt;&gt;"",IFERROR(AVERAGE(出来高!E23:AC23),""),"")</f>
        <v>1565250</v>
      </c>
      <c r="O34" s="168">
        <f t="shared" si="1"/>
        <v>1.470595993300186</v>
      </c>
      <c r="P34" s="163" t="str">
        <f t="shared" si="2"/>
        <v>普通→</v>
      </c>
      <c r="Q34" s="163" t="str">
        <f t="shared" si="3"/>
        <v>様子見▼</v>
      </c>
      <c r="R34" s="166">
        <f t="shared" si="8"/>
        <v>5359</v>
      </c>
      <c r="S34" s="166">
        <f t="shared" si="9"/>
        <v>4764</v>
      </c>
      <c r="T34" s="163">
        <f>IF(C34="","",IFERROR(IF(O34&gt;=2,3,IF(O34&gt;=1.5,2,IF(O34&gt;=1,1,0)))+IF(E34&gt;G34,1,0)+IF(L34&gt;=-5,1,0)+IF(Q34="買い▲",2,0)+IF(W34&gt;=78,-4,IF(W34&gt;=72,-2,IF(W34&gt;=55,2,IF(W34&gt;=45,1,0))))+IF(X34&gt;0,1,0)+IF(V34="年初来高値更新●",3,IF(V34="高値圏",2,0))+IF(AD34="パーフェクト▲",3,IF(AD34="上昇トレンド▲",2,0))+IF(AE34="25日線押し目●",2,IF(AE34="5日線押し目○",1,0))+IF(P34="急増↑↑",2,IF(P34="増加↑",1,0))+N(AI34),0))</f>
      </c>
      <c r="U34" s="163" t="str">
        <f t="shared" si="10"/>
        <v>要確認</v>
      </c>
      <c r="V34" s="163" t="str">
        <f t="shared" si="5"/>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 t="shared" si="11"/>
        <v>-1.3910969793322734</v>
      </c>
      <c r="AA34" s="163" t="str">
        <f t="shared" si="12"/>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 t="shared" si="13"/>
        <v>上昇トレンド▲</v>
      </c>
      <c r="AE34" s="404" t="str">
        <f t="shared" si="14"/>
        <v>なし</v>
      </c>
      <c r="AF34" s="365">
        <f t="array" ref="AF34">IF(C34="","",IFERROR((INDEX(終値!$E:$E,MATCH(TEXT(C34,"0"),終値!$A:$A,0))-INDEX(終値!$E:$CZ,MATCH(TEXT(C34,"0"),終値!$A:$A,0),$AL$2))/INDEX(終値!$E:$CZ,MATCH(TEXT(C34,"0"),終値!$A:$A,0),$AL$2)*100,""))</f>
        <v>3.0529595015576323</v>
      </c>
      <c r="AG34" s="365">
        <f t="array" ref="AG34">IFERROR((終値!$E$5-INDEX(終値!$E$5:$CZ$5,1,$AL$2))/INDEX(終値!$E$5:$CZ$5,1,$AL$2)*100,"")</f>
        <v>1.0179378228534113</v>
      </c>
      <c r="AH34" s="366">
        <f t="shared" si="6"/>
        <v>2.0350216787042212</v>
      </c>
      <c r="AI34" s="364">
        <f t="shared" si="7"/>
        <v>1</v>
      </c>
      <c r="BA34">
        <f>IFERROR((SUM(OFFSET(高値!$E$6,IFERROR(MATCH($C34,銘柄管理!$B$6:$B$305,0),MATCH(TEXT($C34,"0"),銘柄管理!$B$6:$B$305,0))-1,0,1,14))-SUM(OFFSET(安値!$E$6,IFERROR(MATCH($C34,銘柄管理!$B$6:$B$305,0),MATCH(TEXT($C34,"0"),銘柄管理!$B$6:$B$305,0))-1,0,1,14)))/SUM(OFFSET(終値!$E$6,IFERROR(MATCH($C34,銘柄管理!$B$6:$B$305,0),MATCH(TEXT($C34,"0"),銘柄管理!$B$6:$B$305,0))-1,0,1,14))*100,"")</f>
      </c>
      <c r="BB34">
        <f>IFERROR((MAX(OFFSET(高値!$E$6,IFERROR(MATCH($C34,銘柄管理!$B$6:$B$305,0),MATCH(TEXT($C34,"0"),銘柄管理!$B$6:$B$305,0))-1,0,1,25))-MIN(OFFSET(安値!$E$6,IFERROR(MATCH($C34,銘柄管理!$B$6:$B$305,0),MATCH(TEXT($C34,"0"),銘柄管理!$B$6:$B$305,0))-1,0,1,25)))/$E34*100,"")</f>
      </c>
      <c r="BC34">
        <f>IFERROR(($F34-$G34)/$G34*100,"")</f>
      </c>
      <c r="BD34">
        <f>IFERROR(($E34-MAX(OFFSET(高値!$E$6,IFERROR(MATCH($C34,銘柄管理!$B$6:$B$305,0),MATCH(TEXT($C34,"0"),銘柄管理!$B$6:$B$305,0))-1,0,1,25)))/MAX(OFFSET(高値!$E$6,IFERROR(MATCH($C34,銘柄管理!$B$6:$B$305,0),MATCH(TEXT($C34,"0"),銘柄管理!$B$6:$B$305,0))-1,0,1,25))*100,"")</f>
      </c>
      <c r="BE34">
        <f>IFERROR(($H34-$I34)/$F34*100,"")</f>
      </c>
      <c r="BF34">
        <f>IFERROR(-(($BA34-AVERAGE($BA$3:$BA$206))/STDEV($BA$3:$BA$206))-(($BE34-AVERAGE($BE$3:$BE$206))/STDEV($BE$3:$BE$206))-(($BB34-AVERAGE($BB$3:$BB$206))/STDEV($BB$3:$BB$206))-(($Z34-AVERAGE($Z$3:$Z$206))/STDEV($Z$3:$Z$206))-(($BC34-AVERAGE($BC$3:$BC$206))/STDEV($BC$3:$BC$206)),"")</f>
      </c>
      <c r="BG34">
        <f>IF(OR($C34="",$C34="TOPX",$BA34="",$BF34=""),0,IF(AND($BK$10=1,$BA34&lt;=$BK$2,$BB34&lt;=$BK$3,$BC34&lt;=$BK$4,$Z34&lt;=$BK$5,$Z34&gt;=$BK$6,$BD34&gt;=$BK$7,$BE34&lt;=$BK$8),1,0))</f>
      </c>
      <c r="BH34">
        <f>IF($C34="","",IF($BG34=1,"○ゲート通過",IF($BK$10&lt;&gt;1,"― この方向は停止中",IF($BA34&gt;$BK$2,"×値動きが荒い",IF($BB34&gt;$BK$3,"×レンジが広い",IF($BC34&gt;$BK$4,"×窓を開けて上昇",IF($Z34&gt;$BK$5,"×前日に急騰",IF($Z34&lt;$BK$6,"×前日に急落",IF($BD34&lt;$BK$7,"×高値から離れすぎ",IF($BE34&gt;$BK$8,"×当日の値幅が大きい","×")))))))))</f>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 t="shared" si="0"/>
        <v>-7.687765706188002</v>
      </c>
      <c r="M35" s="166">
        <f>IF(C35&lt;&gt;"",IFERROR(AVERAGE(出来高!E52:I52),""),"")</f>
        <v>4208460</v>
      </c>
      <c r="N35" s="166">
        <f>IF(C35&lt;&gt;"",IFERROR(AVERAGE(出来高!E52:AC52),""),"")</f>
        <v>5066816</v>
      </c>
      <c r="O35" s="168">
        <f t="shared" si="1"/>
        <v>0.85777220170798818</v>
      </c>
      <c r="P35" s="163" t="str">
        <f t="shared" si="2"/>
        <v>減少↓</v>
      </c>
      <c r="Q35" s="163" t="str">
        <f t="shared" si="3"/>
        <v>中立→</v>
      </c>
      <c r="R35" s="166">
        <f t="shared" si="8"/>
        <v>8442</v>
      </c>
      <c r="S35" s="166">
        <f t="shared" si="9"/>
        <v>7504</v>
      </c>
      <c r="T35" s="163">
        <f>IF(C35="","",IFERROR(IF(O35&gt;=2,3,IF(O35&gt;=1.5,2,IF(O35&gt;=1,1,0)))+IF(E35&gt;G35,1,0)+IF(L35&gt;=-5,1,0)+IF(Q35="買い▲",2,0)+IF(W35&gt;=78,-4,IF(W35&gt;=72,-2,IF(W35&gt;=55,2,IF(W35&gt;=45,1,0))))+IF(X35&gt;0,1,0)+IF(V35="年初来高値更新●",3,IF(V35="高値圏",2,0))+IF(AD35="パーフェクト▲",3,IF(AD35="上昇トレンド▲",2,0))+IF(AE35="25日線押し目●",2,IF(AE35="5日線押し目○",1,0))+IF(P35="急増↑↑",2,IF(P35="増加↑",1,0))+N(AI35),0))</f>
      </c>
      <c r="U35" s="163" t="str">
        <f t="shared" si="10"/>
        <v>要確認</v>
      </c>
      <c r="V35" s="163" t="str">
        <f t="shared" si="5"/>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 t="shared" si="11"/>
        <v>0.96874192715060703</v>
      </c>
      <c r="AA35" s="163" t="str">
        <f t="shared" si="12"/>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 t="shared" ref="AD35:AD66" si="15">IF(OR(C35="",AB35="",AC35=""),"",IF(AND(E35&gt;AB35,AB35&gt;AC35),"パーフェクト▲",IF(E35&gt;AC35,"上昇トレンド▲",IF(AND(E35&lt;AB35,AB35&lt;AC35),"下降トレンド▼","もみ合い→"))))</f>
        <v>パーフェクト▲</v>
      </c>
      <c r="AE35" s="406" t="str">
        <f t="shared" ref="AE35:AE66" si="16">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IFERROR((終値!$E$5-INDEX(終値!$E$5:$CZ$5,1,$AL$2))/INDEX(終値!$E$5:$CZ$5,1,$AL$2)*100,"")</f>
        <v>1.0179378228534113</v>
      </c>
      <c r="AH35" s="366">
        <f t="shared" si="6"/>
        <v>8.8948855742219539</v>
      </c>
      <c r="AI35" s="364">
        <f t="shared" si="7"/>
        <v>3</v>
      </c>
      <c r="BA35">
        <f>IFERROR((SUM(OFFSET(高値!$E$6,IFERROR(MATCH($C35,銘柄管理!$B$6:$B$305,0),MATCH(TEXT($C35,"0"),銘柄管理!$B$6:$B$305,0))-1,0,1,14))-SUM(OFFSET(安値!$E$6,IFERROR(MATCH($C35,銘柄管理!$B$6:$B$305,0),MATCH(TEXT($C35,"0"),銘柄管理!$B$6:$B$305,0))-1,0,1,14)))/SUM(OFFSET(終値!$E$6,IFERROR(MATCH($C35,銘柄管理!$B$6:$B$305,0),MATCH(TEXT($C35,"0"),銘柄管理!$B$6:$B$305,0))-1,0,1,14))*100,"")</f>
      </c>
      <c r="BB35">
        <f>IFERROR((MAX(OFFSET(高値!$E$6,IFERROR(MATCH($C35,銘柄管理!$B$6:$B$305,0),MATCH(TEXT($C35,"0"),銘柄管理!$B$6:$B$305,0))-1,0,1,25))-MIN(OFFSET(安値!$E$6,IFERROR(MATCH($C35,銘柄管理!$B$6:$B$305,0),MATCH(TEXT($C35,"0"),銘柄管理!$B$6:$B$305,0))-1,0,1,25)))/$E35*100,"")</f>
      </c>
      <c r="BC35">
        <f>IFERROR(($F35-$G35)/$G35*100,"")</f>
      </c>
      <c r="BD35">
        <f>IFERROR(($E35-MAX(OFFSET(高値!$E$6,IFERROR(MATCH($C35,銘柄管理!$B$6:$B$305,0),MATCH(TEXT($C35,"0"),銘柄管理!$B$6:$B$305,0))-1,0,1,25)))/MAX(OFFSET(高値!$E$6,IFERROR(MATCH($C35,銘柄管理!$B$6:$B$305,0),MATCH(TEXT($C35,"0"),銘柄管理!$B$6:$B$305,0))-1,0,1,25))*100,"")</f>
      </c>
      <c r="BE35">
        <f>IFERROR(($H35-$I35)/$F35*100,"")</f>
      </c>
      <c r="BF35">
        <f>IFERROR(-(($BA35-AVERAGE($BA$3:$BA$206))/STDEV($BA$3:$BA$206))-(($BE35-AVERAGE($BE$3:$BE$206))/STDEV($BE$3:$BE$206))-(($BB35-AVERAGE($BB$3:$BB$206))/STDEV($BB$3:$BB$206))-(($Z35-AVERAGE($Z$3:$Z$206))/STDEV($Z$3:$Z$206))-(($BC35-AVERAGE($BC$3:$BC$206))/STDEV($BC$3:$BC$206)),"")</f>
      </c>
      <c r="BG35">
        <f>IF(OR($C35="",$C35="TOPX",$BA35="",$BF35=""),0,IF(AND($BK$10=1,$BA35&lt;=$BK$2,$BB35&lt;=$BK$3,$BC35&lt;=$BK$4,$Z35&lt;=$BK$5,$Z35&gt;=$BK$6,$BD35&gt;=$BK$7,$BE35&lt;=$BK$8),1,0))</f>
      </c>
      <c r="BH35">
        <f>IF($C35="","",IF($BG35=1,"○ゲート通過",IF($BK$10&lt;&gt;1,"― この方向は停止中",IF($BA35&gt;$BK$2,"×値動きが荒い",IF($BB35&gt;$BK$3,"×レンジが広い",IF($BC35&gt;$BK$4,"×窓を開けて上昇",IF($Z35&gt;$BK$5,"×前日に急騰",IF($Z35&lt;$BK$6,"×前日に急落",IF($BD35&lt;$BK$7,"×高値から離れすぎ",IF($BE35&gt;$BK$8,"×当日の値幅が大きい","×")))))))))</f>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 t="shared" si="0"/>
        <v>-1.9397651863195506</v>
      </c>
      <c r="M36" s="166">
        <f>IF(C36&lt;&gt;"",IFERROR(AVERAGE(出来高!E43:I43),""),"")</f>
        <v>8316500</v>
      </c>
      <c r="N36" s="166">
        <f>IF(C36&lt;&gt;"",IFERROR(AVERAGE(出来高!E43:AC43),""),"")</f>
        <v>9897258.333333334</v>
      </c>
      <c r="O36" s="168">
        <f t="shared" si="1"/>
        <v>0.90636686105933983</v>
      </c>
      <c r="P36" s="163" t="str">
        <f t="shared" si="2"/>
        <v>減少↓</v>
      </c>
      <c r="Q36" s="163" t="str">
        <f t="shared" si="3"/>
        <v>中立→</v>
      </c>
      <c r="R36" s="166">
        <f t="shared" si="8"/>
        <v>2075</v>
      </c>
      <c r="S36" s="166">
        <f t="shared" si="9"/>
        <v>1844</v>
      </c>
      <c r="T36" s="163">
        <f>IF(C36="","",IFERROR(IF(O36&gt;=2,3,IF(O36&gt;=1.5,2,IF(O36&gt;=1,1,0)))+IF(E36&gt;G36,1,0)+IF(L36&gt;=-5,1,0)+IF(Q36="買い▲",2,0)+IF(W36&gt;=78,-4,IF(W36&gt;=72,-2,IF(W36&gt;=55,2,IF(W36&gt;=45,1,0))))+IF(X36&gt;0,1,0)+IF(V36="年初来高値更新●",3,IF(V36="高値圏",2,0))+IF(AD36="パーフェクト▲",3,IF(AD36="上昇トレンド▲",2,0))+IF(AE36="25日線押し目●",2,IF(AE36="5日線押し目○",1,0))+IF(P36="急増↑↑",2,IF(P36="増加↑",1,0))+N(AI36),0))</f>
      </c>
      <c r="U36" s="163" t="str">
        <f t="shared" si="10"/>
        <v>要確認</v>
      </c>
      <c r="V36" s="163" t="str">
        <f t="shared" si="5"/>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 t="shared" si="11"/>
        <v>0.39195192056441075</v>
      </c>
      <c r="AA36" s="163" t="str">
        <f t="shared" si="12"/>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 t="shared" si="15"/>
        <v>もみ合い→</v>
      </c>
      <c r="AE36" s="404" t="str">
        <f t="shared" si="16"/>
        <v>なし</v>
      </c>
      <c r="AF36" s="365">
        <f t="array" ref="AF36">IF(C36="","",IFERROR((INDEX(終値!$E:$E,MATCH(TEXT(C36,"0"),終値!$A:$A,0))-INDEX(終値!$E:$CZ,MATCH(TEXT(C36,"0"),終値!$A:$A,0),$AL$2))/INDEX(終値!$E:$CZ,MATCH(TEXT(C36,"0"),終値!$A:$A,0),$AL$2)*100,""))</f>
        <v>7.2585147962032384</v>
      </c>
      <c r="AG36" s="365">
        <f t="array" ref="AG36">IFERROR((終値!$E$5-INDEX(終値!$E$5:$CZ$5,1,$AL$2))/INDEX(終値!$E$5:$CZ$5,1,$AL$2)*100,"")</f>
        <v>1.0179378228534113</v>
      </c>
      <c r="AH36" s="366">
        <f t="shared" si="6"/>
        <v>6.2405769733498273</v>
      </c>
      <c r="AI36" s="364">
        <f t="shared" si="7"/>
        <v>3</v>
      </c>
      <c r="BA36">
        <f>IFERROR((SUM(OFFSET(高値!$E$6,IFERROR(MATCH($C36,銘柄管理!$B$6:$B$305,0),MATCH(TEXT($C36,"0"),銘柄管理!$B$6:$B$305,0))-1,0,1,14))-SUM(OFFSET(安値!$E$6,IFERROR(MATCH($C36,銘柄管理!$B$6:$B$305,0),MATCH(TEXT($C36,"0"),銘柄管理!$B$6:$B$305,0))-1,0,1,14)))/SUM(OFFSET(終値!$E$6,IFERROR(MATCH($C36,銘柄管理!$B$6:$B$305,0),MATCH(TEXT($C36,"0"),銘柄管理!$B$6:$B$305,0))-1,0,1,14))*100,"")</f>
      </c>
      <c r="BB36">
        <f>IFERROR((MAX(OFFSET(高値!$E$6,IFERROR(MATCH($C36,銘柄管理!$B$6:$B$305,0),MATCH(TEXT($C36,"0"),銘柄管理!$B$6:$B$305,0))-1,0,1,25))-MIN(OFFSET(安値!$E$6,IFERROR(MATCH($C36,銘柄管理!$B$6:$B$305,0),MATCH(TEXT($C36,"0"),銘柄管理!$B$6:$B$305,0))-1,0,1,25)))/$E36*100,"")</f>
      </c>
      <c r="BC36">
        <f>IFERROR(($F36-$G36)/$G36*100,"")</f>
      </c>
      <c r="BD36">
        <f>IFERROR(($E36-MAX(OFFSET(高値!$E$6,IFERROR(MATCH($C36,銘柄管理!$B$6:$B$305,0),MATCH(TEXT($C36,"0"),銘柄管理!$B$6:$B$305,0))-1,0,1,25)))/MAX(OFFSET(高値!$E$6,IFERROR(MATCH($C36,銘柄管理!$B$6:$B$305,0),MATCH(TEXT($C36,"0"),銘柄管理!$B$6:$B$305,0))-1,0,1,25))*100,"")</f>
      </c>
      <c r="BE36">
        <f>IFERROR(($H36-$I36)/$F36*100,"")</f>
      </c>
      <c r="BF36">
        <f>IFERROR(-(($BA36-AVERAGE($BA$3:$BA$206))/STDEV($BA$3:$BA$206))-(($BE36-AVERAGE($BE$3:$BE$206))/STDEV($BE$3:$BE$206))-(($BB36-AVERAGE($BB$3:$BB$206))/STDEV($BB$3:$BB$206))-(($Z36-AVERAGE($Z$3:$Z$206))/STDEV($Z$3:$Z$206))-(($BC36-AVERAGE($BC$3:$BC$206))/STDEV($BC$3:$BC$206)),"")</f>
      </c>
      <c r="BG36">
        <f>IF(OR($C36="",$C36="TOPX",$BA36="",$BF36=""),0,IF(AND($BK$10=1,$BA36&lt;=$BK$2,$BB36&lt;=$BK$3,$BC36&lt;=$BK$4,$Z36&lt;=$BK$5,$Z36&gt;=$BK$6,$BD36&gt;=$BK$7,$BE36&lt;=$BK$8),1,0))</f>
      </c>
      <c r="BH36">
        <f>IF($C36="","",IF($BG36=1,"○ゲート通過",IF($BK$10&lt;&gt;1,"― この方向は停止中",IF($BA36&gt;$BK$2,"×値動きが荒い",IF($BB36&gt;$BK$3,"×レンジが広い",IF($BC36&gt;$BK$4,"×窓を開けて上昇",IF($Z36&gt;$BK$5,"×前日に急騰",IF($Z36&lt;$BK$6,"×前日に急落",IF($BD36&lt;$BK$7,"×高値から離れすぎ",IF($BE36&gt;$BK$8,"×当日の値幅が大きい","×")))))))))</f>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 t="shared" si="0"/>
        <v>-4.849201655824956</v>
      </c>
      <c r="M37" s="166">
        <f>IF(C37&lt;&gt;"",IFERROR(AVERAGE(出来高!E22:I22),""),"")</f>
        <v>4114620</v>
      </c>
      <c r="N37" s="166">
        <f>IF(C37&lt;&gt;"",IFERROR(AVERAGE(出来高!E22:AC22),""),"")</f>
        <v>4694064</v>
      </c>
      <c r="O37" s="168">
        <f t="shared" si="1"/>
        <v>0.79803238209117733</v>
      </c>
      <c r="P37" s="163" t="str">
        <f t="shared" si="2"/>
        <v>減少↓</v>
      </c>
      <c r="Q37" s="163" t="str">
        <f t="shared" si="3"/>
        <v>中立→</v>
      </c>
      <c r="R37" s="166">
        <f t="shared" si="8"/>
        <v>5213</v>
      </c>
      <c r="S37" s="166">
        <f t="shared" si="9"/>
        <v>4634</v>
      </c>
      <c r="T37" s="163">
        <f>IF(C37="","",IFERROR(IF(O37&gt;=2,3,IF(O37&gt;=1.5,2,IF(O37&gt;=1,1,0)))+IF(E37&gt;G37,1,0)+IF(L37&gt;=-5,1,0)+IF(Q37="買い▲",2,0)+IF(W37&gt;=78,-4,IF(W37&gt;=72,-2,IF(W37&gt;=55,2,IF(W37&gt;=45,1,0))))+IF(X37&gt;0,1,0)+IF(V37="年初来高値更新●",3,IF(V37="高値圏",2,0))+IF(AD37="パーフェクト▲",3,IF(AD37="上昇トレンド▲",2,0))+IF(AE37="25日線押し目●",2,IF(AE37="5日線押し目○",1,0))+IF(P37="急増↑↑",2,IF(P37="増加↑",1,0))+N(AI37),0))</f>
      </c>
      <c r="U37" s="163" t="str">
        <f t="shared" si="10"/>
        <v>要確認</v>
      </c>
      <c r="V37" s="163" t="str">
        <f t="shared" si="5"/>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 t="shared" si="11"/>
        <v>1.0043942247332078</v>
      </c>
      <c r="AA37" s="163" t="str">
        <f t="shared" si="12"/>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 t="shared" si="15"/>
        <v>パーフェクト▲</v>
      </c>
      <c r="AE37" s="406" t="str">
        <f t="shared" si="16"/>
        <v>なし</v>
      </c>
      <c r="AF37" s="365">
        <f t="array" ref="AF37">IF(C37="","",IFERROR((INDEX(終値!$E:$E,MATCH(TEXT(C37,"0"),終値!$A:$A,0))-INDEX(終値!$E:$CZ,MATCH(TEXT(C37,"0"),終値!$A:$A,0),$AL$2))/INDEX(終値!$E:$CZ,MATCH(TEXT(C37,"0"),終値!$A:$A,0),$AL$2)*100,""))</f>
        <v>12.754029432375614</v>
      </c>
      <c r="AG37" s="365">
        <f t="array" ref="AG37">IFERROR((終値!$E$5-INDEX(終値!$E$5:$CZ$5,1,$AL$2))/INDEX(終値!$E$5:$CZ$5,1,$AL$2)*100,"")</f>
        <v>1.0179378228534113</v>
      </c>
      <c r="AH37" s="366">
        <f t="shared" si="6"/>
        <v>11.736091609522202</v>
      </c>
      <c r="AI37" s="364">
        <f t="shared" si="7"/>
        <v>3</v>
      </c>
      <c r="BA37">
        <f>IFERROR((SUM(OFFSET(高値!$E$6,IFERROR(MATCH($C37,銘柄管理!$B$6:$B$305,0),MATCH(TEXT($C37,"0"),銘柄管理!$B$6:$B$305,0))-1,0,1,14))-SUM(OFFSET(安値!$E$6,IFERROR(MATCH($C37,銘柄管理!$B$6:$B$305,0),MATCH(TEXT($C37,"0"),銘柄管理!$B$6:$B$305,0))-1,0,1,14)))/SUM(OFFSET(終値!$E$6,IFERROR(MATCH($C37,銘柄管理!$B$6:$B$305,0),MATCH(TEXT($C37,"0"),銘柄管理!$B$6:$B$305,0))-1,0,1,14))*100,"")</f>
      </c>
      <c r="BB37">
        <f>IFERROR((MAX(OFFSET(高値!$E$6,IFERROR(MATCH($C37,銘柄管理!$B$6:$B$305,0),MATCH(TEXT($C37,"0"),銘柄管理!$B$6:$B$305,0))-1,0,1,25))-MIN(OFFSET(安値!$E$6,IFERROR(MATCH($C37,銘柄管理!$B$6:$B$305,0),MATCH(TEXT($C37,"0"),銘柄管理!$B$6:$B$305,0))-1,0,1,25)))/$E37*100,"")</f>
      </c>
      <c r="BC37">
        <f>IFERROR(($F37-$G37)/$G37*100,"")</f>
      </c>
      <c r="BD37">
        <f>IFERROR(($E37-MAX(OFFSET(高値!$E$6,IFERROR(MATCH($C37,銘柄管理!$B$6:$B$305,0),MATCH(TEXT($C37,"0"),銘柄管理!$B$6:$B$305,0))-1,0,1,25)))/MAX(OFFSET(高値!$E$6,IFERROR(MATCH($C37,銘柄管理!$B$6:$B$305,0),MATCH(TEXT($C37,"0"),銘柄管理!$B$6:$B$305,0))-1,0,1,25))*100,"")</f>
      </c>
      <c r="BE37">
        <f>IFERROR(($H37-$I37)/$F37*100,"")</f>
      </c>
      <c r="BF37">
        <f>IFERROR(-(($BA37-AVERAGE($BA$3:$BA$206))/STDEV($BA$3:$BA$206))-(($BE37-AVERAGE($BE$3:$BE$206))/STDEV($BE$3:$BE$206))-(($BB37-AVERAGE($BB$3:$BB$206))/STDEV($BB$3:$BB$206))-(($Z37-AVERAGE($Z$3:$Z$206))/STDEV($Z$3:$Z$206))-(($BC37-AVERAGE($BC$3:$BC$206))/STDEV($BC$3:$BC$206)),"")</f>
      </c>
      <c r="BG37">
        <f>IF(OR($C37="",$C37="TOPX",$BA37="",$BF37=""),0,IF(AND($BK$10=1,$BA37&lt;=$BK$2,$BB37&lt;=$BK$3,$BC37&lt;=$BK$4,$Z37&lt;=$BK$5,$Z37&gt;=$BK$6,$BD37&gt;=$BK$7,$BE37&lt;=$BK$8),1,0))</f>
      </c>
      <c r="BH37">
        <f>IF($C37="","",IF($BG37=1,"○ゲート通過",IF($BK$10&lt;&gt;1,"― この方向は停止中",IF($BA37&gt;$BK$2,"×値動きが荒い",IF($BB37&gt;$BK$3,"×レンジが広い",IF($BC37&gt;$BK$4,"×窓を開けて上昇",IF($Z37&gt;$BK$5,"×前日に急騰",IF($Z37&lt;$BK$6,"×前日に急落",IF($BD37&lt;$BK$7,"×高値から離れすぎ",IF($BE37&gt;$BK$8,"×当日の値幅が大きい","×")))))))))</f>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 t="shared" si="0"/>
        <v>-1.2686567164179103</v>
      </c>
      <c r="M38" s="166">
        <f>IF(C38&lt;&gt;"",IFERROR(AVERAGE(出来高!E164:I164),""),"")</f>
        <v>128980</v>
      </c>
      <c r="N38" s="166">
        <f>IF(C38&lt;&gt;"",IFERROR(AVERAGE(出来高!E164:AC164),""),"")</f>
        <v>95876</v>
      </c>
      <c r="O38" s="168">
        <f t="shared" si="1"/>
        <v>0.37680260505504731</v>
      </c>
      <c r="P38" s="163" t="str">
        <f t="shared" si="2"/>
        <v>減少↓</v>
      </c>
      <c r="Q38" s="163" t="str">
        <f t="shared" si="3"/>
        <v>様子見▼</v>
      </c>
      <c r="R38" s="166">
        <f t="shared" si="8"/>
        <v>1429</v>
      </c>
      <c r="S38" s="166">
        <f t="shared" si="9"/>
        <v>1270</v>
      </c>
      <c r="T38" s="163">
        <f>IF(C38="","",IFERROR(IF(O38&gt;=2,3,IF(O38&gt;=1.5,2,IF(O38&gt;=1,1,0)))+IF(E38&gt;G38,1,0)+IF(L38&gt;=-5,1,0)+IF(Q38="買い▲",2,0)+IF(W38&gt;=78,-4,IF(W38&gt;=72,-2,IF(W38&gt;=55,2,IF(W38&gt;=45,1,0))))+IF(X38&gt;0,1,0)+IF(V38="年初来高値更新●",3,IF(V38="高値圏",2,0))+IF(AD38="パーフェクト▲",3,IF(AD38="上昇トレンド▲",2,0))+IF(AE38="25日線押し目●",2,IF(AE38="5日線押し目○",1,0))+IF(P38="急増↑↑",2,IF(P38="増加↑",1,0))+N(AI38),0))</f>
      </c>
      <c r="U38" s="163" t="str">
        <f t="shared" si="10"/>
        <v>要確認</v>
      </c>
      <c r="V38" s="163" t="str">
        <f t="shared" si="5"/>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 t="shared" si="11"/>
        <v>-0.45146726862302478</v>
      </c>
      <c r="AA38" s="163" t="str">
        <f t="shared" si="12"/>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 t="shared" si="15"/>
        <v>下降トレンド▼</v>
      </c>
      <c r="AE38" s="404" t="str">
        <f t="shared" si="16"/>
        <v>なし</v>
      </c>
      <c r="AF38" s="365">
        <f t="array" ref="AF38">IF(C38="","",IFERROR((INDEX(終値!$E:$E,MATCH(TEXT(C38,"0"),終値!$A:$A,0))-INDEX(終値!$E:$CZ,MATCH(TEXT(C38,"0"),終値!$A:$A,0),$AL$2))/INDEX(終値!$E:$CZ,MATCH(TEXT(C38,"0"),終値!$A:$A,0),$AL$2)*100,""))</f>
        <v>9.5198675496688736</v>
      </c>
      <c r="AG38" s="365">
        <f t="array" ref="AG38">IFERROR((終値!$E$5-INDEX(終値!$E$5:$CZ$5,1,$AL$2))/INDEX(終値!$E$5:$CZ$5,1,$AL$2)*100,"")</f>
        <v>1.0179378228534113</v>
      </c>
      <c r="AH38" s="366">
        <f t="shared" si="6"/>
        <v>8.5019297268154617</v>
      </c>
      <c r="AI38" s="364">
        <f t="shared" si="7"/>
        <v>3</v>
      </c>
      <c r="BA38">
        <f>IFERROR((SUM(OFFSET(高値!$E$6,IFERROR(MATCH($C38,銘柄管理!$B$6:$B$305,0),MATCH(TEXT($C38,"0"),銘柄管理!$B$6:$B$305,0))-1,0,1,14))-SUM(OFFSET(安値!$E$6,IFERROR(MATCH($C38,銘柄管理!$B$6:$B$305,0),MATCH(TEXT($C38,"0"),銘柄管理!$B$6:$B$305,0))-1,0,1,14)))/SUM(OFFSET(終値!$E$6,IFERROR(MATCH($C38,銘柄管理!$B$6:$B$305,0),MATCH(TEXT($C38,"0"),銘柄管理!$B$6:$B$305,0))-1,0,1,14))*100,"")</f>
      </c>
      <c r="BB38">
        <f>IFERROR((MAX(OFFSET(高値!$E$6,IFERROR(MATCH($C38,銘柄管理!$B$6:$B$305,0),MATCH(TEXT($C38,"0"),銘柄管理!$B$6:$B$305,0))-1,0,1,25))-MIN(OFFSET(安値!$E$6,IFERROR(MATCH($C38,銘柄管理!$B$6:$B$305,0),MATCH(TEXT($C38,"0"),銘柄管理!$B$6:$B$305,0))-1,0,1,25)))/$E38*100,"")</f>
      </c>
      <c r="BC38">
        <f>IFERROR(($F38-$G38)/$G38*100,"")</f>
      </c>
      <c r="BD38">
        <f>IFERROR(($E38-MAX(OFFSET(高値!$E$6,IFERROR(MATCH($C38,銘柄管理!$B$6:$B$305,0),MATCH(TEXT($C38,"0"),銘柄管理!$B$6:$B$305,0))-1,0,1,25)))/MAX(OFFSET(高値!$E$6,IFERROR(MATCH($C38,銘柄管理!$B$6:$B$305,0),MATCH(TEXT($C38,"0"),銘柄管理!$B$6:$B$305,0))-1,0,1,25))*100,"")</f>
      </c>
      <c r="BE38">
        <f>IFERROR(($H38-$I38)/$F38*100,"")</f>
      </c>
      <c r="BF38">
        <f>IFERROR(-(($BA38-AVERAGE($BA$3:$BA$206))/STDEV($BA$3:$BA$206))-(($BE38-AVERAGE($BE$3:$BE$206))/STDEV($BE$3:$BE$206))-(($BB38-AVERAGE($BB$3:$BB$206))/STDEV($BB$3:$BB$206))-(($Z38-AVERAGE($Z$3:$Z$206))/STDEV($Z$3:$Z$206))-(($BC38-AVERAGE($BC$3:$BC$206))/STDEV($BC$3:$BC$206)),"")</f>
      </c>
      <c r="BG38">
        <f>IF(OR($C38="",$C38="TOPX",$BA38="",$BF38=""),0,IF(AND($BK$10=1,$BA38&lt;=$BK$2,$BB38&lt;=$BK$3,$BC38&lt;=$BK$4,$Z38&lt;=$BK$5,$Z38&gt;=$BK$6,$BD38&gt;=$BK$7,$BE38&lt;=$BK$8),1,0))</f>
      </c>
      <c r="BH38">
        <f>IF($C38="","",IF($BG38=1,"○ゲート通過",IF($BK$10&lt;&gt;1,"― この方向は停止中",IF($BA38&gt;$BK$2,"×値動きが荒い",IF($BB38&gt;$BK$3,"×レンジが広い",IF($BC38&gt;$BK$4,"×窓を開けて上昇",IF($Z38&gt;$BK$5,"×前日に急騰",IF($Z38&lt;$BK$6,"×前日に急落",IF($BD38&lt;$BK$7,"×高値から離れすぎ",IF($BE38&gt;$BK$8,"×当日の値幅が大きい","×")))))))))</f>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 t="shared" si="0"/>
        <v>-5.6117631188452721</v>
      </c>
      <c r="M39" s="166">
        <f>IF(C39&lt;&gt;"",IFERROR(AVERAGE(出来高!E54:I54),""),"")</f>
        <v>2527720</v>
      </c>
      <c r="N39" s="166">
        <f>IF(C39&lt;&gt;"",IFERROR(AVERAGE(出来高!E54:AC54),""),"")</f>
        <v>2598076</v>
      </c>
      <c r="O39" s="168">
        <f t="shared" si="1"/>
        <v>0.84368521829949517</v>
      </c>
      <c r="P39" s="163" t="str">
        <f t="shared" si="2"/>
        <v>減少↓</v>
      </c>
      <c r="Q39" s="163" t="str">
        <f t="shared" si="3"/>
        <v>中立→</v>
      </c>
      <c r="R39" s="166">
        <f t="shared" si="8"/>
        <v>7557</v>
      </c>
      <c r="S39" s="166">
        <f t="shared" si="9"/>
        <v>6717</v>
      </c>
      <c r="T39" s="163">
        <f>IF(C39="","",IFERROR(IF(O39&gt;=2,3,IF(O39&gt;=1.5,2,IF(O39&gt;=1,1,0)))+IF(E39&gt;G39,1,0)+IF(L39&gt;=-5,1,0)+IF(Q39="買い▲",2,0)+IF(W39&gt;=78,-4,IF(W39&gt;=72,-2,IF(W39&gt;=55,2,IF(W39&gt;=45,1,0))))+IF(X39&gt;0,1,0)+IF(V39="年初来高値更新●",3,IF(V39="高値圏",2,0))+IF(AD39="パーフェクト▲",3,IF(AD39="上昇トレンド▲",2,0))+IF(AE39="25日線押し目●",2,IF(AE39="5日線押し目○",1,0))+IF(P39="急増↑↑",2,IF(P39="増加↑",1,0))+N(AI39),0))</f>
      </c>
      <c r="U39" s="163" t="str">
        <f t="shared" si="10"/>
        <v>要確認</v>
      </c>
      <c r="V39" s="163" t="str">
        <f t="shared" si="5"/>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 t="shared" si="11"/>
        <v>0.50272910083309397</v>
      </c>
      <c r="AA39" s="163" t="str">
        <f t="shared" si="12"/>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 t="shared" si="15"/>
        <v>パーフェクト▲</v>
      </c>
      <c r="AE39" s="406" t="str">
        <f t="shared" si="16"/>
        <v>なし</v>
      </c>
      <c r="AF39" s="365">
        <f t="array" ref="AF39">IF(C39="","",IFERROR((INDEX(終値!$E:$E,MATCH(TEXT(C39,"0"),終値!$A:$A,0))-INDEX(終値!$E:$CZ,MATCH(TEXT(C39,"0"),終値!$A:$A,0),$AL$2))/INDEX(終値!$E:$CZ,MATCH(TEXT(C39,"0"),終値!$A:$A,0),$AL$2)*100,""))</f>
        <v>11.952</v>
      </c>
      <c r="AG39" s="365">
        <f t="array" ref="AG39">IFERROR((終値!$E$5-INDEX(終値!$E$5:$CZ$5,1,$AL$2))/INDEX(終値!$E$5:$CZ$5,1,$AL$2)*100,"")</f>
        <v>1.0179378228534113</v>
      </c>
      <c r="AH39" s="366">
        <f t="shared" si="6"/>
        <v>10.934062177146588</v>
      </c>
      <c r="AI39" s="364">
        <f t="shared" si="7"/>
        <v>3</v>
      </c>
      <c r="BA39">
        <f>IFERROR((SUM(OFFSET(高値!$E$6,IFERROR(MATCH($C39,銘柄管理!$B$6:$B$305,0),MATCH(TEXT($C39,"0"),銘柄管理!$B$6:$B$305,0))-1,0,1,14))-SUM(OFFSET(安値!$E$6,IFERROR(MATCH($C39,銘柄管理!$B$6:$B$305,0),MATCH(TEXT($C39,"0"),銘柄管理!$B$6:$B$305,0))-1,0,1,14)))/SUM(OFFSET(終値!$E$6,IFERROR(MATCH($C39,銘柄管理!$B$6:$B$305,0),MATCH(TEXT($C39,"0"),銘柄管理!$B$6:$B$305,0))-1,0,1,14))*100,"")</f>
      </c>
      <c r="BB39">
        <f>IFERROR((MAX(OFFSET(高値!$E$6,IFERROR(MATCH($C39,銘柄管理!$B$6:$B$305,0),MATCH(TEXT($C39,"0"),銘柄管理!$B$6:$B$305,0))-1,0,1,25))-MIN(OFFSET(安値!$E$6,IFERROR(MATCH($C39,銘柄管理!$B$6:$B$305,0),MATCH(TEXT($C39,"0"),銘柄管理!$B$6:$B$305,0))-1,0,1,25)))/$E39*100,"")</f>
      </c>
      <c r="BC39">
        <f>IFERROR(($F39-$G39)/$G39*100,"")</f>
      </c>
      <c r="BD39">
        <f>IFERROR(($E39-MAX(OFFSET(高値!$E$6,IFERROR(MATCH($C39,銘柄管理!$B$6:$B$305,0),MATCH(TEXT($C39,"0"),銘柄管理!$B$6:$B$305,0))-1,0,1,25)))/MAX(OFFSET(高値!$E$6,IFERROR(MATCH($C39,銘柄管理!$B$6:$B$305,0),MATCH(TEXT($C39,"0"),銘柄管理!$B$6:$B$305,0))-1,0,1,25))*100,"")</f>
      </c>
      <c r="BE39">
        <f>IFERROR(($H39-$I39)/$F39*100,"")</f>
      </c>
      <c r="BF39">
        <f>IFERROR(-(($BA39-AVERAGE($BA$3:$BA$206))/STDEV($BA$3:$BA$206))-(($BE39-AVERAGE($BE$3:$BE$206))/STDEV($BE$3:$BE$206))-(($BB39-AVERAGE($BB$3:$BB$206))/STDEV($BB$3:$BB$206))-(($Z39-AVERAGE($Z$3:$Z$206))/STDEV($Z$3:$Z$206))-(($BC39-AVERAGE($BC$3:$BC$206))/STDEV($BC$3:$BC$206)),"")</f>
      </c>
      <c r="BG39">
        <f>IF(OR($C39="",$C39="TOPX",$BA39="",$BF39=""),0,IF(AND($BK$10=1,$BA39&lt;=$BK$2,$BB39&lt;=$BK$3,$BC39&lt;=$BK$4,$Z39&lt;=$BK$5,$Z39&gt;=$BK$6,$BD39&gt;=$BK$7,$BE39&lt;=$BK$8),1,0))</f>
      </c>
      <c r="BH39">
        <f>IF($C39="","",IF($BG39=1,"○ゲート通過",IF($BK$10&lt;&gt;1,"― この方向は停止中",IF($BA39&gt;$BK$2,"×値動きが荒い",IF($BB39&gt;$BK$3,"×レンジが広い",IF($BC39&gt;$BK$4,"×窓を開けて上昇",IF($Z39&gt;$BK$5,"×前日に急騰",IF($Z39&lt;$BK$6,"×前日に急落",IF($BD39&lt;$BK$7,"×高値から離れすぎ",IF($BE39&gt;$BK$8,"×当日の値幅が大きい","×")))))))))</f>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 t="shared" si="0"/>
        <v>-3.6063569682151591</v>
      </c>
      <c r="M40" s="166">
        <f>IF(C40&lt;&gt;"",IFERROR(AVERAGE(出来高!E40:I40),""),"")</f>
        <v>12119640</v>
      </c>
      <c r="N40" s="166">
        <f>IF(C40&lt;&gt;"",IFERROR(AVERAGE(出来高!E40:AC40),""),"")</f>
        <v>11148344</v>
      </c>
      <c r="O40" s="168">
        <f t="shared" si="1"/>
        <v>0.6971081649289913</v>
      </c>
      <c r="P40" s="163" t="str">
        <f t="shared" si="2"/>
        <v>減少↓</v>
      </c>
      <c r="Q40" s="163" t="str">
        <f t="shared" si="3"/>
        <v>中立→</v>
      </c>
      <c r="R40" s="166">
        <f t="shared" si="8"/>
        <v>1703</v>
      </c>
      <c r="S40" s="166">
        <f t="shared" si="9"/>
        <v>1514</v>
      </c>
      <c r="T40" s="163">
        <f>IF(C40="","",IFERROR(IF(O40&gt;=2,3,IF(O40&gt;=1.5,2,IF(O40&gt;=1,1,0)))+IF(E40&gt;G40,1,0)+IF(L40&gt;=-5,1,0)+IF(Q40="買い▲",2,0)+IF(W40&gt;=78,-4,IF(W40&gt;=72,-2,IF(W40&gt;=55,2,IF(W40&gt;=45,1,0))))+IF(X40&gt;0,1,0)+IF(V40="年初来高値更新●",3,IF(V40="高値圏",2,0))+IF(AD40="パーフェクト▲",3,IF(AD40="上昇トレンド▲",2,0))+IF(AE40="25日線押し目●",2,IF(AE40="5日線押し目○",1,0))+IF(P40="急増↑↑",2,IF(P40="増加↑",1,0))+N(AI40),0))</f>
      </c>
      <c r="U40" s="163" t="str">
        <f t="shared" si="10"/>
        <v>要確認</v>
      </c>
      <c r="V40" s="163" t="str">
        <f t="shared" si="5"/>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 t="shared" si="11"/>
        <v>1.1870388193776067</v>
      </c>
      <c r="AA40" s="163" t="str">
        <f t="shared" si="12"/>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 t="shared" si="15"/>
        <v>下降トレンド▼</v>
      </c>
      <c r="AE40" s="404" t="str">
        <f t="shared" si="16"/>
        <v>なし</v>
      </c>
      <c r="AF40" s="365">
        <f t="array" ref="AF40">IF(C40="","",IFERROR((INDEX(終値!$E:$E,MATCH(TEXT(C40,"0"),終値!$A:$A,0))-INDEX(終値!$E:$CZ,MATCH(TEXT(C40,"0"),終値!$A:$A,0),$AL$2))/INDEX(終値!$E:$CZ,MATCH(TEXT(C40,"0"),終値!$A:$A,0),$AL$2)*100,""))</f>
        <v>9.5519277526919062</v>
      </c>
      <c r="AG40" s="365">
        <f t="array" ref="AG40">IFERROR((終値!$E$5-INDEX(終値!$E$5:$CZ$5,1,$AL$2))/INDEX(終値!$E$5:$CZ$5,1,$AL$2)*100,"")</f>
        <v>1.0179378228534113</v>
      </c>
      <c r="AH40" s="366">
        <f t="shared" si="6"/>
        <v>8.5339899298384942</v>
      </c>
      <c r="AI40" s="364">
        <f t="shared" si="7"/>
        <v>3</v>
      </c>
      <c r="BA40">
        <f>IFERROR((SUM(OFFSET(高値!$E$6,IFERROR(MATCH($C40,銘柄管理!$B$6:$B$305,0),MATCH(TEXT($C40,"0"),銘柄管理!$B$6:$B$305,0))-1,0,1,14))-SUM(OFFSET(安値!$E$6,IFERROR(MATCH($C40,銘柄管理!$B$6:$B$305,0),MATCH(TEXT($C40,"0"),銘柄管理!$B$6:$B$305,0))-1,0,1,14)))/SUM(OFFSET(終値!$E$6,IFERROR(MATCH($C40,銘柄管理!$B$6:$B$305,0),MATCH(TEXT($C40,"0"),銘柄管理!$B$6:$B$305,0))-1,0,1,14))*100,"")</f>
      </c>
      <c r="BB40">
        <f>IFERROR((MAX(OFFSET(高値!$E$6,IFERROR(MATCH($C40,銘柄管理!$B$6:$B$305,0),MATCH(TEXT($C40,"0"),銘柄管理!$B$6:$B$305,0))-1,0,1,25))-MIN(OFFSET(安値!$E$6,IFERROR(MATCH($C40,銘柄管理!$B$6:$B$305,0),MATCH(TEXT($C40,"0"),銘柄管理!$B$6:$B$305,0))-1,0,1,25)))/$E40*100,"")</f>
      </c>
      <c r="BC40">
        <f>IFERROR(($F40-$G40)/$G40*100,"")</f>
      </c>
      <c r="BD40">
        <f>IFERROR(($E40-MAX(OFFSET(高値!$E$6,IFERROR(MATCH($C40,銘柄管理!$B$6:$B$305,0),MATCH(TEXT($C40,"0"),銘柄管理!$B$6:$B$305,0))-1,0,1,25)))/MAX(OFFSET(高値!$E$6,IFERROR(MATCH($C40,銘柄管理!$B$6:$B$305,0),MATCH(TEXT($C40,"0"),銘柄管理!$B$6:$B$305,0))-1,0,1,25))*100,"")</f>
      </c>
      <c r="BE40">
        <f>IFERROR(($H40-$I40)/$F40*100,"")</f>
      </c>
      <c r="BF40">
        <f>IFERROR(-(($BA40-AVERAGE($BA$3:$BA$206))/STDEV($BA$3:$BA$206))-(($BE40-AVERAGE($BE$3:$BE$206))/STDEV($BE$3:$BE$206))-(($BB40-AVERAGE($BB$3:$BB$206))/STDEV($BB$3:$BB$206))-(($Z40-AVERAGE($Z$3:$Z$206))/STDEV($Z$3:$Z$206))-(($BC40-AVERAGE($BC$3:$BC$206))/STDEV($BC$3:$BC$206)),"")</f>
      </c>
      <c r="BG40">
        <f>IF(OR($C40="",$C40="TOPX",$BA40="",$BF40=""),0,IF(AND($BK$10=1,$BA40&lt;=$BK$2,$BB40&lt;=$BK$3,$BC40&lt;=$BK$4,$Z40&lt;=$BK$5,$Z40&gt;=$BK$6,$BD40&gt;=$BK$7,$BE40&lt;=$BK$8),1,0))</f>
      </c>
      <c r="BH40">
        <f>IF($C40="","",IF($BG40=1,"○ゲート通過",IF($BK$10&lt;&gt;1,"― この方向は停止中",IF($BA40&gt;$BK$2,"×値動きが荒い",IF($BB40&gt;$BK$3,"×レンジが広い",IF($BC40&gt;$BK$4,"×窓を開けて上昇",IF($Z40&gt;$BK$5,"×前日に急騰",IF($Z40&lt;$BK$6,"×前日に急落",IF($BD40&lt;$BK$7,"×高値から離れすぎ",IF($BE40&gt;$BK$8,"×当日の値幅が大きい","×")))))))))</f>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 t="shared" si="0"/>
        <v>-3.2335011926848662</v>
      </c>
      <c r="M41" s="166">
        <f>IF(C41&lt;&gt;"",IFERROR(AVERAGE(出来高!E33:I33),""),"")</f>
        <v>5796960</v>
      </c>
      <c r="N41" s="166">
        <f>IF(C41&lt;&gt;"",IFERROR(AVERAGE(出来高!E33:AC33),""),"")</f>
        <v>4949128</v>
      </c>
      <c r="O41" s="168">
        <f t="shared" si="1"/>
        <v>0.62831208081477186</v>
      </c>
      <c r="P41" s="163" t="str">
        <f t="shared" si="2"/>
        <v>減少↓</v>
      </c>
      <c r="Q41" s="163" t="str">
        <f t="shared" si="3"/>
        <v>中立→</v>
      </c>
      <c r="R41" s="166">
        <f t="shared" si="8"/>
        <v>1972</v>
      </c>
      <c r="S41" s="166">
        <f t="shared" si="9"/>
        <v>1752</v>
      </c>
      <c r="T41" s="163">
        <f>IF(C41="","",IFERROR(IF(O41&gt;=2,3,IF(O41&gt;=1.5,2,IF(O41&gt;=1,1,0)))+IF(E41&gt;G41,1,0)+IF(L41&gt;=-5,1,0)+IF(Q41="買い▲",2,0)+IF(W41&gt;=78,-4,IF(W41&gt;=72,-2,IF(W41&gt;=55,2,IF(W41&gt;=45,1,0))))+IF(X41&gt;0,1,0)+IF(V41="年初来高値更新●",3,IF(V41="高値圏",2,0))+IF(AD41="パーフェクト▲",3,IF(AD41="上昇トレンド▲",2,0))+IF(AE41="25日線押し目●",2,IF(AE41="5日線押し目○",1,0))+IF(P41="急増↑↑",2,IF(P41="増加↑",1,0))+N(AI41),0))</f>
      </c>
      <c r="U41" s="163" t="str">
        <f t="shared" si="10"/>
        <v>要確認</v>
      </c>
      <c r="V41" s="163" t="str">
        <f t="shared" si="5"/>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 t="shared" si="11"/>
        <v>0.80066261733848698</v>
      </c>
      <c r="AA41" s="163" t="str">
        <f t="shared" si="12"/>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 t="shared" si="15"/>
        <v>上昇トレンド▲</v>
      </c>
      <c r="AE41" s="406" t="str">
        <f t="shared" si="16"/>
        <v>25日押し目★</v>
      </c>
      <c r="AF41" s="365">
        <f t="array" ref="AF41">IF(C41="","",IFERROR((INDEX(終値!$E:$E,MATCH(TEXT(C41,"0"),終値!$A:$A,0))-INDEX(終値!$E:$CZ,MATCH(TEXT(C41,"0"),終値!$A:$A,0),$AL$2))/INDEX(終値!$E:$CZ,MATCH(TEXT(C41,"0"),終値!$A:$A,0),$AL$2)*100,""))</f>
        <v>11.890897946674839</v>
      </c>
      <c r="AG41" s="365">
        <f t="array" ref="AG41">IFERROR((終値!$E$5-INDEX(終値!$E$5:$CZ$5,1,$AL$2))/INDEX(終値!$E$5:$CZ$5,1,$AL$2)*100,"")</f>
        <v>1.0179378228534113</v>
      </c>
      <c r="AH41" s="366">
        <f t="shared" si="6"/>
        <v>10.872960123821427</v>
      </c>
      <c r="AI41" s="364">
        <f t="shared" si="7"/>
        <v>3</v>
      </c>
      <c r="BA41">
        <f>IFERROR((SUM(OFFSET(高値!$E$6,IFERROR(MATCH($C41,銘柄管理!$B$6:$B$305,0),MATCH(TEXT($C41,"0"),銘柄管理!$B$6:$B$305,0))-1,0,1,14))-SUM(OFFSET(安値!$E$6,IFERROR(MATCH($C41,銘柄管理!$B$6:$B$305,0),MATCH(TEXT($C41,"0"),銘柄管理!$B$6:$B$305,0))-1,0,1,14)))/SUM(OFFSET(終値!$E$6,IFERROR(MATCH($C41,銘柄管理!$B$6:$B$305,0),MATCH(TEXT($C41,"0"),銘柄管理!$B$6:$B$305,0))-1,0,1,14))*100,"")</f>
      </c>
      <c r="BB41">
        <f>IFERROR((MAX(OFFSET(高値!$E$6,IFERROR(MATCH($C41,銘柄管理!$B$6:$B$305,0),MATCH(TEXT($C41,"0"),銘柄管理!$B$6:$B$305,0))-1,0,1,25))-MIN(OFFSET(安値!$E$6,IFERROR(MATCH($C41,銘柄管理!$B$6:$B$305,0),MATCH(TEXT($C41,"0"),銘柄管理!$B$6:$B$305,0))-1,0,1,25)))/$E41*100,"")</f>
      </c>
      <c r="BC41">
        <f>IFERROR(($F41-$G41)/$G41*100,"")</f>
      </c>
      <c r="BD41">
        <f>IFERROR(($E41-MAX(OFFSET(高値!$E$6,IFERROR(MATCH($C41,銘柄管理!$B$6:$B$305,0),MATCH(TEXT($C41,"0"),銘柄管理!$B$6:$B$305,0))-1,0,1,25)))/MAX(OFFSET(高値!$E$6,IFERROR(MATCH($C41,銘柄管理!$B$6:$B$305,0),MATCH(TEXT($C41,"0"),銘柄管理!$B$6:$B$305,0))-1,0,1,25))*100,"")</f>
      </c>
      <c r="BE41">
        <f>IFERROR(($H41-$I41)/$F41*100,"")</f>
      </c>
      <c r="BF41">
        <f>IFERROR(-(($BA41-AVERAGE($BA$3:$BA$206))/STDEV($BA$3:$BA$206))-(($BE41-AVERAGE($BE$3:$BE$206))/STDEV($BE$3:$BE$206))-(($BB41-AVERAGE($BB$3:$BB$206))/STDEV($BB$3:$BB$206))-(($Z41-AVERAGE($Z$3:$Z$206))/STDEV($Z$3:$Z$206))-(($BC41-AVERAGE($BC$3:$BC$206))/STDEV($BC$3:$BC$206)),"")</f>
      </c>
      <c r="BG41">
        <f>IF(OR($C41="",$C41="TOPX",$BA41="",$BF41=""),0,IF(AND($BK$10=1,$BA41&lt;=$BK$2,$BB41&lt;=$BK$3,$BC41&lt;=$BK$4,$Z41&lt;=$BK$5,$Z41&gt;=$BK$6,$BD41&gt;=$BK$7,$BE41&lt;=$BK$8),1,0))</f>
      </c>
      <c r="BH41">
        <f>IF($C41="","",IF($BG41=1,"○ゲート通過",IF($BK$10&lt;&gt;1,"― この方向は停止中",IF($BA41&gt;$BK$2,"×値動きが荒い",IF($BB41&gt;$BK$3,"×レンジが広い",IF($BC41&gt;$BK$4,"×窓を開けて上昇",IF($Z41&gt;$BK$5,"×前日に急騰",IF($Z41&lt;$BK$6,"×前日に急落",IF($BD41&lt;$BK$7,"×高値から離れすぎ",IF($BE41&gt;$BK$8,"×当日の値幅が大きい","×")))))))))</f>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 t="shared" si="0"/>
        <v>-7.3953940966590981</v>
      </c>
      <c r="M42" s="166">
        <f>IF(C42&lt;&gt;"",IFERROR(AVERAGE(出来高!E39:I39),""),"")</f>
        <v>5093880</v>
      </c>
      <c r="N42" s="166">
        <f>IF(C42&lt;&gt;"",IFERROR(AVERAGE(出来高!E39:AC39),""),"")</f>
        <v>4330540</v>
      </c>
      <c r="O42" s="168">
        <f t="shared" si="1"/>
        <v>0.74640549051018079</v>
      </c>
      <c r="P42" s="163" t="str">
        <f t="shared" si="2"/>
        <v>減少↓</v>
      </c>
      <c r="Q42" s="163" t="str">
        <f t="shared" si="3"/>
        <v>中立→</v>
      </c>
      <c r="R42" s="166">
        <f t="shared" si="8"/>
        <v>1542</v>
      </c>
      <c r="S42" s="166">
        <f t="shared" si="9"/>
        <v>1370</v>
      </c>
      <c r="T42" s="163">
        <f>IF(C42="","",IFERROR(IF(O42&gt;=2,3,IF(O42&gt;=1.5,2,IF(O42&gt;=1,1,0)))+IF(E42&gt;G42,1,0)+IF(L42&gt;=-5,1,0)+IF(Q42="買い▲",2,0)+IF(W42&gt;=78,-4,IF(W42&gt;=72,-2,IF(W42&gt;=55,2,IF(W42&gt;=45,1,0))))+IF(X42&gt;0,1,0)+IF(V42="年初来高値更新●",3,IF(V42="高値圏",2,0))+IF(AD42="パーフェクト▲",3,IF(AD42="上昇トレンド▲",2,0))+IF(AE42="25日線押し目●",2,IF(AE42="5日線押し目○",1,0))+IF(P42="急増↑↑",2,IF(P42="増加↑",1,0))+N(AI42),0))</f>
      </c>
      <c r="U42" s="163" t="str">
        <f t="shared" si="10"/>
        <v>要確認</v>
      </c>
      <c r="V42" s="163" t="str">
        <f t="shared" si="5"/>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 t="shared" si="11"/>
        <v>0.7765619484645252</v>
      </c>
      <c r="AA42" s="163" t="str">
        <f t="shared" si="12"/>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 t="shared" si="15"/>
        <v>パーフェクト▲</v>
      </c>
      <c r="AE42" s="404" t="str">
        <f t="shared" si="16"/>
        <v>なし</v>
      </c>
      <c r="AF42" s="365">
        <f t="array" ref="AF42">IF(C42="","",IFERROR((INDEX(終値!$E:$E,MATCH(TEXT(C42,"0"),終値!$A:$A,0))-INDEX(終値!$E:$CZ,MATCH(TEXT(C42,"0"),終値!$A:$A,0),$AL$2))/INDEX(終値!$E:$CZ,MATCH(TEXT(C42,"0"),終値!$A:$A,0),$AL$2)*100,""))</f>
        <v>9.1360856269113153</v>
      </c>
      <c r="AG42" s="365">
        <f t="array" ref="AG42">IFERROR((終値!$E$5-INDEX(終値!$E$5:$CZ$5,1,$AL$2))/INDEX(終値!$E$5:$CZ$5,1,$AL$2)*100,"")</f>
        <v>1.0179378228534113</v>
      </c>
      <c r="AH42" s="366">
        <f t="shared" si="6"/>
        <v>8.1181478040579034</v>
      </c>
      <c r="AI42" s="364">
        <f t="shared" si="7"/>
        <v>3</v>
      </c>
      <c r="BA42">
        <f>IFERROR((SUM(OFFSET(高値!$E$6,IFERROR(MATCH($C42,銘柄管理!$B$6:$B$305,0),MATCH(TEXT($C42,"0"),銘柄管理!$B$6:$B$305,0))-1,0,1,14))-SUM(OFFSET(安値!$E$6,IFERROR(MATCH($C42,銘柄管理!$B$6:$B$305,0),MATCH(TEXT($C42,"0"),銘柄管理!$B$6:$B$305,0))-1,0,1,14)))/SUM(OFFSET(終値!$E$6,IFERROR(MATCH($C42,銘柄管理!$B$6:$B$305,0),MATCH(TEXT($C42,"0"),銘柄管理!$B$6:$B$305,0))-1,0,1,14))*100,"")</f>
      </c>
      <c r="BB42">
        <f>IFERROR((MAX(OFFSET(高値!$E$6,IFERROR(MATCH($C42,銘柄管理!$B$6:$B$305,0),MATCH(TEXT($C42,"0"),銘柄管理!$B$6:$B$305,0))-1,0,1,25))-MIN(OFFSET(安値!$E$6,IFERROR(MATCH($C42,銘柄管理!$B$6:$B$305,0),MATCH(TEXT($C42,"0"),銘柄管理!$B$6:$B$305,0))-1,0,1,25)))/$E42*100,"")</f>
      </c>
      <c r="BC42">
        <f>IFERROR(($F42-$G42)/$G42*100,"")</f>
      </c>
      <c r="BD42">
        <f>IFERROR(($E42-MAX(OFFSET(高値!$E$6,IFERROR(MATCH($C42,銘柄管理!$B$6:$B$305,0),MATCH(TEXT($C42,"0"),銘柄管理!$B$6:$B$305,0))-1,0,1,25)))/MAX(OFFSET(高値!$E$6,IFERROR(MATCH($C42,銘柄管理!$B$6:$B$305,0),MATCH(TEXT($C42,"0"),銘柄管理!$B$6:$B$305,0))-1,0,1,25))*100,"")</f>
      </c>
      <c r="BE42">
        <f>IFERROR(($H42-$I42)/$F42*100,"")</f>
      </c>
      <c r="BF42">
        <f>IFERROR(-(($BA42-AVERAGE($BA$3:$BA$206))/STDEV($BA$3:$BA$206))-(($BE42-AVERAGE($BE$3:$BE$206))/STDEV($BE$3:$BE$206))-(($BB42-AVERAGE($BB$3:$BB$206))/STDEV($BB$3:$BB$206))-(($Z42-AVERAGE($Z$3:$Z$206))/STDEV($Z$3:$Z$206))-(($BC42-AVERAGE($BC$3:$BC$206))/STDEV($BC$3:$BC$206)),"")</f>
      </c>
      <c r="BG42">
        <f>IF(OR($C42="",$C42="TOPX",$BA42="",$BF42=""),0,IF(AND($BK$10=1,$BA42&lt;=$BK$2,$BB42&lt;=$BK$3,$BC42&lt;=$BK$4,$Z42&lt;=$BK$5,$Z42&gt;=$BK$6,$BD42&gt;=$BK$7,$BE42&lt;=$BK$8),1,0))</f>
      </c>
      <c r="BH42">
        <f>IF($C42="","",IF($BG42=1,"○ゲート通過",IF($BK$10&lt;&gt;1,"― この方向は停止中",IF($BA42&gt;$BK$2,"×値動きが荒い",IF($BB42&gt;$BK$3,"×レンジが広い",IF($BC42&gt;$BK$4,"×窓を開けて上昇",IF($Z42&gt;$BK$5,"×前日に急騰",IF($Z42&lt;$BK$6,"×前日に急落",IF($BD42&lt;$BK$7,"×高値から離れすぎ",IF($BE42&gt;$BK$8,"×当日の値幅が大きい","×")))))))))</f>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 t="shared" si="0"/>
        <v>-2.5</v>
      </c>
      <c r="M43" s="166">
        <f>IF(C43&lt;&gt;"",IFERROR(AVERAGE(出来高!E26:I26),""),"")</f>
        <v>3313460</v>
      </c>
      <c r="N43" s="166">
        <f>IF(C43&lt;&gt;"",IFERROR(AVERAGE(出来高!E26:AC26),""),"")</f>
        <v>3144688</v>
      </c>
      <c r="O43" s="168">
        <f t="shared" si="1"/>
        <v>0.86722036783302048</v>
      </c>
      <c r="P43" s="163" t="str">
        <f t="shared" si="2"/>
        <v>減少↓</v>
      </c>
      <c r="Q43" s="163" t="str">
        <f t="shared" si="3"/>
        <v>様子見▼</v>
      </c>
      <c r="R43" s="166">
        <f t="shared" si="8"/>
        <v>7034</v>
      </c>
      <c r="S43" s="166">
        <f t="shared" si="9"/>
        <v>6252</v>
      </c>
      <c r="T43" s="163">
        <f>IF(C43="","",IFERROR(IF(O43&gt;=2,3,IF(O43&gt;=1.5,2,IF(O43&gt;=1,1,0)))+IF(E43&gt;G43,1,0)+IF(L43&gt;=-5,1,0)+IF(Q43="買い▲",2,0)+IF(W43&gt;=78,-4,IF(W43&gt;=72,-2,IF(W43&gt;=55,2,IF(W43&gt;=45,1,0))))+IF(X43&gt;0,1,0)+IF(V43="年初来高値更新●",3,IF(V43="高値圏",2,0))+IF(AD43="パーフェクト▲",3,IF(AD43="上昇トレンド▲",2,0))+IF(AE43="25日線押し目●",2,IF(AE43="5日線押し目○",1,0))+IF(P43="急増↑↑",2,IF(P43="増加↑",1,0))+N(AI43),0))</f>
      </c>
      <c r="U43" s="163" t="str">
        <f t="shared" si="10"/>
        <v>要確認</v>
      </c>
      <c r="V43" s="163" t="str">
        <f t="shared" si="5"/>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 t="shared" si="11"/>
        <v>-0.51932182679089667</v>
      </c>
      <c r="AA43" s="163" t="str">
        <f t="shared" si="12"/>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 t="shared" si="15"/>
        <v>上昇トレンド▲</v>
      </c>
      <c r="AE43" s="406" t="str">
        <f t="shared" si="16"/>
        <v>なし</v>
      </c>
      <c r="AF43" s="365">
        <f t="array" ref="AF43">IF(C43="","",IFERROR((INDEX(終値!$E:$E,MATCH(TEXT(C43,"0"),終値!$A:$A,0))-INDEX(終値!$E:$CZ,MATCH(TEXT(C43,"0"),終値!$A:$A,0),$AL$2))/INDEX(終値!$E:$CZ,MATCH(TEXT(C43,"0"),終値!$A:$A,0),$AL$2)*100,""))</f>
        <v>5.0653331182448778</v>
      </c>
      <c r="AG43" s="365">
        <f t="array" ref="AG43">IFERROR((終値!$E$5-INDEX(終値!$E$5:$CZ$5,1,$AL$2))/INDEX(終値!$E$5:$CZ$5,1,$AL$2)*100,"")</f>
        <v>1.0179378228534113</v>
      </c>
      <c r="AH43" s="366">
        <f t="shared" si="6"/>
        <v>4.0473952953914667</v>
      </c>
      <c r="AI43" s="364">
        <f t="shared" si="7"/>
        <v>1</v>
      </c>
      <c r="BA43">
        <f>IFERROR((SUM(OFFSET(高値!$E$6,IFERROR(MATCH($C43,銘柄管理!$B$6:$B$305,0),MATCH(TEXT($C43,"0"),銘柄管理!$B$6:$B$305,0))-1,0,1,14))-SUM(OFFSET(安値!$E$6,IFERROR(MATCH($C43,銘柄管理!$B$6:$B$305,0),MATCH(TEXT($C43,"0"),銘柄管理!$B$6:$B$305,0))-1,0,1,14)))/SUM(OFFSET(終値!$E$6,IFERROR(MATCH($C43,銘柄管理!$B$6:$B$305,0),MATCH(TEXT($C43,"0"),銘柄管理!$B$6:$B$305,0))-1,0,1,14))*100,"")</f>
      </c>
      <c r="BB43">
        <f>IFERROR((MAX(OFFSET(高値!$E$6,IFERROR(MATCH($C43,銘柄管理!$B$6:$B$305,0),MATCH(TEXT($C43,"0"),銘柄管理!$B$6:$B$305,0))-1,0,1,25))-MIN(OFFSET(安値!$E$6,IFERROR(MATCH($C43,銘柄管理!$B$6:$B$305,0),MATCH(TEXT($C43,"0"),銘柄管理!$B$6:$B$305,0))-1,0,1,25)))/$E43*100,"")</f>
      </c>
      <c r="BC43">
        <f>IFERROR(($F43-$G43)/$G43*100,"")</f>
      </c>
      <c r="BD43">
        <f>IFERROR(($E43-MAX(OFFSET(高値!$E$6,IFERROR(MATCH($C43,銘柄管理!$B$6:$B$305,0),MATCH(TEXT($C43,"0"),銘柄管理!$B$6:$B$305,0))-1,0,1,25)))/MAX(OFFSET(高値!$E$6,IFERROR(MATCH($C43,銘柄管理!$B$6:$B$305,0),MATCH(TEXT($C43,"0"),銘柄管理!$B$6:$B$305,0))-1,0,1,25))*100,"")</f>
      </c>
      <c r="BE43">
        <f>IFERROR(($H43-$I43)/$F43*100,"")</f>
      </c>
      <c r="BF43">
        <f>IFERROR(-(($BA43-AVERAGE($BA$3:$BA$206))/STDEV($BA$3:$BA$206))-(($BE43-AVERAGE($BE$3:$BE$206))/STDEV($BE$3:$BE$206))-(($BB43-AVERAGE($BB$3:$BB$206))/STDEV($BB$3:$BB$206))-(($Z43-AVERAGE($Z$3:$Z$206))/STDEV($Z$3:$Z$206))-(($BC43-AVERAGE($BC$3:$BC$206))/STDEV($BC$3:$BC$206)),"")</f>
      </c>
      <c r="BG43">
        <f>IF(OR($C43="",$C43="TOPX",$BA43="",$BF43=""),0,IF(AND($BK$10=1,$BA43&lt;=$BK$2,$BB43&lt;=$BK$3,$BC43&lt;=$BK$4,$Z43&lt;=$BK$5,$Z43&gt;=$BK$6,$BD43&gt;=$BK$7,$BE43&lt;=$BK$8),1,0))</f>
      </c>
      <c r="BH43">
        <f>IF($C43="","",IF($BG43=1,"○ゲート通過",IF($BK$10&lt;&gt;1,"― この方向は停止中",IF($BA43&gt;$BK$2,"×値動きが荒い",IF($BB43&gt;$BK$3,"×レンジが広い",IF($BC43&gt;$BK$4,"×窓を開けて上昇",IF($Z43&gt;$BK$5,"×前日に急騰",IF($Z43&lt;$BK$6,"×前日に急落",IF($BD43&lt;$BK$7,"×高値から離れすぎ",IF($BE43&gt;$BK$8,"×当日の値幅が大きい","×")))))))))</f>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 t="shared" si="0"/>
        <v>-10.983515465826997</v>
      </c>
      <c r="M44" s="166">
        <f>IF(C44&lt;&gt;"",IFERROR(AVERAGE(出来高!E47:I47),""),"")</f>
        <v>1505340</v>
      </c>
      <c r="N44" s="166">
        <f>IF(C44&lt;&gt;"",IFERROR(AVERAGE(出来高!E47:AC47),""),"")</f>
        <v>1400124</v>
      </c>
      <c r="O44" s="168">
        <f t="shared" si="1"/>
        <v>0.74149361606015918</v>
      </c>
      <c r="P44" s="163" t="str">
        <f t="shared" si="2"/>
        <v>減少↓</v>
      </c>
      <c r="Q44" s="163" t="str">
        <f t="shared" si="3"/>
        <v>中立→</v>
      </c>
      <c r="R44" s="166">
        <f t="shared" si="8"/>
        <v>519</v>
      </c>
      <c r="S44" s="166">
        <f t="shared" si="9"/>
        <v>461</v>
      </c>
      <c r="T44" s="163">
        <f>IF(C44="","",IFERROR(IF(O44&gt;=2,3,IF(O44&gt;=1.5,2,IF(O44&gt;=1,1,0)))+IF(E44&gt;G44,1,0)+IF(L44&gt;=-5,1,0)+IF(Q44="買い▲",2,0)+IF(W44&gt;=78,-4,IF(W44&gt;=72,-2,IF(W44&gt;=55,2,IF(W44&gt;=45,1,0))))+IF(X44&gt;0,1,0)+IF(V44="年初来高値更新●",3,IF(V44="高値圏",2,0))+IF(AD44="パーフェクト▲",3,IF(AD44="上昇トレンド▲",2,0))+IF(AE44="25日線押し目●",2,IF(AE44="5日線押し目○",1,0))+IF(P44="急増↑↑",2,IF(P44="増加↑",1,0))+N(AI44),0))</f>
      </c>
      <c r="U44" s="163" t="str">
        <f t="shared" si="10"/>
        <v>要確認</v>
      </c>
      <c r="V44" s="163" t="str">
        <f t="shared" si="5"/>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 t="shared" si="11"/>
        <v>1.2855637513171809</v>
      </c>
      <c r="AA44" s="163" t="str">
        <f t="shared" si="12"/>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 t="shared" si="15"/>
        <v>もみ合い→</v>
      </c>
      <c r="AE44" s="404" t="str">
        <f t="shared" si="16"/>
        <v>なし</v>
      </c>
      <c r="AF44" s="365">
        <f t="array" ref="AF44">IF(C44="","",IFERROR((INDEX(終値!$E:$E,MATCH(TEXT(C44,"0"),終値!$A:$A,0))-INDEX(終値!$E:$CZ,MATCH(TEXT(C44,"0"),終値!$A:$A,0),$AL$2))/INDEX(終値!$E:$CZ,MATCH(TEXT(C44,"0"),終値!$A:$A,0),$AL$2)*100,""))</f>
        <v>5.4641211323239052</v>
      </c>
      <c r="AG44" s="365">
        <f t="array" ref="AG44">IFERROR((終値!$E$5-INDEX(終値!$E$5:$CZ$5,1,$AL$2))/INDEX(終値!$E$5:$CZ$5,1,$AL$2)*100,"")</f>
        <v>1.0179378228534113</v>
      </c>
      <c r="AH44" s="366">
        <f t="shared" si="6"/>
        <v>4.4461833094704941</v>
      </c>
      <c r="AI44" s="364">
        <f t="shared" si="7"/>
        <v>1</v>
      </c>
      <c r="BA44">
        <f>IFERROR((SUM(OFFSET(高値!$E$6,IFERROR(MATCH($C44,銘柄管理!$B$6:$B$305,0),MATCH(TEXT($C44,"0"),銘柄管理!$B$6:$B$305,0))-1,0,1,14))-SUM(OFFSET(安値!$E$6,IFERROR(MATCH($C44,銘柄管理!$B$6:$B$305,0),MATCH(TEXT($C44,"0"),銘柄管理!$B$6:$B$305,0))-1,0,1,14)))/SUM(OFFSET(終値!$E$6,IFERROR(MATCH($C44,銘柄管理!$B$6:$B$305,0),MATCH(TEXT($C44,"0"),銘柄管理!$B$6:$B$305,0))-1,0,1,14))*100,"")</f>
      </c>
      <c r="BB44">
        <f>IFERROR((MAX(OFFSET(高値!$E$6,IFERROR(MATCH($C44,銘柄管理!$B$6:$B$305,0),MATCH(TEXT($C44,"0"),銘柄管理!$B$6:$B$305,0))-1,0,1,25))-MIN(OFFSET(安値!$E$6,IFERROR(MATCH($C44,銘柄管理!$B$6:$B$305,0),MATCH(TEXT($C44,"0"),銘柄管理!$B$6:$B$305,0))-1,0,1,25)))/$E44*100,"")</f>
      </c>
      <c r="BC44">
        <f>IFERROR(($F44-$G44)/$G44*100,"")</f>
      </c>
      <c r="BD44">
        <f>IFERROR(($E44-MAX(OFFSET(高値!$E$6,IFERROR(MATCH($C44,銘柄管理!$B$6:$B$305,0),MATCH(TEXT($C44,"0"),銘柄管理!$B$6:$B$305,0))-1,0,1,25)))/MAX(OFFSET(高値!$E$6,IFERROR(MATCH($C44,銘柄管理!$B$6:$B$305,0),MATCH(TEXT($C44,"0"),銘柄管理!$B$6:$B$305,0))-1,0,1,25))*100,"")</f>
      </c>
      <c r="BE44">
        <f>IFERROR(($H44-$I44)/$F44*100,"")</f>
      </c>
      <c r="BF44">
        <f>IFERROR(-(($BA44-AVERAGE($BA$3:$BA$206))/STDEV($BA$3:$BA$206))-(($BE44-AVERAGE($BE$3:$BE$206))/STDEV($BE$3:$BE$206))-(($BB44-AVERAGE($BB$3:$BB$206))/STDEV($BB$3:$BB$206))-(($Z44-AVERAGE($Z$3:$Z$206))/STDEV($Z$3:$Z$206))-(($BC44-AVERAGE($BC$3:$BC$206))/STDEV($BC$3:$BC$206)),"")</f>
      </c>
      <c r="BG44">
        <f>IF(OR($C44="",$C44="TOPX",$BA44="",$BF44=""),0,IF(AND($BK$10=1,$BA44&lt;=$BK$2,$BB44&lt;=$BK$3,$BC44&lt;=$BK$4,$Z44&lt;=$BK$5,$Z44&gt;=$BK$6,$BD44&gt;=$BK$7,$BE44&lt;=$BK$8),1,0))</f>
      </c>
      <c r="BH44">
        <f>IF($C44="","",IF($BG44=1,"○ゲート通過",IF($BK$10&lt;&gt;1,"― この方向は停止中",IF($BA44&gt;$BK$2,"×値動きが荒い",IF($BB44&gt;$BK$3,"×レンジが広い",IF($BC44&gt;$BK$4,"×窓を開けて上昇",IF($Z44&gt;$BK$5,"×前日に急騰",IF($Z44&lt;$BK$6,"×前日に急落",IF($BD44&lt;$BK$7,"×高値から離れすぎ",IF($BE44&gt;$BK$8,"×当日の値幅が大きい","×")))))))))</f>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 t="shared" si="0"/>
        <v>-14.274193548387096</v>
      </c>
      <c r="M45" s="166">
        <f>IF(C45&lt;&gt;"",IFERROR(AVERAGE(出来高!E37:I37),""),"")</f>
        <v>598360</v>
      </c>
      <c r="N45" s="166">
        <f>IF(C45&lt;&gt;"",IFERROR(AVERAGE(出来高!E37:AC37),""),"")</f>
        <v>544956</v>
      </c>
      <c r="O45" s="168">
        <f t="shared" si="1"/>
        <v>1.4902399893040978</v>
      </c>
      <c r="P45" s="163" t="str">
        <f t="shared" si="2"/>
        <v>普通→</v>
      </c>
      <c r="Q45" s="163" t="str">
        <f t="shared" si="3"/>
        <v>中立→</v>
      </c>
      <c r="R45" s="166">
        <f t="shared" si="8"/>
        <v>1722</v>
      </c>
      <c r="S45" s="166">
        <f t="shared" si="9"/>
        <v>1531</v>
      </c>
      <c r="T45" s="163">
        <f>IF(C45="","",IFERROR(IF(O45&gt;=2,3,IF(O45&gt;=1.5,2,IF(O45&gt;=1,1,0)))+IF(E45&gt;G45,1,0)+IF(L45&gt;=-5,1,0)+IF(Q45="買い▲",2,0)+IF(W45&gt;=78,-4,IF(W45&gt;=72,-2,IF(W45&gt;=55,2,IF(W45&gt;=45,1,0))))+IF(X45&gt;0,1,0)+IF(V45="年初来高値更新●",3,IF(V45="高値圏",2,0))+IF(AD45="パーフェクト▲",3,IF(AD45="上昇トレンド▲",2,0))+IF(AE45="25日線押し目●",2,IF(AE45="5日線押し目○",1,0))+IF(P45="急増↑↑",2,IF(P45="増加↑",1,0))+N(AI45),0))</f>
      </c>
      <c r="U45" s="163" t="str">
        <f t="shared" si="10"/>
        <v>要確認</v>
      </c>
      <c r="V45" s="163" t="str">
        <f t="shared" si="5"/>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 t="shared" si="11"/>
        <v>3.1037827352085356</v>
      </c>
      <c r="AA45" s="163" t="str">
        <f t="shared" si="12"/>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 t="shared" si="15"/>
        <v>上昇トレンド▲</v>
      </c>
      <c r="AE45" s="406" t="str">
        <f t="shared" si="16"/>
        <v>なし</v>
      </c>
      <c r="AF45" s="365">
        <f t="array" ref="AF45">IF(C45="","",IFERROR((INDEX(終値!$E:$E,MATCH(TEXT(C45,"0"),終値!$A:$A,0))-INDEX(終値!$E:$CZ,MATCH(TEXT(C45,"0"),終値!$A:$A,0),$AL$2))/INDEX(終値!$E:$CZ,MATCH(TEXT(C45,"0"),終値!$A:$A,0),$AL$2)*100,""))</f>
        <v>8.4325059503570223</v>
      </c>
      <c r="AG45" s="365">
        <f t="array" ref="AG45">IFERROR((終値!$E$5-INDEX(終値!$E$5:$CZ$5,1,$AL$2))/INDEX(終値!$E$5:$CZ$5,1,$AL$2)*100,"")</f>
        <v>1.0179378228534113</v>
      </c>
      <c r="AH45" s="366">
        <f t="shared" si="6"/>
        <v>7.4145681275036113</v>
      </c>
      <c r="AI45" s="364">
        <f t="shared" si="7"/>
        <v>3</v>
      </c>
      <c r="BA45">
        <f>IFERROR((SUM(OFFSET(高値!$E$6,IFERROR(MATCH($C45,銘柄管理!$B$6:$B$305,0),MATCH(TEXT($C45,"0"),銘柄管理!$B$6:$B$305,0))-1,0,1,14))-SUM(OFFSET(安値!$E$6,IFERROR(MATCH($C45,銘柄管理!$B$6:$B$305,0),MATCH(TEXT($C45,"0"),銘柄管理!$B$6:$B$305,0))-1,0,1,14)))/SUM(OFFSET(終値!$E$6,IFERROR(MATCH($C45,銘柄管理!$B$6:$B$305,0),MATCH(TEXT($C45,"0"),銘柄管理!$B$6:$B$305,0))-1,0,1,14))*100,"")</f>
      </c>
      <c r="BB45">
        <f>IFERROR((MAX(OFFSET(高値!$E$6,IFERROR(MATCH($C45,銘柄管理!$B$6:$B$305,0),MATCH(TEXT($C45,"0"),銘柄管理!$B$6:$B$305,0))-1,0,1,25))-MIN(OFFSET(安値!$E$6,IFERROR(MATCH($C45,銘柄管理!$B$6:$B$305,0),MATCH(TEXT($C45,"0"),銘柄管理!$B$6:$B$305,0))-1,0,1,25)))/$E45*100,"")</f>
      </c>
      <c r="BC45">
        <f>IFERROR(($F45-$G45)/$G45*100,"")</f>
      </c>
      <c r="BD45">
        <f>IFERROR(($E45-MAX(OFFSET(高値!$E$6,IFERROR(MATCH($C45,銘柄管理!$B$6:$B$305,0),MATCH(TEXT($C45,"0"),銘柄管理!$B$6:$B$305,0))-1,0,1,25)))/MAX(OFFSET(高値!$E$6,IFERROR(MATCH($C45,銘柄管理!$B$6:$B$305,0),MATCH(TEXT($C45,"0"),銘柄管理!$B$6:$B$305,0))-1,0,1,25))*100,"")</f>
      </c>
      <c r="BE45">
        <f>IFERROR(($H45-$I45)/$F45*100,"")</f>
      </c>
      <c r="BF45">
        <f>IFERROR(-(($BA45-AVERAGE($BA$3:$BA$206))/STDEV($BA$3:$BA$206))-(($BE45-AVERAGE($BE$3:$BE$206))/STDEV($BE$3:$BE$206))-(($BB45-AVERAGE($BB$3:$BB$206))/STDEV($BB$3:$BB$206))-(($Z45-AVERAGE($Z$3:$Z$206))/STDEV($Z$3:$Z$206))-(($BC45-AVERAGE($BC$3:$BC$206))/STDEV($BC$3:$BC$206)),"")</f>
      </c>
      <c r="BG45">
        <f>IF(OR($C45="",$C45="TOPX",$BA45="",$BF45=""),0,IF(AND($BK$10=1,$BA45&lt;=$BK$2,$BB45&lt;=$BK$3,$BC45&lt;=$BK$4,$Z45&lt;=$BK$5,$Z45&gt;=$BK$6,$BD45&gt;=$BK$7,$BE45&lt;=$BK$8),1,0))</f>
      </c>
      <c r="BH45">
        <f>IF($C45="","",IF($BG45=1,"○ゲート通過",IF($BK$10&lt;&gt;1,"― この方向は停止中",IF($BA45&gt;$BK$2,"×値動きが荒い",IF($BB45&gt;$BK$3,"×レンジが広い",IF($BC45&gt;$BK$4,"×窓を開けて上昇",IF($Z45&gt;$BK$5,"×前日に急騰",IF($Z45&lt;$BK$6,"×前日に急落",IF($BD45&lt;$BK$7,"×高値から離れすぎ",IF($BE45&gt;$BK$8,"×当日の値幅が大きい","×")))))))))</f>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 t="shared" si="0"/>
        <v>-5.3816466552315614</v>
      </c>
      <c r="M46" s="166">
        <f>IF(C46&lt;&gt;"",IFERROR(AVERAGE(出来高!E108:I108),""),"")</f>
        <v>224060</v>
      </c>
      <c r="N46" s="166">
        <f>IF(C46&lt;&gt;"",IFERROR(AVERAGE(出来高!E108:AC108),""),"")</f>
        <v>182876</v>
      </c>
      <c r="O46" s="168">
        <f t="shared" si="1"/>
        <v>0.58421851289833082</v>
      </c>
      <c r="P46" s="163" t="str">
        <f t="shared" si="2"/>
        <v>減少↓</v>
      </c>
      <c r="Q46" s="163" t="str">
        <f t="shared" si="3"/>
        <v>中立→</v>
      </c>
      <c r="R46" s="166">
        <f t="shared" si="8"/>
        <v>4766</v>
      </c>
      <c r="S46" s="166">
        <f t="shared" si="9"/>
        <v>4236</v>
      </c>
      <c r="T46" s="163">
        <f>IF(C46="","",IFERROR(IF(O46&gt;=2,3,IF(O46&gt;=1.5,2,IF(O46&gt;=1,1,0)))+IF(E46&gt;G46,1,0)+IF(L46&gt;=-5,1,0)+IF(Q46="買い▲",2,0)+IF(W46&gt;=78,-4,IF(W46&gt;=72,-2,IF(W46&gt;=55,2,IF(W46&gt;=45,1,0))))+IF(X46&gt;0,1,0)+IF(V46="年初来高値更新●",3,IF(V46="高値圏",2,0))+IF(AD46="パーフェクト▲",3,IF(AD46="上昇トレンド▲",2,0))+IF(AE46="25日線押し目●",2,IF(AE46="5日線押し目○",1,0))+IF(P46="急増↑↑",2,IF(P46="増加↑",1,0))+N(AI46),0))</f>
      </c>
      <c r="U46" s="163" t="str">
        <f t="shared" si="10"/>
        <v>要確認</v>
      </c>
      <c r="V46" s="163" t="str">
        <f t="shared" si="5"/>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 t="shared" si="11"/>
        <v>1.0996563573883162</v>
      </c>
      <c r="AA46" s="163" t="str">
        <f t="shared" si="12"/>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 t="shared" si="15"/>
        <v>パーフェクト▲</v>
      </c>
      <c r="AE46" s="404" t="str">
        <f t="shared" si="16"/>
        <v>なし</v>
      </c>
      <c r="AF46" s="365">
        <f t="array" ref="AF46">IF(C46="","",IFERROR((INDEX(終値!$E:$E,MATCH(TEXT(C46,"0"),終値!$A:$A,0))-INDEX(終値!$E:$CZ,MATCH(TEXT(C46,"0"),終値!$A:$A,0),$AL$2))/INDEX(終値!$E:$CZ,MATCH(TEXT(C46,"0"),終値!$A:$A,0),$AL$2)*100,""))</f>
        <v>6.0052846504924329</v>
      </c>
      <c r="AG46" s="365">
        <f t="array" ref="AG46">IFERROR((終値!$E$5-INDEX(終値!$E$5:$CZ$5,1,$AL$2))/INDEX(終値!$E$5:$CZ$5,1,$AL$2)*100,"")</f>
        <v>1.0179378228534113</v>
      </c>
      <c r="AH46" s="366">
        <f t="shared" si="6"/>
        <v>4.9873468276390218</v>
      </c>
      <c r="AI46" s="364">
        <f t="shared" si="7"/>
        <v>1</v>
      </c>
      <c r="BA46">
        <f>IFERROR((SUM(OFFSET(高値!$E$6,IFERROR(MATCH($C46,銘柄管理!$B$6:$B$305,0),MATCH(TEXT($C46,"0"),銘柄管理!$B$6:$B$305,0))-1,0,1,14))-SUM(OFFSET(安値!$E$6,IFERROR(MATCH($C46,銘柄管理!$B$6:$B$305,0),MATCH(TEXT($C46,"0"),銘柄管理!$B$6:$B$305,0))-1,0,1,14)))/SUM(OFFSET(終値!$E$6,IFERROR(MATCH($C46,銘柄管理!$B$6:$B$305,0),MATCH(TEXT($C46,"0"),銘柄管理!$B$6:$B$305,0))-1,0,1,14))*100,"")</f>
      </c>
      <c r="BB46">
        <f>IFERROR((MAX(OFFSET(高値!$E$6,IFERROR(MATCH($C46,銘柄管理!$B$6:$B$305,0),MATCH(TEXT($C46,"0"),銘柄管理!$B$6:$B$305,0))-1,0,1,25))-MIN(OFFSET(安値!$E$6,IFERROR(MATCH($C46,銘柄管理!$B$6:$B$305,0),MATCH(TEXT($C46,"0"),銘柄管理!$B$6:$B$305,0))-1,0,1,25)))/$E46*100,"")</f>
      </c>
      <c r="BC46">
        <f>IFERROR(($F46-$G46)/$G46*100,"")</f>
      </c>
      <c r="BD46">
        <f>IFERROR(($E46-MAX(OFFSET(高値!$E$6,IFERROR(MATCH($C46,銘柄管理!$B$6:$B$305,0),MATCH(TEXT($C46,"0"),銘柄管理!$B$6:$B$305,0))-1,0,1,25)))/MAX(OFFSET(高値!$E$6,IFERROR(MATCH($C46,銘柄管理!$B$6:$B$305,0),MATCH(TEXT($C46,"0"),銘柄管理!$B$6:$B$305,0))-1,0,1,25))*100,"")</f>
      </c>
      <c r="BE46">
        <f>IFERROR(($H46-$I46)/$F46*100,"")</f>
      </c>
      <c r="BF46">
        <f>IFERROR(-(($BA46-AVERAGE($BA$3:$BA$206))/STDEV($BA$3:$BA$206))-(($BE46-AVERAGE($BE$3:$BE$206))/STDEV($BE$3:$BE$206))-(($BB46-AVERAGE($BB$3:$BB$206))/STDEV($BB$3:$BB$206))-(($Z46-AVERAGE($Z$3:$Z$206))/STDEV($Z$3:$Z$206))-(($BC46-AVERAGE($BC$3:$BC$206))/STDEV($BC$3:$BC$206)),"")</f>
      </c>
      <c r="BG46">
        <f>IF(OR($C46="",$C46="TOPX",$BA46="",$BF46=""),0,IF(AND($BK$10=1,$BA46&lt;=$BK$2,$BB46&lt;=$BK$3,$BC46&lt;=$BK$4,$Z46&lt;=$BK$5,$Z46&gt;=$BK$6,$BD46&gt;=$BK$7,$BE46&lt;=$BK$8),1,0))</f>
      </c>
      <c r="BH46">
        <f>IF($C46="","",IF($BG46=1,"○ゲート通過",IF($BK$10&lt;&gt;1,"― この方向は停止中",IF($BA46&gt;$BK$2,"×値動きが荒い",IF($BB46&gt;$BK$3,"×レンジが広い",IF($BC46&gt;$BK$4,"×窓を開けて上昇",IF($Z46&gt;$BK$5,"×前日に急騰",IF($Z46&lt;$BK$6,"×前日に急落",IF($BD46&lt;$BK$7,"×高値から離れすぎ",IF($BE46&gt;$BK$8,"×当日の値幅が大きい","×")))))))))</f>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 t="shared" si="0"/>
        <v>-3.5957350272232307</v>
      </c>
      <c r="M47" s="166">
        <f>IF(C47&lt;&gt;"",IFERROR(AVERAGE(出来高!E19:I19),""),"")</f>
        <v>10416060</v>
      </c>
      <c r="N47" s="166">
        <f>IF(C47&lt;&gt;"",IFERROR(AVERAGE(出来高!E19:AC19),""),"")</f>
        <v>9841340</v>
      </c>
      <c r="O47" s="168">
        <f t="shared" si="1"/>
        <v>0.8944840947536784</v>
      </c>
      <c r="P47" s="163" t="str">
        <f t="shared" si="2"/>
        <v>減少↓</v>
      </c>
      <c r="Q47" s="163" t="str">
        <f t="shared" si="3"/>
        <v>中立→</v>
      </c>
      <c r="R47" s="166">
        <f t="shared" si="8"/>
        <v>9179</v>
      </c>
      <c r="S47" s="166">
        <f t="shared" si="9"/>
        <v>8159</v>
      </c>
      <c r="T47" s="163">
        <f>IF(C47="","",IFERROR(IF(O47&gt;=2,3,IF(O47&gt;=1.5,2,IF(O47&gt;=1,1,0)))+IF(E47&gt;G47,1,0)+IF(L47&gt;=-5,1,0)+IF(Q47="買い▲",2,0)+IF(W47&gt;=78,-4,IF(W47&gt;=72,-2,IF(W47&gt;=55,2,IF(W47&gt;=45,1,0))))+IF(X47&gt;0,1,0)+IF(V47="年初来高値更新●",3,IF(V47="高値圏",2,0))+IF(AD47="パーフェクト▲",3,IF(AD47="上昇トレンド▲",2,0))+IF(AE47="25日線押し目●",2,IF(AE47="5日線押し目○",1,0))+IF(P47="急増↑↑",2,IF(P47="増加↑",1,0))+N(AI47),0))</f>
      </c>
      <c r="U47" s="163" t="str">
        <f t="shared" si="10"/>
        <v>要確認</v>
      </c>
      <c r="V47" s="163" t="str">
        <f t="shared" si="5"/>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 t="shared" si="11"/>
        <v>0.34238488783943333</v>
      </c>
      <c r="AA47" s="163" t="str">
        <f t="shared" si="12"/>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 t="shared" si="15"/>
        <v>パーフェクト▲</v>
      </c>
      <c r="AE47" s="406" t="str">
        <f t="shared" si="16"/>
        <v>なし</v>
      </c>
      <c r="AF47" s="365">
        <f t="array" ref="AF47">IF(C47="","",IFERROR((INDEX(終値!$E:$E,MATCH(TEXT(C47,"0"),終値!$A:$A,0))-INDEX(終値!$E:$CZ,MATCH(TEXT(C47,"0"),終値!$A:$A,0),$AL$2))/INDEX(終値!$E:$CZ,MATCH(TEXT(C47,"0"),終値!$A:$A,0),$AL$2)*100,""))</f>
        <v>8.766316867161505</v>
      </c>
      <c r="AG47" s="365">
        <f t="array" ref="AG47">IFERROR((終値!$E$5-INDEX(終値!$E$5:$CZ$5,1,$AL$2))/INDEX(終値!$E$5:$CZ$5,1,$AL$2)*100,"")</f>
        <v>1.0179378228534113</v>
      </c>
      <c r="AH47" s="366">
        <f t="shared" si="6"/>
        <v>7.748379044308094</v>
      </c>
      <c r="AI47" s="364">
        <f t="shared" si="7"/>
        <v>3</v>
      </c>
      <c r="BA47">
        <f>IFERROR((SUM(OFFSET(高値!$E$6,IFERROR(MATCH($C47,銘柄管理!$B$6:$B$305,0),MATCH(TEXT($C47,"0"),銘柄管理!$B$6:$B$305,0))-1,0,1,14))-SUM(OFFSET(安値!$E$6,IFERROR(MATCH($C47,銘柄管理!$B$6:$B$305,0),MATCH(TEXT($C47,"0"),銘柄管理!$B$6:$B$305,0))-1,0,1,14)))/SUM(OFFSET(終値!$E$6,IFERROR(MATCH($C47,銘柄管理!$B$6:$B$305,0),MATCH(TEXT($C47,"0"),銘柄管理!$B$6:$B$305,0))-1,0,1,14))*100,"")</f>
      </c>
      <c r="BB47">
        <f>IFERROR((MAX(OFFSET(高値!$E$6,IFERROR(MATCH($C47,銘柄管理!$B$6:$B$305,0),MATCH(TEXT($C47,"0"),銘柄管理!$B$6:$B$305,0))-1,0,1,25))-MIN(OFFSET(安値!$E$6,IFERROR(MATCH($C47,銘柄管理!$B$6:$B$305,0),MATCH(TEXT($C47,"0"),銘柄管理!$B$6:$B$305,0))-1,0,1,25)))/$E47*100,"")</f>
      </c>
      <c r="BC47">
        <f>IFERROR(($F47-$G47)/$G47*100,"")</f>
      </c>
      <c r="BD47">
        <f>IFERROR(($E47-MAX(OFFSET(高値!$E$6,IFERROR(MATCH($C47,銘柄管理!$B$6:$B$305,0),MATCH(TEXT($C47,"0"),銘柄管理!$B$6:$B$305,0))-1,0,1,25)))/MAX(OFFSET(高値!$E$6,IFERROR(MATCH($C47,銘柄管理!$B$6:$B$305,0),MATCH(TEXT($C47,"0"),銘柄管理!$B$6:$B$305,0))-1,0,1,25))*100,"")</f>
      </c>
      <c r="BE47">
        <f>IFERROR(($H47-$I47)/$F47*100,"")</f>
      </c>
      <c r="BF47">
        <f>IFERROR(-(($BA47-AVERAGE($BA$3:$BA$206))/STDEV($BA$3:$BA$206))-(($BE47-AVERAGE($BE$3:$BE$206))/STDEV($BE$3:$BE$206))-(($BB47-AVERAGE($BB$3:$BB$206))/STDEV($BB$3:$BB$206))-(($Z47-AVERAGE($Z$3:$Z$206))/STDEV($Z$3:$Z$206))-(($BC47-AVERAGE($BC$3:$BC$206))/STDEV($BC$3:$BC$206)),"")</f>
      </c>
      <c r="BG47">
        <f>IF(OR($C47="",$C47="TOPX",$BA47="",$BF47=""),0,IF(AND($BK$10=1,$BA47&lt;=$BK$2,$BB47&lt;=$BK$3,$BC47&lt;=$BK$4,$Z47&lt;=$BK$5,$Z47&gt;=$BK$6,$BD47&gt;=$BK$7,$BE47&lt;=$BK$8),1,0))</f>
      </c>
      <c r="BH47">
        <f>IF($C47="","",IF($BG47=1,"○ゲート通過",IF($BK$10&lt;&gt;1,"― この方向は停止中",IF($BA47&gt;$BK$2,"×値動きが荒い",IF($BB47&gt;$BK$3,"×レンジが広い",IF($BC47&gt;$BK$4,"×窓を開けて上昇",IF($Z47&gt;$BK$5,"×前日に急騰",IF($Z47&lt;$BK$6,"×前日に急落",IF($BD47&lt;$BK$7,"×高値から離れすぎ",IF($BE47&gt;$BK$8,"×当日の値幅が大きい","×")))))))))</f>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 t="shared" si="0"/>
        <v>-5.3713650676051117</v>
      </c>
      <c r="M48" s="166">
        <f>IF(C48&lt;&gt;"",IFERROR(AVERAGE(出来高!E123:I123),""),"")</f>
        <v>1915160</v>
      </c>
      <c r="N48" s="166">
        <f>IF(C48&lt;&gt;"",IFERROR(AVERAGE(出来高!E123:AC123),""),"")</f>
        <v>1476476</v>
      </c>
      <c r="O48" s="168">
        <f t="shared" si="1"/>
        <v>1.3061049729526515</v>
      </c>
      <c r="P48" s="163" t="str">
        <f t="shared" si="2"/>
        <v>普通→</v>
      </c>
      <c r="Q48" s="163" t="str">
        <f t="shared" si="3"/>
        <v>様子見▼</v>
      </c>
      <c r="R48" s="166">
        <f t="shared" si="8"/>
        <v>2759</v>
      </c>
      <c r="S48" s="166">
        <f t="shared" si="9"/>
        <v>2452</v>
      </c>
      <c r="T48" s="163">
        <f>IF(C48="","",IFERROR(IF(O48&gt;=2,3,IF(O48&gt;=1.5,2,IF(O48&gt;=1,1,0)))+IF(E48&gt;G48,1,0)+IF(L48&gt;=-5,1,0)+IF(Q48="買い▲",2,0)+IF(W48&gt;=78,-4,IF(W48&gt;=72,-2,IF(W48&gt;=55,2,IF(W48&gt;=45,1,0))))+IF(X48&gt;0,1,0)+IF(V48="年初来高値更新●",3,IF(V48="高値圏",2,0))+IF(AD48="パーフェクト▲",3,IF(AD48="上昇トレンド▲",2,0))+IF(AE48="25日線押し目●",2,IF(AE48="5日線押し目○",1,0))+IF(P48="急増↑↑",2,IF(P48="増加↑",1,0))+N(AI48),0))</f>
      </c>
      <c r="U48" s="163" t="str">
        <f t="shared" si="10"/>
        <v>要確認</v>
      </c>
      <c r="V48" s="163" t="str">
        <f t="shared" si="5"/>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 t="shared" si="11"/>
        <v>-0.98837209302325579</v>
      </c>
      <c r="AA48" s="163" t="str">
        <f t="shared" si="12"/>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 t="shared" si="15"/>
        <v>下降トレンド▼</v>
      </c>
      <c r="AE48" s="404" t="str">
        <f t="shared" si="16"/>
        <v>なし</v>
      </c>
      <c r="AF48" s="365">
        <f t="array" ref="AF48">IF(C48="","",IFERROR((INDEX(終値!$E:$E,MATCH(TEXT(C48,"0"),終値!$A:$A,0))-INDEX(終値!$E:$CZ,MATCH(TEXT(C48,"0"),終値!$A:$A,0),$AL$2))/INDEX(終値!$E:$CZ,MATCH(TEXT(C48,"0"),終値!$A:$A,0),$AL$2)*100,""))</f>
        <v>5.886010362694301</v>
      </c>
      <c r="AG48" s="365">
        <f t="array" ref="AG48">IFERROR((終値!$E$5-INDEX(終値!$E$5:$CZ$5,1,$AL$2))/INDEX(終値!$E$5:$CZ$5,1,$AL$2)*100,"")</f>
        <v>1.0179378228534113</v>
      </c>
      <c r="AH48" s="366">
        <f t="shared" si="6"/>
        <v>4.8680725398408899</v>
      </c>
      <c r="AI48" s="364">
        <f t="shared" si="7"/>
        <v>1</v>
      </c>
      <c r="BA48">
        <f>IFERROR((SUM(OFFSET(高値!$E$6,IFERROR(MATCH($C48,銘柄管理!$B$6:$B$305,0),MATCH(TEXT($C48,"0"),銘柄管理!$B$6:$B$305,0))-1,0,1,14))-SUM(OFFSET(安値!$E$6,IFERROR(MATCH($C48,銘柄管理!$B$6:$B$305,0),MATCH(TEXT($C48,"0"),銘柄管理!$B$6:$B$305,0))-1,0,1,14)))/SUM(OFFSET(終値!$E$6,IFERROR(MATCH($C48,銘柄管理!$B$6:$B$305,0),MATCH(TEXT($C48,"0"),銘柄管理!$B$6:$B$305,0))-1,0,1,14))*100,"")</f>
      </c>
      <c r="BB48">
        <f>IFERROR((MAX(OFFSET(高値!$E$6,IFERROR(MATCH($C48,銘柄管理!$B$6:$B$305,0),MATCH(TEXT($C48,"0"),銘柄管理!$B$6:$B$305,0))-1,0,1,25))-MIN(OFFSET(安値!$E$6,IFERROR(MATCH($C48,銘柄管理!$B$6:$B$305,0),MATCH(TEXT($C48,"0"),銘柄管理!$B$6:$B$305,0))-1,0,1,25)))/$E48*100,"")</f>
      </c>
      <c r="BC48">
        <f>IFERROR(($F48-$G48)/$G48*100,"")</f>
      </c>
      <c r="BD48">
        <f>IFERROR(($E48-MAX(OFFSET(高値!$E$6,IFERROR(MATCH($C48,銘柄管理!$B$6:$B$305,0),MATCH(TEXT($C48,"0"),銘柄管理!$B$6:$B$305,0))-1,0,1,25)))/MAX(OFFSET(高値!$E$6,IFERROR(MATCH($C48,銘柄管理!$B$6:$B$305,0),MATCH(TEXT($C48,"0"),銘柄管理!$B$6:$B$305,0))-1,0,1,25))*100,"")</f>
      </c>
      <c r="BE48">
        <f>IFERROR(($H48-$I48)/$F48*100,"")</f>
      </c>
      <c r="BF48">
        <f>IFERROR(-(($BA48-AVERAGE($BA$3:$BA$206))/STDEV($BA$3:$BA$206))-(($BE48-AVERAGE($BE$3:$BE$206))/STDEV($BE$3:$BE$206))-(($BB48-AVERAGE($BB$3:$BB$206))/STDEV($BB$3:$BB$206))-(($Z48-AVERAGE($Z$3:$Z$206))/STDEV($Z$3:$Z$206))-(($BC48-AVERAGE($BC$3:$BC$206))/STDEV($BC$3:$BC$206)),"")</f>
      </c>
      <c r="BG48">
        <f>IF(OR($C48="",$C48="TOPX",$BA48="",$BF48=""),0,IF(AND($BK$10=1,$BA48&lt;=$BK$2,$BB48&lt;=$BK$3,$BC48&lt;=$BK$4,$Z48&lt;=$BK$5,$Z48&gt;=$BK$6,$BD48&gt;=$BK$7,$BE48&lt;=$BK$8),1,0))</f>
      </c>
      <c r="BH48">
        <f>IF($C48="","",IF($BG48=1,"○ゲート通過",IF($BK$10&lt;&gt;1,"― この方向は停止中",IF($BA48&gt;$BK$2,"×値動きが荒い",IF($BB48&gt;$BK$3,"×レンジが広い",IF($BC48&gt;$BK$4,"×窓を開けて上昇",IF($Z48&gt;$BK$5,"×前日に急騰",IF($Z48&lt;$BK$6,"×前日に急落",IF($BD48&lt;$BK$7,"×高値から離れすぎ",IF($BE48&gt;$BK$8,"×当日の値幅が大きい","×")))))))))</f>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 t="shared" si="0"/>
        <v>-2.5178504321683577</v>
      </c>
      <c r="M49" s="166">
        <f>IF(C49&lt;&gt;"",IFERROR(AVERAGE(出来高!E122:I122),""),"")</f>
        <v>1120580</v>
      </c>
      <c r="N49" s="166">
        <f>IF(C49&lt;&gt;"",IFERROR(AVERAGE(出来高!E122:AC122),""),"")</f>
        <v>970820</v>
      </c>
      <c r="O49" s="168">
        <f t="shared" si="1"/>
        <v>1.0559710150100841</v>
      </c>
      <c r="P49" s="163" t="str">
        <f t="shared" si="2"/>
        <v>普通→</v>
      </c>
      <c r="Q49" s="163" t="str">
        <f t="shared" si="3"/>
        <v>中立→</v>
      </c>
      <c r="R49" s="166">
        <f t="shared" si="8"/>
        <v>2802</v>
      </c>
      <c r="S49" s="166">
        <f t="shared" si="9"/>
        <v>2490</v>
      </c>
      <c r="T49" s="163">
        <f>IF(C49="","",IFERROR(IF(O49&gt;=2,3,IF(O49&gt;=1.5,2,IF(O49&gt;=1,1,0)))+IF(E49&gt;G49,1,0)+IF(L49&gt;=-5,1,0)+IF(Q49="買い▲",2,0)+IF(W49&gt;=78,-4,IF(W49&gt;=72,-2,IF(W49&gt;=55,2,IF(W49&gt;=45,1,0))))+IF(X49&gt;0,1,0)+IF(V49="年初来高値更新●",3,IF(V49="高値圏",2,0))+IF(AD49="パーフェクト▲",3,IF(AD49="上昇トレンド▲",2,0))+IF(AE49="25日線押し目●",2,IF(AE49="5日線押し目○",1,0))+IF(P49="急増↑↑",2,IF(P49="増加↑",1,0))+N(AI49),0))</f>
      </c>
      <c r="U49" s="163" t="str">
        <f t="shared" si="10"/>
        <v>要確認</v>
      </c>
      <c r="V49" s="163" t="str">
        <f t="shared" si="5"/>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 t="shared" si="11"/>
        <v>1.0124610591900312</v>
      </c>
      <c r="AA49" s="163" t="str">
        <f t="shared" si="12"/>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 t="shared" si="15"/>
        <v>もみ合い→</v>
      </c>
      <c r="AE49" s="406" t="str">
        <f t="shared" si="16"/>
        <v>なし</v>
      </c>
      <c r="AF49" s="365">
        <f t="array" ref="AF49">IF(C49="","",IFERROR((INDEX(終値!$E:$E,MATCH(TEXT(C49,"0"),終値!$A:$A,0))-INDEX(終値!$E:$CZ,MATCH(TEXT(C49,"0"),終値!$A:$A,0),$AL$2))/INDEX(終値!$E:$CZ,MATCH(TEXT(C49,"0"),終値!$A:$A,0),$AL$2)*100,""))</f>
        <v>9.985160059359762</v>
      </c>
      <c r="AG49" s="365">
        <f t="array" ref="AG49">IFERROR((終値!$E$5-INDEX(終値!$E$5:$CZ$5,1,$AL$2))/INDEX(終値!$E$5:$CZ$5,1,$AL$2)*100,"")</f>
        <v>1.0179378228534113</v>
      </c>
      <c r="AH49" s="366">
        <f t="shared" si="6"/>
        <v>8.9672222365063501</v>
      </c>
      <c r="AI49" s="364">
        <f t="shared" si="7"/>
        <v>3</v>
      </c>
      <c r="BA49">
        <f>IFERROR((SUM(OFFSET(高値!$E$6,IFERROR(MATCH($C49,銘柄管理!$B$6:$B$305,0),MATCH(TEXT($C49,"0"),銘柄管理!$B$6:$B$305,0))-1,0,1,14))-SUM(OFFSET(安値!$E$6,IFERROR(MATCH($C49,銘柄管理!$B$6:$B$305,0),MATCH(TEXT($C49,"0"),銘柄管理!$B$6:$B$305,0))-1,0,1,14)))/SUM(OFFSET(終値!$E$6,IFERROR(MATCH($C49,銘柄管理!$B$6:$B$305,0),MATCH(TEXT($C49,"0"),銘柄管理!$B$6:$B$305,0))-1,0,1,14))*100,"")</f>
      </c>
      <c r="BB49">
        <f>IFERROR((MAX(OFFSET(高値!$E$6,IFERROR(MATCH($C49,銘柄管理!$B$6:$B$305,0),MATCH(TEXT($C49,"0"),銘柄管理!$B$6:$B$305,0))-1,0,1,25))-MIN(OFFSET(安値!$E$6,IFERROR(MATCH($C49,銘柄管理!$B$6:$B$305,0),MATCH(TEXT($C49,"0"),銘柄管理!$B$6:$B$305,0))-1,0,1,25)))/$E49*100,"")</f>
      </c>
      <c r="BC49">
        <f>IFERROR(($F49-$G49)/$G49*100,"")</f>
      </c>
      <c r="BD49">
        <f>IFERROR(($E49-MAX(OFFSET(高値!$E$6,IFERROR(MATCH($C49,銘柄管理!$B$6:$B$305,0),MATCH(TEXT($C49,"0"),銘柄管理!$B$6:$B$305,0))-1,0,1,25)))/MAX(OFFSET(高値!$E$6,IFERROR(MATCH($C49,銘柄管理!$B$6:$B$305,0),MATCH(TEXT($C49,"0"),銘柄管理!$B$6:$B$305,0))-1,0,1,25))*100,"")</f>
      </c>
      <c r="BE49">
        <f>IFERROR(($H49-$I49)/$F49*100,"")</f>
      </c>
      <c r="BF49">
        <f>IFERROR(-(($BA49-AVERAGE($BA$3:$BA$206))/STDEV($BA$3:$BA$206))-(($BE49-AVERAGE($BE$3:$BE$206))/STDEV($BE$3:$BE$206))-(($BB49-AVERAGE($BB$3:$BB$206))/STDEV($BB$3:$BB$206))-(($Z49-AVERAGE($Z$3:$Z$206))/STDEV($Z$3:$Z$206))-(($BC49-AVERAGE($BC$3:$BC$206))/STDEV($BC$3:$BC$206)),"")</f>
      </c>
      <c r="BG49">
        <f>IF(OR($C49="",$C49="TOPX",$BA49="",$BF49=""),0,IF(AND($BK$10=1,$BA49&lt;=$BK$2,$BB49&lt;=$BK$3,$BC49&lt;=$BK$4,$Z49&lt;=$BK$5,$Z49&gt;=$BK$6,$BD49&gt;=$BK$7,$BE49&lt;=$BK$8),1,0))</f>
      </c>
      <c r="BH49">
        <f>IF($C49="","",IF($BG49=1,"○ゲート通過",IF($BK$10&lt;&gt;1,"― この方向は停止中",IF($BA49&gt;$BK$2,"×値動きが荒い",IF($BB49&gt;$BK$3,"×レンジが広い",IF($BC49&gt;$BK$4,"×窓を開けて上昇",IF($Z49&gt;$BK$5,"×前日に急騰",IF($Z49&lt;$BK$6,"×前日に急落",IF($BD49&lt;$BK$7,"×高値から離れすぎ",IF($BE49&gt;$BK$8,"×当日の値幅が大きい","×")))))))))</f>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 t="shared" si="0"/>
        <v>-6.5977961432506893</v>
      </c>
      <c r="M50" s="166">
        <f>IF(C50&lt;&gt;"",IFERROR(AVERAGE(出来高!E50:I50),""),"")</f>
        <v>14272960</v>
      </c>
      <c r="N50" s="166">
        <f>IF(C50&lt;&gt;"",IFERROR(AVERAGE(出来高!E50:AC50),""),"")</f>
        <v>12951480</v>
      </c>
      <c r="O50" s="168">
        <f t="shared" si="1"/>
        <v>0.74868842902943744</v>
      </c>
      <c r="P50" s="163" t="str">
        <f t="shared" si="2"/>
        <v>減少↓</v>
      </c>
      <c r="Q50" s="163" t="str">
        <f t="shared" si="3"/>
        <v>中立→</v>
      </c>
      <c r="R50" s="166">
        <f t="shared" si="8"/>
        <v>7323</v>
      </c>
      <c r="S50" s="166">
        <f t="shared" si="9"/>
        <v>6510</v>
      </c>
      <c r="T50" s="163">
        <f>IF(C50="","",IFERROR(IF(O50&gt;=2,3,IF(O50&gt;=1.5,2,IF(O50&gt;=1,1,0)))+IF(E50&gt;G50,1,0)+IF(L50&gt;=-5,1,0)+IF(Q50="買い▲",2,0)+IF(W50&gt;=78,-4,IF(W50&gt;=72,-2,IF(W50&gt;=55,2,IF(W50&gt;=45,1,0))))+IF(X50&gt;0,1,0)+IF(V50="年初来高値更新●",3,IF(V50="高値圏",2,0))+IF(AD50="パーフェクト▲",3,IF(AD50="上昇トレンド▲",2,0))+IF(AE50="25日線押し目●",2,IF(AE50="5日線押し目○",1,0))+IF(P50="急増↑↑",2,IF(P50="増加↑",1,0))+N(AI50),0))</f>
      </c>
      <c r="U50" s="163" t="str">
        <f t="shared" si="10"/>
        <v>要確認</v>
      </c>
      <c r="V50" s="163" t="str">
        <f t="shared" si="5"/>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 t="shared" si="11"/>
        <v>1.7251725172517254</v>
      </c>
      <c r="AA50" s="163" t="str">
        <f t="shared" si="12"/>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 t="shared" si="15"/>
        <v>下降トレンド▼</v>
      </c>
      <c r="AE50" s="404" t="str">
        <f t="shared" si="16"/>
        <v>なし</v>
      </c>
      <c r="AF50" s="365">
        <f t="array" ref="AF50">IF(C50="","",IFERROR((INDEX(終値!$E:$E,MATCH(TEXT(C50,"0"),終値!$A:$A,0))-INDEX(終値!$E:$CZ,MATCH(TEXT(C50,"0"),終値!$A:$A,0),$AL$2))/INDEX(終値!$E:$CZ,MATCH(TEXT(C50,"0"),終値!$A:$A,0),$AL$2)*100,""))</f>
        <v>5.4096067153738536</v>
      </c>
      <c r="AG50" s="365">
        <f t="array" ref="AG50">IFERROR((終値!$E$5-INDEX(終値!$E$5:$CZ$5,1,$AL$2))/INDEX(終値!$E$5:$CZ$5,1,$AL$2)*100,"")</f>
        <v>1.0179378228534113</v>
      </c>
      <c r="AH50" s="366">
        <f t="shared" si="6"/>
        <v>4.3916688925204426</v>
      </c>
      <c r="AI50" s="364">
        <f t="shared" si="7"/>
        <v>1</v>
      </c>
      <c r="BA50">
        <f>IFERROR((SUM(OFFSET(高値!$E$6,IFERROR(MATCH($C50,銘柄管理!$B$6:$B$305,0),MATCH(TEXT($C50,"0"),銘柄管理!$B$6:$B$305,0))-1,0,1,14))-SUM(OFFSET(安値!$E$6,IFERROR(MATCH($C50,銘柄管理!$B$6:$B$305,0),MATCH(TEXT($C50,"0"),銘柄管理!$B$6:$B$305,0))-1,0,1,14)))/SUM(OFFSET(終値!$E$6,IFERROR(MATCH($C50,銘柄管理!$B$6:$B$305,0),MATCH(TEXT($C50,"0"),銘柄管理!$B$6:$B$305,0))-1,0,1,14))*100,"")</f>
      </c>
      <c r="BB50">
        <f>IFERROR((MAX(OFFSET(高値!$E$6,IFERROR(MATCH($C50,銘柄管理!$B$6:$B$305,0),MATCH(TEXT($C50,"0"),銘柄管理!$B$6:$B$305,0))-1,0,1,25))-MIN(OFFSET(安値!$E$6,IFERROR(MATCH($C50,銘柄管理!$B$6:$B$305,0),MATCH(TEXT($C50,"0"),銘柄管理!$B$6:$B$305,0))-1,0,1,25)))/$E50*100,"")</f>
      </c>
      <c r="BC50">
        <f>IFERROR(($F50-$G50)/$G50*100,"")</f>
      </c>
      <c r="BD50">
        <f>IFERROR(($E50-MAX(OFFSET(高値!$E$6,IFERROR(MATCH($C50,銘柄管理!$B$6:$B$305,0),MATCH(TEXT($C50,"0"),銘柄管理!$B$6:$B$305,0))-1,0,1,25)))/MAX(OFFSET(高値!$E$6,IFERROR(MATCH($C50,銘柄管理!$B$6:$B$305,0),MATCH(TEXT($C50,"0"),銘柄管理!$B$6:$B$305,0))-1,0,1,25))*100,"")</f>
      </c>
      <c r="BE50">
        <f>IFERROR(($H50-$I50)/$F50*100,"")</f>
      </c>
      <c r="BF50">
        <f>IFERROR(-(($BA50-AVERAGE($BA$3:$BA$206))/STDEV($BA$3:$BA$206))-(($BE50-AVERAGE($BE$3:$BE$206))/STDEV($BE$3:$BE$206))-(($BB50-AVERAGE($BB$3:$BB$206))/STDEV($BB$3:$BB$206))-(($Z50-AVERAGE($Z$3:$Z$206))/STDEV($Z$3:$Z$206))-(($BC50-AVERAGE($BC$3:$BC$206))/STDEV($BC$3:$BC$206)),"")</f>
      </c>
      <c r="BG50">
        <f>IF(OR($C50="",$C50="TOPX",$BA50="",$BF50=""),0,IF(AND($BK$10=1,$BA50&lt;=$BK$2,$BB50&lt;=$BK$3,$BC50&lt;=$BK$4,$Z50&lt;=$BK$5,$Z50&gt;=$BK$6,$BD50&gt;=$BK$7,$BE50&lt;=$BK$8),1,0))</f>
      </c>
      <c r="BH50">
        <f>IF($C50="","",IF($BG50=1,"○ゲート通過",IF($BK$10&lt;&gt;1,"― この方向は停止中",IF($BA50&gt;$BK$2,"×値動きが荒い",IF($BB50&gt;$BK$3,"×レンジが広い",IF($BC50&gt;$BK$4,"×窓を開けて上昇",IF($Z50&gt;$BK$5,"×前日に急騰",IF($Z50&lt;$BK$6,"×前日に急落",IF($BD50&lt;$BK$7,"×高値から離れすぎ",IF($BE50&gt;$BK$8,"×当日の値幅が大きい","×")))))))))</f>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 t="shared" si="0"/>
        <v>-1.5249266862170088</v>
      </c>
      <c r="M51" s="166">
        <f>IF(C51&lt;&gt;"",IFERROR(AVERAGE(出来高!E31:I31),""),"")</f>
        <v>11203700</v>
      </c>
      <c r="N51" s="166">
        <f>IF(C51&lt;&gt;"",IFERROR(AVERAGE(出来高!E31:AC31),""),"")</f>
        <v>4648868</v>
      </c>
      <c r="O51" s="168">
        <f t="shared" si="1"/>
        <v>0.68725510322482752</v>
      </c>
      <c r="P51" s="163" t="str">
        <f t="shared" si="2"/>
        <v>減少↓</v>
      </c>
      <c r="Q51" s="163" t="str">
        <f t="shared" si="3"/>
        <v>中立→</v>
      </c>
      <c r="R51" s="166">
        <f t="shared" si="8"/>
        <v>1813</v>
      </c>
      <c r="S51" s="166">
        <f t="shared" si="9"/>
        <v>1612</v>
      </c>
      <c r="T51" s="163">
        <f>IF(C51="","",IFERROR(IF(O51&gt;=2,3,IF(O51&gt;=1.5,2,IF(O51&gt;=1,1,0)))+IF(E51&gt;G51,1,0)+IF(L51&gt;=-5,1,0)+IF(Q51="買い▲",2,0)+IF(W51&gt;=78,-4,IF(W51&gt;=72,-2,IF(W51&gt;=55,2,IF(W51&gt;=45,1,0))))+IF(X51&gt;0,1,0)+IF(V51="年初来高値更新●",3,IF(V51="高値圏",2,0))+IF(AD51="パーフェクト▲",3,IF(AD51="上昇トレンド▲",2,0))+IF(AE51="25日線押し目●",2,IF(AE51="5日線押し目○",1,0))+IF(P51="急増↑↑",2,IF(P51="増加↑",1,0))+N(AI51),0))</f>
      </c>
      <c r="U51" s="163" t="str">
        <f t="shared" si="10"/>
        <v>要確認</v>
      </c>
      <c r="V51" s="163" t="str">
        <f t="shared" si="5"/>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 t="shared" si="11"/>
        <v>1.0836845273931366</v>
      </c>
      <c r="AA51" s="163" t="str">
        <f t="shared" si="12"/>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 t="shared" si="15"/>
        <v>下降トレンド▼</v>
      </c>
      <c r="AE51" s="406" t="str">
        <f t="shared" si="16"/>
        <v>なし</v>
      </c>
      <c r="AF51" s="365">
        <f t="array" ref="AF51">IF(C51="","",IFERROR((INDEX(終値!$E:$E,MATCH(TEXT(C51,"0"),終値!$A:$A,0))-INDEX(終値!$E:$CZ,MATCH(TEXT(C51,"0"),終値!$A:$A,0),$AL$2))/INDEX(終値!$E:$CZ,MATCH(TEXT(C51,"0"),終値!$A:$A,0),$AL$2)*100,""))</f>
        <v>9.7385620915032689</v>
      </c>
      <c r="AG51" s="365">
        <f t="array" ref="AG51">IFERROR((終値!$E$5-INDEX(終値!$E$5:$CZ$5,1,$AL$2))/INDEX(終値!$E$5:$CZ$5,1,$AL$2)*100,"")</f>
        <v>1.0179378228534113</v>
      </c>
      <c r="AH51" s="366">
        <f t="shared" si="6"/>
        <v>8.720624268649857</v>
      </c>
      <c r="AI51" s="364">
        <f t="shared" si="7"/>
        <v>3</v>
      </c>
      <c r="BA51">
        <f>IFERROR((SUM(OFFSET(高値!$E$6,IFERROR(MATCH($C51,銘柄管理!$B$6:$B$305,0),MATCH(TEXT($C51,"0"),銘柄管理!$B$6:$B$305,0))-1,0,1,14))-SUM(OFFSET(安値!$E$6,IFERROR(MATCH($C51,銘柄管理!$B$6:$B$305,0),MATCH(TEXT($C51,"0"),銘柄管理!$B$6:$B$305,0))-1,0,1,14)))/SUM(OFFSET(終値!$E$6,IFERROR(MATCH($C51,銘柄管理!$B$6:$B$305,0),MATCH(TEXT($C51,"0"),銘柄管理!$B$6:$B$305,0))-1,0,1,14))*100,"")</f>
      </c>
      <c r="BB51">
        <f>IFERROR((MAX(OFFSET(高値!$E$6,IFERROR(MATCH($C51,銘柄管理!$B$6:$B$305,0),MATCH(TEXT($C51,"0"),銘柄管理!$B$6:$B$305,0))-1,0,1,25))-MIN(OFFSET(安値!$E$6,IFERROR(MATCH($C51,銘柄管理!$B$6:$B$305,0),MATCH(TEXT($C51,"0"),銘柄管理!$B$6:$B$305,0))-1,0,1,25)))/$E51*100,"")</f>
      </c>
      <c r="BC51">
        <f>IFERROR(($F51-$G51)/$G51*100,"")</f>
      </c>
      <c r="BD51">
        <f>IFERROR(($E51-MAX(OFFSET(高値!$E$6,IFERROR(MATCH($C51,銘柄管理!$B$6:$B$305,0),MATCH(TEXT($C51,"0"),銘柄管理!$B$6:$B$305,0))-1,0,1,25)))/MAX(OFFSET(高値!$E$6,IFERROR(MATCH($C51,銘柄管理!$B$6:$B$305,0),MATCH(TEXT($C51,"0"),銘柄管理!$B$6:$B$305,0))-1,0,1,25))*100,"")</f>
      </c>
      <c r="BE51">
        <f>IFERROR(($H51-$I51)/$F51*100,"")</f>
      </c>
      <c r="BF51">
        <f>IFERROR(-(($BA51-AVERAGE($BA$3:$BA$206))/STDEV($BA$3:$BA$206))-(($BE51-AVERAGE($BE$3:$BE$206))/STDEV($BE$3:$BE$206))-(($BB51-AVERAGE($BB$3:$BB$206))/STDEV($BB$3:$BB$206))-(($Z51-AVERAGE($Z$3:$Z$206))/STDEV($Z$3:$Z$206))-(($BC51-AVERAGE($BC$3:$BC$206))/STDEV($BC$3:$BC$206)),"")</f>
      </c>
      <c r="BG51">
        <f>IF(OR($C51="",$C51="TOPX",$BA51="",$BF51=""),0,IF(AND($BK$10=1,$BA51&lt;=$BK$2,$BB51&lt;=$BK$3,$BC51&lt;=$BK$4,$Z51&lt;=$BK$5,$Z51&gt;=$BK$6,$BD51&gt;=$BK$7,$BE51&lt;=$BK$8),1,0))</f>
      </c>
      <c r="BH51">
        <f>IF($C51="","",IF($BG51=1,"○ゲート通過",IF($BK$10&lt;&gt;1,"― この方向は停止中",IF($BA51&gt;$BK$2,"×値動きが荒い",IF($BB51&gt;$BK$3,"×レンジが広い",IF($BC51&gt;$BK$4,"×窓を開けて上昇",IF($Z51&gt;$BK$5,"×前日に急騰",IF($Z51&lt;$BK$6,"×前日に急落",IF($BD51&lt;$BK$7,"×高値から離れすぎ",IF($BE51&gt;$BK$8,"×当日の値幅が大きい","×")))))))))</f>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 t="shared" si="0"/>
        <v>-3.2431315843833923</v>
      </c>
      <c r="M52" s="166">
        <f>IF(C52&lt;&gt;"",IFERROR(AVERAGE(出来高!E35:I35),""),"")</f>
        <v>12101780</v>
      </c>
      <c r="N52" s="166">
        <f>IF(C52&lt;&gt;"",IFERROR(AVERAGE(出来高!E35:AC35),""),"")</f>
        <v>10432052</v>
      </c>
      <c r="O52" s="168">
        <f t="shared" si="1"/>
        <v>0.86551730406601346</v>
      </c>
      <c r="P52" s="163" t="str">
        <f t="shared" si="2"/>
        <v>減少↓</v>
      </c>
      <c r="Q52" s="163" t="str">
        <f t="shared" si="3"/>
        <v>中立→</v>
      </c>
      <c r="R52" s="166">
        <f t="shared" si="8"/>
        <v>2529</v>
      </c>
      <c r="S52" s="166">
        <f t="shared" si="9"/>
        <v>2248</v>
      </c>
      <c r="T52" s="163">
        <f>IF(C52="","",IFERROR(IF(O52&gt;=2,3,IF(O52&gt;=1.5,2,IF(O52&gt;=1,1,0)))+IF(E52&gt;G52,1,0)+IF(L52&gt;=-5,1,0)+IF(Q52="買い▲",2,0)+IF(W52&gt;=78,-4,IF(W52&gt;=72,-2,IF(W52&gt;=55,2,IF(W52&gt;=45,1,0))))+IF(X52&gt;0,1,0)+IF(V52="年初来高値更新●",3,IF(V52="高値圏",2,0))+IF(AD52="パーフェクト▲",3,IF(AD52="上昇トレンド▲",2,0))+IF(AE52="25日線押し目●",2,IF(AE52="5日線押し目○",1,0))+IF(P52="急増↑↑",2,IF(P52="増加↑",1,0))+N(AI52),0))</f>
      </c>
      <c r="U52" s="163" t="str">
        <f t="shared" si="10"/>
        <v>要確認</v>
      </c>
      <c r="V52" s="163" t="str">
        <f t="shared" si="5"/>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 t="shared" si="11"/>
        <v>2.5843188786684186</v>
      </c>
      <c r="AA52" s="163" t="str">
        <f t="shared" si="12"/>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 t="shared" si="15"/>
        <v>もみ合い→</v>
      </c>
      <c r="AE52" s="404" t="str">
        <f t="shared" si="16"/>
        <v>なし</v>
      </c>
      <c r="AF52" s="365">
        <f t="array" ref="AF52">IF(C52="","",IFERROR((INDEX(終値!$E:$E,MATCH(TEXT(C52,"0"),終値!$A:$A,0))-INDEX(終値!$E:$CZ,MATCH(TEXT(C52,"0"),終値!$A:$A,0),$AL$2))/INDEX(終値!$E:$CZ,MATCH(TEXT(C52,"0"),終値!$A:$A,0),$AL$2)*100,""))</f>
        <v>10.759044691416412</v>
      </c>
      <c r="AG52" s="365">
        <f t="array" ref="AG52">IFERROR((終値!$E$5-INDEX(終値!$E$5:$CZ$5,1,$AL$2))/INDEX(終値!$E$5:$CZ$5,1,$AL$2)*100,"")</f>
        <v>1.0179378228534113</v>
      </c>
      <c r="AH52" s="366">
        <f t="shared" si="6"/>
        <v>9.7411068685629996</v>
      </c>
      <c r="AI52" s="364">
        <f t="shared" si="7"/>
        <v>3</v>
      </c>
      <c r="BA52">
        <f>IFERROR((SUM(OFFSET(高値!$E$6,IFERROR(MATCH($C52,銘柄管理!$B$6:$B$305,0),MATCH(TEXT($C52,"0"),銘柄管理!$B$6:$B$305,0))-1,0,1,14))-SUM(OFFSET(安値!$E$6,IFERROR(MATCH($C52,銘柄管理!$B$6:$B$305,0),MATCH(TEXT($C52,"0"),銘柄管理!$B$6:$B$305,0))-1,0,1,14)))/SUM(OFFSET(終値!$E$6,IFERROR(MATCH($C52,銘柄管理!$B$6:$B$305,0),MATCH(TEXT($C52,"0"),銘柄管理!$B$6:$B$305,0))-1,0,1,14))*100,"")</f>
      </c>
      <c r="BB52">
        <f>IFERROR((MAX(OFFSET(高値!$E$6,IFERROR(MATCH($C52,銘柄管理!$B$6:$B$305,0),MATCH(TEXT($C52,"0"),銘柄管理!$B$6:$B$305,0))-1,0,1,25))-MIN(OFFSET(安値!$E$6,IFERROR(MATCH($C52,銘柄管理!$B$6:$B$305,0),MATCH(TEXT($C52,"0"),銘柄管理!$B$6:$B$305,0))-1,0,1,25)))/$E52*100,"")</f>
      </c>
      <c r="BC52">
        <f>IFERROR(($F52-$G52)/$G52*100,"")</f>
      </c>
      <c r="BD52">
        <f>IFERROR(($E52-MAX(OFFSET(高値!$E$6,IFERROR(MATCH($C52,銘柄管理!$B$6:$B$305,0),MATCH(TEXT($C52,"0"),銘柄管理!$B$6:$B$305,0))-1,0,1,25)))/MAX(OFFSET(高値!$E$6,IFERROR(MATCH($C52,銘柄管理!$B$6:$B$305,0),MATCH(TEXT($C52,"0"),銘柄管理!$B$6:$B$305,0))-1,0,1,25))*100,"")</f>
      </c>
      <c r="BE52">
        <f>IFERROR(($H52-$I52)/$F52*100,"")</f>
      </c>
      <c r="BF52">
        <f>IFERROR(-(($BA52-AVERAGE($BA$3:$BA$206))/STDEV($BA$3:$BA$206))-(($BE52-AVERAGE($BE$3:$BE$206))/STDEV($BE$3:$BE$206))-(($BB52-AVERAGE($BB$3:$BB$206))/STDEV($BB$3:$BB$206))-(($Z52-AVERAGE($Z$3:$Z$206))/STDEV($Z$3:$Z$206))-(($BC52-AVERAGE($BC$3:$BC$206))/STDEV($BC$3:$BC$206)),"")</f>
      </c>
      <c r="BG52">
        <f>IF(OR($C52="",$C52="TOPX",$BA52="",$BF52=""),0,IF(AND($BK$10=1,$BA52&lt;=$BK$2,$BB52&lt;=$BK$3,$BC52&lt;=$BK$4,$Z52&lt;=$BK$5,$Z52&gt;=$BK$6,$BD52&gt;=$BK$7,$BE52&lt;=$BK$8),1,0))</f>
      </c>
      <c r="BH52">
        <f>IF($C52="","",IF($BG52=1,"○ゲート通過",IF($BK$10&lt;&gt;1,"― この方向は停止中",IF($BA52&gt;$BK$2,"×値動きが荒い",IF($BB52&gt;$BK$3,"×レンジが広い",IF($BC52&gt;$BK$4,"×窓を開けて上昇",IF($Z52&gt;$BK$5,"×前日に急騰",IF($Z52&lt;$BK$6,"×前日に急落",IF($BD52&lt;$BK$7,"×高値から離れすぎ",IF($BE52&gt;$BK$8,"×当日の値幅が大きい","×")))))))))</f>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 t="shared" si="0"/>
        <v>-6.2680304222397067</v>
      </c>
      <c r="M53" s="166">
        <f>IF(C53&lt;&gt;"",IFERROR(AVERAGE(出来高!E45:I45),""),"")</f>
        <v>45988060</v>
      </c>
      <c r="N53" s="166">
        <f>IF(C53&lt;&gt;"",IFERROR(AVERAGE(出来高!E45:AC45),""),"")</f>
        <v>43282364</v>
      </c>
      <c r="O53" s="168">
        <f t="shared" si="1"/>
        <v>0.7767494432250458</v>
      </c>
      <c r="P53" s="163" t="str">
        <f t="shared" si="2"/>
        <v>減少↓</v>
      </c>
      <c r="Q53" s="163" t="str">
        <f t="shared" si="3"/>
        <v>中立→</v>
      </c>
      <c r="R53" s="166">
        <f t="shared" si="8"/>
        <v>3860</v>
      </c>
      <c r="S53" s="166">
        <f t="shared" si="9"/>
        <v>3431</v>
      </c>
      <c r="T53" s="163">
        <f>IF(C53="","",IFERROR(IF(O53&gt;=2,3,IF(O53&gt;=1.5,2,IF(O53&gt;=1,1,0)))+IF(E53&gt;G53,1,0)+IF(L53&gt;=-5,1,0)+IF(Q53="買い▲",2,0)+IF(W53&gt;=78,-4,IF(W53&gt;=72,-2,IF(W53&gt;=55,2,IF(W53&gt;=45,1,0))))+IF(X53&gt;0,1,0)+IF(V53="年初来高値更新●",3,IF(V53="高値圏",2,0))+IF(AD53="パーフェクト▲",3,IF(AD53="上昇トレンド▲",2,0))+IF(AE53="25日線押し目●",2,IF(AE53="5日線押し目○",1,0))+IF(P53="急増↑↑",2,IF(P53="増加↑",1,0))+N(AI53),0))</f>
      </c>
      <c r="U53" s="163" t="str">
        <f t="shared" si="10"/>
        <v>要確認</v>
      </c>
      <c r="V53" s="163" t="str">
        <f t="shared" si="5"/>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 t="shared" si="11"/>
        <v>0.93194012990680597</v>
      </c>
      <c r="AA53" s="163" t="str">
        <f t="shared" si="12"/>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 t="shared" si="15"/>
        <v>もみ合い→</v>
      </c>
      <c r="AE53" s="406" t="str">
        <f t="shared" si="16"/>
        <v>なし</v>
      </c>
      <c r="AF53" s="365">
        <f t="array" ref="AF53">IF(C53="","",IFERROR((INDEX(終値!$E:$E,MATCH(TEXT(C53,"0"),終値!$A:$A,0))-INDEX(終値!$E:$CZ,MATCH(TEXT(C53,"0"),終値!$A:$A,0),$AL$2))/INDEX(終値!$E:$CZ,MATCH(TEXT(C53,"0"),終値!$A:$A,0),$AL$2)*100,""))</f>
        <v>10.07083461656914</v>
      </c>
      <c r="AG53" s="365">
        <f t="array" ref="AG53">IFERROR((終値!$E$5-INDEX(終値!$E$5:$CZ$5,1,$AL$2))/INDEX(終値!$E$5:$CZ$5,1,$AL$2)*100,"")</f>
        <v>1.0179378228534113</v>
      </c>
      <c r="AH53" s="366">
        <f t="shared" si="6"/>
        <v>9.0528967937157283</v>
      </c>
      <c r="AI53" s="364">
        <f t="shared" si="7"/>
        <v>3</v>
      </c>
      <c r="BA53">
        <f>IFERROR((SUM(OFFSET(高値!$E$6,IFERROR(MATCH($C53,銘柄管理!$B$6:$B$305,0),MATCH(TEXT($C53,"0"),銘柄管理!$B$6:$B$305,0))-1,0,1,14))-SUM(OFFSET(安値!$E$6,IFERROR(MATCH($C53,銘柄管理!$B$6:$B$305,0),MATCH(TEXT($C53,"0"),銘柄管理!$B$6:$B$305,0))-1,0,1,14)))/SUM(OFFSET(終値!$E$6,IFERROR(MATCH($C53,銘柄管理!$B$6:$B$305,0),MATCH(TEXT($C53,"0"),銘柄管理!$B$6:$B$305,0))-1,0,1,14))*100,"")</f>
      </c>
      <c r="BB53">
        <f>IFERROR((MAX(OFFSET(高値!$E$6,IFERROR(MATCH($C53,銘柄管理!$B$6:$B$305,0),MATCH(TEXT($C53,"0"),銘柄管理!$B$6:$B$305,0))-1,0,1,25))-MIN(OFFSET(安値!$E$6,IFERROR(MATCH($C53,銘柄管理!$B$6:$B$305,0),MATCH(TEXT($C53,"0"),銘柄管理!$B$6:$B$305,0))-1,0,1,25)))/$E53*100,"")</f>
      </c>
      <c r="BC53">
        <f>IFERROR(($F53-$G53)/$G53*100,"")</f>
      </c>
      <c r="BD53">
        <f>IFERROR(($E53-MAX(OFFSET(高値!$E$6,IFERROR(MATCH($C53,銘柄管理!$B$6:$B$305,0),MATCH(TEXT($C53,"0"),銘柄管理!$B$6:$B$305,0))-1,0,1,25)))/MAX(OFFSET(高値!$E$6,IFERROR(MATCH($C53,銘柄管理!$B$6:$B$305,0),MATCH(TEXT($C53,"0"),銘柄管理!$B$6:$B$305,0))-1,0,1,25))*100,"")</f>
      </c>
      <c r="BE53">
        <f>IFERROR(($H53-$I53)/$F53*100,"")</f>
      </c>
      <c r="BF53">
        <f>IFERROR(-(($BA53-AVERAGE($BA$3:$BA$206))/STDEV($BA$3:$BA$206))-(($BE53-AVERAGE($BE$3:$BE$206))/STDEV($BE$3:$BE$206))-(($BB53-AVERAGE($BB$3:$BB$206))/STDEV($BB$3:$BB$206))-(($Z53-AVERAGE($Z$3:$Z$206))/STDEV($Z$3:$Z$206))-(($BC53-AVERAGE($BC$3:$BC$206))/STDEV($BC$3:$BC$206)),"")</f>
      </c>
      <c r="BG53">
        <f>IF(OR($C53="",$C53="TOPX",$BA53="",$BF53=""),0,IF(AND($BK$10=1,$BA53&lt;=$BK$2,$BB53&lt;=$BK$3,$BC53&lt;=$BK$4,$Z53&lt;=$BK$5,$Z53&gt;=$BK$6,$BD53&gt;=$BK$7,$BE53&lt;=$BK$8),1,0))</f>
      </c>
      <c r="BH53">
        <f>IF($C53="","",IF($BG53=1,"○ゲート通過",IF($BK$10&lt;&gt;1,"― この方向は停止中",IF($BA53&gt;$BK$2,"×値動きが荒い",IF($BB53&gt;$BK$3,"×レンジが広い",IF($BC53&gt;$BK$4,"×窓を開けて上昇",IF($Z53&gt;$BK$5,"×前日に急騰",IF($Z53&lt;$BK$6,"×前日に急落",IF($BD53&lt;$BK$7,"×高値から離れすぎ",IF($BE53&gt;$BK$8,"×当日の値幅が大きい","×")))))))))</f>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 t="shared" si="0"/>
        <v>-28.886363636363637</v>
      </c>
      <c r="M54" s="166">
        <f>IF(C54&lt;&gt;"",IFERROR(AVERAGE(出来高!E172:I172),""),"")</f>
        <v>7272040</v>
      </c>
      <c r="N54" s="166">
        <f>IF(C54&lt;&gt;"",IFERROR(AVERAGE(出来高!E172:AC172),""),"")</f>
        <v>3990348</v>
      </c>
      <c r="O54" s="168">
        <f t="shared" si="1"/>
        <v>1.1688192034147227</v>
      </c>
      <c r="P54" s="163" t="str">
        <f t="shared" si="2"/>
        <v>普通→</v>
      </c>
      <c r="Q54" s="163" t="str">
        <f t="shared" si="3"/>
        <v>中立→</v>
      </c>
      <c r="R54" s="166">
        <f t="shared" si="8"/>
        <v>1690</v>
      </c>
      <c r="S54" s="166">
        <f t="shared" si="9"/>
        <v>1502</v>
      </c>
      <c r="T54" s="163">
        <f>IF(C54="","",IFERROR(IF(O54&gt;=2,3,IF(O54&gt;=1.5,2,IF(O54&gt;=1,1,0)))+IF(E54&gt;G54,1,0)+IF(L54&gt;=-5,1,0)+IF(Q54="買い▲",2,0)+IF(W54&gt;=78,-4,IF(W54&gt;=72,-2,IF(W54&gt;=55,2,IF(W54&gt;=45,1,0))))+IF(X54&gt;0,1,0)+IF(V54="年初来高値更新●",3,IF(V54="高値圏",2,0))+IF(AD54="パーフェクト▲",3,IF(AD54="上昇トレンド▲",2,0))+IF(AE54="25日線押し目●",2,IF(AE54="5日線押し目○",1,0))+IF(P54="急増↑↑",2,IF(P54="増加↑",1,0))+N(AI54),0))</f>
      </c>
      <c r="U54" s="163" t="str">
        <f t="shared" si="10"/>
        <v>要確認</v>
      </c>
      <c r="V54" s="163" t="str">
        <f t="shared" si="5"/>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 t="shared" si="11"/>
        <v>4.2652449183605468</v>
      </c>
      <c r="AA54" s="163" t="str">
        <f t="shared" si="12"/>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 t="shared" si="15"/>
        <v>下降トレンド▼</v>
      </c>
      <c r="AE54" s="404" t="str">
        <f t="shared" si="16"/>
        <v>なし</v>
      </c>
      <c r="AF54" s="365">
        <f t="array" ref="AF54">IF(C54="","",IFERROR((INDEX(終値!$E:$E,MATCH(TEXT(C54,"0"),終値!$A:$A,0))-INDEX(終値!$E:$CZ,MATCH(TEXT(C54,"0"),終値!$A:$A,0),$AL$2))/INDEX(終値!$E:$CZ,MATCH(TEXT(C54,"0"),終値!$A:$A,0),$AL$2)*100,""))</f>
        <v>14.447695683979516</v>
      </c>
      <c r="AG54" s="365">
        <f t="array" ref="AG54">IFERROR((終値!$E$5-INDEX(終値!$E$5:$CZ$5,1,$AL$2))/INDEX(終値!$E$5:$CZ$5,1,$AL$2)*100,"")</f>
        <v>1.0179378228534113</v>
      </c>
      <c r="AH54" s="366">
        <f t="shared" si="6"/>
        <v>13.429757861126104</v>
      </c>
      <c r="AI54" s="364">
        <f t="shared" si="7"/>
        <v>3</v>
      </c>
      <c r="BA54">
        <f>IFERROR((SUM(OFFSET(高値!$E$6,IFERROR(MATCH($C54,銘柄管理!$B$6:$B$305,0),MATCH(TEXT($C54,"0"),銘柄管理!$B$6:$B$305,0))-1,0,1,14))-SUM(OFFSET(安値!$E$6,IFERROR(MATCH($C54,銘柄管理!$B$6:$B$305,0),MATCH(TEXT($C54,"0"),銘柄管理!$B$6:$B$305,0))-1,0,1,14)))/SUM(OFFSET(終値!$E$6,IFERROR(MATCH($C54,銘柄管理!$B$6:$B$305,0),MATCH(TEXT($C54,"0"),銘柄管理!$B$6:$B$305,0))-1,0,1,14))*100,"")</f>
      </c>
      <c r="BB54">
        <f>IFERROR((MAX(OFFSET(高値!$E$6,IFERROR(MATCH($C54,銘柄管理!$B$6:$B$305,0),MATCH(TEXT($C54,"0"),銘柄管理!$B$6:$B$305,0))-1,0,1,25))-MIN(OFFSET(安値!$E$6,IFERROR(MATCH($C54,銘柄管理!$B$6:$B$305,0),MATCH(TEXT($C54,"0"),銘柄管理!$B$6:$B$305,0))-1,0,1,25)))/$E54*100,"")</f>
      </c>
      <c r="BC54">
        <f>IFERROR(($F54-$G54)/$G54*100,"")</f>
      </c>
      <c r="BD54">
        <f>IFERROR(($E54-MAX(OFFSET(高値!$E$6,IFERROR(MATCH($C54,銘柄管理!$B$6:$B$305,0),MATCH(TEXT($C54,"0"),銘柄管理!$B$6:$B$305,0))-1,0,1,25)))/MAX(OFFSET(高値!$E$6,IFERROR(MATCH($C54,銘柄管理!$B$6:$B$305,0),MATCH(TEXT($C54,"0"),銘柄管理!$B$6:$B$305,0))-1,0,1,25))*100,"")</f>
      </c>
      <c r="BE54">
        <f>IFERROR(($H54-$I54)/$F54*100,"")</f>
      </c>
      <c r="BF54">
        <f>IFERROR(-(($BA54-AVERAGE($BA$3:$BA$206))/STDEV($BA$3:$BA$206))-(($BE54-AVERAGE($BE$3:$BE$206))/STDEV($BE$3:$BE$206))-(($BB54-AVERAGE($BB$3:$BB$206))/STDEV($BB$3:$BB$206))-(($Z54-AVERAGE($Z$3:$Z$206))/STDEV($Z$3:$Z$206))-(($BC54-AVERAGE($BC$3:$BC$206))/STDEV($BC$3:$BC$206)),"")</f>
      </c>
      <c r="BG54">
        <f>IF(OR($C54="",$C54="TOPX",$BA54="",$BF54=""),0,IF(AND($BK$10=1,$BA54&lt;=$BK$2,$BB54&lt;=$BK$3,$BC54&lt;=$BK$4,$Z54&lt;=$BK$5,$Z54&gt;=$BK$6,$BD54&gt;=$BK$7,$BE54&lt;=$BK$8),1,0))</f>
      </c>
      <c r="BH54">
        <f>IF($C54="","",IF($BG54=1,"○ゲート通過",IF($BK$10&lt;&gt;1,"― この方向は停止中",IF($BA54&gt;$BK$2,"×値動きが荒い",IF($BB54&gt;$BK$3,"×レンジが広い",IF($BC54&gt;$BK$4,"×窓を開けて上昇",IF($Z54&gt;$BK$5,"×前日に急騰",IF($Z54&lt;$BK$6,"×前日に急落",IF($BD54&lt;$BK$7,"×高値から離れすぎ",IF($BE54&gt;$BK$8,"×当日の値幅が大きい","×")))))))))</f>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 t="shared" si="0"/>
        <v>-7.1061643835616444</v>
      </c>
      <c r="M55" s="166">
        <f>IF(C55&lt;&gt;"",IFERROR(AVERAGE(出来高!E63:I63),""),"")</f>
        <v>79260</v>
      </c>
      <c r="N55" s="166">
        <f>IF(C55&lt;&gt;"",IFERROR(AVERAGE(出来高!E63:AC63),""),"")</f>
        <v>83300</v>
      </c>
      <c r="O55" s="168">
        <f t="shared" si="1"/>
        <v>0.7292455210698966</v>
      </c>
      <c r="P55" s="163" t="str">
        <f t="shared" si="2"/>
        <v>減少↓</v>
      </c>
      <c r="Q55" s="163" t="str">
        <f t="shared" si="3"/>
        <v>中立→</v>
      </c>
      <c r="R55" s="166">
        <f t="shared" si="8"/>
        <v>1172</v>
      </c>
      <c r="S55" s="166">
        <f t="shared" si="9"/>
        <v>1042</v>
      </c>
      <c r="T55" s="163">
        <f>IF(C55="","",IFERROR(IF(O55&gt;=2,3,IF(O55&gt;=1.5,2,IF(O55&gt;=1,1,0)))+IF(E55&gt;G55,1,0)+IF(L55&gt;=-5,1,0)+IF(Q55="買い▲",2,0)+IF(W55&gt;=78,-4,IF(W55&gt;=72,-2,IF(W55&gt;=55,2,IF(W55&gt;=45,1,0))))+IF(X55&gt;0,1,0)+IF(V55="年初来高値更新●",3,IF(V55="高値圏",2,0))+IF(AD55="パーフェクト▲",3,IF(AD55="上昇トレンド▲",2,0))+IF(AE55="25日線押し目●",2,IF(AE55="5日線押し目○",1,0))+IF(P55="急増↑↑",2,IF(P55="増加↑",1,0))+N(AI55),0))</f>
      </c>
      <c r="U55" s="163" t="str">
        <f t="shared" si="10"/>
        <v>要確認</v>
      </c>
      <c r="V55" s="163" t="str">
        <f t="shared" si="5"/>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 t="shared" si="11"/>
        <v>1.6869728209934396</v>
      </c>
      <c r="AA55" s="163" t="str">
        <f t="shared" si="12"/>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 t="shared" si="15"/>
        <v>下降トレンド▼</v>
      </c>
      <c r="AE55" s="406" t="str">
        <f t="shared" si="16"/>
        <v>なし</v>
      </c>
      <c r="AF55" s="365">
        <f t="array" ref="AF55">IF(C55="","",IFERROR((INDEX(終値!$E:$E,MATCH(TEXT(C55,"0"),終値!$A:$A,0))-INDEX(終値!$E:$CZ,MATCH(TEXT(C55,"0"),終値!$A:$A,0),$AL$2))/INDEX(終値!$E:$CZ,MATCH(TEXT(C55,"0"),終値!$A:$A,0),$AL$2)*100,""))</f>
        <v>3.0389363722697058</v>
      </c>
      <c r="AG55" s="365">
        <f t="array" ref="AG55">IFERROR((終値!$E$5-INDEX(終値!$E$5:$CZ$5,1,$AL$2))/INDEX(終値!$E$5:$CZ$5,1,$AL$2)*100,"")</f>
        <v>1.0179378228534113</v>
      </c>
      <c r="AH55" s="366">
        <f t="shared" si="6"/>
        <v>2.0209985494162943</v>
      </c>
      <c r="AI55" s="364">
        <f t="shared" si="7"/>
        <v>1</v>
      </c>
      <c r="BA55">
        <f>IFERROR((SUM(OFFSET(高値!$E$6,IFERROR(MATCH($C55,銘柄管理!$B$6:$B$305,0),MATCH(TEXT($C55,"0"),銘柄管理!$B$6:$B$305,0))-1,0,1,14))-SUM(OFFSET(安値!$E$6,IFERROR(MATCH($C55,銘柄管理!$B$6:$B$305,0),MATCH(TEXT($C55,"0"),銘柄管理!$B$6:$B$305,0))-1,0,1,14)))/SUM(OFFSET(終値!$E$6,IFERROR(MATCH($C55,銘柄管理!$B$6:$B$305,0),MATCH(TEXT($C55,"0"),銘柄管理!$B$6:$B$305,0))-1,0,1,14))*100,"")</f>
      </c>
      <c r="BB55">
        <f>IFERROR((MAX(OFFSET(高値!$E$6,IFERROR(MATCH($C55,銘柄管理!$B$6:$B$305,0),MATCH(TEXT($C55,"0"),銘柄管理!$B$6:$B$305,0))-1,0,1,25))-MIN(OFFSET(安値!$E$6,IFERROR(MATCH($C55,銘柄管理!$B$6:$B$305,0),MATCH(TEXT($C55,"0"),銘柄管理!$B$6:$B$305,0))-1,0,1,25)))/$E55*100,"")</f>
      </c>
      <c r="BC55">
        <f>IFERROR(($F55-$G55)/$G55*100,"")</f>
      </c>
      <c r="BD55">
        <f>IFERROR(($E55-MAX(OFFSET(高値!$E$6,IFERROR(MATCH($C55,銘柄管理!$B$6:$B$305,0),MATCH(TEXT($C55,"0"),銘柄管理!$B$6:$B$305,0))-1,0,1,25)))/MAX(OFFSET(高値!$E$6,IFERROR(MATCH($C55,銘柄管理!$B$6:$B$305,0),MATCH(TEXT($C55,"0"),銘柄管理!$B$6:$B$305,0))-1,0,1,25))*100,"")</f>
      </c>
      <c r="BE55">
        <f>IFERROR(($H55-$I55)/$F55*100,"")</f>
      </c>
      <c r="BF55">
        <f>IFERROR(-(($BA55-AVERAGE($BA$3:$BA$206))/STDEV($BA$3:$BA$206))-(($BE55-AVERAGE($BE$3:$BE$206))/STDEV($BE$3:$BE$206))-(($BB55-AVERAGE($BB$3:$BB$206))/STDEV($BB$3:$BB$206))-(($Z55-AVERAGE($Z$3:$Z$206))/STDEV($Z$3:$Z$206))-(($BC55-AVERAGE($BC$3:$BC$206))/STDEV($BC$3:$BC$206)),"")</f>
      </c>
      <c r="BG55">
        <f>IF(OR($C55="",$C55="TOPX",$BA55="",$BF55=""),0,IF(AND($BK$10=1,$BA55&lt;=$BK$2,$BB55&lt;=$BK$3,$BC55&lt;=$BK$4,$Z55&lt;=$BK$5,$Z55&gt;=$BK$6,$BD55&gt;=$BK$7,$BE55&lt;=$BK$8),1,0))</f>
      </c>
      <c r="BH55">
        <f>IF($C55="","",IF($BG55=1,"○ゲート通過",IF($BK$10&lt;&gt;1,"― この方向は停止中",IF($BA55&gt;$BK$2,"×値動きが荒い",IF($BB55&gt;$BK$3,"×レンジが広い",IF($BC55&gt;$BK$4,"×窓を開けて上昇",IF($Z55&gt;$BK$5,"×前日に急騰",IF($Z55&lt;$BK$6,"×前日に急落",IF($BD55&lt;$BK$7,"×高値から離れすぎ",IF($BE55&gt;$BK$8,"×当日の値幅が大きい","×")))))))))</f>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 t="shared" si="0"/>
        <v>-13.544668587896252</v>
      </c>
      <c r="M56" s="166">
        <f>IF(C56&lt;&gt;"",IFERROR(AVERAGE(出来高!E169:I169),""),"")</f>
        <v>210320</v>
      </c>
      <c r="N56" s="166">
        <f>IF(C56&lt;&gt;"",IFERROR(AVERAGE(出来高!E169:AC169),""),"")</f>
        <v>184648</v>
      </c>
      <c r="O56" s="168">
        <f t="shared" si="1"/>
        <v>0.49591099277291745</v>
      </c>
      <c r="P56" s="163" t="str">
        <f t="shared" si="2"/>
        <v>減少↓</v>
      </c>
      <c r="Q56" s="163" t="str">
        <f t="shared" si="3"/>
        <v>中立→</v>
      </c>
      <c r="R56" s="166">
        <f t="shared" si="8"/>
        <v>972</v>
      </c>
      <c r="S56" s="166">
        <f t="shared" si="9"/>
        <v>864</v>
      </c>
      <c r="T56" s="163">
        <f>IF(C56="","",IFERROR(IF(O56&gt;=2,3,IF(O56&gt;=1.5,2,IF(O56&gt;=1,1,0)))+IF(E56&gt;G56,1,0)+IF(L56&gt;=-5,1,0)+IF(Q56="買い▲",2,0)+IF(W56&gt;=78,-4,IF(W56&gt;=72,-2,IF(W56&gt;=55,2,IF(W56&gt;=45,1,0))))+IF(X56&gt;0,1,0)+IF(V56="年初来高値更新●",3,IF(V56="高値圏",2,0))+IF(AD56="パーフェクト▲",3,IF(AD56="上昇トレンド▲",2,0))+IF(AE56="25日線押し目●",2,IF(AE56="5日線押し目○",1,0))+IF(P56="急増↑↑",2,IF(P56="増加↑",1,0))+N(AI56),0))</f>
      </c>
      <c r="U56" s="163" t="str">
        <f t="shared" si="10"/>
        <v>要確認</v>
      </c>
      <c r="V56" s="163" t="str">
        <f t="shared" si="5"/>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 t="shared" si="11"/>
        <v>1.2373453318335208</v>
      </c>
      <c r="AA56" s="163" t="str">
        <f t="shared" si="12"/>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 t="shared" si="15"/>
        <v>下降トレンド▼</v>
      </c>
      <c r="AE56" s="404" t="str">
        <f t="shared" si="16"/>
        <v>なし</v>
      </c>
      <c r="AF56" s="365">
        <f t="array" ref="AF56">IF(C56="","",IFERROR((INDEX(終値!$E:$E,MATCH(TEXT(C56,"0"),終値!$A:$A,0))-INDEX(終値!$E:$CZ,MATCH(TEXT(C56,"0"),終値!$A:$A,0),$AL$2))/INDEX(終値!$E:$CZ,MATCH(TEXT(C56,"0"),終値!$A:$A,0),$AL$2)*100,""))</f>
        <v>2.5056947608200453</v>
      </c>
      <c r="AG56" s="365">
        <f t="array" ref="AG56">IFERROR((終値!$E$5-INDEX(終値!$E$5:$CZ$5,1,$AL$2))/INDEX(終値!$E$5:$CZ$5,1,$AL$2)*100,"")</f>
        <v>1.0179378228534113</v>
      </c>
      <c r="AH56" s="366">
        <f t="shared" si="6"/>
        <v>1.487756937966634</v>
      </c>
      <c r="AI56" s="364">
        <f t="shared" si="7"/>
        <v>1</v>
      </c>
      <c r="BA56">
        <f>IFERROR((SUM(OFFSET(高値!$E$6,IFERROR(MATCH($C56,銘柄管理!$B$6:$B$305,0),MATCH(TEXT($C56,"0"),銘柄管理!$B$6:$B$305,0))-1,0,1,14))-SUM(OFFSET(安値!$E$6,IFERROR(MATCH($C56,銘柄管理!$B$6:$B$305,0),MATCH(TEXT($C56,"0"),銘柄管理!$B$6:$B$305,0))-1,0,1,14)))/SUM(OFFSET(終値!$E$6,IFERROR(MATCH($C56,銘柄管理!$B$6:$B$305,0),MATCH(TEXT($C56,"0"),銘柄管理!$B$6:$B$305,0))-1,0,1,14))*100,"")</f>
      </c>
      <c r="BB56">
        <f>IFERROR((MAX(OFFSET(高値!$E$6,IFERROR(MATCH($C56,銘柄管理!$B$6:$B$305,0),MATCH(TEXT($C56,"0"),銘柄管理!$B$6:$B$305,0))-1,0,1,25))-MIN(OFFSET(安値!$E$6,IFERROR(MATCH($C56,銘柄管理!$B$6:$B$305,0),MATCH(TEXT($C56,"0"),銘柄管理!$B$6:$B$305,0))-1,0,1,25)))/$E56*100,"")</f>
      </c>
      <c r="BC56">
        <f>IFERROR(($F56-$G56)/$G56*100,"")</f>
      </c>
      <c r="BD56">
        <f>IFERROR(($E56-MAX(OFFSET(高値!$E$6,IFERROR(MATCH($C56,銘柄管理!$B$6:$B$305,0),MATCH(TEXT($C56,"0"),銘柄管理!$B$6:$B$305,0))-1,0,1,25)))/MAX(OFFSET(高値!$E$6,IFERROR(MATCH($C56,銘柄管理!$B$6:$B$305,0),MATCH(TEXT($C56,"0"),銘柄管理!$B$6:$B$305,0))-1,0,1,25))*100,"")</f>
      </c>
      <c r="BE56">
        <f>IFERROR(($H56-$I56)/$F56*100,"")</f>
      </c>
      <c r="BF56">
        <f>IFERROR(-(($BA56-AVERAGE($BA$3:$BA$206))/STDEV($BA$3:$BA$206))-(($BE56-AVERAGE($BE$3:$BE$206))/STDEV($BE$3:$BE$206))-(($BB56-AVERAGE($BB$3:$BB$206))/STDEV($BB$3:$BB$206))-(($Z56-AVERAGE($Z$3:$Z$206))/STDEV($Z$3:$Z$206))-(($BC56-AVERAGE($BC$3:$BC$206))/STDEV($BC$3:$BC$206)),"")</f>
      </c>
      <c r="BG56">
        <f>IF(OR($C56="",$C56="TOPX",$BA56="",$BF56=""),0,IF(AND($BK$10=1,$BA56&lt;=$BK$2,$BB56&lt;=$BK$3,$BC56&lt;=$BK$4,$Z56&lt;=$BK$5,$Z56&gt;=$BK$6,$BD56&gt;=$BK$7,$BE56&lt;=$BK$8),1,0))</f>
      </c>
      <c r="BH56">
        <f>IF($C56="","",IF($BG56=1,"○ゲート通過",IF($BK$10&lt;&gt;1,"― この方向は停止中",IF($BA56&gt;$BK$2,"×値動きが荒い",IF($BB56&gt;$BK$3,"×レンジが広い",IF($BC56&gt;$BK$4,"×窓を開けて上昇",IF($Z56&gt;$BK$5,"×前日に急騰",IF($Z56&lt;$BK$6,"×前日に急落",IF($BD56&lt;$BK$7,"×高値から離れすぎ",IF($BE56&gt;$BK$8,"×当日の値幅が大きい","×")))))))))</f>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 t="shared" si="0"/>
        <v>-13.36996336996337</v>
      </c>
      <c r="M57" s="166">
        <f>IF(C57&lt;&gt;"",IFERROR(AVERAGE(出来高!E182:I182),""),"")</f>
        <v>11960</v>
      </c>
      <c r="N57" s="166">
        <f>IF(C57&lt;&gt;"",IFERROR(AVERAGE(出来高!E182:AC182),""),"")</f>
        <v>14184</v>
      </c>
      <c r="O57" s="168">
        <f t="shared" si="1"/>
        <v>0.64381270903010035</v>
      </c>
      <c r="P57" s="163" t="str">
        <f t="shared" si="2"/>
        <v>減少↓</v>
      </c>
      <c r="Q57" s="163" t="str">
        <f t="shared" si="3"/>
        <v>中立→</v>
      </c>
      <c r="R57" s="166">
        <f t="shared" si="8"/>
        <v>2554</v>
      </c>
      <c r="S57" s="166">
        <f t="shared" si="9"/>
        <v>2270</v>
      </c>
      <c r="T57" s="163">
        <f>IF(C57="","",IFERROR(IF(O57&gt;=2,3,IF(O57&gt;=1.5,2,IF(O57&gt;=1,1,0)))+IF(E57&gt;G57,1,0)+IF(L57&gt;=-5,1,0)+IF(Q57="買い▲",2,0)+IF(W57&gt;=78,-4,IF(W57&gt;=72,-2,IF(W57&gt;=55,2,IF(W57&gt;=45,1,0))))+IF(X57&gt;0,1,0)+IF(V57="年初来高値更新●",3,IF(V57="高値圏",2,0))+IF(AD57="パーフェクト▲",3,IF(AD57="上昇トレンド▲",2,0))+IF(AE57="25日線押し目●",2,IF(AE57="5日線押し目○",1,0))+IF(P57="急増↑↑",2,IF(P57="増加↑",1,0))+N(AI57),0))</f>
      </c>
      <c r="U57" s="163" t="str">
        <f t="shared" si="10"/>
        <v>要確認</v>
      </c>
      <c r="V57" s="163" t="str">
        <f t="shared" si="5"/>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 t="shared" si="11"/>
        <v>1.2414383561643836</v>
      </c>
      <c r="AA57" s="163" t="str">
        <f t="shared" si="12"/>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 t="shared" si="15"/>
        <v>もみ合い→</v>
      </c>
      <c r="AE57" s="406" t="str">
        <f t="shared" si="16"/>
        <v>5日押し目○</v>
      </c>
      <c r="AF57" s="365">
        <f t="array" ref="AF57">IF(C57="","",IFERROR((INDEX(終値!$E:$E,MATCH(TEXT(C57,"0"),終値!$A:$A,0))-INDEX(終値!$E:$CZ,MATCH(TEXT(C57,"0"),終値!$A:$A,0),$AL$2))/INDEX(終値!$E:$CZ,MATCH(TEXT(C57,"0"),終値!$A:$A,0),$AL$2)*100,""))</f>
        <v>4.0017590149516273</v>
      </c>
      <c r="AG57" s="365">
        <f t="array" ref="AG57">IFERROR((終値!$E$5-INDEX(終値!$E$5:$CZ$5,1,$AL$2))/INDEX(終値!$E$5:$CZ$5,1,$AL$2)*100,"")</f>
        <v>1.0179378228534113</v>
      </c>
      <c r="AH57" s="366">
        <f t="shared" si="6"/>
        <v>2.9838211920982163</v>
      </c>
      <c r="AI57" s="364">
        <f t="shared" si="7"/>
        <v>1</v>
      </c>
      <c r="BA57">
        <f>IFERROR((SUM(OFFSET(高値!$E$6,IFERROR(MATCH($C57,銘柄管理!$B$6:$B$305,0),MATCH(TEXT($C57,"0"),銘柄管理!$B$6:$B$305,0))-1,0,1,14))-SUM(OFFSET(安値!$E$6,IFERROR(MATCH($C57,銘柄管理!$B$6:$B$305,0),MATCH(TEXT($C57,"0"),銘柄管理!$B$6:$B$305,0))-1,0,1,14)))/SUM(OFFSET(終値!$E$6,IFERROR(MATCH($C57,銘柄管理!$B$6:$B$305,0),MATCH(TEXT($C57,"0"),銘柄管理!$B$6:$B$305,0))-1,0,1,14))*100,"")</f>
      </c>
      <c r="BB57">
        <f>IFERROR((MAX(OFFSET(高値!$E$6,IFERROR(MATCH($C57,銘柄管理!$B$6:$B$305,0),MATCH(TEXT($C57,"0"),銘柄管理!$B$6:$B$305,0))-1,0,1,25))-MIN(OFFSET(安値!$E$6,IFERROR(MATCH($C57,銘柄管理!$B$6:$B$305,0),MATCH(TEXT($C57,"0"),銘柄管理!$B$6:$B$305,0))-1,0,1,25)))/$E57*100,"")</f>
      </c>
      <c r="BC57">
        <f>IFERROR(($F57-$G57)/$G57*100,"")</f>
      </c>
      <c r="BD57">
        <f>IFERROR(($E57-MAX(OFFSET(高値!$E$6,IFERROR(MATCH($C57,銘柄管理!$B$6:$B$305,0),MATCH(TEXT($C57,"0"),銘柄管理!$B$6:$B$305,0))-1,0,1,25)))/MAX(OFFSET(高値!$E$6,IFERROR(MATCH($C57,銘柄管理!$B$6:$B$305,0),MATCH(TEXT($C57,"0"),銘柄管理!$B$6:$B$305,0))-1,0,1,25))*100,"")</f>
      </c>
      <c r="BE57">
        <f>IFERROR(($H57-$I57)/$F57*100,"")</f>
      </c>
      <c r="BF57">
        <f>IFERROR(-(($BA57-AVERAGE($BA$3:$BA$206))/STDEV($BA$3:$BA$206))-(($BE57-AVERAGE($BE$3:$BE$206))/STDEV($BE$3:$BE$206))-(($BB57-AVERAGE($BB$3:$BB$206))/STDEV($BB$3:$BB$206))-(($Z57-AVERAGE($Z$3:$Z$206))/STDEV($Z$3:$Z$206))-(($BC57-AVERAGE($BC$3:$BC$206))/STDEV($BC$3:$BC$206)),"")</f>
      </c>
      <c r="BG57">
        <f>IF(OR($C57="",$C57="TOPX",$BA57="",$BF57=""),0,IF(AND($BK$10=1,$BA57&lt;=$BK$2,$BB57&lt;=$BK$3,$BC57&lt;=$BK$4,$Z57&lt;=$BK$5,$Z57&gt;=$BK$6,$BD57&gt;=$BK$7,$BE57&lt;=$BK$8),1,0))</f>
      </c>
      <c r="BH57">
        <f>IF($C57="","",IF($BG57=1,"○ゲート通過",IF($BK$10&lt;&gt;1,"― この方向は停止中",IF($BA57&gt;$BK$2,"×値動きが荒い",IF($BB57&gt;$BK$3,"×レンジが広い",IF($BC57&gt;$BK$4,"×窓を開けて上昇",IF($Z57&gt;$BK$5,"×前日に急騰",IF($Z57&lt;$BK$6,"×前日に急落",IF($BD57&lt;$BK$7,"×高値から離れすぎ",IF($BE57&gt;$BK$8,"×当日の値幅が大きい","×")))))))))</f>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 t="shared" si="0"/>
        <v>-21.024617431803062</v>
      </c>
      <c r="M58" s="166">
        <f>IF(C58&lt;&gt;"",IFERROR(AVERAGE(出来高!E16:I16),""),"")</f>
        <v>9899860</v>
      </c>
      <c r="N58" s="166">
        <f>IF(C58&lt;&gt;"",IFERROR(AVERAGE(出来高!E16:AC16),""),"")</f>
        <v>8365096</v>
      </c>
      <c r="O58" s="168">
        <f t="shared" si="1"/>
        <v>0.60798839579549613</v>
      </c>
      <c r="P58" s="163" t="str">
        <f t="shared" si="2"/>
        <v>減少↓</v>
      </c>
      <c r="Q58" s="163" t="str">
        <f t="shared" si="3"/>
        <v>中立→</v>
      </c>
      <c r="R58" s="166">
        <f t="shared" si="8"/>
        <v>5128</v>
      </c>
      <c r="S58" s="166">
        <f t="shared" si="9"/>
        <v>4558</v>
      </c>
      <c r="T58" s="163">
        <f>IF(C58="","",IFERROR(IF(O58&gt;=2,3,IF(O58&gt;=1.5,2,IF(O58&gt;=1,1,0)))+IF(E58&gt;G58,1,0)+IF(L58&gt;=-5,1,0)+IF(Q58="買い▲",2,0)+IF(W58&gt;=78,-4,IF(W58&gt;=72,-2,IF(W58&gt;=55,2,IF(W58&gt;=45,1,0))))+IF(X58&gt;0,1,0)+IF(V58="年初来高値更新●",3,IF(V58="高値圏",2,0))+IF(AD58="パーフェクト▲",3,IF(AD58="上昇トレンド▲",2,0))+IF(AE58="25日線押し目●",2,IF(AE58="5日線押し目○",1,0))+IF(P58="急増↑↑",2,IF(P58="増加↑",1,0))+N(AI58),0))</f>
      </c>
      <c r="U58" s="163" t="str">
        <f t="shared" si="10"/>
        <v>要確認</v>
      </c>
      <c r="V58" s="163" t="str">
        <f t="shared" si="5"/>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 t="shared" si="11"/>
        <v>2.305537599655247</v>
      </c>
      <c r="AA58" s="163" t="str">
        <f t="shared" si="12"/>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 t="shared" si="15"/>
        <v>パーフェクト▲</v>
      </c>
      <c r="AE58" s="404" t="str">
        <f t="shared" si="16"/>
        <v>なし</v>
      </c>
      <c r="AF58" s="365">
        <f t="array" ref="AF58">IF(C58="","",IFERROR((INDEX(終値!$E:$E,MATCH(TEXT(C58,"0"),終値!$A:$A,0))-INDEX(終値!$E:$CZ,MATCH(TEXT(C58,"0"),終値!$A:$A,0),$AL$2))/INDEX(終値!$E:$CZ,MATCH(TEXT(C58,"0"),終値!$A:$A,0),$AL$2)*100,""))</f>
        <v>9.3001841620626156</v>
      </c>
      <c r="AG58" s="365">
        <f t="array" ref="AG58">IFERROR((終値!$E$5-INDEX(終値!$E$5:$CZ$5,1,$AL$2))/INDEX(終値!$E$5:$CZ$5,1,$AL$2)*100,"")</f>
        <v>1.0179378228534113</v>
      </c>
      <c r="AH58" s="366">
        <f t="shared" si="6"/>
        <v>8.2822463392092036</v>
      </c>
      <c r="AI58" s="364">
        <f t="shared" si="7"/>
        <v>3</v>
      </c>
      <c r="BA58">
        <f>IFERROR((SUM(OFFSET(高値!$E$6,IFERROR(MATCH($C58,銘柄管理!$B$6:$B$305,0),MATCH(TEXT($C58,"0"),銘柄管理!$B$6:$B$305,0))-1,0,1,14))-SUM(OFFSET(安値!$E$6,IFERROR(MATCH($C58,銘柄管理!$B$6:$B$305,0),MATCH(TEXT($C58,"0"),銘柄管理!$B$6:$B$305,0))-1,0,1,14)))/SUM(OFFSET(終値!$E$6,IFERROR(MATCH($C58,銘柄管理!$B$6:$B$305,0),MATCH(TEXT($C58,"0"),銘柄管理!$B$6:$B$305,0))-1,0,1,14))*100,"")</f>
      </c>
      <c r="BB58">
        <f>IFERROR((MAX(OFFSET(高値!$E$6,IFERROR(MATCH($C58,銘柄管理!$B$6:$B$305,0),MATCH(TEXT($C58,"0"),銘柄管理!$B$6:$B$305,0))-1,0,1,25))-MIN(OFFSET(安値!$E$6,IFERROR(MATCH($C58,銘柄管理!$B$6:$B$305,0),MATCH(TEXT($C58,"0"),銘柄管理!$B$6:$B$305,0))-1,0,1,25)))/$E58*100,"")</f>
      </c>
      <c r="BC58">
        <f>IFERROR(($F58-$G58)/$G58*100,"")</f>
      </c>
      <c r="BD58">
        <f>IFERROR(($E58-MAX(OFFSET(高値!$E$6,IFERROR(MATCH($C58,銘柄管理!$B$6:$B$305,0),MATCH(TEXT($C58,"0"),銘柄管理!$B$6:$B$305,0))-1,0,1,25)))/MAX(OFFSET(高値!$E$6,IFERROR(MATCH($C58,銘柄管理!$B$6:$B$305,0),MATCH(TEXT($C58,"0"),銘柄管理!$B$6:$B$305,0))-1,0,1,25))*100,"")</f>
      </c>
      <c r="BE58">
        <f>IFERROR(($H58-$I58)/$F58*100,"")</f>
      </c>
      <c r="BF58">
        <f>IFERROR(-(($BA58-AVERAGE($BA$3:$BA$206))/STDEV($BA$3:$BA$206))-(($BE58-AVERAGE($BE$3:$BE$206))/STDEV($BE$3:$BE$206))-(($BB58-AVERAGE($BB$3:$BB$206))/STDEV($BB$3:$BB$206))-(($Z58-AVERAGE($Z$3:$Z$206))/STDEV($Z$3:$Z$206))-(($BC58-AVERAGE($BC$3:$BC$206))/STDEV($BC$3:$BC$206)),"")</f>
      </c>
      <c r="BG58">
        <f>IF(OR($C58="",$C58="TOPX",$BA58="",$BF58=""),0,IF(AND($BK$10=1,$BA58&lt;=$BK$2,$BB58&lt;=$BK$3,$BC58&lt;=$BK$4,$Z58&lt;=$BK$5,$Z58&gt;=$BK$6,$BD58&gt;=$BK$7,$BE58&lt;=$BK$8),1,0))</f>
      </c>
      <c r="BH58">
        <f>IF($C58="","",IF($BG58=1,"○ゲート通過",IF($BK$10&lt;&gt;1,"― この方向は停止中",IF($BA58&gt;$BK$2,"×値動きが荒い",IF($BB58&gt;$BK$3,"×レンジが広い",IF($BC58&gt;$BK$4,"×窓を開けて上昇",IF($Z58&gt;$BK$5,"×前日に急騰",IF($Z58&lt;$BK$6,"×前日に急落",IF($BD58&lt;$BK$7,"×高値から離れすぎ",IF($BE58&gt;$BK$8,"×当日の値幅が大きい","×")))))))))</f>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 t="shared" si="0"/>
        <v>1.6274338854984016</v>
      </c>
      <c r="M59" s="166">
        <f>IF(C59&lt;&gt;"",IFERROR(AVERAGE(出来高!E25:I25),""),"")</f>
        <v>16820420</v>
      </c>
      <c r="N59" s="166">
        <f>IF(C59&lt;&gt;"",IFERROR(AVERAGE(出来高!E25:AC25),""),"")</f>
        <v>12169588</v>
      </c>
      <c r="O59" s="168">
        <f t="shared" si="1"/>
        <v>0.60042495966212495</v>
      </c>
      <c r="P59" s="163" t="str">
        <f t="shared" si="2"/>
        <v>減少↓</v>
      </c>
      <c r="Q59" s="163" t="str">
        <f t="shared" si="3"/>
        <v>中立→</v>
      </c>
      <c r="R59" s="166">
        <f t="shared" si="8"/>
        <v>1888</v>
      </c>
      <c r="S59" s="166">
        <f t="shared" si="9"/>
        <v>1679</v>
      </c>
      <c r="T59" s="163">
        <f>IF(C59="","",IFERROR(IF(O59&gt;=2,3,IF(O59&gt;=1.5,2,IF(O59&gt;=1,1,0)))+IF(E59&gt;G59,1,0)+IF(L59&gt;=-5,1,0)+IF(Q59="買い▲",2,0)+IF(W59&gt;=78,-4,IF(W59&gt;=72,-2,IF(W59&gt;=55,2,IF(W59&gt;=45,1,0))))+IF(X59&gt;0,1,0)+IF(V59="年初来高値更新●",3,IF(V59="高値圏",2,0))+IF(AD59="パーフェクト▲",3,IF(AD59="上昇トレンド▲",2,0))+IF(AE59="25日線押し目●",2,IF(AE59="5日線押し目○",1,0))+IF(P59="急増↑↑",2,IF(P59="増加↑",1,0))+N(AI59),0))</f>
      </c>
      <c r="U59" s="163" t="str">
        <f t="shared" si="10"/>
        <v>要確認</v>
      </c>
      <c r="V59" s="163" t="str">
        <f t="shared" si="5"/>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 t="shared" si="11"/>
        <v>1.6274338854984016</v>
      </c>
      <c r="AA59" s="163" t="str">
        <f t="shared" si="12"/>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 t="shared" si="15"/>
        <v>もみ合い→</v>
      </c>
      <c r="AE59" s="406" t="str">
        <f t="shared" si="16"/>
        <v>なし</v>
      </c>
      <c r="AF59" s="365">
        <f t="array" ref="AF59">IF(C59="","",IFERROR((INDEX(終値!$E:$E,MATCH(TEXT(C59,"0"),終値!$A:$A,0))-INDEX(終値!$E:$CZ,MATCH(TEXT(C59,"0"),終値!$A:$A,0),$AL$2))/INDEX(終値!$E:$CZ,MATCH(TEXT(C59,"0"),終値!$A:$A,0),$AL$2)*100,""))</f>
        <v>11.68955605237943</v>
      </c>
      <c r="AG59" s="365">
        <f t="array" ref="AG59">IFERROR((終値!$E$5-INDEX(終値!$E$5:$CZ$5,1,$AL$2))/INDEX(終値!$E$5:$CZ$5,1,$AL$2)*100,"")</f>
        <v>1.0179378228534113</v>
      </c>
      <c r="AH59" s="366">
        <f t="shared" si="6"/>
        <v>10.671618229526018</v>
      </c>
      <c r="AI59" s="364">
        <f t="shared" si="7"/>
        <v>3</v>
      </c>
      <c r="BA59">
        <f>IFERROR((SUM(OFFSET(高値!$E$6,IFERROR(MATCH($C59,銘柄管理!$B$6:$B$305,0),MATCH(TEXT($C59,"0"),銘柄管理!$B$6:$B$305,0))-1,0,1,14))-SUM(OFFSET(安値!$E$6,IFERROR(MATCH($C59,銘柄管理!$B$6:$B$305,0),MATCH(TEXT($C59,"0"),銘柄管理!$B$6:$B$305,0))-1,0,1,14)))/SUM(OFFSET(終値!$E$6,IFERROR(MATCH($C59,銘柄管理!$B$6:$B$305,0),MATCH(TEXT($C59,"0"),銘柄管理!$B$6:$B$305,0))-1,0,1,14))*100,"")</f>
      </c>
      <c r="BB59">
        <f>IFERROR((MAX(OFFSET(高値!$E$6,IFERROR(MATCH($C59,銘柄管理!$B$6:$B$305,0),MATCH(TEXT($C59,"0"),銘柄管理!$B$6:$B$305,0))-1,0,1,25))-MIN(OFFSET(安値!$E$6,IFERROR(MATCH($C59,銘柄管理!$B$6:$B$305,0),MATCH(TEXT($C59,"0"),銘柄管理!$B$6:$B$305,0))-1,0,1,25)))/$E59*100,"")</f>
      </c>
      <c r="BC59">
        <f>IFERROR(($F59-$G59)/$G59*100,"")</f>
      </c>
      <c r="BD59">
        <f>IFERROR(($E59-MAX(OFFSET(高値!$E$6,IFERROR(MATCH($C59,銘柄管理!$B$6:$B$305,0),MATCH(TEXT($C59,"0"),銘柄管理!$B$6:$B$305,0))-1,0,1,25)))/MAX(OFFSET(高値!$E$6,IFERROR(MATCH($C59,銘柄管理!$B$6:$B$305,0),MATCH(TEXT($C59,"0"),銘柄管理!$B$6:$B$305,0))-1,0,1,25))*100,"")</f>
      </c>
      <c r="BE59">
        <f>IFERROR(($H59-$I59)/$F59*100,"")</f>
      </c>
      <c r="BF59">
        <f>IFERROR(-(($BA59-AVERAGE($BA$3:$BA$206))/STDEV($BA$3:$BA$206))-(($BE59-AVERAGE($BE$3:$BE$206))/STDEV($BE$3:$BE$206))-(($BB59-AVERAGE($BB$3:$BB$206))/STDEV($BB$3:$BB$206))-(($Z59-AVERAGE($Z$3:$Z$206))/STDEV($Z$3:$Z$206))-(($BC59-AVERAGE($BC$3:$BC$206))/STDEV($BC$3:$BC$206)),"")</f>
      </c>
      <c r="BG59">
        <f>IF(OR($C59="",$C59="TOPX",$BA59="",$BF59=""),0,IF(AND($BK$10=1,$BA59&lt;=$BK$2,$BB59&lt;=$BK$3,$BC59&lt;=$BK$4,$Z59&lt;=$BK$5,$Z59&gt;=$BK$6,$BD59&gt;=$BK$7,$BE59&lt;=$BK$8),1,0))</f>
      </c>
      <c r="BH59">
        <f>IF($C59="","",IF($BG59=1,"○ゲート通過",IF($BK$10&lt;&gt;1,"― この方向は停止中",IF($BA59&gt;$BK$2,"×値動きが荒い",IF($BB59&gt;$BK$3,"×レンジが広い",IF($BC59&gt;$BK$4,"×窓を開けて上昇",IF($Z59&gt;$BK$5,"×前日に急騰",IF($Z59&lt;$BK$6,"×前日に急落",IF($BD59&lt;$BK$7,"×高値から離れすぎ",IF($BE59&gt;$BK$8,"×当日の値幅が大きい","×")))))))))</f>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 t="shared" si="0"/>
        <v>-31.909918779227169</v>
      </c>
      <c r="M60" s="166">
        <f>IF(C60&lt;&gt;"",IFERROR(AVERAGE(出来高!E198:I198),""),"")</f>
        <v>5880800</v>
      </c>
      <c r="N60" s="166">
        <f>IF(C60&lt;&gt;"",IFERROR(AVERAGE(出来高!E198:AC198),""),"")</f>
        <v>4666372</v>
      </c>
      <c r="O60" s="168">
        <f t="shared" si="1"/>
        <v>0.61265474085158478</v>
      </c>
      <c r="P60" s="163" t="str">
        <f t="shared" si="2"/>
        <v>減少↓</v>
      </c>
      <c r="Q60" s="163" t="str">
        <f t="shared" si="3"/>
        <v>様子見▼</v>
      </c>
      <c r="R60" s="166">
        <f t="shared" si="8"/>
        <v>59756</v>
      </c>
      <c r="S60" s="166">
        <f t="shared" si="9"/>
        <v>53117</v>
      </c>
      <c r="T60" s="163">
        <f>IF(C60="","",IFERROR(IF(O60&gt;=2,3,IF(O60&gt;=1.5,2,IF(O60&gt;=1,1,0)))+IF(E60&gt;G60,1,0)+IF(L60&gt;=-5,1,0)+IF(Q60="買い▲",2,0)+IF(W60&gt;=78,-4,IF(W60&gt;=72,-2,IF(W60&gt;=55,2,IF(W60&gt;=45,1,0))))+IF(X60&gt;0,1,0)+IF(V60="年初来高値更新●",3,IF(V60="高値圏",2,0))+IF(AD60="パーフェクト▲",3,IF(AD60="上昇トレンド▲",2,0))+IF(AE60="25日線押し目●",2,IF(AE60="5日線押し目○",1,0))+IF(P60="急増↑↑",2,IF(P60="増加↑",1,0))+N(AI60),0))</f>
      </c>
      <c r="U60" s="163" t="str">
        <f t="shared" si="10"/>
        <v>要確認</v>
      </c>
      <c r="V60" s="163" t="str">
        <f t="shared" si="5"/>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 t="shared" si="11"/>
        <v>-5.499573014517507</v>
      </c>
      <c r="AA60" s="163" t="str">
        <f t="shared" si="12"/>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 t="shared" si="15"/>
        <v>パーフェクト▲</v>
      </c>
      <c r="AE60" s="404" t="str">
        <f t="shared" si="16"/>
        <v>なし</v>
      </c>
      <c r="AF60" s="365">
        <f t="array" ref="AF60">IF(C60="","",IFERROR((INDEX(終値!$E:$E,MATCH(TEXT(C60,"0"),終値!$A:$A,0))-INDEX(終値!$E:$CZ,MATCH(TEXT(C60,"0"),終値!$A:$A,0),$AL$2))/INDEX(終値!$E:$CZ,MATCH(TEXT(C60,"0"),終値!$A:$A,0),$AL$2)*100,""))</f>
        <v>-29.784263959390859</v>
      </c>
      <c r="AG60" s="365">
        <f t="array" ref="AG60">IFERROR((終値!$E$5-INDEX(終値!$E$5:$CZ$5,1,$AL$2))/INDEX(終値!$E$5:$CZ$5,1,$AL$2)*100,"")</f>
        <v>1.0179378228534113</v>
      </c>
      <c r="AH60" s="366">
        <f t="shared" si="6"/>
        <v>-30.802201782244271</v>
      </c>
      <c r="AI60" s="364">
        <f t="shared" si="7"/>
        <v>-2</v>
      </c>
      <c r="BA60">
        <f>IFERROR((SUM(OFFSET(高値!$E$6,IFERROR(MATCH($C60,銘柄管理!$B$6:$B$305,0),MATCH(TEXT($C60,"0"),銘柄管理!$B$6:$B$305,0))-1,0,1,14))-SUM(OFFSET(安値!$E$6,IFERROR(MATCH($C60,銘柄管理!$B$6:$B$305,0),MATCH(TEXT($C60,"0"),銘柄管理!$B$6:$B$305,0))-1,0,1,14)))/SUM(OFFSET(終値!$E$6,IFERROR(MATCH($C60,銘柄管理!$B$6:$B$305,0),MATCH(TEXT($C60,"0"),銘柄管理!$B$6:$B$305,0))-1,0,1,14))*100,"")</f>
      </c>
      <c r="BB60">
        <f>IFERROR((MAX(OFFSET(高値!$E$6,IFERROR(MATCH($C60,銘柄管理!$B$6:$B$305,0),MATCH(TEXT($C60,"0"),銘柄管理!$B$6:$B$305,0))-1,0,1,25))-MIN(OFFSET(安値!$E$6,IFERROR(MATCH($C60,銘柄管理!$B$6:$B$305,0),MATCH(TEXT($C60,"0"),銘柄管理!$B$6:$B$305,0))-1,0,1,25)))/$E60*100,"")</f>
      </c>
      <c r="BC60">
        <f>IFERROR(($F60-$G60)/$G60*100,"")</f>
      </c>
      <c r="BD60">
        <f>IFERROR(($E60-MAX(OFFSET(高値!$E$6,IFERROR(MATCH($C60,銘柄管理!$B$6:$B$305,0),MATCH(TEXT($C60,"0"),銘柄管理!$B$6:$B$305,0))-1,0,1,25)))/MAX(OFFSET(高値!$E$6,IFERROR(MATCH($C60,銘柄管理!$B$6:$B$305,0),MATCH(TEXT($C60,"0"),銘柄管理!$B$6:$B$305,0))-1,0,1,25))*100,"")</f>
      </c>
      <c r="BE60">
        <f>IFERROR(($H60-$I60)/$F60*100,"")</f>
      </c>
      <c r="BF60">
        <f>IFERROR(-(($BA60-AVERAGE($BA$3:$BA$206))/STDEV($BA$3:$BA$206))-(($BE60-AVERAGE($BE$3:$BE$206))/STDEV($BE$3:$BE$206))-(($BB60-AVERAGE($BB$3:$BB$206))/STDEV($BB$3:$BB$206))-(($Z60-AVERAGE($Z$3:$Z$206))/STDEV($Z$3:$Z$206))-(($BC60-AVERAGE($BC$3:$BC$206))/STDEV($BC$3:$BC$206)),"")</f>
      </c>
      <c r="BG60">
        <f>IF(OR($C60="",$C60="TOPX",$BA60="",$BF60=""),0,IF(AND($BK$10=1,$BA60&lt;=$BK$2,$BB60&lt;=$BK$3,$BC60&lt;=$BK$4,$Z60&lt;=$BK$5,$Z60&gt;=$BK$6,$BD60&gt;=$BK$7,$BE60&lt;=$BK$8),1,0))</f>
      </c>
      <c r="BH60">
        <f>IF($C60="","",IF($BG60=1,"○ゲート通過",IF($BK$10&lt;&gt;1,"― この方向は停止中",IF($BA60&gt;$BK$2,"×値動きが荒い",IF($BB60&gt;$BK$3,"×レンジが広い",IF($BC60&gt;$BK$4,"×窓を開けて上昇",IF($Z60&gt;$BK$5,"×前日に急騰",IF($Z60&lt;$BK$6,"×前日に急落",IF($BD60&lt;$BK$7,"×高値から離れすぎ",IF($BE60&gt;$BK$8,"×当日の値幅が大きい","×")))))))))</f>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 t="shared" si="0"/>
        <v>-1.3096970498743219</v>
      </c>
      <c r="M61" s="166">
        <f>IF(C61&lt;&gt;"",IFERROR(AVERAGE(出来高!E204:I204),""),"")</f>
        <v>3735360</v>
      </c>
      <c r="N61" s="166">
        <f>IF(C61&lt;&gt;"",IFERROR(AVERAGE(出来高!E204:AC204),""),"")</f>
        <v>2956032</v>
      </c>
      <c r="O61" s="168">
        <f t="shared" si="1"/>
        <v>0.85962263342756784</v>
      </c>
      <c r="P61" s="163" t="str">
        <f t="shared" si="2"/>
        <v>減少↓</v>
      </c>
      <c r="Q61" s="163" t="str">
        <f t="shared" si="3"/>
        <v>中立→</v>
      </c>
      <c r="R61" s="166">
        <f t="shared" si="8"/>
        <v>8057</v>
      </c>
      <c r="S61" s="166">
        <f t="shared" si="9"/>
        <v>7162</v>
      </c>
      <c r="T61" s="163">
        <f>IF(C61="","",IFERROR(IF(O61&gt;=2,3,IF(O61&gt;=1.5,2,IF(O61&gt;=1,1,0)))+IF(E61&gt;G61,1,0)+IF(L61&gt;=-5,1,0)+IF(Q61="買い▲",2,0)+IF(W61&gt;=78,-4,IF(W61&gt;=72,-2,IF(W61&gt;=55,2,IF(W61&gt;=45,1,0))))+IF(X61&gt;0,1,0)+IF(V61="年初来高値更新●",3,IF(V61="高値圏",2,0))+IF(AD61="パーフェクト▲",3,IF(AD61="上昇トレンド▲",2,0))+IF(AE61="25日線押し目●",2,IF(AE61="5日線押し目○",1,0))+IF(P61="急増↑↑",2,IF(P61="増加↑",1,0))+N(AI61),0))</f>
      </c>
      <c r="U61" s="163" t="str">
        <f t="shared" si="10"/>
        <v>要確認</v>
      </c>
      <c r="V61" s="163" t="str">
        <f t="shared" si="5"/>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 t="shared" si="11"/>
        <v>2.9959961341985366</v>
      </c>
      <c r="AA61" s="163" t="str">
        <f t="shared" si="12"/>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 t="shared" si="15"/>
        <v>パーフェクト▲</v>
      </c>
      <c r="AE61" s="406" t="str">
        <f t="shared" si="16"/>
        <v>なし</v>
      </c>
      <c r="AF61" s="365">
        <f t="array" ref="AF61">IF(C61="","",IFERROR((INDEX(終値!$E:$E,MATCH(TEXT(C61,"0"),終値!$A:$A,0))-INDEX(終値!$E:$CZ,MATCH(TEXT(C61,"0"),終値!$A:$A,0),$AL$2))/INDEX(終値!$E:$CZ,MATCH(TEXT(C61,"0"),終値!$A:$A,0),$AL$2)*100,""))</f>
        <v>24.023275145469658</v>
      </c>
      <c r="AG61" s="365">
        <f t="array" ref="AG61">IFERROR((終値!$E$5-INDEX(終値!$E$5:$CZ$5,1,$AL$2))/INDEX(終値!$E$5:$CZ$5,1,$AL$2)*100,"")</f>
        <v>1.0179378228534113</v>
      </c>
      <c r="AH61" s="366">
        <f t="shared" si="6"/>
        <v>23.005337322616246</v>
      </c>
      <c r="AI61" s="364">
        <f t="shared" si="7"/>
        <v>3</v>
      </c>
      <c r="BA61">
        <f>IFERROR((SUM(OFFSET(高値!$E$6,IFERROR(MATCH($C61,銘柄管理!$B$6:$B$305,0),MATCH(TEXT($C61,"0"),銘柄管理!$B$6:$B$305,0))-1,0,1,14))-SUM(OFFSET(安値!$E$6,IFERROR(MATCH($C61,銘柄管理!$B$6:$B$305,0),MATCH(TEXT($C61,"0"),銘柄管理!$B$6:$B$305,0))-1,0,1,14)))/SUM(OFFSET(終値!$E$6,IFERROR(MATCH($C61,銘柄管理!$B$6:$B$305,0),MATCH(TEXT($C61,"0"),銘柄管理!$B$6:$B$305,0))-1,0,1,14))*100,"")</f>
      </c>
      <c r="BB61">
        <f>IFERROR((MAX(OFFSET(高値!$E$6,IFERROR(MATCH($C61,銘柄管理!$B$6:$B$305,0),MATCH(TEXT($C61,"0"),銘柄管理!$B$6:$B$305,0))-1,0,1,25))-MIN(OFFSET(安値!$E$6,IFERROR(MATCH($C61,銘柄管理!$B$6:$B$305,0),MATCH(TEXT($C61,"0"),銘柄管理!$B$6:$B$305,0))-1,0,1,25)))/$E61*100,"")</f>
      </c>
      <c r="BC61">
        <f>IFERROR(($F61-$G61)/$G61*100,"")</f>
      </c>
      <c r="BD61">
        <f>IFERROR(($E61-MAX(OFFSET(高値!$E$6,IFERROR(MATCH($C61,銘柄管理!$B$6:$B$305,0),MATCH(TEXT($C61,"0"),銘柄管理!$B$6:$B$305,0))-1,0,1,25)))/MAX(OFFSET(高値!$E$6,IFERROR(MATCH($C61,銘柄管理!$B$6:$B$305,0),MATCH(TEXT($C61,"0"),銘柄管理!$B$6:$B$305,0))-1,0,1,25))*100,"")</f>
      </c>
      <c r="BE61">
        <f>IFERROR(($H61-$I61)/$F61*100,"")</f>
      </c>
      <c r="BF61">
        <f>IFERROR(-(($BA61-AVERAGE($BA$3:$BA$206))/STDEV($BA$3:$BA$206))-(($BE61-AVERAGE($BE$3:$BE$206))/STDEV($BE$3:$BE$206))-(($BB61-AVERAGE($BB$3:$BB$206))/STDEV($BB$3:$BB$206))-(($Z61-AVERAGE($Z$3:$Z$206))/STDEV($Z$3:$Z$206))-(($BC61-AVERAGE($BC$3:$BC$206))/STDEV($BC$3:$BC$206)),"")</f>
      </c>
      <c r="BG61">
        <f>IF(OR($C61="",$C61="TOPX",$BA61="",$BF61=""),0,IF(AND($BK$10=1,$BA61&lt;=$BK$2,$BB61&lt;=$BK$3,$BC61&lt;=$BK$4,$Z61&lt;=$BK$5,$Z61&gt;=$BK$6,$BD61&gt;=$BK$7,$BE61&lt;=$BK$8),1,0))</f>
      </c>
      <c r="BH61">
        <f>IF($C61="","",IF($BG61=1,"○ゲート通過",IF($BK$10&lt;&gt;1,"― この方向は停止中",IF($BA61&gt;$BK$2,"×値動きが荒い",IF($BB61&gt;$BK$3,"×レンジが広い",IF($BC61&gt;$BK$4,"×窓を開けて上昇",IF($Z61&gt;$BK$5,"×前日に急騰",IF($Z61&lt;$BK$6,"×前日に急落",IF($BD61&lt;$BK$7,"×高値から離れすぎ",IF($BE61&gt;$BK$8,"×当日の値幅が大きい","×")))))))))</f>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 t="shared" si="0"/>
        <v>-21.997471554993677</v>
      </c>
      <c r="M62" s="166">
        <f>IF(C62&lt;&gt;"",IFERROR(AVERAGE(出来高!E14:I14),""),"")</f>
        <v>8010600</v>
      </c>
      <c r="N62" s="166">
        <f>IF(C62&lt;&gt;"",IFERROR(AVERAGE(出来高!E14:AC14),""),"")</f>
        <v>5130076</v>
      </c>
      <c r="O62" s="168">
        <f t="shared" si="1"/>
        <v>0.70353032232292212</v>
      </c>
      <c r="P62" s="163" t="str">
        <f t="shared" si="2"/>
        <v>減少↓</v>
      </c>
      <c r="Q62" s="163" t="str">
        <f t="shared" si="3"/>
        <v>中立→</v>
      </c>
      <c r="R62" s="166">
        <f t="shared" si="8"/>
        <v>5331</v>
      </c>
      <c r="S62" s="166">
        <f t="shared" si="9"/>
        <v>4739</v>
      </c>
      <c r="T62" s="163">
        <f>IF(C62="","",IFERROR(IF(O62&gt;=2,3,IF(O62&gt;=1.5,2,IF(O62&gt;=1,1,0)))+IF(E62&gt;G62,1,0)+IF(L62&gt;=-5,1,0)+IF(Q62="買い▲",2,0)+IF(W62&gt;=78,-4,IF(W62&gt;=72,-2,IF(W62&gt;=55,2,IF(W62&gt;=45,1,0))))+IF(X62&gt;0,1,0)+IF(V62="年初来高値更新●",3,IF(V62="高値圏",2,0))+IF(AD62="パーフェクト▲",3,IF(AD62="上昇トレンド▲",2,0))+IF(AE62="25日線押し目●",2,IF(AE62="5日線押し目○",1,0))+IF(P62="急増↑↑",2,IF(P62="増加↑",1,0))+N(AI62),0))</f>
      </c>
      <c r="U62" s="163" t="str">
        <f t="shared" si="10"/>
        <v>要確認</v>
      </c>
      <c r="V62" s="163" t="str">
        <f t="shared" si="5"/>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 t="shared" si="11"/>
        <v>1.5220074043603455</v>
      </c>
      <c r="AA62" s="163" t="str">
        <f t="shared" si="12"/>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 t="shared" si="15"/>
        <v>上昇トレンド▲</v>
      </c>
      <c r="AE62" s="404" t="str">
        <f t="shared" si="16"/>
        <v>なし</v>
      </c>
      <c r="AF62" s="365">
        <f t="array" ref="AF62">IF(C62="","",IFERROR((INDEX(終値!$E:$E,MATCH(TEXT(C62,"0"),終値!$A:$A,0))-INDEX(終値!$E:$CZ,MATCH(TEXT(C62,"0"),終値!$A:$A,0),$AL$2))/INDEX(終値!$E:$CZ,MATCH(TEXT(C62,"0"),終値!$A:$A,0),$AL$2)*100,""))</f>
        <v>5.7412167952013711</v>
      </c>
      <c r="AG62" s="365">
        <f t="array" ref="AG62">IFERROR((終値!$E$5-INDEX(終値!$E$5:$CZ$5,1,$AL$2))/INDEX(終値!$E$5:$CZ$5,1,$AL$2)*100,"")</f>
        <v>1.0179378228534113</v>
      </c>
      <c r="AH62" s="366">
        <f t="shared" si="6"/>
        <v>4.72327897234796</v>
      </c>
      <c r="AI62" s="364">
        <f t="shared" si="7"/>
        <v>1</v>
      </c>
      <c r="BA62">
        <f>IFERROR((SUM(OFFSET(高値!$E$6,IFERROR(MATCH($C62,銘柄管理!$B$6:$B$305,0),MATCH(TEXT($C62,"0"),銘柄管理!$B$6:$B$305,0))-1,0,1,14))-SUM(OFFSET(安値!$E$6,IFERROR(MATCH($C62,銘柄管理!$B$6:$B$305,0),MATCH(TEXT($C62,"0"),銘柄管理!$B$6:$B$305,0))-1,0,1,14)))/SUM(OFFSET(終値!$E$6,IFERROR(MATCH($C62,銘柄管理!$B$6:$B$305,0),MATCH(TEXT($C62,"0"),銘柄管理!$B$6:$B$305,0))-1,0,1,14))*100,"")</f>
      </c>
      <c r="BB62">
        <f>IFERROR((MAX(OFFSET(高値!$E$6,IFERROR(MATCH($C62,銘柄管理!$B$6:$B$305,0),MATCH(TEXT($C62,"0"),銘柄管理!$B$6:$B$305,0))-1,0,1,25))-MIN(OFFSET(安値!$E$6,IFERROR(MATCH($C62,銘柄管理!$B$6:$B$305,0),MATCH(TEXT($C62,"0"),銘柄管理!$B$6:$B$305,0))-1,0,1,25)))/$E62*100,"")</f>
      </c>
      <c r="BC62">
        <f>IFERROR(($F62-$G62)/$G62*100,"")</f>
      </c>
      <c r="BD62">
        <f>IFERROR(($E62-MAX(OFFSET(高値!$E$6,IFERROR(MATCH($C62,銘柄管理!$B$6:$B$305,0),MATCH(TEXT($C62,"0"),銘柄管理!$B$6:$B$305,0))-1,0,1,25)))/MAX(OFFSET(高値!$E$6,IFERROR(MATCH($C62,銘柄管理!$B$6:$B$305,0),MATCH(TEXT($C62,"0"),銘柄管理!$B$6:$B$305,0))-1,0,1,25))*100,"")</f>
      </c>
      <c r="BE62">
        <f>IFERROR(($H62-$I62)/$F62*100,"")</f>
      </c>
      <c r="BF62">
        <f>IFERROR(-(($BA62-AVERAGE($BA$3:$BA$206))/STDEV($BA$3:$BA$206))-(($BE62-AVERAGE($BE$3:$BE$206))/STDEV($BE$3:$BE$206))-(($BB62-AVERAGE($BB$3:$BB$206))/STDEV($BB$3:$BB$206))-(($Z62-AVERAGE($Z$3:$Z$206))/STDEV($Z$3:$Z$206))-(($BC62-AVERAGE($BC$3:$BC$206))/STDEV($BC$3:$BC$206)),"")</f>
      </c>
      <c r="BG62">
        <f>IF(OR($C62="",$C62="TOPX",$BA62="",$BF62=""),0,IF(AND($BK$10=1,$BA62&lt;=$BK$2,$BB62&lt;=$BK$3,$BC62&lt;=$BK$4,$Z62&lt;=$BK$5,$Z62&gt;=$BK$6,$BD62&gt;=$BK$7,$BE62&lt;=$BK$8),1,0))</f>
      </c>
      <c r="BH62">
        <f>IF($C62="","",IF($BG62=1,"○ゲート通過",IF($BK$10&lt;&gt;1,"― この方向は停止中",IF($BA62&gt;$BK$2,"×値動きが荒い",IF($BB62&gt;$BK$3,"×レンジが広い",IF($BC62&gt;$BK$4,"×窓を開けて上昇",IF($Z62&gt;$BK$5,"×前日に急騰",IF($Z62&lt;$BK$6,"×前日に急落",IF($BD62&lt;$BK$7,"×高値から離れすぎ",IF($BE62&gt;$BK$8,"×当日の値幅が大きい","×")))))))))</f>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 t="shared" si="0"/>
        <v>-8.2582582582582589</v>
      </c>
      <c r="M63" s="166">
        <f>IF(C63&lt;&gt;"",IFERROR(AVERAGE(出来高!E171:I171),""),"")</f>
        <v>241140</v>
      </c>
      <c r="N63" s="166">
        <f>IF(C63&lt;&gt;"",IFERROR(AVERAGE(出来高!E171:AC171),""),"")</f>
        <v>144192</v>
      </c>
      <c r="O63" s="168">
        <f t="shared" si="1"/>
        <v>0.4209173094467944</v>
      </c>
      <c r="P63" s="163" t="str">
        <f t="shared" si="2"/>
        <v>減少↓</v>
      </c>
      <c r="Q63" s="163" t="str">
        <f t="shared" si="3"/>
        <v>中立→</v>
      </c>
      <c r="R63" s="166">
        <f t="shared" si="8"/>
        <v>3299</v>
      </c>
      <c r="S63" s="166">
        <f t="shared" si="9"/>
        <v>2933</v>
      </c>
      <c r="T63" s="163">
        <f>IF(C63="","",IFERROR(IF(O63&gt;=2,3,IF(O63&gt;=1.5,2,IF(O63&gt;=1,1,0)))+IF(E63&gt;G63,1,0)+IF(L63&gt;=-5,1,0)+IF(Q63="買い▲",2,0)+IF(W63&gt;=78,-4,IF(W63&gt;=72,-2,IF(W63&gt;=55,2,IF(W63&gt;=45,1,0))))+IF(X63&gt;0,1,0)+IF(V63="年初来高値更新●",3,IF(V63="高値圏",2,0))+IF(AD63="パーフェクト▲",3,IF(AD63="上昇トレンド▲",2,0))+IF(AE63="25日線押し目●",2,IF(AE63="5日線押し目○",1,0))+IF(P63="急増↑↑",2,IF(P63="増加↑",1,0))+N(AI63),0))</f>
      </c>
      <c r="U63" s="163" t="str">
        <f t="shared" si="10"/>
        <v>除外</v>
      </c>
      <c r="V63" s="163" t="str">
        <f t="shared" si="5"/>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 t="shared" si="11"/>
        <v>1.6638935108153077</v>
      </c>
      <c r="AA63" s="163" t="str">
        <f t="shared" si="12"/>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 t="shared" si="15"/>
        <v>下降トレンド▼</v>
      </c>
      <c r="AE63" s="406" t="str">
        <f t="shared" si="16"/>
        <v>なし</v>
      </c>
      <c r="AF63" s="365">
        <f t="array" ref="AF63">IF(C63="","",IFERROR((INDEX(終値!$E:$E,MATCH(TEXT(C63,"0"),終値!$A:$A,0))-INDEX(終値!$E:$CZ,MATCH(TEXT(C63,"0"),終値!$A:$A,0),$AL$2))/INDEX(終値!$E:$CZ,MATCH(TEXT(C63,"0"),終値!$A:$A,0),$AL$2)*100,""))</f>
        <v>0.16393442622950818</v>
      </c>
      <c r="AG63" s="365">
        <f t="array" ref="AG63">IFERROR((終値!$E$5-INDEX(終値!$E$5:$CZ$5,1,$AL$2))/INDEX(終値!$E$5:$CZ$5,1,$AL$2)*100,"")</f>
        <v>1.0179378228534113</v>
      </c>
      <c r="AH63" s="366">
        <f t="shared" si="6"/>
        <v>-0.85400339662390312</v>
      </c>
      <c r="AI63" s="364">
        <f t="shared" si="7"/>
        <v>-1</v>
      </c>
      <c r="BA63">
        <f>IFERROR((SUM(OFFSET(高値!$E$6,IFERROR(MATCH($C63,銘柄管理!$B$6:$B$305,0),MATCH(TEXT($C63,"0"),銘柄管理!$B$6:$B$305,0))-1,0,1,14))-SUM(OFFSET(安値!$E$6,IFERROR(MATCH($C63,銘柄管理!$B$6:$B$305,0),MATCH(TEXT($C63,"0"),銘柄管理!$B$6:$B$305,0))-1,0,1,14)))/SUM(OFFSET(終値!$E$6,IFERROR(MATCH($C63,銘柄管理!$B$6:$B$305,0),MATCH(TEXT($C63,"0"),銘柄管理!$B$6:$B$305,0))-1,0,1,14))*100,"")</f>
      </c>
      <c r="BB63">
        <f>IFERROR((MAX(OFFSET(高値!$E$6,IFERROR(MATCH($C63,銘柄管理!$B$6:$B$305,0),MATCH(TEXT($C63,"0"),銘柄管理!$B$6:$B$305,0))-1,0,1,25))-MIN(OFFSET(安値!$E$6,IFERROR(MATCH($C63,銘柄管理!$B$6:$B$305,0),MATCH(TEXT($C63,"0"),銘柄管理!$B$6:$B$305,0))-1,0,1,25)))/$E63*100,"")</f>
      </c>
      <c r="BC63">
        <f>IFERROR(($F63-$G63)/$G63*100,"")</f>
      </c>
      <c r="BD63">
        <f>IFERROR(($E63-MAX(OFFSET(高値!$E$6,IFERROR(MATCH($C63,銘柄管理!$B$6:$B$305,0),MATCH(TEXT($C63,"0"),銘柄管理!$B$6:$B$305,0))-1,0,1,25)))/MAX(OFFSET(高値!$E$6,IFERROR(MATCH($C63,銘柄管理!$B$6:$B$305,0),MATCH(TEXT($C63,"0"),銘柄管理!$B$6:$B$305,0))-1,0,1,25))*100,"")</f>
      </c>
      <c r="BE63">
        <f>IFERROR(($H63-$I63)/$F63*100,"")</f>
      </c>
      <c r="BF63">
        <f>IFERROR(-(($BA63-AVERAGE($BA$3:$BA$206))/STDEV($BA$3:$BA$206))-(($BE63-AVERAGE($BE$3:$BE$206))/STDEV($BE$3:$BE$206))-(($BB63-AVERAGE($BB$3:$BB$206))/STDEV($BB$3:$BB$206))-(($Z63-AVERAGE($Z$3:$Z$206))/STDEV($Z$3:$Z$206))-(($BC63-AVERAGE($BC$3:$BC$206))/STDEV($BC$3:$BC$206)),"")</f>
      </c>
      <c r="BG63">
        <f>IF(OR($C63="",$C63="TOPX",$BA63="",$BF63=""),0,IF(AND($BK$10=1,$BA63&lt;=$BK$2,$BB63&lt;=$BK$3,$BC63&lt;=$BK$4,$Z63&lt;=$BK$5,$Z63&gt;=$BK$6,$BD63&gt;=$BK$7,$BE63&lt;=$BK$8),1,0))</f>
      </c>
      <c r="BH63">
        <f>IF($C63="","",IF($BG63=1,"○ゲート通過",IF($BK$10&lt;&gt;1,"― この方向は停止中",IF($BA63&gt;$BK$2,"×値動きが荒い",IF($BB63&gt;$BK$3,"×レンジが広い",IF($BC63&gt;$BK$4,"×窓を開けて上昇",IF($Z63&gt;$BK$5,"×前日に急騰",IF($Z63&lt;$BK$6,"×前日に急落",IF($BD63&lt;$BK$7,"×高値から離れすぎ",IF($BE63&gt;$BK$8,"×当日の値幅が大きい","×")))))))))</f>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 t="shared" si="0"/>
        <v>-2.6308724832214763</v>
      </c>
      <c r="M64" s="166">
        <f>IF(C64&lt;&gt;"",IFERROR(AVERAGE(出来高!E75:I75),""),"")</f>
        <v>221900</v>
      </c>
      <c r="N64" s="166">
        <f>IF(C64&lt;&gt;"",IFERROR(AVERAGE(出来高!E75:AC75),""),"")</f>
        <v>202564</v>
      </c>
      <c r="O64" s="168">
        <f t="shared" si="1"/>
        <v>1.1216764308246958</v>
      </c>
      <c r="P64" s="163" t="str">
        <f t="shared" si="2"/>
        <v>普通→</v>
      </c>
      <c r="Q64" s="163" t="str">
        <f t="shared" si="3"/>
        <v>中立→</v>
      </c>
      <c r="R64" s="166">
        <f t="shared" si="8"/>
        <v>1959</v>
      </c>
      <c r="S64" s="166">
        <f t="shared" si="9"/>
        <v>1741</v>
      </c>
      <c r="T64" s="163">
        <f>IF(C64="","",IFERROR(IF(O64&gt;=2,3,IF(O64&gt;=1.5,2,IF(O64&gt;=1,1,0)))+IF(E64&gt;G64,1,0)+IF(L64&gt;=-5,1,0)+IF(Q64="買い▲",2,0)+IF(W64&gt;=78,-4,IF(W64&gt;=72,-2,IF(W64&gt;=55,2,IF(W64&gt;=45,1,0))))+IF(X64&gt;0,1,0)+IF(V64="年初来高値更新●",3,IF(V64="高値圏",2,0))+IF(AD64="パーフェクト▲",3,IF(AD64="上昇トレンド▲",2,0))+IF(AE64="25日線押し目●",2,IF(AE64="5日線押し目○",1,0))+IF(P64="急増↑↑",2,IF(P64="増加↑",1,0))+N(AI64),0))</f>
      </c>
      <c r="U64" s="163" t="str">
        <f t="shared" si="10"/>
        <v>要確認</v>
      </c>
      <c r="V64" s="163" t="str">
        <f t="shared" si="5"/>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 t="shared" si="11"/>
        <v>2.1402421852999156</v>
      </c>
      <c r="AA64" s="163" t="str">
        <f t="shared" si="12"/>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 t="shared" si="15"/>
        <v>下降トレンド▼</v>
      </c>
      <c r="AE64" s="404" t="str">
        <f t="shared" si="16"/>
        <v>なし</v>
      </c>
      <c r="AF64" s="365">
        <f t="array" ref="AF64">IF(C64="","",IFERROR((INDEX(終値!$E:$E,MATCH(TEXT(C64,"0"),終値!$A:$A,0))-INDEX(終値!$E:$CZ,MATCH(TEXT(C64,"0"),終値!$A:$A,0),$AL$2))/INDEX(終値!$E:$CZ,MATCH(TEXT(C64,"0"),終値!$A:$A,0),$AL$2)*100,""))</f>
        <v>7.0859167404783001</v>
      </c>
      <c r="AG64" s="365">
        <f t="array" ref="AG64">IFERROR((終値!$E$5-INDEX(終値!$E$5:$CZ$5,1,$AL$2))/INDEX(終値!$E$5:$CZ$5,1,$AL$2)*100,"")</f>
        <v>1.0179378228534113</v>
      </c>
      <c r="AH64" s="366">
        <f t="shared" si="6"/>
        <v>6.0679789176248891</v>
      </c>
      <c r="AI64" s="364">
        <f t="shared" si="7"/>
        <v>3</v>
      </c>
      <c r="BA64">
        <f>IFERROR((SUM(OFFSET(高値!$E$6,IFERROR(MATCH($C64,銘柄管理!$B$6:$B$305,0),MATCH(TEXT($C64,"0"),銘柄管理!$B$6:$B$305,0))-1,0,1,14))-SUM(OFFSET(安値!$E$6,IFERROR(MATCH($C64,銘柄管理!$B$6:$B$305,0),MATCH(TEXT($C64,"0"),銘柄管理!$B$6:$B$305,0))-1,0,1,14)))/SUM(OFFSET(終値!$E$6,IFERROR(MATCH($C64,銘柄管理!$B$6:$B$305,0),MATCH(TEXT($C64,"0"),銘柄管理!$B$6:$B$305,0))-1,0,1,14))*100,"")</f>
      </c>
      <c r="BB64">
        <f>IFERROR((MAX(OFFSET(高値!$E$6,IFERROR(MATCH($C64,銘柄管理!$B$6:$B$305,0),MATCH(TEXT($C64,"0"),銘柄管理!$B$6:$B$305,0))-1,0,1,25))-MIN(OFFSET(安値!$E$6,IFERROR(MATCH($C64,銘柄管理!$B$6:$B$305,0),MATCH(TEXT($C64,"0"),銘柄管理!$B$6:$B$305,0))-1,0,1,25)))/$E64*100,"")</f>
      </c>
      <c r="BC64">
        <f>IFERROR(($F64-$G64)/$G64*100,"")</f>
      </c>
      <c r="BD64">
        <f>IFERROR(($E64-MAX(OFFSET(高値!$E$6,IFERROR(MATCH($C64,銘柄管理!$B$6:$B$305,0),MATCH(TEXT($C64,"0"),銘柄管理!$B$6:$B$305,0))-1,0,1,25)))/MAX(OFFSET(高値!$E$6,IFERROR(MATCH($C64,銘柄管理!$B$6:$B$305,0),MATCH(TEXT($C64,"0"),銘柄管理!$B$6:$B$305,0))-1,0,1,25))*100,"")</f>
      </c>
      <c r="BE64">
        <f>IFERROR(($H64-$I64)/$F64*100,"")</f>
      </c>
      <c r="BF64">
        <f>IFERROR(-(($BA64-AVERAGE($BA$3:$BA$206))/STDEV($BA$3:$BA$206))-(($BE64-AVERAGE($BE$3:$BE$206))/STDEV($BE$3:$BE$206))-(($BB64-AVERAGE($BB$3:$BB$206))/STDEV($BB$3:$BB$206))-(($Z64-AVERAGE($Z$3:$Z$206))/STDEV($Z$3:$Z$206))-(($BC64-AVERAGE($BC$3:$BC$206))/STDEV($BC$3:$BC$206)),"")</f>
      </c>
      <c r="BG64">
        <f>IF(OR($C64="",$C64="TOPX",$BA64="",$BF64=""),0,IF(AND($BK$10=1,$BA64&lt;=$BK$2,$BB64&lt;=$BK$3,$BC64&lt;=$BK$4,$Z64&lt;=$BK$5,$Z64&gt;=$BK$6,$BD64&gt;=$BK$7,$BE64&lt;=$BK$8),1,0))</f>
      </c>
      <c r="BH64">
        <f>IF($C64="","",IF($BG64=1,"○ゲート通過",IF($BK$10&lt;&gt;1,"― この方向は停止中",IF($BA64&gt;$BK$2,"×値動きが荒い",IF($BB64&gt;$BK$3,"×レンジが広い",IF($BC64&gt;$BK$4,"×窓を開けて上昇",IF($Z64&gt;$BK$5,"×前日に急騰",IF($Z64&lt;$BK$6,"×前日に急落",IF($BD64&lt;$BK$7,"×高値から離れすぎ",IF($BE64&gt;$BK$8,"×当日の値幅が大きい","×")))))))))</f>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 t="shared" si="0"/>
        <v>-7.9952267303102618</v>
      </c>
      <c r="M65" s="166">
        <f>IF(C65&lt;&gt;"",IFERROR(AVERAGE(出来高!E73:I73),""),"")</f>
        <v>222980</v>
      </c>
      <c r="N65" s="166">
        <f>IF(C65&lt;&gt;"",IFERROR(AVERAGE(出来高!E73:AC73),""),"")</f>
        <v>135392</v>
      </c>
      <c r="O65" s="168">
        <f t="shared" si="1"/>
        <v>1.2265674051484439</v>
      </c>
      <c r="P65" s="163" t="str">
        <f t="shared" si="2"/>
        <v>普通→</v>
      </c>
      <c r="Q65" s="163" t="str">
        <f t="shared" si="3"/>
        <v>中立→</v>
      </c>
      <c r="R65" s="166">
        <f t="shared" si="8"/>
        <v>8327</v>
      </c>
      <c r="S65" s="166">
        <f t="shared" si="9"/>
        <v>7402</v>
      </c>
      <c r="T65" s="163">
        <f>IF(C65="","",IFERROR(IF(O65&gt;=2,3,IF(O65&gt;=1.5,2,IF(O65&gt;=1,1,0)))+IF(E65&gt;G65,1,0)+IF(L65&gt;=-5,1,0)+IF(Q65="買い▲",2,0)+IF(W65&gt;=78,-4,IF(W65&gt;=72,-2,IF(W65&gt;=55,2,IF(W65&gt;=45,1,0))))+IF(X65&gt;0,1,0)+IF(V65="年初来高値更新●",3,IF(V65="高値圏",2,0))+IF(AD65="パーフェクト▲",3,IF(AD65="上昇トレンド▲",2,0))+IF(AE65="25日線押し目●",2,IF(AE65="5日線押し目○",1,0))+IF(P65="急増↑↑",2,IF(P65="増加↑",1,0))+N(AI65),0))</f>
      </c>
      <c r="U65" s="163" t="str">
        <f t="shared" si="10"/>
        <v>要確認</v>
      </c>
      <c r="V65" s="163" t="str">
        <f t="shared" si="5"/>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 t="shared" si="11"/>
        <v>2.6631158455392807</v>
      </c>
      <c r="AA65" s="163" t="str">
        <f t="shared" si="12"/>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 t="shared" si="15"/>
        <v>上昇トレンド▲</v>
      </c>
      <c r="AE65" s="406" t="str">
        <f t="shared" si="16"/>
        <v>なし</v>
      </c>
      <c r="AF65" s="365">
        <f t="array" ref="AF65">IF(C65="","",IFERROR((INDEX(終値!$E:$E,MATCH(TEXT(C65,"0"),終値!$A:$A,0))-INDEX(終値!$E:$CZ,MATCH(TEXT(C65,"0"),終値!$A:$A,0),$AL$2))/INDEX(終値!$E:$CZ,MATCH(TEXT(C65,"0"),終値!$A:$A,0),$AL$2)*100,""))</f>
        <v>2.5265957446808507</v>
      </c>
      <c r="AG65" s="365">
        <f t="array" ref="AG65">IFERROR((終値!$E$5-INDEX(終値!$E$5:$CZ$5,1,$AL$2))/INDEX(終値!$E$5:$CZ$5,1,$AL$2)*100,"")</f>
        <v>1.0179378228534113</v>
      </c>
      <c r="AH65" s="366">
        <f t="shared" si="6"/>
        <v>1.5086579218274394</v>
      </c>
      <c r="AI65" s="364">
        <f t="shared" si="7"/>
        <v>1</v>
      </c>
      <c r="BA65">
        <f>IFERROR((SUM(OFFSET(高値!$E$6,IFERROR(MATCH($C65,銘柄管理!$B$6:$B$305,0),MATCH(TEXT($C65,"0"),銘柄管理!$B$6:$B$305,0))-1,0,1,14))-SUM(OFFSET(安値!$E$6,IFERROR(MATCH($C65,銘柄管理!$B$6:$B$305,0),MATCH(TEXT($C65,"0"),銘柄管理!$B$6:$B$305,0))-1,0,1,14)))/SUM(OFFSET(終値!$E$6,IFERROR(MATCH($C65,銘柄管理!$B$6:$B$305,0),MATCH(TEXT($C65,"0"),銘柄管理!$B$6:$B$305,0))-1,0,1,14))*100,"")</f>
      </c>
      <c r="BB65">
        <f>IFERROR((MAX(OFFSET(高値!$E$6,IFERROR(MATCH($C65,銘柄管理!$B$6:$B$305,0),MATCH(TEXT($C65,"0"),銘柄管理!$B$6:$B$305,0))-1,0,1,25))-MIN(OFFSET(安値!$E$6,IFERROR(MATCH($C65,銘柄管理!$B$6:$B$305,0),MATCH(TEXT($C65,"0"),銘柄管理!$B$6:$B$305,0))-1,0,1,25)))/$E65*100,"")</f>
      </c>
      <c r="BC65">
        <f>IFERROR(($F65-$G65)/$G65*100,"")</f>
      </c>
      <c r="BD65">
        <f>IFERROR(($E65-MAX(OFFSET(高値!$E$6,IFERROR(MATCH($C65,銘柄管理!$B$6:$B$305,0),MATCH(TEXT($C65,"0"),銘柄管理!$B$6:$B$305,0))-1,0,1,25)))/MAX(OFFSET(高値!$E$6,IFERROR(MATCH($C65,銘柄管理!$B$6:$B$305,0),MATCH(TEXT($C65,"0"),銘柄管理!$B$6:$B$305,0))-1,0,1,25))*100,"")</f>
      </c>
      <c r="BE65">
        <f>IFERROR(($H65-$I65)/$F65*100,"")</f>
      </c>
      <c r="BF65">
        <f>IFERROR(-(($BA65-AVERAGE($BA$3:$BA$206))/STDEV($BA$3:$BA$206))-(($BE65-AVERAGE($BE$3:$BE$206))/STDEV($BE$3:$BE$206))-(($BB65-AVERAGE($BB$3:$BB$206))/STDEV($BB$3:$BB$206))-(($Z65-AVERAGE($Z$3:$Z$206))/STDEV($Z$3:$Z$206))-(($BC65-AVERAGE($BC$3:$BC$206))/STDEV($BC$3:$BC$206)),"")</f>
      </c>
      <c r="BG65">
        <f>IF(OR($C65="",$C65="TOPX",$BA65="",$BF65=""),0,IF(AND($BK$10=1,$BA65&lt;=$BK$2,$BB65&lt;=$BK$3,$BC65&lt;=$BK$4,$Z65&lt;=$BK$5,$Z65&gt;=$BK$6,$BD65&gt;=$BK$7,$BE65&lt;=$BK$8),1,0))</f>
      </c>
      <c r="BH65">
        <f>IF($C65="","",IF($BG65=1,"○ゲート通過",IF($BK$10&lt;&gt;1,"― この方向は停止中",IF($BA65&gt;$BK$2,"×値動きが荒い",IF($BB65&gt;$BK$3,"×レンジが広い",IF($BC65&gt;$BK$4,"×窓を開けて上昇",IF($Z65&gt;$BK$5,"×前日に急騰",IF($Z65&lt;$BK$6,"×前日に急落",IF($BD65&lt;$BK$7,"×高値から離れすぎ",IF($BE65&gt;$BK$8,"×当日の値幅が大きい","×")))))))))</f>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 t="shared" si="0"/>
        <v>-71.806451612903217</v>
      </c>
      <c r="M66" s="166">
        <f>IF(C66&lt;&gt;"",IFERROR(AVERAGE(出来高!E136:I136),""),"")</f>
        <v>343580</v>
      </c>
      <c r="N66" s="166">
        <f>IF(C66&lt;&gt;"",IFERROR(AVERAGE(出来高!E136:AC136),""),"")</f>
        <v>341495.83333333331</v>
      </c>
      <c r="O66" s="168">
        <f t="shared" si="1"/>
        <v>0.61004715059083769</v>
      </c>
      <c r="P66" s="163" t="str">
        <f t="shared" si="2"/>
        <v>減少↓</v>
      </c>
      <c r="Q66" s="163" t="str">
        <f t="shared" si="3"/>
        <v>様子見▼</v>
      </c>
      <c r="R66" s="166">
        <f t="shared" si="8"/>
        <v>944</v>
      </c>
      <c r="S66" s="166">
        <f t="shared" si="9"/>
        <v>839</v>
      </c>
      <c r="T66" s="163">
        <f>IF(C66="","",IFERROR(IF(O66&gt;=2,3,IF(O66&gt;=1.5,2,IF(O66&gt;=1,1,0)))+IF(E66&gt;G66,1,0)+IF(L66&gt;=-5,1,0)+IF(Q66="買い▲",2,0)+IF(W66&gt;=78,-4,IF(W66&gt;=72,-2,IF(W66&gt;=55,2,IF(W66&gt;=45,1,0))))+IF(X66&gt;0,1,0)+IF(V66="年初来高値更新●",3,IF(V66="高値圏",2,0))+IF(AD66="パーフェクト▲",3,IF(AD66="上昇トレンド▲",2,0))+IF(AE66="25日線押し目●",2,IF(AE66="5日線押し目○",1,0))+IF(P66="急増↑↑",2,IF(P66="増加↑",1,0))+N(AI66),0))</f>
      </c>
      <c r="U66" s="163" t="str">
        <f t="shared" si="10"/>
        <v>除外</v>
      </c>
      <c r="V66" s="163" t="str">
        <f t="shared" si="5"/>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 t="shared" si="11"/>
        <v>-2.5641025641025639</v>
      </c>
      <c r="AA66" s="163" t="str">
        <f t="shared" si="12"/>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 t="shared" si="15"/>
        <v>もみ合い→</v>
      </c>
      <c r="AE66" s="404" t="str">
        <f t="shared" si="16"/>
        <v>なし</v>
      </c>
      <c r="AF66" s="365">
        <f t="array" ref="AF66">IF(C66="","",IFERROR((INDEX(終値!$E:$E,MATCH(TEXT(C66,"0"),終値!$A:$A,0))-INDEX(終値!$E:$CZ,MATCH(TEXT(C66,"0"),終値!$A:$A,0),$AL$2))/INDEX(終値!$E:$CZ,MATCH(TEXT(C66,"0"),終値!$A:$A,0),$AL$2)*100,""))</f>
        <v>-28.18405916187346</v>
      </c>
      <c r="AG66" s="365">
        <f t="array" ref="AG66">IFERROR((終値!$E$5-INDEX(終値!$E$5:$CZ$5,1,$AL$2))/INDEX(終値!$E$5:$CZ$5,1,$AL$2)*100,"")</f>
        <v>1.0179378228534113</v>
      </c>
      <c r="AH66" s="366">
        <f t="shared" si="6"/>
        <v>-29.201996984726872</v>
      </c>
      <c r="AI66" s="364">
        <f t="shared" si="7"/>
        <v>-2</v>
      </c>
      <c r="BA66">
        <f>IFERROR((SUM(OFFSET(高値!$E$6,IFERROR(MATCH($C66,銘柄管理!$B$6:$B$305,0),MATCH(TEXT($C66,"0"),銘柄管理!$B$6:$B$305,0))-1,0,1,14))-SUM(OFFSET(安値!$E$6,IFERROR(MATCH($C66,銘柄管理!$B$6:$B$305,0),MATCH(TEXT($C66,"0"),銘柄管理!$B$6:$B$305,0))-1,0,1,14)))/SUM(OFFSET(終値!$E$6,IFERROR(MATCH($C66,銘柄管理!$B$6:$B$305,0),MATCH(TEXT($C66,"0"),銘柄管理!$B$6:$B$305,0))-1,0,1,14))*100,"")</f>
      </c>
      <c r="BB66">
        <f>IFERROR((MAX(OFFSET(高値!$E$6,IFERROR(MATCH($C66,銘柄管理!$B$6:$B$305,0),MATCH(TEXT($C66,"0"),銘柄管理!$B$6:$B$305,0))-1,0,1,25))-MIN(OFFSET(安値!$E$6,IFERROR(MATCH($C66,銘柄管理!$B$6:$B$305,0),MATCH(TEXT($C66,"0"),銘柄管理!$B$6:$B$305,0))-1,0,1,25)))/$E66*100,"")</f>
      </c>
      <c r="BC66">
        <f>IFERROR(($F66-$G66)/$G66*100,"")</f>
      </c>
      <c r="BD66">
        <f>IFERROR(($E66-MAX(OFFSET(高値!$E$6,IFERROR(MATCH($C66,銘柄管理!$B$6:$B$305,0),MATCH(TEXT($C66,"0"),銘柄管理!$B$6:$B$305,0))-1,0,1,25)))/MAX(OFFSET(高値!$E$6,IFERROR(MATCH($C66,銘柄管理!$B$6:$B$305,0),MATCH(TEXT($C66,"0"),銘柄管理!$B$6:$B$305,0))-1,0,1,25))*100,"")</f>
      </c>
      <c r="BE66">
        <f>IFERROR(($H66-$I66)/$F66*100,"")</f>
      </c>
      <c r="BF66">
        <f>IFERROR(-(($BA66-AVERAGE($BA$3:$BA$206))/STDEV($BA$3:$BA$206))-(($BE66-AVERAGE($BE$3:$BE$206))/STDEV($BE$3:$BE$206))-(($BB66-AVERAGE($BB$3:$BB$206))/STDEV($BB$3:$BB$206))-(($Z66-AVERAGE($Z$3:$Z$206))/STDEV($Z$3:$Z$206))-(($BC66-AVERAGE($BC$3:$BC$206))/STDEV($BC$3:$BC$206)),"")</f>
      </c>
      <c r="BG66">
        <f>IF(OR($C66="",$C66="TOPX",$BA66="",$BF66=""),0,IF(AND($BK$10=1,$BA66&lt;=$BK$2,$BB66&lt;=$BK$3,$BC66&lt;=$BK$4,$Z66&lt;=$BK$5,$Z66&gt;=$BK$6,$BD66&gt;=$BK$7,$BE66&lt;=$BK$8),1,0))</f>
      </c>
      <c r="BH66">
        <f>IF($C66="","",IF($BG66=1,"○ゲート通過",IF($BK$10&lt;&gt;1,"― この方向は停止中",IF($BA66&gt;$BK$2,"×値動きが荒い",IF($BB66&gt;$BK$3,"×レンジが広い",IF($BC66&gt;$BK$4,"×窓を開けて上昇",IF($Z66&gt;$BK$5,"×前日に急騰",IF($Z66&lt;$BK$6,"×前日に急落",IF($BD66&lt;$BK$7,"×高値から離れすぎ",IF($BE66&gt;$BK$8,"×当日の値幅が大きい","×")))))))))</f>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 t="shared" ref="L67:L130" si="17">IF(AND(E67&lt;&gt;"",K67&lt;&gt;"",K67&lt;&gt;0),(E67-K67)/K67*100,"")</f>
        <v>-55.555555555555557</v>
      </c>
      <c r="M67" s="166">
        <f>IF(C67&lt;&gt;"",IFERROR(AVERAGE(出来高!E93:I93),""),"")</f>
        <v>269200</v>
      </c>
      <c r="N67" s="166">
        <f>IF(C67&lt;&gt;"",IFERROR(AVERAGE(出来高!E93:AC93),""),"")</f>
        <v>497712</v>
      </c>
      <c r="O67" s="168">
        <f t="shared" ref="O67:O130" si="18">IF(AND(J67&lt;&gt;"",M67&lt;&gt;"",M67&lt;&gt;0),J67/M67,"")</f>
        <v>0.83098068350668652</v>
      </c>
      <c r="P67" s="163" t="str">
        <f t="shared" ref="P67:P130" si="19">IF(O67="","",IF(O67&gt;=2,"急増↑↑",IF(O67&gt;=1.5,"増加↑",IF(O67&gt;=1,"普通→","減少↓"))))</f>
        <v>減少↓</v>
      </c>
      <c r="Q67" s="163" t="str">
        <f t="shared" ref="Q67:Q130" si="20">IF(E67="","",IF(AND(E67&gt;G67,O67&gt;=1.5),"買い▲",IF(E67&lt;G67,"様子見▼","中立→")))</f>
        <v>様子見▼</v>
      </c>
      <c r="R67" s="166">
        <f t="shared" si="8"/>
        <v>786</v>
      </c>
      <c r="S67" s="166">
        <f t="shared" si="9"/>
        <v>699</v>
      </c>
      <c r="T67" s="163">
        <f>IF(C67="","",IFERROR(IF(O67&gt;=2,3,IF(O67&gt;=1.5,2,IF(O67&gt;=1,1,0)))+IF(E67&gt;G67,1,0)+IF(L67&gt;=-5,1,0)+IF(Q67="買い▲",2,0)+IF(W67&gt;=78,-4,IF(W67&gt;=72,-2,IF(W67&gt;=55,2,IF(W67&gt;=45,1,0))))+IF(X67&gt;0,1,0)+IF(V67="年初来高値更新●",3,IF(V67="高値圏",2,0))+IF(AD67="パーフェクト▲",3,IF(AD67="上昇トレンド▲",2,0))+IF(AE67="25日線押し目●",2,IF(AE67="5日線押し目○",1,0))+IF(P67="急増↑↑",2,IF(P67="増加↑",1,0))+N(AI67),0))</f>
      </c>
      <c r="U67" s="163" t="str">
        <f t="shared" si="10"/>
        <v>除外</v>
      </c>
      <c r="V67" s="163" t="str">
        <f t="shared" ref="V67:V130" si="22">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 t="shared" si="11"/>
        <v>-1.8867924528301887</v>
      </c>
      <c r="AA67" s="163" t="str">
        <f t="shared" si="12"/>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 t="shared" ref="AD67:AD98" si="23">IF(OR(C67="",AB67="",AC67=""),"",IF(AND(E67&gt;AB67,AB67&gt;AC67),"パーフェクト▲",IF(E67&gt;AC67,"上昇トレンド▲",IF(AND(E67&lt;AB67,AB67&lt;AC67),"下降トレンド▼","もみ合い→"))))</f>
        <v>下降トレンド▼</v>
      </c>
      <c r="AE67" s="406" t="str">
        <f t="shared" ref="AE67:AE98" si="24">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IFERROR((終値!$E$5-INDEX(終値!$E$5:$CZ$5,1,$AL$2))/INDEX(終値!$E$5:$CZ$5,1,$AL$2)*100,"")</f>
        <v>1.0179378228534113</v>
      </c>
      <c r="AH67" s="366">
        <f t="shared" ref="AH67:AH130" si="25">IF(OR(AF67="",AG67=""),"",AF67-AG67)</f>
        <v>-17.912914991803184</v>
      </c>
      <c r="AI67" s="364">
        <f t="shared" ref="AI67:AI130" si="26">IF(AH67="","",IF(AH67&gt;5,3,IF(AH67&gt;0,1,IF(AH67&gt;-3,-1,-2))))</f>
        <v>-2</v>
      </c>
      <c r="BA67">
        <f>IFERROR((SUM(OFFSET(高値!$E$6,IFERROR(MATCH($C67,銘柄管理!$B$6:$B$305,0),MATCH(TEXT($C67,"0"),銘柄管理!$B$6:$B$305,0))-1,0,1,14))-SUM(OFFSET(安値!$E$6,IFERROR(MATCH($C67,銘柄管理!$B$6:$B$305,0),MATCH(TEXT($C67,"0"),銘柄管理!$B$6:$B$305,0))-1,0,1,14)))/SUM(OFFSET(終値!$E$6,IFERROR(MATCH($C67,銘柄管理!$B$6:$B$305,0),MATCH(TEXT($C67,"0"),銘柄管理!$B$6:$B$305,0))-1,0,1,14))*100,"")</f>
      </c>
      <c r="BB67">
        <f>IFERROR((MAX(OFFSET(高値!$E$6,IFERROR(MATCH($C67,銘柄管理!$B$6:$B$305,0),MATCH(TEXT($C67,"0"),銘柄管理!$B$6:$B$305,0))-1,0,1,25))-MIN(OFFSET(安値!$E$6,IFERROR(MATCH($C67,銘柄管理!$B$6:$B$305,0),MATCH(TEXT($C67,"0"),銘柄管理!$B$6:$B$305,0))-1,0,1,25)))/$E67*100,"")</f>
      </c>
      <c r="BC67">
        <f>IFERROR(($F67-$G67)/$G67*100,"")</f>
      </c>
      <c r="BD67">
        <f>IFERROR(($E67-MAX(OFFSET(高値!$E$6,IFERROR(MATCH($C67,銘柄管理!$B$6:$B$305,0),MATCH(TEXT($C67,"0"),銘柄管理!$B$6:$B$305,0))-1,0,1,25)))/MAX(OFFSET(高値!$E$6,IFERROR(MATCH($C67,銘柄管理!$B$6:$B$305,0),MATCH(TEXT($C67,"0"),銘柄管理!$B$6:$B$305,0))-1,0,1,25))*100,"")</f>
      </c>
      <c r="BE67">
        <f>IFERROR(($H67-$I67)/$F67*100,"")</f>
      </c>
      <c r="BF67">
        <f>IFERROR(-(($BA67-AVERAGE($BA$3:$BA$206))/STDEV($BA$3:$BA$206))-(($BE67-AVERAGE($BE$3:$BE$206))/STDEV($BE$3:$BE$206))-(($BB67-AVERAGE($BB$3:$BB$206))/STDEV($BB$3:$BB$206))-(($Z67-AVERAGE($Z$3:$Z$206))/STDEV($Z$3:$Z$206))-(($BC67-AVERAGE($BC$3:$BC$206))/STDEV($BC$3:$BC$206)),"")</f>
      </c>
      <c r="BG67">
        <f>IF(OR($C67="",$C67="TOPX",$BA67="",$BF67=""),0,IF(AND($BK$10=1,$BA67&lt;=$BK$2,$BB67&lt;=$BK$3,$BC67&lt;=$BK$4,$Z67&lt;=$BK$5,$Z67&gt;=$BK$6,$BD67&gt;=$BK$7,$BE67&lt;=$BK$8),1,0))</f>
      </c>
      <c r="BH67">
        <f>IF($C67="","",IF($BG67=1,"○ゲート通過",IF($BK$10&lt;&gt;1,"― この方向は停止中",IF($BA67&gt;$BK$2,"×値動きが荒い",IF($BB67&gt;$BK$3,"×レンジが広い",IF($BC67&gt;$BK$4,"×窓を開けて上昇",IF($Z67&gt;$BK$5,"×前日に急騰",IF($Z67&lt;$BK$6,"×前日に急落",IF($BD67&lt;$BK$7,"×高値から離れすぎ",IF($BE67&gt;$BK$8,"×当日の値幅が大きい","×")))))))))</f>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 t="shared" si="17"/>
        <v>-15.579540122008448</v>
      </c>
      <c r="M68" s="166">
        <f>IF(C68&lt;&gt;"",IFERROR(AVERAGE(出来高!E107:I107),""),"")</f>
        <v>683020</v>
      </c>
      <c r="N68" s="166">
        <f>IF(C68&lt;&gt;"",IFERROR(AVERAGE(出来高!E107:AC107),""),"")</f>
        <v>575776</v>
      </c>
      <c r="O68" s="168">
        <f t="shared" si="18"/>
        <v>0.84990190623993445</v>
      </c>
      <c r="P68" s="163" t="str">
        <f t="shared" si="19"/>
        <v>減少↓</v>
      </c>
      <c r="Q68" s="163" t="str">
        <f t="shared" si="20"/>
        <v>様子見▼</v>
      </c>
      <c r="R68" s="166">
        <f t="shared" ref="R68:R131" si="27">IF(E68&lt;&gt;"",ROUND(E68*1.08,0),"")</f>
        <v>19429</v>
      </c>
      <c r="S68" s="166">
        <f t="shared" ref="S68:S131" si="28">IF(E68&lt;&gt;"",ROUND(E68*0.96,0),"")</f>
        <v>17270</v>
      </c>
      <c r="T68" s="163">
        <f>IF(C68="","",IFERROR(IF(O68&gt;=2,3,IF(O68&gt;=1.5,2,IF(O68&gt;=1,1,0)))+IF(E68&gt;G68,1,0)+IF(L68&gt;=-5,1,0)+IF(Q68="買い▲",2,0)+IF(W68&gt;=78,-4,IF(W68&gt;=72,-2,IF(W68&gt;=55,2,IF(W68&gt;=45,1,0))))+IF(X68&gt;0,1,0)+IF(V68="年初来高値更新●",3,IF(V68="高値圏",2,0))+IF(AD68="パーフェクト▲",3,IF(AD68="上昇トレンド▲",2,0))+IF(AE68="25日線押し目●",2,IF(AE68="5日線押し目○",1,0))+IF(P68="急増↑↑",2,IF(P68="増加↑",1,0))+N(AI68),0))</f>
      </c>
      <c r="U68" s="163" t="str">
        <f t="shared" ref="U68:U131" si="29">IF(T68="","",IF(AND(T68&gt;=3,O68&gt;=1.5),"有効",IF(T68&gt;=3,"要確認","除外")))</f>
        <v>除外</v>
      </c>
      <c r="V68" s="163" t="str">
        <f t="shared" si="22"/>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 t="shared" ref="Z68:Z131" si="30">IF(AND(E68&lt;&gt;"",G68&lt;&gt;"",G68&lt;&gt;0),(E68-G68)/G68*100,"")</f>
        <v>-4.0789122900559853</v>
      </c>
      <c r="AA68" s="163" t="str">
        <f t="shared" ref="AA68:AA131" si="31">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 t="shared" si="23"/>
        <v>パーフェクト▲</v>
      </c>
      <c r="AE68" s="404" t="str">
        <f t="shared" si="24"/>
        <v>なし</v>
      </c>
      <c r="AF68" s="365">
        <f t="array" ref="AF68">IF(C68="","",IFERROR((INDEX(終値!$E:$E,MATCH(TEXT(C68,"0"),終値!$A:$A,0))-INDEX(終値!$E:$CZ,MATCH(TEXT(C68,"0"),終値!$A:$A,0),$AL$2))/INDEX(終値!$E:$CZ,MATCH(TEXT(C68,"0"),終値!$A:$A,0),$AL$2)*100,""))</f>
        <v>-14.005736137667304</v>
      </c>
      <c r="AG68" s="365">
        <f t="array" ref="AG68">IFERROR((終値!$E$5-INDEX(終値!$E$5:$CZ$5,1,$AL$2))/INDEX(終値!$E$5:$CZ$5,1,$AL$2)*100,"")</f>
        <v>1.0179378228534113</v>
      </c>
      <c r="AH68" s="366">
        <f t="shared" si="25"/>
        <v>-15.023673960520716</v>
      </c>
      <c r="AI68" s="364">
        <f t="shared" si="26"/>
        <v>-2</v>
      </c>
      <c r="BA68">
        <f>IFERROR((SUM(OFFSET(高値!$E$6,IFERROR(MATCH($C68,銘柄管理!$B$6:$B$305,0),MATCH(TEXT($C68,"0"),銘柄管理!$B$6:$B$305,0))-1,0,1,14))-SUM(OFFSET(安値!$E$6,IFERROR(MATCH($C68,銘柄管理!$B$6:$B$305,0),MATCH(TEXT($C68,"0"),銘柄管理!$B$6:$B$305,0))-1,0,1,14)))/SUM(OFFSET(終値!$E$6,IFERROR(MATCH($C68,銘柄管理!$B$6:$B$305,0),MATCH(TEXT($C68,"0"),銘柄管理!$B$6:$B$305,0))-1,0,1,14))*100,"")</f>
      </c>
      <c r="BB68">
        <f>IFERROR((MAX(OFFSET(高値!$E$6,IFERROR(MATCH($C68,銘柄管理!$B$6:$B$305,0),MATCH(TEXT($C68,"0"),銘柄管理!$B$6:$B$305,0))-1,0,1,25))-MIN(OFFSET(安値!$E$6,IFERROR(MATCH($C68,銘柄管理!$B$6:$B$305,0),MATCH(TEXT($C68,"0"),銘柄管理!$B$6:$B$305,0))-1,0,1,25)))/$E68*100,"")</f>
      </c>
      <c r="BC68">
        <f>IFERROR(($F68-$G68)/$G68*100,"")</f>
      </c>
      <c r="BD68">
        <f>IFERROR(($E68-MAX(OFFSET(高値!$E$6,IFERROR(MATCH($C68,銘柄管理!$B$6:$B$305,0),MATCH(TEXT($C68,"0"),銘柄管理!$B$6:$B$305,0))-1,0,1,25)))/MAX(OFFSET(高値!$E$6,IFERROR(MATCH($C68,銘柄管理!$B$6:$B$305,0),MATCH(TEXT($C68,"0"),銘柄管理!$B$6:$B$305,0))-1,0,1,25))*100,"")</f>
      </c>
      <c r="BE68">
        <f>IFERROR(($H68-$I68)/$F68*100,"")</f>
      </c>
      <c r="BF68">
        <f>IFERROR(-(($BA68-AVERAGE($BA$3:$BA$206))/STDEV($BA$3:$BA$206))-(($BE68-AVERAGE($BE$3:$BE$206))/STDEV($BE$3:$BE$206))-(($BB68-AVERAGE($BB$3:$BB$206))/STDEV($BB$3:$BB$206))-(($Z68-AVERAGE($Z$3:$Z$206))/STDEV($Z$3:$Z$206))-(($BC68-AVERAGE($BC$3:$BC$206))/STDEV($BC$3:$BC$206)),"")</f>
      </c>
      <c r="BG68">
        <f>IF(OR($C68="",$C68="TOPX",$BA68="",$BF68=""),0,IF(AND($BK$10=1,$BA68&lt;=$BK$2,$BB68&lt;=$BK$3,$BC68&lt;=$BK$4,$Z68&lt;=$BK$5,$Z68&gt;=$BK$6,$BD68&gt;=$BK$7,$BE68&lt;=$BK$8),1,0))</f>
      </c>
      <c r="BH68">
        <f>IF($C68="","",IF($BG68=1,"○ゲート通過",IF($BK$10&lt;&gt;1,"― この方向は停止中",IF($BA68&gt;$BK$2,"×値動きが荒い",IF($BB68&gt;$BK$3,"×レンジが広い",IF($BC68&gt;$BK$4,"×窓を開けて上昇",IF($Z68&gt;$BK$5,"×前日に急騰",IF($Z68&lt;$BK$6,"×前日に急落",IF($BD68&lt;$BK$7,"×高値から離れすぎ",IF($BE68&gt;$BK$8,"×当日の値幅が大きい","×")))))))))</f>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 t="shared" si="17"/>
        <v>-25.391095066185322</v>
      </c>
      <c r="M69" s="166">
        <f>IF(C69&lt;&gt;"",IFERROR(AVERAGE(出来高!E121:I121),""),"")</f>
        <v>296600</v>
      </c>
      <c r="N69" s="166">
        <f>IF(C69&lt;&gt;"",IFERROR(AVERAGE(出来高!E121:AC121),""),"")</f>
        <v>340300</v>
      </c>
      <c r="O69" s="168">
        <f t="shared" si="18"/>
        <v>1.1641942009440325</v>
      </c>
      <c r="P69" s="163" t="str">
        <f t="shared" si="19"/>
        <v>普通→</v>
      </c>
      <c r="Q69" s="163" t="str">
        <f t="shared" si="20"/>
        <v>様子見▼</v>
      </c>
      <c r="R69" s="166">
        <f t="shared" si="27"/>
        <v>3348</v>
      </c>
      <c r="S69" s="166">
        <f t="shared" si="28"/>
        <v>2976</v>
      </c>
      <c r="T69" s="163">
        <f>IF(C69="","",IFERROR(IF(O69&gt;=2,3,IF(O69&gt;=1.5,2,IF(O69&gt;=1,1,0)))+IF(E69&gt;G69,1,0)+IF(L69&gt;=-5,1,0)+IF(Q69="買い▲",2,0)+IF(W69&gt;=78,-4,IF(W69&gt;=72,-2,IF(W69&gt;=55,2,IF(W69&gt;=45,1,0))))+IF(X69&gt;0,1,0)+IF(V69="年初来高値更新●",3,IF(V69="高値圏",2,0))+IF(AD69="パーフェクト▲",3,IF(AD69="上昇トレンド▲",2,0))+IF(AE69="25日線押し目●",2,IF(AE69="5日線押し目○",1,0))+IF(P69="急増↑↑",2,IF(P69="増加↑",1,0))+N(AI69),0))</f>
      </c>
      <c r="U69" s="163" t="str">
        <f t="shared" si="29"/>
        <v>除外</v>
      </c>
      <c r="V69" s="163" t="str">
        <f t="shared" si="22"/>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 t="shared" si="30"/>
        <v>-0.95846645367412142</v>
      </c>
      <c r="AA69" s="163" t="str">
        <f t="shared" si="31"/>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 t="shared" si="23"/>
        <v>上昇トレンド▲</v>
      </c>
      <c r="AE69" s="406" t="str">
        <f t="shared" si="24"/>
        <v>なし</v>
      </c>
      <c r="AF69" s="365">
        <f t="array" ref="AF69">IF(C69="","",IFERROR((INDEX(終値!$E:$E,MATCH(TEXT(C69,"0"),終値!$A:$A,0))-INDEX(終値!$E:$CZ,MATCH(TEXT(C69,"0"),終値!$A:$A,0),$AL$2))/INDEX(終値!$E:$CZ,MATCH(TEXT(C69,"0"),終値!$A:$A,0),$AL$2)*100,""))</f>
        <v>-5.6316590563165905</v>
      </c>
      <c r="AG69" s="365">
        <f t="array" ref="AG69">IFERROR((終値!$E$5-INDEX(終値!$E$5:$CZ$5,1,$AL$2))/INDEX(終値!$E$5:$CZ$5,1,$AL$2)*100,"")</f>
        <v>1.0179378228534113</v>
      </c>
      <c r="AH69" s="366">
        <f t="shared" si="25"/>
        <v>-6.6495968791700015</v>
      </c>
      <c r="AI69" s="364">
        <f t="shared" si="26"/>
        <v>-2</v>
      </c>
      <c r="BA69">
        <f>IFERROR((SUM(OFFSET(高値!$E$6,IFERROR(MATCH($C69,銘柄管理!$B$6:$B$305,0),MATCH(TEXT($C69,"0"),銘柄管理!$B$6:$B$305,0))-1,0,1,14))-SUM(OFFSET(安値!$E$6,IFERROR(MATCH($C69,銘柄管理!$B$6:$B$305,0),MATCH(TEXT($C69,"0"),銘柄管理!$B$6:$B$305,0))-1,0,1,14)))/SUM(OFFSET(終値!$E$6,IFERROR(MATCH($C69,銘柄管理!$B$6:$B$305,0),MATCH(TEXT($C69,"0"),銘柄管理!$B$6:$B$305,0))-1,0,1,14))*100,"")</f>
      </c>
      <c r="BB69">
        <f>IFERROR((MAX(OFFSET(高値!$E$6,IFERROR(MATCH($C69,銘柄管理!$B$6:$B$305,0),MATCH(TEXT($C69,"0"),銘柄管理!$B$6:$B$305,0))-1,0,1,25))-MIN(OFFSET(安値!$E$6,IFERROR(MATCH($C69,銘柄管理!$B$6:$B$305,0),MATCH(TEXT($C69,"0"),銘柄管理!$B$6:$B$305,0))-1,0,1,25)))/$E69*100,"")</f>
      </c>
      <c r="BC69">
        <f>IFERROR(($F69-$G69)/$G69*100,"")</f>
      </c>
      <c r="BD69">
        <f>IFERROR(($E69-MAX(OFFSET(高値!$E$6,IFERROR(MATCH($C69,銘柄管理!$B$6:$B$305,0),MATCH(TEXT($C69,"0"),銘柄管理!$B$6:$B$305,0))-1,0,1,25)))/MAX(OFFSET(高値!$E$6,IFERROR(MATCH($C69,銘柄管理!$B$6:$B$305,0),MATCH(TEXT($C69,"0"),銘柄管理!$B$6:$B$305,0))-1,0,1,25))*100,"")</f>
      </c>
      <c r="BE69">
        <f>IFERROR(($H69-$I69)/$F69*100,"")</f>
      </c>
      <c r="BF69">
        <f>IFERROR(-(($BA69-AVERAGE($BA$3:$BA$206))/STDEV($BA$3:$BA$206))-(($BE69-AVERAGE($BE$3:$BE$206))/STDEV($BE$3:$BE$206))-(($BB69-AVERAGE($BB$3:$BB$206))/STDEV($BB$3:$BB$206))-(($Z69-AVERAGE($Z$3:$Z$206))/STDEV($Z$3:$Z$206))-(($BC69-AVERAGE($BC$3:$BC$206))/STDEV($BC$3:$BC$206)),"")</f>
      </c>
      <c r="BG69">
        <f>IF(OR($C69="",$C69="TOPX",$BA69="",$BF69=""),0,IF(AND($BK$10=1,$BA69&lt;=$BK$2,$BB69&lt;=$BK$3,$BC69&lt;=$BK$4,$Z69&lt;=$BK$5,$Z69&gt;=$BK$6,$BD69&gt;=$BK$7,$BE69&lt;=$BK$8),1,0))</f>
      </c>
      <c r="BH69">
        <f>IF($C69="","",IF($BG69=1,"○ゲート通過",IF($BK$10&lt;&gt;1,"― この方向は停止中",IF($BA69&gt;$BK$2,"×値動きが荒い",IF($BB69&gt;$BK$3,"×レンジが広い",IF($BC69&gt;$BK$4,"×窓を開けて上昇",IF($Z69&gt;$BK$5,"×前日に急騰",IF($Z69&lt;$BK$6,"×前日に急落",IF($BD69&lt;$BK$7,"×高値から離れすぎ",IF($BE69&gt;$BK$8,"×当日の値幅が大きい","×")))))))))</f>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 t="shared" si="17"/>
        <v>2.1867115222876365</v>
      </c>
      <c r="M70" s="166">
        <f>IF(C70&lt;&gt;"",IFERROR(AVERAGE(出来高!E152:I152),""),"")</f>
        <v>639940</v>
      </c>
      <c r="N70" s="166">
        <f>IF(C70&lt;&gt;"",IFERROR(AVERAGE(出来高!E152:AC152),""),"")</f>
        <v>543020</v>
      </c>
      <c r="O70" s="168">
        <f t="shared" si="18"/>
        <v>0.8997718536112761</v>
      </c>
      <c r="P70" s="163" t="str">
        <f t="shared" si="19"/>
        <v>減少↓</v>
      </c>
      <c r="Q70" s="163" t="str">
        <f t="shared" si="20"/>
        <v>中立→</v>
      </c>
      <c r="R70" s="166">
        <f t="shared" si="27"/>
        <v>1312</v>
      </c>
      <c r="S70" s="166">
        <f t="shared" si="28"/>
        <v>1166</v>
      </c>
      <c r="T70" s="163">
        <f>IF(C70="","",IFERROR(IF(O70&gt;=2,3,IF(O70&gt;=1.5,2,IF(O70&gt;=1,1,0)))+IF(E70&gt;G70,1,0)+IF(L70&gt;=-5,1,0)+IF(Q70="買い▲",2,0)+IF(W70&gt;=78,-4,IF(W70&gt;=72,-2,IF(W70&gt;=55,2,IF(W70&gt;=45,1,0))))+IF(X70&gt;0,1,0)+IF(V70="年初来高値更新●",3,IF(V70="高値圏",2,0))+IF(AD70="パーフェクト▲",3,IF(AD70="上昇トレンド▲",2,0))+IF(AE70="25日線押し目●",2,IF(AE70="5日線押し目○",1,0))+IF(P70="急増↑↑",2,IF(P70="増加↑",1,0))+N(AI70),0))</f>
      </c>
      <c r="U70" s="163" t="str">
        <f t="shared" si="29"/>
        <v>要確認</v>
      </c>
      <c r="V70" s="163" t="str">
        <f t="shared" si="22"/>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 t="shared" si="30"/>
        <v>4.2024013722126927</v>
      </c>
      <c r="AA70" s="163" t="str">
        <f t="shared" si="31"/>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 t="shared" si="23"/>
        <v>もみ合い→</v>
      </c>
      <c r="AE70" s="404" t="str">
        <f t="shared" si="24"/>
        <v>なし</v>
      </c>
      <c r="AF70" s="365">
        <f t="array" ref="AF70">IF(C70="","",IFERROR((INDEX(終値!$E:$E,MATCH(TEXT(C70,"0"),終値!$A:$A,0))-INDEX(終値!$E:$CZ,MATCH(TEXT(C70,"0"),終値!$A:$A,0),$AL$2))/INDEX(終値!$E:$CZ,MATCH(TEXT(C70,"0"),終値!$A:$A,0),$AL$2)*100,""))</f>
        <v>18.421052631578945</v>
      </c>
      <c r="AG70" s="365">
        <f t="array" ref="AG70">IFERROR((終値!$E$5-INDEX(終値!$E$5:$CZ$5,1,$AL$2))/INDEX(終値!$E$5:$CZ$5,1,$AL$2)*100,"")</f>
        <v>1.0179378228534113</v>
      </c>
      <c r="AH70" s="366">
        <f t="shared" si="25"/>
        <v>17.403114808725533</v>
      </c>
      <c r="AI70" s="364">
        <f t="shared" si="26"/>
        <v>3</v>
      </c>
      <c r="BA70">
        <f>IFERROR((SUM(OFFSET(高値!$E$6,IFERROR(MATCH($C70,銘柄管理!$B$6:$B$305,0),MATCH(TEXT($C70,"0"),銘柄管理!$B$6:$B$305,0))-1,0,1,14))-SUM(OFFSET(安値!$E$6,IFERROR(MATCH($C70,銘柄管理!$B$6:$B$305,0),MATCH(TEXT($C70,"0"),銘柄管理!$B$6:$B$305,0))-1,0,1,14)))/SUM(OFFSET(終値!$E$6,IFERROR(MATCH($C70,銘柄管理!$B$6:$B$305,0),MATCH(TEXT($C70,"0"),銘柄管理!$B$6:$B$305,0))-1,0,1,14))*100,"")</f>
      </c>
      <c r="BB70">
        <f>IFERROR((MAX(OFFSET(高値!$E$6,IFERROR(MATCH($C70,銘柄管理!$B$6:$B$305,0),MATCH(TEXT($C70,"0"),銘柄管理!$B$6:$B$305,0))-1,0,1,25))-MIN(OFFSET(安値!$E$6,IFERROR(MATCH($C70,銘柄管理!$B$6:$B$305,0),MATCH(TEXT($C70,"0"),銘柄管理!$B$6:$B$305,0))-1,0,1,25)))/$E70*100,"")</f>
      </c>
      <c r="BC70">
        <f>IFERROR(($F70-$G70)/$G70*100,"")</f>
      </c>
      <c r="BD70">
        <f>IFERROR(($E70-MAX(OFFSET(高値!$E$6,IFERROR(MATCH($C70,銘柄管理!$B$6:$B$305,0),MATCH(TEXT($C70,"0"),銘柄管理!$B$6:$B$305,0))-1,0,1,25)))/MAX(OFFSET(高値!$E$6,IFERROR(MATCH($C70,銘柄管理!$B$6:$B$305,0),MATCH(TEXT($C70,"0"),銘柄管理!$B$6:$B$305,0))-1,0,1,25))*100,"")</f>
      </c>
      <c r="BE70">
        <f>IFERROR(($H70-$I70)/$F70*100,"")</f>
      </c>
      <c r="BF70">
        <f>IFERROR(-(($BA70-AVERAGE($BA$3:$BA$206))/STDEV($BA$3:$BA$206))-(($BE70-AVERAGE($BE$3:$BE$206))/STDEV($BE$3:$BE$206))-(($BB70-AVERAGE($BB$3:$BB$206))/STDEV($BB$3:$BB$206))-(($Z70-AVERAGE($Z$3:$Z$206))/STDEV($Z$3:$Z$206))-(($BC70-AVERAGE($BC$3:$BC$206))/STDEV($BC$3:$BC$206)),"")</f>
      </c>
      <c r="BG70">
        <f>IF(OR($C70="",$C70="TOPX",$BA70="",$BF70=""),0,IF(AND($BK$10=1,$BA70&lt;=$BK$2,$BB70&lt;=$BK$3,$BC70&lt;=$BK$4,$Z70&lt;=$BK$5,$Z70&gt;=$BK$6,$BD70&gt;=$BK$7,$BE70&lt;=$BK$8),1,0))</f>
      </c>
      <c r="BH70">
        <f>IF($C70="","",IF($BG70=1,"○ゲート通過",IF($BK$10&lt;&gt;1,"― この方向は停止中",IF($BA70&gt;$BK$2,"×値動きが荒い",IF($BB70&gt;$BK$3,"×レンジが広い",IF($BC70&gt;$BK$4,"×窓を開けて上昇",IF($Z70&gt;$BK$5,"×前日に急騰",IF($Z70&lt;$BK$6,"×前日に急落",IF($BD70&lt;$BK$7,"×高値から離れすぎ",IF($BE70&gt;$BK$8,"×当日の値幅が大きい","×")))))))))</f>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 t="shared" si="17"/>
        <v>-57.781954887218049</v>
      </c>
      <c r="M71" s="166">
        <f>IF(C71&lt;&gt;"",IFERROR(AVERAGE(出来高!E149:I149),""),"")</f>
        <v>11600</v>
      </c>
      <c r="N71" s="166">
        <f>IF(C71&lt;&gt;"",IFERROR(AVERAGE(出来高!E149:AC149),""),"")</f>
        <v>11600</v>
      </c>
      <c r="O71" s="168">
        <f t="shared" si="18"/>
        <v>0.80172413793103448</v>
      </c>
      <c r="P71" s="163" t="str">
        <f t="shared" si="19"/>
        <v>減少↓</v>
      </c>
      <c r="Q71" s="163" t="str">
        <f t="shared" si="20"/>
        <v>様子見▼</v>
      </c>
      <c r="R71" s="166">
        <f t="shared" si="27"/>
        <v>1213</v>
      </c>
      <c r="S71" s="166">
        <f t="shared" si="28"/>
        <v>1078</v>
      </c>
      <c r="T71" s="163">
        <f>IF(C71="","",IFERROR(IF(O71&gt;=2,3,IF(O71&gt;=1.5,2,IF(O71&gt;=1,1,0)))+IF(E71&gt;G71,1,0)+IF(L71&gt;=-5,1,0)+IF(Q71="買い▲",2,0)+IF(W71&gt;=78,-4,IF(W71&gt;=72,-2,IF(W71&gt;=55,2,IF(W71&gt;=45,1,0))))+IF(X71&gt;0,1,0)+IF(V71="年初来高値更新●",3,IF(V71="高値圏",2,0))+IF(AD71="パーフェクト▲",3,IF(AD71="上昇トレンド▲",2,0))+IF(AE71="25日線押し目●",2,IF(AE71="5日線押し目○",1,0))+IF(P71="急増↑↑",2,IF(P71="増加↑",1,0))+N(AI71),0))</f>
      </c>
      <c r="U71" s="163" t="str">
        <f t="shared" si="29"/>
        <v>除外</v>
      </c>
      <c r="V71" s="163" t="str">
        <f t="shared" si="22"/>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 t="shared" si="30"/>
        <v>-3.8527397260273974</v>
      </c>
      <c r="AA71" s="163" t="str">
        <f t="shared" si="31"/>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 t="shared" si="23"/>
        <v>下降トレンド▼</v>
      </c>
      <c r="AE71" s="406" t="str">
        <f t="shared" si="24"/>
        <v>なし</v>
      </c>
      <c r="AF71" s="365" t="str">
        <f t="array" ref="AF71">IF(C71="","",IFERROR((INDEX(終値!$E:$E,MATCH(TEXT(C71,"0"),終値!$A:$A,0))-INDEX(終値!$E:$CZ,MATCH(TEXT(C71,"0"),終値!$A:$A,0),$AL$2))/INDEX(終値!$E:$CZ,MATCH(TEXT(C71,"0"),終値!$A:$A,0),$AL$2)*100,""))</f>
        <v/>
      </c>
      <c r="AG71" s="365">
        <f t="array" ref="AG71">IFERROR((終値!$E$5-INDEX(終値!$E$5:$CZ$5,1,$AL$2))/INDEX(終値!$E$5:$CZ$5,1,$AL$2)*100,"")</f>
        <v>1.0179378228534113</v>
      </c>
      <c r="AH71" s="366" t="str">
        <f t="shared" si="25"/>
        <v/>
      </c>
      <c r="AI71" s="364" t="str">
        <f t="shared" si="26"/>
        <v/>
      </c>
      <c r="BA71">
        <f>IFERROR((SUM(OFFSET(高値!$E$6,IFERROR(MATCH($C71,銘柄管理!$B$6:$B$305,0),MATCH(TEXT($C71,"0"),銘柄管理!$B$6:$B$305,0))-1,0,1,14))-SUM(OFFSET(安値!$E$6,IFERROR(MATCH($C71,銘柄管理!$B$6:$B$305,0),MATCH(TEXT($C71,"0"),銘柄管理!$B$6:$B$305,0))-1,0,1,14)))/SUM(OFFSET(終値!$E$6,IFERROR(MATCH($C71,銘柄管理!$B$6:$B$305,0),MATCH(TEXT($C71,"0"),銘柄管理!$B$6:$B$305,0))-1,0,1,14))*100,"")</f>
      </c>
      <c r="BB71">
        <f>IFERROR((MAX(OFFSET(高値!$E$6,IFERROR(MATCH($C71,銘柄管理!$B$6:$B$305,0),MATCH(TEXT($C71,"0"),銘柄管理!$B$6:$B$305,0))-1,0,1,25))-MIN(OFFSET(安値!$E$6,IFERROR(MATCH($C71,銘柄管理!$B$6:$B$305,0),MATCH(TEXT($C71,"0"),銘柄管理!$B$6:$B$305,0))-1,0,1,25)))/$E71*100,"")</f>
      </c>
      <c r="BC71">
        <f>IFERROR(($F71-$G71)/$G71*100,"")</f>
      </c>
      <c r="BD71">
        <f>IFERROR(($E71-MAX(OFFSET(高値!$E$6,IFERROR(MATCH($C71,銘柄管理!$B$6:$B$305,0),MATCH(TEXT($C71,"0"),銘柄管理!$B$6:$B$305,0))-1,0,1,25)))/MAX(OFFSET(高値!$E$6,IFERROR(MATCH($C71,銘柄管理!$B$6:$B$305,0),MATCH(TEXT($C71,"0"),銘柄管理!$B$6:$B$305,0))-1,0,1,25))*100,"")</f>
      </c>
      <c r="BE71">
        <f>IFERROR(($H71-$I71)/$F71*100,"")</f>
      </c>
      <c r="BF71">
        <f>IFERROR(-(($BA71-AVERAGE($BA$3:$BA$206))/STDEV($BA$3:$BA$206))-(($BE71-AVERAGE($BE$3:$BE$206))/STDEV($BE$3:$BE$206))-(($BB71-AVERAGE($BB$3:$BB$206))/STDEV($BB$3:$BB$206))-(($Z71-AVERAGE($Z$3:$Z$206))/STDEV($Z$3:$Z$206))-(($BC71-AVERAGE($BC$3:$BC$206))/STDEV($BC$3:$BC$206)),"")</f>
      </c>
      <c r="BG71">
        <f>IF(OR($C71="",$C71="TOPX",$BA71="",$BF71=""),0,IF(AND($BK$10=1,$BA71&lt;=$BK$2,$BB71&lt;=$BK$3,$BC71&lt;=$BK$4,$Z71&lt;=$BK$5,$Z71&gt;=$BK$6,$BD71&gt;=$BK$7,$BE71&lt;=$BK$8),1,0))</f>
      </c>
      <c r="BH71">
        <f>IF($C71="","",IF($BG71=1,"○ゲート通過",IF($BK$10&lt;&gt;1,"― この方向は停止中",IF($BA71&gt;$BK$2,"×値動きが荒い",IF($BB71&gt;$BK$3,"×レンジが広い",IF($BC71&gt;$BK$4,"×窓を開けて上昇",IF($Z71&gt;$BK$5,"×前日に急騰",IF($Z71&lt;$BK$6,"×前日に急落",IF($BD71&lt;$BK$7,"×高値から離れすぎ",IF($BE71&gt;$BK$8,"×当日の値幅が大きい","×")))))))))</f>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 t="shared" si="17"/>
        <v>-3.6967418546365911</v>
      </c>
      <c r="M72" s="166">
        <f>IF(C72&lt;&gt;"",IFERROR(AVERAGE(出来高!E177:I177),""),"")</f>
        <v>553600</v>
      </c>
      <c r="N72" s="166">
        <f>IF(C72&lt;&gt;"",IFERROR(AVERAGE(出来高!E177:AC177),""),"")</f>
        <v>553600</v>
      </c>
      <c r="O72" s="168">
        <f t="shared" si="18"/>
        <v>0.82351878612716767</v>
      </c>
      <c r="P72" s="163" t="str">
        <f t="shared" si="19"/>
        <v>減少↓</v>
      </c>
      <c r="Q72" s="163" t="str">
        <f t="shared" si="20"/>
        <v>中立→</v>
      </c>
      <c r="R72" s="166">
        <f t="shared" si="27"/>
        <v>1660</v>
      </c>
      <c r="S72" s="166">
        <f t="shared" si="28"/>
        <v>1476</v>
      </c>
      <c r="T72" s="163">
        <f>IF(C72="","",IFERROR(IF(O72&gt;=2,3,IF(O72&gt;=1.5,2,IF(O72&gt;=1,1,0)))+IF(E72&gt;G72,1,0)+IF(L72&gt;=-5,1,0)+IF(Q72="買い▲",2,0)+IF(W72&gt;=78,-4,IF(W72&gt;=72,-2,IF(W72&gt;=55,2,IF(W72&gt;=45,1,0))))+IF(X72&gt;0,1,0)+IF(V72="年初来高値更新●",3,IF(V72="高値圏",2,0))+IF(AD72="パーフェクト▲",3,IF(AD72="上昇トレンド▲",2,0))+IF(AE72="25日線押し目●",2,IF(AE72="5日線押し目○",1,0))+IF(P72="急増↑↑",2,IF(P72="増加↑",1,0))+N(AI72),0))</f>
      </c>
      <c r="U72" s="163" t="str">
        <f t="shared" si="29"/>
        <v>要確認</v>
      </c>
      <c r="V72" s="163" t="str">
        <f t="shared" si="22"/>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 t="shared" si="30"/>
        <v>0.52321778940483976</v>
      </c>
      <c r="AA72" s="163" t="str">
        <f t="shared" si="31"/>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 t="shared" si="23"/>
        <v>もみ合い→</v>
      </c>
      <c r="AE72" s="404" t="str">
        <f t="shared" si="24"/>
        <v>なし</v>
      </c>
      <c r="AF72" s="365" t="str">
        <f t="array" ref="AF72">IF(C72="","",IFERROR((INDEX(終値!$E:$E,MATCH(TEXT(C72,"0"),終値!$A:$A,0))-INDEX(終値!$E:$CZ,MATCH(TEXT(C72,"0"),終値!$A:$A,0),$AL$2))/INDEX(終値!$E:$CZ,MATCH(TEXT(C72,"0"),終値!$A:$A,0),$AL$2)*100,""))</f>
        <v/>
      </c>
      <c r="AG72" s="365">
        <f t="array" ref="AG72">IFERROR((終値!$E$5-INDEX(終値!$E$5:$CZ$5,1,$AL$2))/INDEX(終値!$E$5:$CZ$5,1,$AL$2)*100,"")</f>
        <v>1.0179378228534113</v>
      </c>
      <c r="AH72" s="366" t="str">
        <f t="shared" si="25"/>
        <v/>
      </c>
      <c r="AI72" s="364" t="str">
        <f t="shared" si="26"/>
        <v/>
      </c>
      <c r="BA72">
        <f>IFERROR((SUM(OFFSET(高値!$E$6,IFERROR(MATCH($C72,銘柄管理!$B$6:$B$305,0),MATCH(TEXT($C72,"0"),銘柄管理!$B$6:$B$305,0))-1,0,1,14))-SUM(OFFSET(安値!$E$6,IFERROR(MATCH($C72,銘柄管理!$B$6:$B$305,0),MATCH(TEXT($C72,"0"),銘柄管理!$B$6:$B$305,0))-1,0,1,14)))/SUM(OFFSET(終値!$E$6,IFERROR(MATCH($C72,銘柄管理!$B$6:$B$305,0),MATCH(TEXT($C72,"0"),銘柄管理!$B$6:$B$305,0))-1,0,1,14))*100,"")</f>
      </c>
      <c r="BB72">
        <f>IFERROR((MAX(OFFSET(高値!$E$6,IFERROR(MATCH($C72,銘柄管理!$B$6:$B$305,0),MATCH(TEXT($C72,"0"),銘柄管理!$B$6:$B$305,0))-1,0,1,25))-MIN(OFFSET(安値!$E$6,IFERROR(MATCH($C72,銘柄管理!$B$6:$B$305,0),MATCH(TEXT($C72,"0"),銘柄管理!$B$6:$B$305,0))-1,0,1,25)))/$E72*100,"")</f>
      </c>
      <c r="BC72">
        <f>IFERROR(($F72-$G72)/$G72*100,"")</f>
      </c>
      <c r="BD72">
        <f>IFERROR(($E72-MAX(OFFSET(高値!$E$6,IFERROR(MATCH($C72,銘柄管理!$B$6:$B$305,0),MATCH(TEXT($C72,"0"),銘柄管理!$B$6:$B$305,0))-1,0,1,25)))/MAX(OFFSET(高値!$E$6,IFERROR(MATCH($C72,銘柄管理!$B$6:$B$305,0),MATCH(TEXT($C72,"0"),銘柄管理!$B$6:$B$305,0))-1,0,1,25))*100,"")</f>
      </c>
      <c r="BE72">
        <f>IFERROR(($H72-$I72)/$F72*100,"")</f>
      </c>
      <c r="BF72">
        <f>IFERROR(-(($BA72-AVERAGE($BA$3:$BA$206))/STDEV($BA$3:$BA$206))-(($BE72-AVERAGE($BE$3:$BE$206))/STDEV($BE$3:$BE$206))-(($BB72-AVERAGE($BB$3:$BB$206))/STDEV($BB$3:$BB$206))-(($Z72-AVERAGE($Z$3:$Z$206))/STDEV($Z$3:$Z$206))-(($BC72-AVERAGE($BC$3:$BC$206))/STDEV($BC$3:$BC$206)),"")</f>
      </c>
      <c r="BG72">
        <f>IF(OR($C72="",$C72="TOPX",$BA72="",$BF72=""),0,IF(AND($BK$10=1,$BA72&lt;=$BK$2,$BB72&lt;=$BK$3,$BC72&lt;=$BK$4,$Z72&lt;=$BK$5,$Z72&gt;=$BK$6,$BD72&gt;=$BK$7,$BE72&lt;=$BK$8),1,0))</f>
      </c>
      <c r="BH72">
        <f>IF($C72="","",IF($BG72=1,"○ゲート通過",IF($BK$10&lt;&gt;1,"― この方向は停止中",IF($BA72&gt;$BK$2,"×値動きが荒い",IF($BB72&gt;$BK$3,"×レンジが広い",IF($BC72&gt;$BK$4,"×窓を開けて上昇",IF($Z72&gt;$BK$5,"×前日に急騰",IF($Z72&lt;$BK$6,"×前日に急落",IF($BD72&lt;$BK$7,"×高値から離れすぎ",IF($BE72&gt;$BK$8,"×当日の値幅が大きい","×")))))))))</f>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 t="shared" si="17"/>
        <v>-25.412499999999998</v>
      </c>
      <c r="M73" s="166">
        <f>IF(C73&lt;&gt;"",IFERROR(AVERAGE(出来高!E77:I77),""),"")</f>
        <v>46197340</v>
      </c>
      <c r="N73" s="166">
        <f>IF(C73&lt;&gt;"",IFERROR(AVERAGE(出来高!E77:AC77),""),"")</f>
        <v>34860832</v>
      </c>
      <c r="O73" s="168">
        <f t="shared" si="18"/>
        <v>0.69202902158435964</v>
      </c>
      <c r="P73" s="163" t="str">
        <f t="shared" si="19"/>
        <v>減少↓</v>
      </c>
      <c r="Q73" s="163" t="str">
        <f t="shared" si="20"/>
        <v>中立→</v>
      </c>
      <c r="R73" s="166">
        <f t="shared" si="27"/>
        <v>3222</v>
      </c>
      <c r="S73" s="166">
        <f t="shared" si="28"/>
        <v>2864</v>
      </c>
      <c r="T73" s="163">
        <f>IF(C73="","",IFERROR(IF(O73&gt;=2,3,IF(O73&gt;=1.5,2,IF(O73&gt;=1,1,0)))+IF(E73&gt;G73,1,0)+IF(L73&gt;=-5,1,0)+IF(Q73="買い▲",2,0)+IF(W73&gt;=78,-4,IF(W73&gt;=72,-2,IF(W73&gt;=55,2,IF(W73&gt;=45,1,0))))+IF(X73&gt;0,1,0)+IF(V73="年初来高値更新●",3,IF(V73="高値圏",2,0))+IF(AD73="パーフェクト▲",3,IF(AD73="上昇トレンド▲",2,0))+IF(AE73="25日線押し目●",2,IF(AE73="5日線押し目○",1,0))+IF(P73="急増↑↑",2,IF(P73="増加↑",1,0))+N(AI73),0))</f>
      </c>
      <c r="U73" s="163" t="str">
        <f t="shared" si="29"/>
        <v>要確認</v>
      </c>
      <c r="V73" s="163" t="str">
        <f t="shared" si="22"/>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 t="shared" si="30"/>
        <v>2.3674729799279466</v>
      </c>
      <c r="AA73" s="163" t="str">
        <f t="shared" si="31"/>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 t="shared" si="23"/>
        <v>パーフェクト▲</v>
      </c>
      <c r="AE73" s="406" t="str">
        <f t="shared" si="24"/>
        <v>なし</v>
      </c>
      <c r="AF73" s="365">
        <f t="array" ref="AF73">IF(C73="","",IFERROR((INDEX(終値!$E:$E,MATCH(TEXT(C73,"0"),終値!$A:$A,0))-INDEX(終値!$E:$CZ,MATCH(TEXT(C73,"0"),終値!$A:$A,0),$AL$2))/INDEX(終値!$E:$CZ,MATCH(TEXT(C73,"0"),終値!$A:$A,0),$AL$2)*100,""))</f>
        <v>9.5063314369609095</v>
      </c>
      <c r="AG73" s="365">
        <f t="array" ref="AG73">IFERROR((終値!$E$5-INDEX(終値!$E$5:$CZ$5,1,$AL$2))/INDEX(終値!$E$5:$CZ$5,1,$AL$2)*100,"")</f>
        <v>1.0179378228534113</v>
      </c>
      <c r="AH73" s="366">
        <f t="shared" si="25"/>
        <v>8.4883936141074976</v>
      </c>
      <c r="AI73" s="364">
        <f t="shared" si="26"/>
        <v>3</v>
      </c>
      <c r="BA73">
        <f>IFERROR((SUM(OFFSET(高値!$E$6,IFERROR(MATCH($C73,銘柄管理!$B$6:$B$305,0),MATCH(TEXT($C73,"0"),銘柄管理!$B$6:$B$305,0))-1,0,1,14))-SUM(OFFSET(安値!$E$6,IFERROR(MATCH($C73,銘柄管理!$B$6:$B$305,0),MATCH(TEXT($C73,"0"),銘柄管理!$B$6:$B$305,0))-1,0,1,14)))/SUM(OFFSET(終値!$E$6,IFERROR(MATCH($C73,銘柄管理!$B$6:$B$305,0),MATCH(TEXT($C73,"0"),銘柄管理!$B$6:$B$305,0))-1,0,1,14))*100,"")</f>
      </c>
      <c r="BB73">
        <f>IFERROR((MAX(OFFSET(高値!$E$6,IFERROR(MATCH($C73,銘柄管理!$B$6:$B$305,0),MATCH(TEXT($C73,"0"),銘柄管理!$B$6:$B$305,0))-1,0,1,25))-MIN(OFFSET(安値!$E$6,IFERROR(MATCH($C73,銘柄管理!$B$6:$B$305,0),MATCH(TEXT($C73,"0"),銘柄管理!$B$6:$B$305,0))-1,0,1,25)))/$E73*100,"")</f>
      </c>
      <c r="BC73">
        <f>IFERROR(($F73-$G73)/$G73*100,"")</f>
      </c>
      <c r="BD73">
        <f>IFERROR(($E73-MAX(OFFSET(高値!$E$6,IFERROR(MATCH($C73,銘柄管理!$B$6:$B$305,0),MATCH(TEXT($C73,"0"),銘柄管理!$B$6:$B$305,0))-1,0,1,25)))/MAX(OFFSET(高値!$E$6,IFERROR(MATCH($C73,銘柄管理!$B$6:$B$305,0),MATCH(TEXT($C73,"0"),銘柄管理!$B$6:$B$305,0))-1,0,1,25))*100,"")</f>
      </c>
      <c r="BE73">
        <f>IFERROR(($H73-$I73)/$F73*100,"")</f>
      </c>
      <c r="BF73">
        <f>IFERROR(-(($BA73-AVERAGE($BA$3:$BA$206))/STDEV($BA$3:$BA$206))-(($BE73-AVERAGE($BE$3:$BE$206))/STDEV($BE$3:$BE$206))-(($BB73-AVERAGE($BB$3:$BB$206))/STDEV($BB$3:$BB$206))-(($Z73-AVERAGE($Z$3:$Z$206))/STDEV($Z$3:$Z$206))-(($BC73-AVERAGE($BC$3:$BC$206))/STDEV($BC$3:$BC$206)),"")</f>
      </c>
      <c r="BG73">
        <f>IF(OR($C73="",$C73="TOPX",$BA73="",$BF73=""),0,IF(AND($BK$10=1,$BA73&lt;=$BK$2,$BB73&lt;=$BK$3,$BC73&lt;=$BK$4,$Z73&lt;=$BK$5,$Z73&gt;=$BK$6,$BD73&gt;=$BK$7,$BE73&lt;=$BK$8),1,0))</f>
      </c>
      <c r="BH73">
        <f>IF($C73="","",IF($BG73=1,"○ゲート通過",IF($BK$10&lt;&gt;1,"― この方向は停止中",IF($BA73&gt;$BK$2,"×値動きが荒い",IF($BB73&gt;$BK$3,"×レンジが広い",IF($BC73&gt;$BK$4,"×窓を開けて上昇",IF($Z73&gt;$BK$5,"×前日に急騰",IF($Z73&lt;$BK$6,"×前日に急落",IF($BD73&lt;$BK$7,"×高値から離れすぎ",IF($BE73&gt;$BK$8,"×当日の値幅が大きい","×")))))))))</f>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 t="shared" si="17"/>
        <v>-6.7243867243867248</v>
      </c>
      <c r="M74" s="166">
        <f>IF(C74&lt;&gt;"",IFERROR(AVERAGE(出来高!E85:I85),""),"")</f>
        <v>7322700</v>
      </c>
      <c r="N74" s="166">
        <f>IF(C74&lt;&gt;"",IFERROR(AVERAGE(出来高!E85:AC85),""),"")</f>
        <v>6567544</v>
      </c>
      <c r="O74" s="168">
        <f t="shared" si="18"/>
        <v>0.71427205812063854</v>
      </c>
      <c r="P74" s="163" t="str">
        <f t="shared" si="19"/>
        <v>減少↓</v>
      </c>
      <c r="Q74" s="163" t="str">
        <f t="shared" si="20"/>
        <v>中立→</v>
      </c>
      <c r="R74" s="166">
        <f t="shared" si="27"/>
        <v>3491</v>
      </c>
      <c r="S74" s="166">
        <f t="shared" si="28"/>
        <v>3103</v>
      </c>
      <c r="T74" s="163">
        <f>IF(C74="","",IFERROR(IF(O74&gt;=2,3,IF(O74&gt;=1.5,2,IF(O74&gt;=1,1,0)))+IF(E74&gt;G74,1,0)+IF(L74&gt;=-5,1,0)+IF(Q74="買い▲",2,0)+IF(W74&gt;=78,-4,IF(W74&gt;=72,-2,IF(W74&gt;=55,2,IF(W74&gt;=45,1,0))))+IF(X74&gt;0,1,0)+IF(V74="年初来高値更新●",3,IF(V74="高値圏",2,0))+IF(AD74="パーフェクト▲",3,IF(AD74="上昇トレンド▲",2,0))+IF(AE74="25日線押し目●",2,IF(AE74="5日線押し目○",1,0))+IF(P74="急増↑↑",2,IF(P74="増加↑",1,0))+N(AI74),0))</f>
      </c>
      <c r="U74" s="163" t="str">
        <f t="shared" si="29"/>
        <v>要確認</v>
      </c>
      <c r="V74" s="163" t="str">
        <f t="shared" si="22"/>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 t="shared" si="30"/>
        <v>1</v>
      </c>
      <c r="AA74" s="163" t="str">
        <f t="shared" si="31"/>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 t="shared" si="23"/>
        <v>下降トレンド▼</v>
      </c>
      <c r="AE74" s="404" t="str">
        <f t="shared" si="24"/>
        <v>なし</v>
      </c>
      <c r="AF74" s="365">
        <f t="array" ref="AF74">IF(C74="","",IFERROR((INDEX(終値!$E:$E,MATCH(TEXT(C74,"0"),終値!$A:$A,0))-INDEX(終値!$E:$CZ,MATCH(TEXT(C74,"0"),終値!$A:$A,0),$AL$2))/INDEX(終値!$E:$CZ,MATCH(TEXT(C74,"0"),終値!$A:$A,0),$AL$2)*100,""))</f>
        <v>4.697116942014901</v>
      </c>
      <c r="AG74" s="365">
        <f t="array" ref="AG74">IFERROR((終値!$E$5-INDEX(終値!$E$5:$CZ$5,1,$AL$2))/INDEX(終値!$E$5:$CZ$5,1,$AL$2)*100,"")</f>
        <v>1.0179378228534113</v>
      </c>
      <c r="AH74" s="366">
        <f t="shared" si="25"/>
        <v>3.67917911916149</v>
      </c>
      <c r="AI74" s="364">
        <f t="shared" si="26"/>
        <v>1</v>
      </c>
      <c r="BA74">
        <f>IFERROR((SUM(OFFSET(高値!$E$6,IFERROR(MATCH($C74,銘柄管理!$B$6:$B$305,0),MATCH(TEXT($C74,"0"),銘柄管理!$B$6:$B$305,0))-1,0,1,14))-SUM(OFFSET(安値!$E$6,IFERROR(MATCH($C74,銘柄管理!$B$6:$B$305,0),MATCH(TEXT($C74,"0"),銘柄管理!$B$6:$B$305,0))-1,0,1,14)))/SUM(OFFSET(終値!$E$6,IFERROR(MATCH($C74,銘柄管理!$B$6:$B$305,0),MATCH(TEXT($C74,"0"),銘柄管理!$B$6:$B$305,0))-1,0,1,14))*100,"")</f>
      </c>
      <c r="BB74">
        <f>IFERROR((MAX(OFFSET(高値!$E$6,IFERROR(MATCH($C74,銘柄管理!$B$6:$B$305,0),MATCH(TEXT($C74,"0"),銘柄管理!$B$6:$B$305,0))-1,0,1,25))-MIN(OFFSET(安値!$E$6,IFERROR(MATCH($C74,銘柄管理!$B$6:$B$305,0),MATCH(TEXT($C74,"0"),銘柄管理!$B$6:$B$305,0))-1,0,1,25)))/$E74*100,"")</f>
      </c>
      <c r="BC74">
        <f>IFERROR(($F74-$G74)/$G74*100,"")</f>
      </c>
      <c r="BD74">
        <f>IFERROR(($E74-MAX(OFFSET(高値!$E$6,IFERROR(MATCH($C74,銘柄管理!$B$6:$B$305,0),MATCH(TEXT($C74,"0"),銘柄管理!$B$6:$B$305,0))-1,0,1,25)))/MAX(OFFSET(高値!$E$6,IFERROR(MATCH($C74,銘柄管理!$B$6:$B$305,0),MATCH(TEXT($C74,"0"),銘柄管理!$B$6:$B$305,0))-1,0,1,25))*100,"")</f>
      </c>
      <c r="BE74">
        <f>IFERROR(($H74-$I74)/$F74*100,"")</f>
      </c>
      <c r="BF74">
        <f>IFERROR(-(($BA74-AVERAGE($BA$3:$BA$206))/STDEV($BA$3:$BA$206))-(($BE74-AVERAGE($BE$3:$BE$206))/STDEV($BE$3:$BE$206))-(($BB74-AVERAGE($BB$3:$BB$206))/STDEV($BB$3:$BB$206))-(($Z74-AVERAGE($Z$3:$Z$206))/STDEV($Z$3:$Z$206))-(($BC74-AVERAGE($BC$3:$BC$206))/STDEV($BC$3:$BC$206)),"")</f>
      </c>
      <c r="BG74">
        <f>IF(OR($C74="",$C74="TOPX",$BA74="",$BF74=""),0,IF(AND($BK$10=1,$BA74&lt;=$BK$2,$BB74&lt;=$BK$3,$BC74&lt;=$BK$4,$Z74&lt;=$BK$5,$Z74&gt;=$BK$6,$BD74&gt;=$BK$7,$BE74&lt;=$BK$8),1,0))</f>
      </c>
      <c r="BH74">
        <f>IF($C74="","",IF($BG74=1,"○ゲート通過",IF($BK$10&lt;&gt;1,"― この方向は停止中",IF($BA74&gt;$BK$2,"×値動きが荒い",IF($BB74&gt;$BK$3,"×レンジが広い",IF($BC74&gt;$BK$4,"×窓を開けて上昇",IF($Z74&gt;$BK$5,"×前日に急騰",IF($Z74&lt;$BK$6,"×前日に急落",IF($BD74&lt;$BK$7,"×高値から離れすぎ",IF($BE74&gt;$BK$8,"×当日の値幅が大きい","×")))))))))</f>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 t="shared" si="17"/>
        <v>2.6805424156417534</v>
      </c>
      <c r="M75" s="166">
        <f>IF(C75&lt;&gt;"",IFERROR(AVERAGE(出来高!E82:I82),""),"")</f>
        <v>3550420</v>
      </c>
      <c r="N75" s="166">
        <f>IF(C75&lt;&gt;"",IFERROR(AVERAGE(出来高!E82:AC82),""),"")</f>
        <v>3110808</v>
      </c>
      <c r="O75" s="168">
        <f t="shared" si="18"/>
        <v>1.3438973417229512</v>
      </c>
      <c r="P75" s="163" t="str">
        <f t="shared" si="19"/>
        <v>普通→</v>
      </c>
      <c r="Q75" s="163" t="str">
        <f t="shared" si="20"/>
        <v>中立→</v>
      </c>
      <c r="R75" s="166">
        <f t="shared" si="27"/>
        <v>1758</v>
      </c>
      <c r="S75" s="166">
        <f t="shared" si="28"/>
        <v>1563</v>
      </c>
      <c r="T75" s="163">
        <f>IF(C75="","",IFERROR(IF(O75&gt;=2,3,IF(O75&gt;=1.5,2,IF(O75&gt;=1,1,0)))+IF(E75&gt;G75,1,0)+IF(L75&gt;=-5,1,0)+IF(Q75="買い▲",2,0)+IF(W75&gt;=78,-4,IF(W75&gt;=72,-2,IF(W75&gt;=55,2,IF(W75&gt;=45,1,0))))+IF(X75&gt;0,1,0)+IF(V75="年初来高値更新●",3,IF(V75="高値圏",2,0))+IF(AD75="パーフェクト▲",3,IF(AD75="上昇トレンド▲",2,0))+IF(AE75="25日線押し目●",2,IF(AE75="5日線押し目○",1,0))+IF(P75="急増↑↑",2,IF(P75="増加↑",1,0))+N(AI75),0))</f>
      </c>
      <c r="U75" s="163" t="str">
        <f t="shared" si="29"/>
        <v>要確認</v>
      </c>
      <c r="V75" s="163" t="str">
        <f t="shared" si="22"/>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 t="shared" si="30"/>
        <v>6.9645203679369247</v>
      </c>
      <c r="AA75" s="163" t="str">
        <f t="shared" si="31"/>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 t="shared" si="23"/>
        <v>もみ合い→</v>
      </c>
      <c r="AE75" s="406" t="str">
        <f t="shared" si="24"/>
        <v>なし</v>
      </c>
      <c r="AF75" s="365">
        <f t="array" ref="AF75">IF(C75="","",IFERROR((INDEX(終値!$E:$E,MATCH(TEXT(C75,"0"),終値!$A:$A,0))-INDEX(終値!$E:$CZ,MATCH(TEXT(C75,"0"),終値!$A:$A,0),$AL$2))/INDEX(終値!$E:$CZ,MATCH(TEXT(C75,"0"),終値!$A:$A,0),$AL$2)*100,""))</f>
        <v>13.726859937128886</v>
      </c>
      <c r="AG75" s="365">
        <f t="array" ref="AG75">IFERROR((終値!$E$5-INDEX(終値!$E$5:$CZ$5,1,$AL$2))/INDEX(終値!$E$5:$CZ$5,1,$AL$2)*100,"")</f>
        <v>1.0179378228534113</v>
      </c>
      <c r="AH75" s="366">
        <f t="shared" si="25"/>
        <v>12.708922114275474</v>
      </c>
      <c r="AI75" s="364">
        <f t="shared" si="26"/>
        <v>3</v>
      </c>
      <c r="BA75">
        <f>IFERROR((SUM(OFFSET(高値!$E$6,IFERROR(MATCH($C75,銘柄管理!$B$6:$B$305,0),MATCH(TEXT($C75,"0"),銘柄管理!$B$6:$B$305,0))-1,0,1,14))-SUM(OFFSET(安値!$E$6,IFERROR(MATCH($C75,銘柄管理!$B$6:$B$305,0),MATCH(TEXT($C75,"0"),銘柄管理!$B$6:$B$305,0))-1,0,1,14)))/SUM(OFFSET(終値!$E$6,IFERROR(MATCH($C75,銘柄管理!$B$6:$B$305,0),MATCH(TEXT($C75,"0"),銘柄管理!$B$6:$B$305,0))-1,0,1,14))*100,"")</f>
      </c>
      <c r="BB75">
        <f>IFERROR((MAX(OFFSET(高値!$E$6,IFERROR(MATCH($C75,銘柄管理!$B$6:$B$305,0),MATCH(TEXT($C75,"0"),銘柄管理!$B$6:$B$305,0))-1,0,1,25))-MIN(OFFSET(安値!$E$6,IFERROR(MATCH($C75,銘柄管理!$B$6:$B$305,0),MATCH(TEXT($C75,"0"),銘柄管理!$B$6:$B$305,0))-1,0,1,25)))/$E75*100,"")</f>
      </c>
      <c r="BC75">
        <f>IFERROR(($F75-$G75)/$G75*100,"")</f>
      </c>
      <c r="BD75">
        <f>IFERROR(($E75-MAX(OFFSET(高値!$E$6,IFERROR(MATCH($C75,銘柄管理!$B$6:$B$305,0),MATCH(TEXT($C75,"0"),銘柄管理!$B$6:$B$305,0))-1,0,1,25)))/MAX(OFFSET(高値!$E$6,IFERROR(MATCH($C75,銘柄管理!$B$6:$B$305,0),MATCH(TEXT($C75,"0"),銘柄管理!$B$6:$B$305,0))-1,0,1,25))*100,"")</f>
      </c>
      <c r="BE75">
        <f>IFERROR(($H75-$I75)/$F75*100,"")</f>
      </c>
      <c r="BF75">
        <f>IFERROR(-(($BA75-AVERAGE($BA$3:$BA$206))/STDEV($BA$3:$BA$206))-(($BE75-AVERAGE($BE$3:$BE$206))/STDEV($BE$3:$BE$206))-(($BB75-AVERAGE($BB$3:$BB$206))/STDEV($BB$3:$BB$206))-(($Z75-AVERAGE($Z$3:$Z$206))/STDEV($Z$3:$Z$206))-(($BC75-AVERAGE($BC$3:$BC$206))/STDEV($BC$3:$BC$206)),"")</f>
      </c>
      <c r="BG75">
        <f>IF(OR($C75="",$C75="TOPX",$BA75="",$BF75=""),0,IF(AND($BK$10=1,$BA75&lt;=$BK$2,$BB75&lt;=$BK$3,$BC75&lt;=$BK$4,$Z75&lt;=$BK$5,$Z75&gt;=$BK$6,$BD75&gt;=$BK$7,$BE75&lt;=$BK$8),1,0))</f>
      </c>
      <c r="BH75">
        <f>IF($C75="","",IF($BG75=1,"○ゲート通過",IF($BK$10&lt;&gt;1,"― この方向は停止中",IF($BA75&gt;$BK$2,"×値動きが荒い",IF($BB75&gt;$BK$3,"×レンジが広い",IF($BC75&gt;$BK$4,"×窓を開けて上昇",IF($Z75&gt;$BK$5,"×前日に急騰",IF($Z75&lt;$BK$6,"×前日に急落",IF($BD75&lt;$BK$7,"×高値から離れすぎ",IF($BE75&gt;$BK$8,"×当日の値幅が大きい","×")))))))))</f>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 t="shared" si="17"/>
        <v>-17.723513194170934</v>
      </c>
      <c r="M76" s="166">
        <f>IF(C76&lt;&gt;"",IFERROR(AVERAGE(出来高!E106:I106),""),"")</f>
        <v>1480</v>
      </c>
      <c r="N76" s="166">
        <f>IF(C76&lt;&gt;"",IFERROR(AVERAGE(出来高!E106:AC106),""),"")</f>
        <v>1556</v>
      </c>
      <c r="O76" s="168">
        <f t="shared" si="18"/>
        <v>0.94594594594594594</v>
      </c>
      <c r="P76" s="163" t="str">
        <f t="shared" si="19"/>
        <v>減少↓</v>
      </c>
      <c r="Q76" s="163" t="str">
        <f t="shared" si="20"/>
        <v>中立→</v>
      </c>
      <c r="R76" s="166">
        <f t="shared" si="27"/>
        <v>2256</v>
      </c>
      <c r="S76" s="166">
        <f t="shared" si="28"/>
        <v>2005</v>
      </c>
      <c r="T76" s="163">
        <f>IF(C76="","",IFERROR(IF(O76&gt;=2,3,IF(O76&gt;=1.5,2,IF(O76&gt;=1,1,0)))+IF(E76&gt;G76,1,0)+IF(L76&gt;=-5,1,0)+IF(Q76="買い▲",2,0)+IF(W76&gt;=78,-4,IF(W76&gt;=72,-2,IF(W76&gt;=55,2,IF(W76&gt;=45,1,0))))+IF(X76&gt;0,1,0)+IF(V76="年初来高値更新●",3,IF(V76="高値圏",2,0))+IF(AD76="パーフェクト▲",3,IF(AD76="上昇トレンド▲",2,0))+IF(AE76="25日線押し目●",2,IF(AE76="5日線押し目○",1,0))+IF(P76="急増↑↑",2,IF(P76="増加↑",1,0))+N(AI76),0))</f>
      </c>
      <c r="U76" s="163" t="str">
        <f t="shared" si="29"/>
        <v>要確認</v>
      </c>
      <c r="V76" s="163" t="str">
        <f t="shared" si="22"/>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 t="shared" si="30"/>
        <v>1.9024390243902438</v>
      </c>
      <c r="AA76" s="163" t="str">
        <f t="shared" si="31"/>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 t="shared" si="23"/>
        <v>下降トレンド▼</v>
      </c>
      <c r="AE76" s="404" t="str">
        <f t="shared" si="24"/>
        <v>なし</v>
      </c>
      <c r="AF76" s="365">
        <f t="array" ref="AF76">IF(C76="","",IFERROR((INDEX(終値!$E:$E,MATCH(TEXT(C76,"0"),終値!$A:$A,0))-INDEX(終値!$E:$CZ,MATCH(TEXT(C76,"0"),終値!$A:$A,0),$AL$2))/INDEX(終値!$E:$CZ,MATCH(TEXT(C76,"0"),終値!$A:$A,0),$AL$2)*100,""))</f>
        <v>16.120066703724291</v>
      </c>
      <c r="AG76" s="365">
        <f t="array" ref="AG76">IFERROR((終値!$E$5-INDEX(終値!$E$5:$CZ$5,1,$AL$2))/INDEX(終値!$E$5:$CZ$5,1,$AL$2)*100,"")</f>
        <v>1.0179378228534113</v>
      </c>
      <c r="AH76" s="366">
        <f t="shared" si="25"/>
        <v>15.102128880870879</v>
      </c>
      <c r="AI76" s="364">
        <f t="shared" si="26"/>
        <v>3</v>
      </c>
      <c r="BA76">
        <f>IFERROR((SUM(OFFSET(高値!$E$6,IFERROR(MATCH($C76,銘柄管理!$B$6:$B$305,0),MATCH(TEXT($C76,"0"),銘柄管理!$B$6:$B$305,0))-1,0,1,14))-SUM(OFFSET(安値!$E$6,IFERROR(MATCH($C76,銘柄管理!$B$6:$B$305,0),MATCH(TEXT($C76,"0"),銘柄管理!$B$6:$B$305,0))-1,0,1,14)))/SUM(OFFSET(終値!$E$6,IFERROR(MATCH($C76,銘柄管理!$B$6:$B$305,0),MATCH(TEXT($C76,"0"),銘柄管理!$B$6:$B$305,0))-1,0,1,14))*100,"")</f>
      </c>
      <c r="BB76">
        <f>IFERROR((MAX(OFFSET(高値!$E$6,IFERROR(MATCH($C76,銘柄管理!$B$6:$B$305,0),MATCH(TEXT($C76,"0"),銘柄管理!$B$6:$B$305,0))-1,0,1,25))-MIN(OFFSET(安値!$E$6,IFERROR(MATCH($C76,銘柄管理!$B$6:$B$305,0),MATCH(TEXT($C76,"0"),銘柄管理!$B$6:$B$305,0))-1,0,1,25)))/$E76*100,"")</f>
      </c>
      <c r="BC76">
        <f>IFERROR(($F76-$G76)/$G76*100,"")</f>
      </c>
      <c r="BD76">
        <f>IFERROR(($E76-MAX(OFFSET(高値!$E$6,IFERROR(MATCH($C76,銘柄管理!$B$6:$B$305,0),MATCH(TEXT($C76,"0"),銘柄管理!$B$6:$B$305,0))-1,0,1,25)))/MAX(OFFSET(高値!$E$6,IFERROR(MATCH($C76,銘柄管理!$B$6:$B$305,0),MATCH(TEXT($C76,"0"),銘柄管理!$B$6:$B$305,0))-1,0,1,25))*100,"")</f>
      </c>
      <c r="BE76">
        <f>IFERROR(($H76-$I76)/$F76*100,"")</f>
      </c>
      <c r="BF76">
        <f>IFERROR(-(($BA76-AVERAGE($BA$3:$BA$206))/STDEV($BA$3:$BA$206))-(($BE76-AVERAGE($BE$3:$BE$206))/STDEV($BE$3:$BE$206))-(($BB76-AVERAGE($BB$3:$BB$206))/STDEV($BB$3:$BB$206))-(($Z76-AVERAGE($Z$3:$Z$206))/STDEV($Z$3:$Z$206))-(($BC76-AVERAGE($BC$3:$BC$206))/STDEV($BC$3:$BC$206)),"")</f>
      </c>
      <c r="BG76">
        <f>IF(OR($C76="",$C76="TOPX",$BA76="",$BF76=""),0,IF(AND($BK$10=1,$BA76&lt;=$BK$2,$BB76&lt;=$BK$3,$BC76&lt;=$BK$4,$Z76&lt;=$BK$5,$Z76&gt;=$BK$6,$BD76&gt;=$BK$7,$BE76&lt;=$BK$8),1,0))</f>
      </c>
      <c r="BH76">
        <f>IF($C76="","",IF($BG76=1,"○ゲート通過",IF($BK$10&lt;&gt;1,"― この方向は停止中",IF($BA76&gt;$BK$2,"×値動きが荒い",IF($BB76&gt;$BK$3,"×レンジが広い",IF($BC76&gt;$BK$4,"×窓を開けて上昇",IF($Z76&gt;$BK$5,"×前日に急騰",IF($Z76&lt;$BK$6,"×前日に急落",IF($BD76&lt;$BK$7,"×高値から離れすぎ",IF($BE76&gt;$BK$8,"×当日の値幅が大きい","×")))))))))</f>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 t="shared" si="17"/>
        <v>-23.233486943164365</v>
      </c>
      <c r="M77" s="166">
        <f>IF(C77&lt;&gt;"",IFERROR(AVERAGE(出来高!E207:I207),""),"")</f>
        <v>29811200</v>
      </c>
      <c r="N77" s="166">
        <f>IF(C77&lt;&gt;"",IFERROR(AVERAGE(出来高!E207:AC207),""),"")</f>
        <v>20416600</v>
      </c>
      <c r="O77" s="168">
        <f t="shared" si="18"/>
        <v>0.66469313546586517</v>
      </c>
      <c r="P77" s="163" t="str">
        <f t="shared" si="19"/>
        <v>減少↓</v>
      </c>
      <c r="Q77" s="163" t="str">
        <f t="shared" si="20"/>
        <v>様子見▼</v>
      </c>
      <c r="R77" s="166">
        <f t="shared" si="27"/>
        <v>4318</v>
      </c>
      <c r="S77" s="166">
        <f t="shared" si="28"/>
        <v>3838</v>
      </c>
      <c r="T77" s="163">
        <f>IF(C77="","",IFERROR(IF(O77&gt;=2,3,IF(O77&gt;=1.5,2,IF(O77&gt;=1,1,0)))+IF(E77&gt;G77,1,0)+IF(L77&gt;=-5,1,0)+IF(Q77="買い▲",2,0)+IF(W77&gt;=78,-4,IF(W77&gt;=72,-2,IF(W77&gt;=55,2,IF(W77&gt;=45,1,0))))+IF(X77&gt;0,1,0)+IF(V77="年初来高値更新●",3,IF(V77="高値圏",2,0))+IF(AD77="パーフェクト▲",3,IF(AD77="上昇トレンド▲",2,0))+IF(AE77="25日線押し目●",2,IF(AE77="5日線押し目○",1,0))+IF(P77="急増↑↑",2,IF(P77="増加↑",1,0))+N(AI77),0))</f>
      </c>
      <c r="U77" s="163" t="str">
        <f t="shared" si="29"/>
        <v>要確認</v>
      </c>
      <c r="V77" s="163" t="str">
        <f t="shared" si="22"/>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 t="shared" si="30"/>
        <v>-0.05</v>
      </c>
      <c r="AA77" s="163" t="str">
        <f t="shared" si="31"/>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 t="shared" si="23"/>
        <v>上昇トレンド▲</v>
      </c>
      <c r="AE77" s="406" t="str">
        <f t="shared" si="24"/>
        <v>25日押し目★</v>
      </c>
      <c r="AF77" s="365">
        <f t="array" ref="AF77">IF(C77="","",IFERROR((INDEX(終値!$E:$E,MATCH(TEXT(C77,"0"),終値!$A:$A,0))-INDEX(終値!$E:$CZ,MATCH(TEXT(C77,"0"),終値!$A:$A,0),$AL$2))/INDEX(終値!$E:$CZ,MATCH(TEXT(C77,"0"),終値!$A:$A,0),$AL$2)*100,""))</f>
        <v>7.0128479657387581</v>
      </c>
      <c r="AG77" s="365">
        <f t="array" ref="AG77">IFERROR((終値!$E$5-INDEX(終値!$E$5:$CZ$5,1,$AL$2))/INDEX(終値!$E$5:$CZ$5,1,$AL$2)*100,"")</f>
        <v>1.0179378228534113</v>
      </c>
      <c r="AH77" s="366">
        <f t="shared" si="25"/>
        <v>5.9949101428853471</v>
      </c>
      <c r="AI77" s="364">
        <f t="shared" si="26"/>
        <v>3</v>
      </c>
      <c r="BA77">
        <f>IFERROR((SUM(OFFSET(高値!$E$6,IFERROR(MATCH($C77,銘柄管理!$B$6:$B$305,0),MATCH(TEXT($C77,"0"),銘柄管理!$B$6:$B$305,0))-1,0,1,14))-SUM(OFFSET(安値!$E$6,IFERROR(MATCH($C77,銘柄管理!$B$6:$B$305,0),MATCH(TEXT($C77,"0"),銘柄管理!$B$6:$B$305,0))-1,0,1,14)))/SUM(OFFSET(終値!$E$6,IFERROR(MATCH($C77,銘柄管理!$B$6:$B$305,0),MATCH(TEXT($C77,"0"),銘柄管理!$B$6:$B$305,0))-1,0,1,14))*100,"")</f>
      </c>
      <c r="BB77">
        <f>IFERROR((MAX(OFFSET(高値!$E$6,IFERROR(MATCH($C77,銘柄管理!$B$6:$B$305,0),MATCH(TEXT($C77,"0"),銘柄管理!$B$6:$B$305,0))-1,0,1,25))-MIN(OFFSET(安値!$E$6,IFERROR(MATCH($C77,銘柄管理!$B$6:$B$305,0),MATCH(TEXT($C77,"0"),銘柄管理!$B$6:$B$305,0))-1,0,1,25)))/$E77*100,"")</f>
      </c>
      <c r="BC77">
        <f>IFERROR(($F77-$G77)/$G77*100,"")</f>
      </c>
      <c r="BD77">
        <f>IFERROR(($E77-MAX(OFFSET(高値!$E$6,IFERROR(MATCH($C77,銘柄管理!$B$6:$B$305,0),MATCH(TEXT($C77,"0"),銘柄管理!$B$6:$B$305,0))-1,0,1,25)))/MAX(OFFSET(高値!$E$6,IFERROR(MATCH($C77,銘柄管理!$B$6:$B$305,0),MATCH(TEXT($C77,"0"),銘柄管理!$B$6:$B$305,0))-1,0,1,25))*100,"")</f>
      </c>
      <c r="BE77">
        <f>IFERROR(($H77-$I77)/$F77*100,"")</f>
      </c>
      <c r="BF77">
        <f>IFERROR(-(($BA77-AVERAGE($BA$3:$BA$206))/STDEV($BA$3:$BA$206))-(($BE77-AVERAGE($BE$3:$BE$206))/STDEV($BE$3:$BE$206))-(($BB77-AVERAGE($BB$3:$BB$206))/STDEV($BB$3:$BB$206))-(($Z77-AVERAGE($Z$3:$Z$206))/STDEV($Z$3:$Z$206))-(($BC77-AVERAGE($BC$3:$BC$206))/STDEV($BC$3:$BC$206)),"")</f>
      </c>
      <c r="BG77">
        <f>IF(OR($C77="",$C77="TOPX",$BA77="",$BF77=""),0,IF(AND($BK$10=1,$BA77&lt;=$BK$2,$BB77&lt;=$BK$3,$BC77&lt;=$BK$4,$Z77&lt;=$BK$5,$Z77&gt;=$BK$6,$BD77&gt;=$BK$7,$BE77&lt;=$BK$8),1,0))</f>
      </c>
      <c r="BH77">
        <f>IF($C77="","",IF($BG77=1,"○ゲート通過",IF($BK$10&lt;&gt;1,"― この方向は停止中",IF($BA77&gt;$BK$2,"×値動きが荒い",IF($BB77&gt;$BK$3,"×レンジが広い",IF($BC77&gt;$BK$4,"×窓を開けて上昇",IF($Z77&gt;$BK$5,"×前日に急騰",IF($Z77&lt;$BK$6,"×前日に急落",IF($BD77&lt;$BK$7,"×高値から離れすぎ",IF($BE77&gt;$BK$8,"×当日の値幅が大きい","×")))))))))</f>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 t="shared" si="17"/>
        <v>-42.450562233423803</v>
      </c>
      <c r="M78" s="166">
        <f>IF(C78&lt;&gt;"",IFERROR(AVERAGE(出来高!E154:I154),""),"")</f>
        <v>29371300</v>
      </c>
      <c r="N78" s="166">
        <f>IF(C78&lt;&gt;"",IFERROR(AVERAGE(出来高!E154:AC154),""),"")</f>
        <v>31748592</v>
      </c>
      <c r="O78" s="168">
        <f t="shared" si="18"/>
        <v>1.2343273876198875</v>
      </c>
      <c r="P78" s="163" t="str">
        <f t="shared" si="19"/>
        <v>普通→</v>
      </c>
      <c r="Q78" s="163" t="str">
        <f t="shared" si="20"/>
        <v>様子見▼</v>
      </c>
      <c r="R78" s="166">
        <f t="shared" si="27"/>
        <v>8015</v>
      </c>
      <c r="S78" s="166">
        <f t="shared" si="28"/>
        <v>7124</v>
      </c>
      <c r="T78" s="163">
        <f>IF(C78="","",IFERROR(IF(O78&gt;=2,3,IF(O78&gt;=1.5,2,IF(O78&gt;=1,1,0)))+IF(E78&gt;G78,1,0)+IF(L78&gt;=-5,1,0)+IF(Q78="買い▲",2,0)+IF(W78&gt;=78,-4,IF(W78&gt;=72,-2,IF(W78&gt;=55,2,IF(W78&gt;=45,1,0))))+IF(X78&gt;0,1,0)+IF(V78="年初来高値更新●",3,IF(V78="高値圏",2,0))+IF(AD78="パーフェクト▲",3,IF(AD78="上昇トレンド▲",2,0))+IF(AE78="25日線押し目●",2,IF(AE78="5日線押し目○",1,0))+IF(P78="急増↑↑",2,IF(P78="増加↑",1,0))+N(AI78),0))</f>
      </c>
      <c r="U78" s="163" t="str">
        <f t="shared" si="29"/>
        <v>要確認</v>
      </c>
      <c r="V78" s="163" t="str">
        <f t="shared" si="22"/>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 t="shared" si="30"/>
        <v>-5.2113935368501725</v>
      </c>
      <c r="AA78" s="163" t="str">
        <f t="shared" si="31"/>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 t="shared" si="23"/>
        <v>パーフェクト▲</v>
      </c>
      <c r="AE78" s="404" t="str">
        <f t="shared" si="24"/>
        <v>なし</v>
      </c>
      <c r="AF78" s="365">
        <f t="array" ref="AF78">IF(C78="","",IFERROR((INDEX(終値!$E:$E,MATCH(TEXT(C78,"0"),終値!$A:$A,0))-INDEX(終値!$E:$CZ,MATCH(TEXT(C78,"0"),終値!$A:$A,0),$AL$2))/INDEX(終値!$E:$CZ,MATCH(TEXT(C78,"0"),終値!$A:$A,0),$AL$2)*100,""))</f>
        <v>-37.586206896551722</v>
      </c>
      <c r="AG78" s="365">
        <f t="array" ref="AG78">IFERROR((終値!$E$5-INDEX(終値!$E$5:$CZ$5,1,$AL$2))/INDEX(終値!$E$5:$CZ$5,1,$AL$2)*100,"")</f>
        <v>1.0179378228534113</v>
      </c>
      <c r="AH78" s="366">
        <f t="shared" si="25"/>
        <v>-38.604144719405134</v>
      </c>
      <c r="AI78" s="364">
        <f t="shared" si="26"/>
        <v>-2</v>
      </c>
      <c r="BA78">
        <f>IFERROR((SUM(OFFSET(高値!$E$6,IFERROR(MATCH($C78,銘柄管理!$B$6:$B$305,0),MATCH(TEXT($C78,"0"),銘柄管理!$B$6:$B$305,0))-1,0,1,14))-SUM(OFFSET(安値!$E$6,IFERROR(MATCH($C78,銘柄管理!$B$6:$B$305,0),MATCH(TEXT($C78,"0"),銘柄管理!$B$6:$B$305,0))-1,0,1,14)))/SUM(OFFSET(終値!$E$6,IFERROR(MATCH($C78,銘柄管理!$B$6:$B$305,0),MATCH(TEXT($C78,"0"),銘柄管理!$B$6:$B$305,0))-1,0,1,14))*100,"")</f>
      </c>
      <c r="BB78">
        <f>IFERROR((MAX(OFFSET(高値!$E$6,IFERROR(MATCH($C78,銘柄管理!$B$6:$B$305,0),MATCH(TEXT($C78,"0"),銘柄管理!$B$6:$B$305,0))-1,0,1,25))-MIN(OFFSET(安値!$E$6,IFERROR(MATCH($C78,銘柄管理!$B$6:$B$305,0),MATCH(TEXT($C78,"0"),銘柄管理!$B$6:$B$305,0))-1,0,1,25)))/$E78*100,"")</f>
      </c>
      <c r="BC78">
        <f>IFERROR(($F78-$G78)/$G78*100,"")</f>
      </c>
      <c r="BD78">
        <f>IFERROR(($E78-MAX(OFFSET(高値!$E$6,IFERROR(MATCH($C78,銘柄管理!$B$6:$B$305,0),MATCH(TEXT($C78,"0"),銘柄管理!$B$6:$B$305,0))-1,0,1,25)))/MAX(OFFSET(高値!$E$6,IFERROR(MATCH($C78,銘柄管理!$B$6:$B$305,0),MATCH(TEXT($C78,"0"),銘柄管理!$B$6:$B$305,0))-1,0,1,25))*100,"")</f>
      </c>
      <c r="BE78">
        <f>IFERROR(($H78-$I78)/$F78*100,"")</f>
      </c>
      <c r="BF78">
        <f>IFERROR(-(($BA78-AVERAGE($BA$3:$BA$206))/STDEV($BA$3:$BA$206))-(($BE78-AVERAGE($BE$3:$BE$206))/STDEV($BE$3:$BE$206))-(($BB78-AVERAGE($BB$3:$BB$206))/STDEV($BB$3:$BB$206))-(($Z78-AVERAGE($Z$3:$Z$206))/STDEV($Z$3:$Z$206))-(($BC78-AVERAGE($BC$3:$BC$206))/STDEV($BC$3:$BC$206)),"")</f>
      </c>
      <c r="BG78">
        <f>IF(OR($C78="",$C78="TOPX",$BA78="",$BF78=""),0,IF(AND($BK$10=1,$BA78&lt;=$BK$2,$BB78&lt;=$BK$3,$BC78&lt;=$BK$4,$Z78&lt;=$BK$5,$Z78&gt;=$BK$6,$BD78&gt;=$BK$7,$BE78&lt;=$BK$8),1,0))</f>
      </c>
      <c r="BH78">
        <f>IF($C78="","",IF($BG78=1,"○ゲート通過",IF($BK$10&lt;&gt;1,"― この方向は停止中",IF($BA78&gt;$BK$2,"×値動きが荒い",IF($BB78&gt;$BK$3,"×レンジが広い",IF($BC78&gt;$BK$4,"×窓を開けて上昇",IF($Z78&gt;$BK$5,"×前日に急騰",IF($Z78&lt;$BK$6,"×前日に急落",IF($BD78&lt;$BK$7,"×高値から離れすぎ",IF($BE78&gt;$BK$8,"×当日の値幅が大きい","×")))))))))</f>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 t="shared" si="17"/>
        <v>-27.59009009009009</v>
      </c>
      <c r="M79" s="166">
        <f>IF(C79&lt;&gt;"",IFERROR(AVERAGE(出来高!E78:I78),""),"")</f>
        <v>11581080</v>
      </c>
      <c r="N79" s="166">
        <f>IF(C79&lt;&gt;"",IFERROR(AVERAGE(出来高!E78:AC78),""),"")</f>
        <v>6926760</v>
      </c>
      <c r="O79" s="168">
        <f t="shared" si="18"/>
        <v>0.59456458292318159</v>
      </c>
      <c r="P79" s="163" t="str">
        <f t="shared" si="19"/>
        <v>減少↓</v>
      </c>
      <c r="Q79" s="163" t="str">
        <f t="shared" si="20"/>
        <v>様子見▼</v>
      </c>
      <c r="R79" s="166">
        <f t="shared" si="27"/>
        <v>6944</v>
      </c>
      <c r="S79" s="166">
        <f t="shared" si="28"/>
        <v>6173</v>
      </c>
      <c r="T79" s="163">
        <f>IF(C79="","",IFERROR(IF(O79&gt;=2,3,IF(O79&gt;=1.5,2,IF(O79&gt;=1,1,0)))+IF(E79&gt;G79,1,0)+IF(L79&gt;=-5,1,0)+IF(Q79="買い▲",2,0)+IF(W79&gt;=78,-4,IF(W79&gt;=72,-2,IF(W79&gt;=55,2,IF(W79&gt;=45,1,0))))+IF(X79&gt;0,1,0)+IF(V79="年初来高値更新●",3,IF(V79="高値圏",2,0))+IF(AD79="パーフェクト▲",3,IF(AD79="上昇トレンド▲",2,0))+IF(AE79="25日線押し目●",2,IF(AE79="5日線押し目○",1,0))+IF(P79="急増↑↑",2,IF(P79="増加↑",1,0))+N(AI79),0))</f>
      </c>
      <c r="U79" s="163" t="str">
        <f t="shared" si="29"/>
        <v>除外</v>
      </c>
      <c r="V79" s="163" t="str">
        <f t="shared" si="22"/>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 t="shared" si="30"/>
        <v>-0.46439628482972134</v>
      </c>
      <c r="AA79" s="163" t="str">
        <f t="shared" si="31"/>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 t="shared" si="23"/>
        <v>上昇トレンド▲</v>
      </c>
      <c r="AE79" s="406" t="str">
        <f t="shared" si="24"/>
        <v>なし</v>
      </c>
      <c r="AF79" s="365">
        <f t="array" ref="AF79">IF(C79="","",IFERROR((INDEX(終値!$E:$E,MATCH(TEXT(C79,"0"),終値!$A:$A,0))-INDEX(終値!$E:$CZ,MATCH(TEXT(C79,"0"),終値!$A:$A,0),$AL$2))/INDEX(終値!$E:$CZ,MATCH(TEXT(C79,"0"),終値!$A:$A,0),$AL$2)*100,""))</f>
        <v>-13.283884018880649</v>
      </c>
      <c r="AG79" s="365">
        <f t="array" ref="AG79">IFERROR((終値!$E$5-INDEX(終値!$E$5:$CZ$5,1,$AL$2))/INDEX(終値!$E$5:$CZ$5,1,$AL$2)*100,"")</f>
        <v>1.0179378228534113</v>
      </c>
      <c r="AH79" s="366">
        <f t="shared" si="25"/>
        <v>-14.301821841734061</v>
      </c>
      <c r="AI79" s="364">
        <f t="shared" si="26"/>
        <v>-2</v>
      </c>
      <c r="BA79">
        <f>IFERROR((SUM(OFFSET(高値!$E$6,IFERROR(MATCH($C79,銘柄管理!$B$6:$B$305,0),MATCH(TEXT($C79,"0"),銘柄管理!$B$6:$B$305,0))-1,0,1,14))-SUM(OFFSET(安値!$E$6,IFERROR(MATCH($C79,銘柄管理!$B$6:$B$305,0),MATCH(TEXT($C79,"0"),銘柄管理!$B$6:$B$305,0))-1,0,1,14)))/SUM(OFFSET(終値!$E$6,IFERROR(MATCH($C79,銘柄管理!$B$6:$B$305,0),MATCH(TEXT($C79,"0"),銘柄管理!$B$6:$B$305,0))-1,0,1,14))*100,"")</f>
      </c>
      <c r="BB79">
        <f>IFERROR((MAX(OFFSET(高値!$E$6,IFERROR(MATCH($C79,銘柄管理!$B$6:$B$305,0),MATCH(TEXT($C79,"0"),銘柄管理!$B$6:$B$305,0))-1,0,1,25))-MIN(OFFSET(安値!$E$6,IFERROR(MATCH($C79,銘柄管理!$B$6:$B$305,0),MATCH(TEXT($C79,"0"),銘柄管理!$B$6:$B$305,0))-1,0,1,25)))/$E79*100,"")</f>
      </c>
      <c r="BC79">
        <f>IFERROR(($F79-$G79)/$G79*100,"")</f>
      </c>
      <c r="BD79">
        <f>IFERROR(($E79-MAX(OFFSET(高値!$E$6,IFERROR(MATCH($C79,銘柄管理!$B$6:$B$305,0),MATCH(TEXT($C79,"0"),銘柄管理!$B$6:$B$305,0))-1,0,1,25)))/MAX(OFFSET(高値!$E$6,IFERROR(MATCH($C79,銘柄管理!$B$6:$B$305,0),MATCH(TEXT($C79,"0"),銘柄管理!$B$6:$B$305,0))-1,0,1,25))*100,"")</f>
      </c>
      <c r="BE79">
        <f>IFERROR(($H79-$I79)/$F79*100,"")</f>
      </c>
      <c r="BF79">
        <f>IFERROR(-(($BA79-AVERAGE($BA$3:$BA$206))/STDEV($BA$3:$BA$206))-(($BE79-AVERAGE($BE$3:$BE$206))/STDEV($BE$3:$BE$206))-(($BB79-AVERAGE($BB$3:$BB$206))/STDEV($BB$3:$BB$206))-(($Z79-AVERAGE($Z$3:$Z$206))/STDEV($Z$3:$Z$206))-(($BC79-AVERAGE($BC$3:$BC$206))/STDEV($BC$3:$BC$206)),"")</f>
      </c>
      <c r="BG79">
        <f>IF(OR($C79="",$C79="TOPX",$BA79="",$BF79=""),0,IF(AND($BK$10=1,$BA79&lt;=$BK$2,$BB79&lt;=$BK$3,$BC79&lt;=$BK$4,$Z79&lt;=$BK$5,$Z79&gt;=$BK$6,$BD79&gt;=$BK$7,$BE79&lt;=$BK$8),1,0))</f>
      </c>
      <c r="BH79">
        <f>IF($C79="","",IF($BG79=1,"○ゲート通過",IF($BK$10&lt;&gt;1,"― この方向は停止中",IF($BA79&gt;$BK$2,"×値動きが荒い",IF($BB79&gt;$BK$3,"×レンジが広い",IF($BC79&gt;$BK$4,"×窓を開けて上昇",IF($Z79&gt;$BK$5,"×前日に急騰",IF($Z79&lt;$BK$6,"×前日に急落",IF($BD79&lt;$BK$7,"×高値から離れすぎ",IF($BE79&gt;$BK$8,"×当日の値幅が大きい","×")))))))))</f>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 t="shared" si="17"/>
        <v>-20.739736638264912</v>
      </c>
      <c r="M80" s="166">
        <f>IF(C80&lt;&gt;"",IFERROR(AVERAGE(出来高!E105:I105),""),"")</f>
        <v>703800</v>
      </c>
      <c r="N80" s="166">
        <f>IF(C80&lt;&gt;"",IFERROR(AVERAGE(出来高!E105:AC105),""),"")</f>
        <v>522040</v>
      </c>
      <c r="O80" s="168">
        <f t="shared" si="18"/>
        <v>0.91503267973856206</v>
      </c>
      <c r="P80" s="163" t="str">
        <f t="shared" si="19"/>
        <v>減少↓</v>
      </c>
      <c r="Q80" s="163" t="str">
        <f t="shared" si="20"/>
        <v>様子見▼</v>
      </c>
      <c r="R80" s="166">
        <f t="shared" si="27"/>
        <v>4420</v>
      </c>
      <c r="S80" s="166">
        <f t="shared" si="28"/>
        <v>3929</v>
      </c>
      <c r="T80" s="163">
        <f>IF(C80="","",IFERROR(IF(O80&gt;=2,3,IF(O80&gt;=1.5,2,IF(O80&gt;=1,1,0)))+IF(E80&gt;G80,1,0)+IF(L80&gt;=-5,1,0)+IF(Q80="買い▲",2,0)+IF(W80&gt;=78,-4,IF(W80&gt;=72,-2,IF(W80&gt;=55,2,IF(W80&gt;=45,1,0))))+IF(X80&gt;0,1,0)+IF(V80="年初来高値更新●",3,IF(V80="高値圏",2,0))+IF(AD80="パーフェクト▲",3,IF(AD80="上昇トレンド▲",2,0))+IF(AE80="25日線押し目●",2,IF(AE80="5日線押し目○",1,0))+IF(P80="急増↑↑",2,IF(P80="増加↑",1,0))+N(AI80),0))</f>
      </c>
      <c r="U80" s="163" t="str">
        <f t="shared" si="29"/>
        <v>除外</v>
      </c>
      <c r="V80" s="163" t="str">
        <f t="shared" si="22"/>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 t="shared" si="30"/>
        <v>-6.123853211009175</v>
      </c>
      <c r="AA80" s="163" t="str">
        <f t="shared" si="31"/>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 t="shared" si="23"/>
        <v>パーフェクト▲</v>
      </c>
      <c r="AE80" s="404" t="str">
        <f t="shared" si="24"/>
        <v>なし</v>
      </c>
      <c r="AF80" s="365">
        <f t="array" ref="AF80">IF(C80="","",IFERROR((INDEX(終値!$E:$E,MATCH(TEXT(C80,"0"),終値!$A:$A,0))-INDEX(終値!$E:$CZ,MATCH(TEXT(C80,"0"),終値!$A:$A,0),$AL$2))/INDEX(終値!$E:$CZ,MATCH(TEXT(C80,"0"),終値!$A:$A,0),$AL$2)*100,""))</f>
        <v>-15.223695111847558</v>
      </c>
      <c r="AG80" s="365">
        <f t="array" ref="AG80">IFERROR((終値!$E$5-INDEX(終値!$E$5:$CZ$5,1,$AL$2))/INDEX(終値!$E$5:$CZ$5,1,$AL$2)*100,"")</f>
        <v>1.0179378228534113</v>
      </c>
      <c r="AH80" s="366">
        <f t="shared" si="25"/>
        <v>-16.24163293470097</v>
      </c>
      <c r="AI80" s="364">
        <f t="shared" si="26"/>
        <v>-2</v>
      </c>
      <c r="BA80">
        <f>IFERROR((SUM(OFFSET(高値!$E$6,IFERROR(MATCH($C80,銘柄管理!$B$6:$B$305,0),MATCH(TEXT($C80,"0"),銘柄管理!$B$6:$B$305,0))-1,0,1,14))-SUM(OFFSET(安値!$E$6,IFERROR(MATCH($C80,銘柄管理!$B$6:$B$305,0),MATCH(TEXT($C80,"0"),銘柄管理!$B$6:$B$305,0))-1,0,1,14)))/SUM(OFFSET(終値!$E$6,IFERROR(MATCH($C80,銘柄管理!$B$6:$B$305,0),MATCH(TEXT($C80,"0"),銘柄管理!$B$6:$B$305,0))-1,0,1,14))*100,"")</f>
      </c>
      <c r="BB80">
        <f>IFERROR((MAX(OFFSET(高値!$E$6,IFERROR(MATCH($C80,銘柄管理!$B$6:$B$305,0),MATCH(TEXT($C80,"0"),銘柄管理!$B$6:$B$305,0))-1,0,1,25))-MIN(OFFSET(安値!$E$6,IFERROR(MATCH($C80,銘柄管理!$B$6:$B$305,0),MATCH(TEXT($C80,"0"),銘柄管理!$B$6:$B$305,0))-1,0,1,25)))/$E80*100,"")</f>
      </c>
      <c r="BC80">
        <f>IFERROR(($F80-$G80)/$G80*100,"")</f>
      </c>
      <c r="BD80">
        <f>IFERROR(($E80-MAX(OFFSET(高値!$E$6,IFERROR(MATCH($C80,銘柄管理!$B$6:$B$305,0),MATCH(TEXT($C80,"0"),銘柄管理!$B$6:$B$305,0))-1,0,1,25)))/MAX(OFFSET(高値!$E$6,IFERROR(MATCH($C80,銘柄管理!$B$6:$B$305,0),MATCH(TEXT($C80,"0"),銘柄管理!$B$6:$B$305,0))-1,0,1,25))*100,"")</f>
      </c>
      <c r="BE80">
        <f>IFERROR(($H80-$I80)/$F80*100,"")</f>
      </c>
      <c r="BF80">
        <f>IFERROR(-(($BA80-AVERAGE($BA$3:$BA$206))/STDEV($BA$3:$BA$206))-(($BE80-AVERAGE($BE$3:$BE$206))/STDEV($BE$3:$BE$206))-(($BB80-AVERAGE($BB$3:$BB$206))/STDEV($BB$3:$BB$206))-(($Z80-AVERAGE($Z$3:$Z$206))/STDEV($Z$3:$Z$206))-(($BC80-AVERAGE($BC$3:$BC$206))/STDEV($BC$3:$BC$206)),"")</f>
      </c>
      <c r="BG80">
        <f>IF(OR($C80="",$C80="TOPX",$BA80="",$BF80=""),0,IF(AND($BK$10=1,$BA80&lt;=$BK$2,$BB80&lt;=$BK$3,$BC80&lt;=$BK$4,$Z80&lt;=$BK$5,$Z80&gt;=$BK$6,$BD80&gt;=$BK$7,$BE80&lt;=$BK$8),1,0))</f>
      </c>
      <c r="BH80">
        <f>IF($C80="","",IF($BG80=1,"○ゲート通過",IF($BK$10&lt;&gt;1,"― この方向は停止中",IF($BA80&gt;$BK$2,"×値動きが荒い",IF($BB80&gt;$BK$3,"×レンジが広い",IF($BC80&gt;$BK$4,"×窓を開けて上昇",IF($Z80&gt;$BK$5,"×前日に急騰",IF($Z80&lt;$BK$6,"×前日に急落",IF($BD80&lt;$BK$7,"×高値から離れすぎ",IF($BE80&gt;$BK$8,"×当日の値幅が大きい","×")))))))))</f>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 t="shared" si="17"/>
        <v>-26.032775691362243</v>
      </c>
      <c r="M81" s="166">
        <f>IF(C81&lt;&gt;"",IFERROR(AVERAGE(出来高!E199:I199),""),"")</f>
        <v>4306560</v>
      </c>
      <c r="N81" s="166">
        <f>IF(C81&lt;&gt;"",IFERROR(AVERAGE(出来高!E199:AC199),""),"")</f>
        <v>3538468</v>
      </c>
      <c r="O81" s="168">
        <f t="shared" si="18"/>
        <v>0.64220630851538119</v>
      </c>
      <c r="P81" s="163" t="str">
        <f t="shared" si="19"/>
        <v>減少↓</v>
      </c>
      <c r="Q81" s="163" t="str">
        <f t="shared" si="20"/>
        <v>様子見▼</v>
      </c>
      <c r="R81" s="166">
        <f t="shared" si="27"/>
        <v>46796</v>
      </c>
      <c r="S81" s="166">
        <f t="shared" si="28"/>
        <v>41597</v>
      </c>
      <c r="T81" s="163">
        <f>IF(C81="","",IFERROR(IF(O81&gt;=2,3,IF(O81&gt;=1.5,2,IF(O81&gt;=1,1,0)))+IF(E81&gt;G81,1,0)+IF(L81&gt;=-5,1,0)+IF(Q81="買い▲",2,0)+IF(W81&gt;=78,-4,IF(W81&gt;=72,-2,IF(W81&gt;=55,2,IF(W81&gt;=45,1,0))))+IF(X81&gt;0,1,0)+IF(V81="年初来高値更新●",3,IF(V81="高値圏",2,0))+IF(AD81="パーフェクト▲",3,IF(AD81="上昇トレンド▲",2,0))+IF(AE81="25日線押し目●",2,IF(AE81="5日線押し目○",1,0))+IF(P81="急増↑↑",2,IF(P81="増加↑",1,0))+N(AI81),0))</f>
      </c>
      <c r="U81" s="163" t="str">
        <f t="shared" si="29"/>
        <v>除外</v>
      </c>
      <c r="V81" s="163" t="str">
        <f t="shared" si="22"/>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 t="shared" si="30"/>
        <v>-7.1765209940017147</v>
      </c>
      <c r="AA81" s="163" t="str">
        <f t="shared" si="31"/>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 t="shared" si="23"/>
        <v>上昇トレンド▲</v>
      </c>
      <c r="AE81" s="406" t="str">
        <f t="shared" si="24"/>
        <v>なし</v>
      </c>
      <c r="AF81" s="365">
        <f t="array" ref="AF81">IF(C81="","",IFERROR((INDEX(終値!$E:$E,MATCH(TEXT(C81,"0"),終値!$A:$A,0))-INDEX(終値!$E:$CZ,MATCH(TEXT(C81,"0"),終値!$A:$A,0),$AL$2))/INDEX(終値!$E:$CZ,MATCH(TEXT(C81,"0"),終値!$A:$A,0),$AL$2)*100,""))</f>
        <v>-14.687930695018705</v>
      </c>
      <c r="AG81" s="365">
        <f t="array" ref="AG81">IFERROR((終値!$E$5-INDEX(終値!$E$5:$CZ$5,1,$AL$2))/INDEX(終値!$E$5:$CZ$5,1,$AL$2)*100,"")</f>
        <v>1.0179378228534113</v>
      </c>
      <c r="AH81" s="366">
        <f t="shared" si="25"/>
        <v>-15.705868517872117</v>
      </c>
      <c r="AI81" s="364">
        <f t="shared" si="26"/>
        <v>-2</v>
      </c>
      <c r="BA81">
        <f>IFERROR((SUM(OFFSET(高値!$E$6,IFERROR(MATCH($C81,銘柄管理!$B$6:$B$305,0),MATCH(TEXT($C81,"0"),銘柄管理!$B$6:$B$305,0))-1,0,1,14))-SUM(OFFSET(安値!$E$6,IFERROR(MATCH($C81,銘柄管理!$B$6:$B$305,0),MATCH(TEXT($C81,"0"),銘柄管理!$B$6:$B$305,0))-1,0,1,14)))/SUM(OFFSET(終値!$E$6,IFERROR(MATCH($C81,銘柄管理!$B$6:$B$305,0),MATCH(TEXT($C81,"0"),銘柄管理!$B$6:$B$305,0))-1,0,1,14))*100,"")</f>
      </c>
      <c r="BB81">
        <f>IFERROR((MAX(OFFSET(高値!$E$6,IFERROR(MATCH($C81,銘柄管理!$B$6:$B$305,0),MATCH(TEXT($C81,"0"),銘柄管理!$B$6:$B$305,0))-1,0,1,25))-MIN(OFFSET(安値!$E$6,IFERROR(MATCH($C81,銘柄管理!$B$6:$B$305,0),MATCH(TEXT($C81,"0"),銘柄管理!$B$6:$B$305,0))-1,0,1,25)))/$E81*100,"")</f>
      </c>
      <c r="BC81">
        <f>IFERROR(($F81-$G81)/$G81*100,"")</f>
      </c>
      <c r="BD81">
        <f>IFERROR(($E81-MAX(OFFSET(高値!$E$6,IFERROR(MATCH($C81,銘柄管理!$B$6:$B$305,0),MATCH(TEXT($C81,"0"),銘柄管理!$B$6:$B$305,0))-1,0,1,25)))/MAX(OFFSET(高値!$E$6,IFERROR(MATCH($C81,銘柄管理!$B$6:$B$305,0),MATCH(TEXT($C81,"0"),銘柄管理!$B$6:$B$305,0))-1,0,1,25))*100,"")</f>
      </c>
      <c r="BE81">
        <f>IFERROR(($H81-$I81)/$F81*100,"")</f>
      </c>
      <c r="BF81">
        <f>IFERROR(-(($BA81-AVERAGE($BA$3:$BA$206))/STDEV($BA$3:$BA$206))-(($BE81-AVERAGE($BE$3:$BE$206))/STDEV($BE$3:$BE$206))-(($BB81-AVERAGE($BB$3:$BB$206))/STDEV($BB$3:$BB$206))-(($Z81-AVERAGE($Z$3:$Z$206))/STDEV($Z$3:$Z$206))-(($BC81-AVERAGE($BC$3:$BC$206))/STDEV($BC$3:$BC$206)),"")</f>
      </c>
      <c r="BG81">
        <f>IF(OR($C81="",$C81="TOPX",$BA81="",$BF81=""),0,IF(AND($BK$10=1,$BA81&lt;=$BK$2,$BB81&lt;=$BK$3,$BC81&lt;=$BK$4,$Z81&lt;=$BK$5,$Z81&gt;=$BK$6,$BD81&gt;=$BK$7,$BE81&lt;=$BK$8),1,0))</f>
      </c>
      <c r="BH81">
        <f>IF($C81="","",IF($BG81=1,"○ゲート通過",IF($BK$10&lt;&gt;1,"― この方向は停止中",IF($BA81&gt;$BK$2,"×値動きが荒い",IF($BB81&gt;$BK$3,"×レンジが広い",IF($BC81&gt;$BK$4,"×窓を開けて上昇",IF($Z81&gt;$BK$5,"×前日に急騰",IF($Z81&lt;$BK$6,"×前日に急落",IF($BD81&lt;$BK$7,"×高値から離れすぎ",IF($BE81&gt;$BK$8,"×当日の値幅が大きい","×")))))))))</f>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 t="shared" si="17"/>
        <v>-24.102564102564102</v>
      </c>
      <c r="M82" s="166">
        <f>IF(C82&lt;&gt;"",IFERROR(AVERAGE(出来高!E195:I195),""),"")</f>
        <v>1656380</v>
      </c>
      <c r="N82" s="166">
        <f>IF(C82&lt;&gt;"",IFERROR(AVERAGE(出来高!E195:AC195),""),"")</f>
        <v>1634152</v>
      </c>
      <c r="O82" s="168">
        <f t="shared" si="18"/>
        <v>0.81967905915309291</v>
      </c>
      <c r="P82" s="163" t="str">
        <f t="shared" si="19"/>
        <v>減少↓</v>
      </c>
      <c r="Q82" s="163" t="str">
        <f t="shared" si="20"/>
        <v>様子見▼</v>
      </c>
      <c r="R82" s="166">
        <f t="shared" si="27"/>
        <v>9590</v>
      </c>
      <c r="S82" s="166">
        <f t="shared" si="28"/>
        <v>8525</v>
      </c>
      <c r="T82" s="163">
        <f>IF(C82="","",IFERROR(IF(O82&gt;=2,3,IF(O82&gt;=1.5,2,IF(O82&gt;=1,1,0)))+IF(E82&gt;G82,1,0)+IF(L82&gt;=-5,1,0)+IF(Q82="買い▲",2,0)+IF(W82&gt;=78,-4,IF(W82&gt;=72,-2,IF(W82&gt;=55,2,IF(W82&gt;=45,1,0))))+IF(X82&gt;0,1,0)+IF(V82="年初来高値更新●",3,IF(V82="高値圏",2,0))+IF(AD82="パーフェクト▲",3,IF(AD82="上昇トレンド▲",2,0))+IF(AE82="25日線押し目●",2,IF(AE82="5日線押し目○",1,0))+IF(P82="急増↑↑",2,IF(P82="増加↑",1,0))+N(AI82),0))</f>
      </c>
      <c r="U82" s="163" t="str">
        <f t="shared" si="29"/>
        <v>要確認</v>
      </c>
      <c r="V82" s="163" t="str">
        <f t="shared" si="22"/>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 t="shared" si="30"/>
        <v>-5.2294557097118464</v>
      </c>
      <c r="AA82" s="163" t="str">
        <f t="shared" si="31"/>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 t="shared" si="23"/>
        <v>パーフェクト▲</v>
      </c>
      <c r="AE82" s="404" t="str">
        <f t="shared" si="24"/>
        <v>なし</v>
      </c>
      <c r="AF82" s="365">
        <f t="array" ref="AF82">IF(C82="","",IFERROR((INDEX(終値!$E:$E,MATCH(TEXT(C82,"0"),終値!$A:$A,0))-INDEX(終値!$E:$CZ,MATCH(TEXT(C82,"0"),終値!$A:$A,0),$AL$2))/INDEX(終値!$E:$CZ,MATCH(TEXT(C82,"0"),終値!$A:$A,0),$AL$2)*100,""))</f>
        <v>-8.6419753086419746</v>
      </c>
      <c r="AG82" s="365">
        <f t="array" ref="AG82">IFERROR((終値!$E$5-INDEX(終値!$E$5:$CZ$5,1,$AL$2))/INDEX(終値!$E$5:$CZ$5,1,$AL$2)*100,"")</f>
        <v>1.0179378228534113</v>
      </c>
      <c r="AH82" s="366">
        <f t="shared" si="25"/>
        <v>-9.6599131314953866</v>
      </c>
      <c r="AI82" s="364">
        <f t="shared" si="26"/>
        <v>-2</v>
      </c>
      <c r="BA82">
        <f>IFERROR((SUM(OFFSET(高値!$E$6,IFERROR(MATCH($C82,銘柄管理!$B$6:$B$305,0),MATCH(TEXT($C82,"0"),銘柄管理!$B$6:$B$305,0))-1,0,1,14))-SUM(OFFSET(安値!$E$6,IFERROR(MATCH($C82,銘柄管理!$B$6:$B$305,0),MATCH(TEXT($C82,"0"),銘柄管理!$B$6:$B$305,0))-1,0,1,14)))/SUM(OFFSET(終値!$E$6,IFERROR(MATCH($C82,銘柄管理!$B$6:$B$305,0),MATCH(TEXT($C82,"0"),銘柄管理!$B$6:$B$305,0))-1,0,1,14))*100,"")</f>
      </c>
      <c r="BB82">
        <f>IFERROR((MAX(OFFSET(高値!$E$6,IFERROR(MATCH($C82,銘柄管理!$B$6:$B$305,0),MATCH(TEXT($C82,"0"),銘柄管理!$B$6:$B$305,0))-1,0,1,25))-MIN(OFFSET(安値!$E$6,IFERROR(MATCH($C82,銘柄管理!$B$6:$B$305,0),MATCH(TEXT($C82,"0"),銘柄管理!$B$6:$B$305,0))-1,0,1,25)))/$E82*100,"")</f>
      </c>
      <c r="BC82">
        <f>IFERROR(($F82-$G82)/$G82*100,"")</f>
      </c>
      <c r="BD82">
        <f>IFERROR(($E82-MAX(OFFSET(高値!$E$6,IFERROR(MATCH($C82,銘柄管理!$B$6:$B$305,0),MATCH(TEXT($C82,"0"),銘柄管理!$B$6:$B$305,0))-1,0,1,25)))/MAX(OFFSET(高値!$E$6,IFERROR(MATCH($C82,銘柄管理!$B$6:$B$305,0),MATCH(TEXT($C82,"0"),銘柄管理!$B$6:$B$305,0))-1,0,1,25))*100,"")</f>
      </c>
      <c r="BE82">
        <f>IFERROR(($H82-$I82)/$F82*100,"")</f>
      </c>
      <c r="BF82">
        <f>IFERROR(-(($BA82-AVERAGE($BA$3:$BA$206))/STDEV($BA$3:$BA$206))-(($BE82-AVERAGE($BE$3:$BE$206))/STDEV($BE$3:$BE$206))-(($BB82-AVERAGE($BB$3:$BB$206))/STDEV($BB$3:$BB$206))-(($Z82-AVERAGE($Z$3:$Z$206))/STDEV($Z$3:$Z$206))-(($BC82-AVERAGE($BC$3:$BC$206))/STDEV($BC$3:$BC$206)),"")</f>
      </c>
      <c r="BG82">
        <f>IF(OR($C82="",$C82="TOPX",$BA82="",$BF82=""),0,IF(AND($BK$10=1,$BA82&lt;=$BK$2,$BB82&lt;=$BK$3,$BC82&lt;=$BK$4,$Z82&lt;=$BK$5,$Z82&gt;=$BK$6,$BD82&gt;=$BK$7,$BE82&lt;=$BK$8),1,0))</f>
      </c>
      <c r="BH82">
        <f>IF($C82="","",IF($BG82=1,"○ゲート通過",IF($BK$10&lt;&gt;1,"― この方向は停止中",IF($BA82&gt;$BK$2,"×値動きが荒い",IF($BB82&gt;$BK$3,"×レンジが広い",IF($BC82&gt;$BK$4,"×窓を開けて上昇",IF($Z82&gt;$BK$5,"×前日に急騰",IF($Z82&lt;$BK$6,"×前日に急落",IF($BD82&lt;$BK$7,"×高値から離れすぎ",IF($BE82&gt;$BK$8,"×当日の値幅が大きい","×")))))))))</f>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 t="shared" si="17"/>
        <v>-8.3750695603784084</v>
      </c>
      <c r="M83" s="166">
        <f>IF(C83&lt;&gt;"",IFERROR(AVERAGE(出来高!E158:I158),""),"")</f>
        <v>11042100</v>
      </c>
      <c r="N83" s="166">
        <f>IF(C83&lt;&gt;"",IFERROR(AVERAGE(出来高!E158:AC158),""),"")</f>
        <v>9656364</v>
      </c>
      <c r="O83" s="168">
        <f t="shared" si="18"/>
        <v>0.70802655292018724</v>
      </c>
      <c r="P83" s="163" t="str">
        <f t="shared" si="19"/>
        <v>減少↓</v>
      </c>
      <c r="Q83" s="163" t="str">
        <f t="shared" si="20"/>
        <v>様子見▼</v>
      </c>
      <c r="R83" s="166">
        <f t="shared" si="27"/>
        <v>35564</v>
      </c>
      <c r="S83" s="166">
        <f t="shared" si="28"/>
        <v>31613</v>
      </c>
      <c r="T83" s="163">
        <f>IF(C83="","",IFERROR(IF(O83&gt;=2,3,IF(O83&gt;=1.5,2,IF(O83&gt;=1,1,0)))+IF(E83&gt;G83,1,0)+IF(L83&gt;=-5,1,0)+IF(Q83="買い▲",2,0)+IF(W83&gt;=78,-4,IF(W83&gt;=72,-2,IF(W83&gt;=55,2,IF(W83&gt;=45,1,0))))+IF(X83&gt;0,1,0)+IF(V83="年初来高値更新●",3,IF(V83="高値圏",2,0))+IF(AD83="パーフェクト▲",3,IF(AD83="上昇トレンド▲",2,0))+IF(AE83="25日線押し目●",2,IF(AE83="5日線押し目○",1,0))+IF(P83="急増↑↑",2,IF(P83="増加↑",1,0))+N(AI83),0))</f>
      </c>
      <c r="U83" s="163" t="str">
        <f t="shared" si="29"/>
        <v>要確認</v>
      </c>
      <c r="V83" s="163" t="str">
        <f t="shared" si="22"/>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 t="shared" si="30"/>
        <v>-2.34282325029656</v>
      </c>
      <c r="AA83" s="163" t="str">
        <f t="shared" si="31"/>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 t="shared" si="23"/>
        <v>上昇トレンド▲</v>
      </c>
      <c r="AE83" s="406" t="str">
        <f t="shared" si="24"/>
        <v>なし</v>
      </c>
      <c r="AF83" s="365">
        <f t="array" ref="AF83">IF(C83="","",IFERROR((INDEX(終値!$E:$E,MATCH(TEXT(C83,"0"),終値!$A:$A,0))-INDEX(終値!$E:$CZ,MATCH(TEXT(C83,"0"),終値!$A:$A,0),$AL$2))/INDEX(終値!$E:$CZ,MATCH(TEXT(C83,"0"),終値!$A:$A,0),$AL$2)*100,""))</f>
        <v>2.90625</v>
      </c>
      <c r="AG83" s="365">
        <f t="array" ref="AG83">IFERROR((終値!$E$5-INDEX(終値!$E$5:$CZ$5,1,$AL$2))/INDEX(終値!$E$5:$CZ$5,1,$AL$2)*100,"")</f>
        <v>1.0179378228534113</v>
      </c>
      <c r="AH83" s="366">
        <f t="shared" si="25"/>
        <v>1.8883121771465887</v>
      </c>
      <c r="AI83" s="364">
        <f t="shared" si="26"/>
        <v>1</v>
      </c>
      <c r="BA83">
        <f>IFERROR((SUM(OFFSET(高値!$E$6,IFERROR(MATCH($C83,銘柄管理!$B$6:$B$305,0),MATCH(TEXT($C83,"0"),銘柄管理!$B$6:$B$305,0))-1,0,1,14))-SUM(OFFSET(安値!$E$6,IFERROR(MATCH($C83,銘柄管理!$B$6:$B$305,0),MATCH(TEXT($C83,"0"),銘柄管理!$B$6:$B$305,0))-1,0,1,14)))/SUM(OFFSET(終値!$E$6,IFERROR(MATCH($C83,銘柄管理!$B$6:$B$305,0),MATCH(TEXT($C83,"0"),銘柄管理!$B$6:$B$305,0))-1,0,1,14))*100,"")</f>
      </c>
      <c r="BB83">
        <f>IFERROR((MAX(OFFSET(高値!$E$6,IFERROR(MATCH($C83,銘柄管理!$B$6:$B$305,0),MATCH(TEXT($C83,"0"),銘柄管理!$B$6:$B$305,0))-1,0,1,25))-MIN(OFFSET(安値!$E$6,IFERROR(MATCH($C83,銘柄管理!$B$6:$B$305,0),MATCH(TEXT($C83,"0"),銘柄管理!$B$6:$B$305,0))-1,0,1,25)))/$E83*100,"")</f>
      </c>
      <c r="BC83">
        <f>IFERROR(($F83-$G83)/$G83*100,"")</f>
      </c>
      <c r="BD83">
        <f>IFERROR(($E83-MAX(OFFSET(高値!$E$6,IFERROR(MATCH($C83,銘柄管理!$B$6:$B$305,0),MATCH(TEXT($C83,"0"),銘柄管理!$B$6:$B$305,0))-1,0,1,25)))/MAX(OFFSET(高値!$E$6,IFERROR(MATCH($C83,銘柄管理!$B$6:$B$305,0),MATCH(TEXT($C83,"0"),銘柄管理!$B$6:$B$305,0))-1,0,1,25))*100,"")</f>
      </c>
      <c r="BE83">
        <f>IFERROR(($H83-$I83)/$F83*100,"")</f>
      </c>
      <c r="BF83">
        <f>IFERROR(-(($BA83-AVERAGE($BA$3:$BA$206))/STDEV($BA$3:$BA$206))-(($BE83-AVERAGE($BE$3:$BE$206))/STDEV($BE$3:$BE$206))-(($BB83-AVERAGE($BB$3:$BB$206))/STDEV($BB$3:$BB$206))-(($Z83-AVERAGE($Z$3:$Z$206))/STDEV($Z$3:$Z$206))-(($BC83-AVERAGE($BC$3:$BC$206))/STDEV($BC$3:$BC$206)),"")</f>
      </c>
      <c r="BG83">
        <f>IF(OR($C83="",$C83="TOPX",$BA83="",$BF83=""),0,IF(AND($BK$10=1,$BA83&lt;=$BK$2,$BB83&lt;=$BK$3,$BC83&lt;=$BK$4,$Z83&lt;=$BK$5,$Z83&gt;=$BK$6,$BD83&gt;=$BK$7,$BE83&lt;=$BK$8),1,0))</f>
      </c>
      <c r="BH83">
        <f>IF($C83="","",IF($BG83=1,"○ゲート通過",IF($BK$10&lt;&gt;1,"― この方向は停止中",IF($BA83&gt;$BK$2,"×値動きが荒い",IF($BB83&gt;$BK$3,"×レンジが広い",IF($BC83&gt;$BK$4,"×窓を開けて上昇",IF($Z83&gt;$BK$5,"×前日に急騰",IF($Z83&lt;$BK$6,"×前日に急落",IF($BD83&lt;$BK$7,"×高値から離れすぎ",IF($BE83&gt;$BK$8,"×当日の値幅が大きい","×")))))))))</f>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 t="shared" si="17"/>
        <v>-15.545353807186956</v>
      </c>
      <c r="M84" s="166">
        <f>IF(C84&lt;&gt;"",IFERROR(AVERAGE(出来高!E81:I81),""),"")</f>
        <v>1921380</v>
      </c>
      <c r="N84" s="166">
        <f>IF(C84&lt;&gt;"",IFERROR(AVERAGE(出来高!E81:AC81),""),"")</f>
        <v>1227704</v>
      </c>
      <c r="O84" s="168">
        <f t="shared" si="18"/>
        <v>1.4677991860017279</v>
      </c>
      <c r="P84" s="163" t="str">
        <f t="shared" si="19"/>
        <v>普通→</v>
      </c>
      <c r="Q84" s="163" t="str">
        <f t="shared" si="20"/>
        <v>中立→</v>
      </c>
      <c r="R84" s="166">
        <f t="shared" si="27"/>
        <v>5762</v>
      </c>
      <c r="S84" s="166">
        <f t="shared" si="28"/>
        <v>5122</v>
      </c>
      <c r="T84" s="163">
        <f>IF(C84="","",IFERROR(IF(O84&gt;=2,3,IF(O84&gt;=1.5,2,IF(O84&gt;=1,1,0)))+IF(E84&gt;G84,1,0)+IF(L84&gt;=-5,1,0)+IF(Q84="買い▲",2,0)+IF(W84&gt;=78,-4,IF(W84&gt;=72,-2,IF(W84&gt;=55,2,IF(W84&gt;=45,1,0))))+IF(X84&gt;0,1,0)+IF(V84="年初来高値更新●",3,IF(V84="高値圏",2,0))+IF(AD84="パーフェクト▲",3,IF(AD84="上昇トレンド▲",2,0))+IF(AE84="25日線押し目●",2,IF(AE84="5日線押し目○",1,0))+IF(P84="急増↑↑",2,IF(P84="増加↑",1,0))+N(AI84),0))</f>
      </c>
      <c r="U84" s="163" t="str">
        <f t="shared" si="29"/>
        <v>要確認</v>
      </c>
      <c r="V84" s="163" t="str">
        <f t="shared" si="22"/>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 t="shared" si="30"/>
        <v>0.62240663900414939</v>
      </c>
      <c r="AA84" s="163" t="str">
        <f t="shared" si="31"/>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 t="shared" si="23"/>
        <v>パーフェクト▲</v>
      </c>
      <c r="AE84" s="404" t="str">
        <f t="shared" si="24"/>
        <v>なし</v>
      </c>
      <c r="AF84" s="365">
        <f t="array" ref="AF84">IF(C84="","",IFERROR((INDEX(終値!$E:$E,MATCH(TEXT(C84,"0"),終値!$A:$A,0))-INDEX(終値!$E:$CZ,MATCH(TEXT(C84,"0"),終値!$A:$A,0),$AL$2))/INDEX(終値!$E:$CZ,MATCH(TEXT(C84,"0"),終値!$A:$A,0),$AL$2)*100,""))</f>
        <v>-6.6328316415820794</v>
      </c>
      <c r="AG84" s="365">
        <f t="array" ref="AG84">IFERROR((終値!$E$5-INDEX(終値!$E$5:$CZ$5,1,$AL$2))/INDEX(終値!$E$5:$CZ$5,1,$AL$2)*100,"")</f>
        <v>1.0179378228534113</v>
      </c>
      <c r="AH84" s="366">
        <f t="shared" si="25"/>
        <v>-7.6507694644354904</v>
      </c>
      <c r="AI84" s="364">
        <f t="shared" si="26"/>
        <v>-2</v>
      </c>
      <c r="BA84">
        <f>IFERROR((SUM(OFFSET(高値!$E$6,IFERROR(MATCH($C84,銘柄管理!$B$6:$B$305,0),MATCH(TEXT($C84,"0"),銘柄管理!$B$6:$B$305,0))-1,0,1,14))-SUM(OFFSET(安値!$E$6,IFERROR(MATCH($C84,銘柄管理!$B$6:$B$305,0),MATCH(TEXT($C84,"0"),銘柄管理!$B$6:$B$305,0))-1,0,1,14)))/SUM(OFFSET(終値!$E$6,IFERROR(MATCH($C84,銘柄管理!$B$6:$B$305,0),MATCH(TEXT($C84,"0"),銘柄管理!$B$6:$B$305,0))-1,0,1,14))*100,"")</f>
      </c>
      <c r="BB84">
        <f>IFERROR((MAX(OFFSET(高値!$E$6,IFERROR(MATCH($C84,銘柄管理!$B$6:$B$305,0),MATCH(TEXT($C84,"0"),銘柄管理!$B$6:$B$305,0))-1,0,1,25))-MIN(OFFSET(安値!$E$6,IFERROR(MATCH($C84,銘柄管理!$B$6:$B$305,0),MATCH(TEXT($C84,"0"),銘柄管理!$B$6:$B$305,0))-1,0,1,25)))/$E84*100,"")</f>
      </c>
      <c r="BC84">
        <f>IFERROR(($F84-$G84)/$G84*100,"")</f>
      </c>
      <c r="BD84">
        <f>IFERROR(($E84-MAX(OFFSET(高値!$E$6,IFERROR(MATCH($C84,銘柄管理!$B$6:$B$305,0),MATCH(TEXT($C84,"0"),銘柄管理!$B$6:$B$305,0))-1,0,1,25)))/MAX(OFFSET(高値!$E$6,IFERROR(MATCH($C84,銘柄管理!$B$6:$B$305,0),MATCH(TEXT($C84,"0"),銘柄管理!$B$6:$B$305,0))-1,0,1,25))*100,"")</f>
      </c>
      <c r="BE84">
        <f>IFERROR(($H84-$I84)/$F84*100,"")</f>
      </c>
      <c r="BF84">
        <f>IFERROR(-(($BA84-AVERAGE($BA$3:$BA$206))/STDEV($BA$3:$BA$206))-(($BE84-AVERAGE($BE$3:$BE$206))/STDEV($BE$3:$BE$206))-(($BB84-AVERAGE($BB$3:$BB$206))/STDEV($BB$3:$BB$206))-(($Z84-AVERAGE($Z$3:$Z$206))/STDEV($Z$3:$Z$206))-(($BC84-AVERAGE($BC$3:$BC$206))/STDEV($BC$3:$BC$206)),"")</f>
      </c>
      <c r="BG84">
        <f>IF(OR($C84="",$C84="TOPX",$BA84="",$BF84=""),0,IF(AND($BK$10=1,$BA84&lt;=$BK$2,$BB84&lt;=$BK$3,$BC84&lt;=$BK$4,$Z84&lt;=$BK$5,$Z84&gt;=$BK$6,$BD84&gt;=$BK$7,$BE84&lt;=$BK$8),1,0))</f>
      </c>
      <c r="BH84">
        <f>IF($C84="","",IF($BG84=1,"○ゲート通過",IF($BK$10&lt;&gt;1,"― この方向は停止中",IF($BA84&gt;$BK$2,"×値動きが荒い",IF($BB84&gt;$BK$3,"×レンジが広い",IF($BC84&gt;$BK$4,"×窓を開けて上昇",IF($Z84&gt;$BK$5,"×前日に急騰",IF($Z84&lt;$BK$6,"×前日に急落",IF($BD84&lt;$BK$7,"×高値から離れすぎ",IF($BE84&gt;$BK$8,"×当日の値幅が大きい","×")))))))))</f>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 t="shared" si="17"/>
        <v>-40.705128205128204</v>
      </c>
      <c r="M85" s="166">
        <f>IF(C85&lt;&gt;"",IFERROR(AVERAGE(出来高!E148:I148),""),"")</f>
        <v>247040</v>
      </c>
      <c r="N85" s="166">
        <f>IF(C85&lt;&gt;"",IFERROR(AVERAGE(出来高!E148:AC148),""),"")</f>
        <v>276636</v>
      </c>
      <c r="O85" s="168">
        <f t="shared" si="18"/>
        <v>0.65859779792746109</v>
      </c>
      <c r="P85" s="163" t="str">
        <f t="shared" si="19"/>
        <v>減少↓</v>
      </c>
      <c r="Q85" s="163" t="str">
        <f t="shared" si="20"/>
        <v>様子見▼</v>
      </c>
      <c r="R85" s="166">
        <f t="shared" si="27"/>
        <v>1598</v>
      </c>
      <c r="S85" s="166">
        <f t="shared" si="28"/>
        <v>1421</v>
      </c>
      <c r="T85" s="163">
        <f>IF(C85="","",IFERROR(IF(O85&gt;=2,3,IF(O85&gt;=1.5,2,IF(O85&gt;=1,1,0)))+IF(E85&gt;G85,1,0)+IF(L85&gt;=-5,1,0)+IF(Q85="買い▲",2,0)+IF(W85&gt;=78,-4,IF(W85&gt;=72,-2,IF(W85&gt;=55,2,IF(W85&gt;=45,1,0))))+IF(X85&gt;0,1,0)+IF(V85="年初来高値更新●",3,IF(V85="高値圏",2,0))+IF(AD85="パーフェクト▲",3,IF(AD85="上昇トレンド▲",2,0))+IF(AE85="25日線押し目●",2,IF(AE85="5日線押し目○",1,0))+IF(P85="急増↑↑",2,IF(P85="増加↑",1,0))+N(AI85),0))</f>
      </c>
      <c r="U85" s="163" t="str">
        <f t="shared" si="29"/>
        <v>除外</v>
      </c>
      <c r="V85" s="163" t="str">
        <f t="shared" si="22"/>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 t="shared" si="30"/>
        <v>-2.3746701846965697</v>
      </c>
      <c r="AA85" s="163" t="str">
        <f t="shared" si="31"/>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 t="shared" si="23"/>
        <v>もみ合い→</v>
      </c>
      <c r="AE85" s="406" t="str">
        <f t="shared" si="24"/>
        <v>なし</v>
      </c>
      <c r="AF85" s="365">
        <f t="array" ref="AF85">IF(C85="","",IFERROR((INDEX(終値!$E:$E,MATCH(TEXT(C85,"0"),終値!$A:$A,0))-INDEX(終値!$E:$CZ,MATCH(TEXT(C85,"0"),終値!$A:$A,0),$AL$2))/INDEX(終値!$E:$CZ,MATCH(TEXT(C85,"0"),終値!$A:$A,0),$AL$2)*100,""))</f>
        <v>-14.844649021864212</v>
      </c>
      <c r="AG85" s="365">
        <f t="array" ref="AG85">IFERROR((終値!$E$5-INDEX(終値!$E$5:$CZ$5,1,$AL$2))/INDEX(終値!$E$5:$CZ$5,1,$AL$2)*100,"")</f>
        <v>1.0179378228534113</v>
      </c>
      <c r="AH85" s="366">
        <f t="shared" si="25"/>
        <v>-15.862586844717624</v>
      </c>
      <c r="AI85" s="364">
        <f t="shared" si="26"/>
        <v>-2</v>
      </c>
      <c r="BA85">
        <f>IFERROR((SUM(OFFSET(高値!$E$6,IFERROR(MATCH($C85,銘柄管理!$B$6:$B$305,0),MATCH(TEXT($C85,"0"),銘柄管理!$B$6:$B$305,0))-1,0,1,14))-SUM(OFFSET(安値!$E$6,IFERROR(MATCH($C85,銘柄管理!$B$6:$B$305,0),MATCH(TEXT($C85,"0"),銘柄管理!$B$6:$B$305,0))-1,0,1,14)))/SUM(OFFSET(終値!$E$6,IFERROR(MATCH($C85,銘柄管理!$B$6:$B$305,0),MATCH(TEXT($C85,"0"),銘柄管理!$B$6:$B$305,0))-1,0,1,14))*100,"")</f>
      </c>
      <c r="BB85">
        <f>IFERROR((MAX(OFFSET(高値!$E$6,IFERROR(MATCH($C85,銘柄管理!$B$6:$B$305,0),MATCH(TEXT($C85,"0"),銘柄管理!$B$6:$B$305,0))-1,0,1,25))-MIN(OFFSET(安値!$E$6,IFERROR(MATCH($C85,銘柄管理!$B$6:$B$305,0),MATCH(TEXT($C85,"0"),銘柄管理!$B$6:$B$305,0))-1,0,1,25)))/$E85*100,"")</f>
      </c>
      <c r="BC85">
        <f>IFERROR(($F85-$G85)/$G85*100,"")</f>
      </c>
      <c r="BD85">
        <f>IFERROR(($E85-MAX(OFFSET(高値!$E$6,IFERROR(MATCH($C85,銘柄管理!$B$6:$B$305,0),MATCH(TEXT($C85,"0"),銘柄管理!$B$6:$B$305,0))-1,0,1,25)))/MAX(OFFSET(高値!$E$6,IFERROR(MATCH($C85,銘柄管理!$B$6:$B$305,0),MATCH(TEXT($C85,"0"),銘柄管理!$B$6:$B$305,0))-1,0,1,25))*100,"")</f>
      </c>
      <c r="BE85">
        <f>IFERROR(($H85-$I85)/$F85*100,"")</f>
      </c>
      <c r="BF85">
        <f>IFERROR(-(($BA85-AVERAGE($BA$3:$BA$206))/STDEV($BA$3:$BA$206))-(($BE85-AVERAGE($BE$3:$BE$206))/STDEV($BE$3:$BE$206))-(($BB85-AVERAGE($BB$3:$BB$206))/STDEV($BB$3:$BB$206))-(($Z85-AVERAGE($Z$3:$Z$206))/STDEV($Z$3:$Z$206))-(($BC85-AVERAGE($BC$3:$BC$206))/STDEV($BC$3:$BC$206)),"")</f>
      </c>
      <c r="BG85">
        <f>IF(OR($C85="",$C85="TOPX",$BA85="",$BF85=""),0,IF(AND($BK$10=1,$BA85&lt;=$BK$2,$BB85&lt;=$BK$3,$BC85&lt;=$BK$4,$Z85&lt;=$BK$5,$Z85&gt;=$BK$6,$BD85&gt;=$BK$7,$BE85&lt;=$BK$8),1,0))</f>
      </c>
      <c r="BH85">
        <f>IF($C85="","",IF($BG85=1,"○ゲート通過",IF($BK$10&lt;&gt;1,"― この方向は停止中",IF($BA85&gt;$BK$2,"×値動きが荒い",IF($BB85&gt;$BK$3,"×レンジが広い",IF($BC85&gt;$BK$4,"×窓を開けて上昇",IF($Z85&gt;$BK$5,"×前日に急騰",IF($Z85&lt;$BK$6,"×前日に急落",IF($BD85&lt;$BK$7,"×高値から離れすぎ",IF($BE85&gt;$BK$8,"×当日の値幅が大きい","×")))))))))</f>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 t="shared" si="17"/>
        <v>-47.483443708609272</v>
      </c>
      <c r="M86" s="166">
        <f>IF(C86&lt;&gt;"",IFERROR(AVERAGE(出来高!E145:I145),""),"")</f>
        <v>530680</v>
      </c>
      <c r="N86" s="166">
        <f>IF(C86&lt;&gt;"",IFERROR(AVERAGE(出来高!E145:AC145),""),"")</f>
        <v>460096</v>
      </c>
      <c r="O86" s="168">
        <f t="shared" si="18"/>
        <v>1.1157382980327128</v>
      </c>
      <c r="P86" s="163" t="str">
        <f t="shared" si="19"/>
        <v>普通→</v>
      </c>
      <c r="Q86" s="163" t="str">
        <f t="shared" si="20"/>
        <v>様子見▼</v>
      </c>
      <c r="R86" s="166">
        <f t="shared" si="27"/>
        <v>25693</v>
      </c>
      <c r="S86" s="166">
        <f t="shared" si="28"/>
        <v>22838</v>
      </c>
      <c r="T86" s="163">
        <f>IF(C86="","",IFERROR(IF(O86&gt;=2,3,IF(O86&gt;=1.5,2,IF(O86&gt;=1,1,0)))+IF(E86&gt;G86,1,0)+IF(L86&gt;=-5,1,0)+IF(Q86="買い▲",2,0)+IF(W86&gt;=78,-4,IF(W86&gt;=72,-2,IF(W86&gt;=55,2,IF(W86&gt;=45,1,0))))+IF(X86&gt;0,1,0)+IF(V86="年初来高値更新●",3,IF(V86="高値圏",2,0))+IF(AD86="パーフェクト▲",3,IF(AD86="上昇トレンド▲",2,0))+IF(AE86="25日線押し目●",2,IF(AE86="5日線押し目○",1,0))+IF(P86="急増↑↑",2,IF(P86="増加↑",1,0))+N(AI86),0))</f>
      </c>
      <c r="U86" s="163" t="str">
        <f t="shared" si="29"/>
        <v>除外</v>
      </c>
      <c r="V86" s="163" t="str">
        <f t="shared" si="22"/>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 t="shared" si="30"/>
        <v>-4.07258064516129</v>
      </c>
      <c r="AA86" s="163" t="str">
        <f t="shared" si="31"/>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 t="shared" si="23"/>
        <v>上昇トレンド▲</v>
      </c>
      <c r="AE86" s="404" t="str">
        <f t="shared" si="24"/>
        <v>なし</v>
      </c>
      <c r="AF86" s="365">
        <f t="array" ref="AF86">IF(C86="","",IFERROR((INDEX(終値!$E:$E,MATCH(TEXT(C86,"0"),終値!$A:$A,0))-INDEX(終値!$E:$CZ,MATCH(TEXT(C86,"0"),終値!$A:$A,0),$AL$2))/INDEX(終値!$E:$CZ,MATCH(TEXT(C86,"0"),終値!$A:$A,0),$AL$2)*100,""))</f>
        <v>-19.410569105691057</v>
      </c>
      <c r="AG86" s="365">
        <f t="array" ref="AG86">IFERROR((終値!$E$5-INDEX(終値!$E$5:$CZ$5,1,$AL$2))/INDEX(終値!$E$5:$CZ$5,1,$AL$2)*100,"")</f>
        <v>1.0179378228534113</v>
      </c>
      <c r="AH86" s="366">
        <f t="shared" si="25"/>
        <v>-20.428506928544468</v>
      </c>
      <c r="AI86" s="364">
        <f t="shared" si="26"/>
        <v>-2</v>
      </c>
      <c r="BA86">
        <f>IFERROR((SUM(OFFSET(高値!$E$6,IFERROR(MATCH($C86,銘柄管理!$B$6:$B$305,0),MATCH(TEXT($C86,"0"),銘柄管理!$B$6:$B$305,0))-1,0,1,14))-SUM(OFFSET(安値!$E$6,IFERROR(MATCH($C86,銘柄管理!$B$6:$B$305,0),MATCH(TEXT($C86,"0"),銘柄管理!$B$6:$B$305,0))-1,0,1,14)))/SUM(OFFSET(終値!$E$6,IFERROR(MATCH($C86,銘柄管理!$B$6:$B$305,0),MATCH(TEXT($C86,"0"),銘柄管理!$B$6:$B$305,0))-1,0,1,14))*100,"")</f>
      </c>
      <c r="BB86">
        <f>IFERROR((MAX(OFFSET(高値!$E$6,IFERROR(MATCH($C86,銘柄管理!$B$6:$B$305,0),MATCH(TEXT($C86,"0"),銘柄管理!$B$6:$B$305,0))-1,0,1,25))-MIN(OFFSET(安値!$E$6,IFERROR(MATCH($C86,銘柄管理!$B$6:$B$305,0),MATCH(TEXT($C86,"0"),銘柄管理!$B$6:$B$305,0))-1,0,1,25)))/$E86*100,"")</f>
      </c>
      <c r="BC86">
        <f>IFERROR(($F86-$G86)/$G86*100,"")</f>
      </c>
      <c r="BD86">
        <f>IFERROR(($E86-MAX(OFFSET(高値!$E$6,IFERROR(MATCH($C86,銘柄管理!$B$6:$B$305,0),MATCH(TEXT($C86,"0"),銘柄管理!$B$6:$B$305,0))-1,0,1,25)))/MAX(OFFSET(高値!$E$6,IFERROR(MATCH($C86,銘柄管理!$B$6:$B$305,0),MATCH(TEXT($C86,"0"),銘柄管理!$B$6:$B$305,0))-1,0,1,25))*100,"")</f>
      </c>
      <c r="BE86">
        <f>IFERROR(($H86-$I86)/$F86*100,"")</f>
      </c>
      <c r="BF86">
        <f>IFERROR(-(($BA86-AVERAGE($BA$3:$BA$206))/STDEV($BA$3:$BA$206))-(($BE86-AVERAGE($BE$3:$BE$206))/STDEV($BE$3:$BE$206))-(($BB86-AVERAGE($BB$3:$BB$206))/STDEV($BB$3:$BB$206))-(($Z86-AVERAGE($Z$3:$Z$206))/STDEV($Z$3:$Z$206))-(($BC86-AVERAGE($BC$3:$BC$206))/STDEV($BC$3:$BC$206)),"")</f>
      </c>
      <c r="BG86">
        <f>IF(OR($C86="",$C86="TOPX",$BA86="",$BF86=""),0,IF(AND($BK$10=1,$BA86&lt;=$BK$2,$BB86&lt;=$BK$3,$BC86&lt;=$BK$4,$Z86&lt;=$BK$5,$Z86&gt;=$BK$6,$BD86&gt;=$BK$7,$BE86&lt;=$BK$8),1,0))</f>
      </c>
      <c r="BH86">
        <f>IF($C86="","",IF($BG86=1,"○ゲート通過",IF($BK$10&lt;&gt;1,"― この方向は停止中",IF($BA86&gt;$BK$2,"×値動きが荒い",IF($BB86&gt;$BK$3,"×レンジが広い",IF($BC86&gt;$BK$4,"×窓を開けて上昇",IF($Z86&gt;$BK$5,"×前日に急騰",IF($Z86&lt;$BK$6,"×前日に急落",IF($BD86&lt;$BK$7,"×高値から離れすぎ",IF($BE86&gt;$BK$8,"×当日の値幅が大きい","×")))))))))</f>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 t="shared" si="17"/>
        <v>-43.659942363112393</v>
      </c>
      <c r="M87" s="166">
        <f>IF(C87&lt;&gt;"",IFERROR(AVERAGE(出来高!E144:I144),""),"")</f>
        <v>183040</v>
      </c>
      <c r="N87" s="166">
        <f>IF(C87&lt;&gt;"",IFERROR(AVERAGE(出来高!E144:AC144),""),"")</f>
        <v>148287.5</v>
      </c>
      <c r="O87" s="168">
        <f t="shared" si="18"/>
        <v>1.1046765734265733</v>
      </c>
      <c r="P87" s="163" t="str">
        <f t="shared" si="19"/>
        <v>普通→</v>
      </c>
      <c r="Q87" s="163" t="str">
        <f t="shared" si="20"/>
        <v>様子見▼</v>
      </c>
      <c r="R87" s="166">
        <f t="shared" si="27"/>
        <v>21114</v>
      </c>
      <c r="S87" s="166">
        <f t="shared" si="28"/>
        <v>18768</v>
      </c>
      <c r="T87" s="163">
        <f>IF(C87="","",IFERROR(IF(O87&gt;=2,3,IF(O87&gt;=1.5,2,IF(O87&gt;=1,1,0)))+IF(E87&gt;G87,1,0)+IF(L87&gt;=-5,1,0)+IF(Q87="買い▲",2,0)+IF(W87&gt;=78,-4,IF(W87&gt;=72,-2,IF(W87&gt;=55,2,IF(W87&gt;=45,1,0))))+IF(X87&gt;0,1,0)+IF(V87="年初来高値更新●",3,IF(V87="高値圏",2,0))+IF(AD87="パーフェクト▲",3,IF(AD87="上昇トレンド▲",2,0))+IF(AE87="25日線押し目●",2,IF(AE87="5日線押し目○",1,0))+IF(P87="急増↑↑",2,IF(P87="増加↑",1,0))+N(AI87),0))</f>
      </c>
      <c r="U87" s="163" t="str">
        <f t="shared" si="29"/>
        <v>要確認</v>
      </c>
      <c r="V87" s="163" t="str">
        <f t="shared" si="22"/>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 t="shared" si="30"/>
        <v>-8.8578088578088572</v>
      </c>
      <c r="AA87" s="163" t="str">
        <f t="shared" si="31"/>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 t="shared" si="23"/>
        <v>パーフェクト▲</v>
      </c>
      <c r="AE87" s="406" t="str">
        <f t="shared" si="24"/>
        <v>なし</v>
      </c>
      <c r="AF87" s="365">
        <f t="array" ref="AF87">IF(C87="","",IFERROR((INDEX(終値!$E:$E,MATCH(TEXT(C87,"0"),終値!$A:$A,0))-INDEX(終値!$E:$CZ,MATCH(TEXT(C87,"0"),終値!$A:$A,0),$AL$2))/INDEX(終値!$E:$CZ,MATCH(TEXT(C87,"0"),終値!$A:$A,0),$AL$2)*100,""))</f>
        <v>-24.224806201550386</v>
      </c>
      <c r="AG87" s="365">
        <f t="array" ref="AG87">IFERROR((終値!$E$5-INDEX(終値!$E$5:$CZ$5,1,$AL$2))/INDEX(終値!$E$5:$CZ$5,1,$AL$2)*100,"")</f>
        <v>1.0179378228534113</v>
      </c>
      <c r="AH87" s="366">
        <f t="shared" si="25"/>
        <v>-25.242744024403798</v>
      </c>
      <c r="AI87" s="364">
        <f t="shared" si="26"/>
        <v>-2</v>
      </c>
      <c r="BA87">
        <f>IFERROR((SUM(OFFSET(高値!$E$6,IFERROR(MATCH($C87,銘柄管理!$B$6:$B$305,0),MATCH(TEXT($C87,"0"),銘柄管理!$B$6:$B$305,0))-1,0,1,14))-SUM(OFFSET(安値!$E$6,IFERROR(MATCH($C87,銘柄管理!$B$6:$B$305,0),MATCH(TEXT($C87,"0"),銘柄管理!$B$6:$B$305,0))-1,0,1,14)))/SUM(OFFSET(終値!$E$6,IFERROR(MATCH($C87,銘柄管理!$B$6:$B$305,0),MATCH(TEXT($C87,"0"),銘柄管理!$B$6:$B$305,0))-1,0,1,14))*100,"")</f>
      </c>
      <c r="BB87">
        <f>IFERROR((MAX(OFFSET(高値!$E$6,IFERROR(MATCH($C87,銘柄管理!$B$6:$B$305,0),MATCH(TEXT($C87,"0"),銘柄管理!$B$6:$B$305,0))-1,0,1,25))-MIN(OFFSET(安値!$E$6,IFERROR(MATCH($C87,銘柄管理!$B$6:$B$305,0),MATCH(TEXT($C87,"0"),銘柄管理!$B$6:$B$305,0))-1,0,1,25)))/$E87*100,"")</f>
      </c>
      <c r="BC87">
        <f>IFERROR(($F87-$G87)/$G87*100,"")</f>
      </c>
      <c r="BD87">
        <f>IFERROR(($E87-MAX(OFFSET(高値!$E$6,IFERROR(MATCH($C87,銘柄管理!$B$6:$B$305,0),MATCH(TEXT($C87,"0"),銘柄管理!$B$6:$B$305,0))-1,0,1,25)))/MAX(OFFSET(高値!$E$6,IFERROR(MATCH($C87,銘柄管理!$B$6:$B$305,0),MATCH(TEXT($C87,"0"),銘柄管理!$B$6:$B$305,0))-1,0,1,25))*100,"")</f>
      </c>
      <c r="BE87">
        <f>IFERROR(($H87-$I87)/$F87*100,"")</f>
      </c>
      <c r="BF87">
        <f>IFERROR(-(($BA87-AVERAGE($BA$3:$BA$206))/STDEV($BA$3:$BA$206))-(($BE87-AVERAGE($BE$3:$BE$206))/STDEV($BE$3:$BE$206))-(($BB87-AVERAGE($BB$3:$BB$206))/STDEV($BB$3:$BB$206))-(($Z87-AVERAGE($Z$3:$Z$206))/STDEV($Z$3:$Z$206))-(($BC87-AVERAGE($BC$3:$BC$206))/STDEV($BC$3:$BC$206)),"")</f>
      </c>
      <c r="BG87">
        <f>IF(OR($C87="",$C87="TOPX",$BA87="",$BF87=""),0,IF(AND($BK$10=1,$BA87&lt;=$BK$2,$BB87&lt;=$BK$3,$BC87&lt;=$BK$4,$Z87&lt;=$BK$5,$Z87&gt;=$BK$6,$BD87&gt;=$BK$7,$BE87&lt;=$BK$8),1,0))</f>
      </c>
      <c r="BH87">
        <f>IF($C87="","",IF($BG87=1,"○ゲート通過",IF($BK$10&lt;&gt;1,"― この方向は停止中",IF($BA87&gt;$BK$2,"×値動きが荒い",IF($BB87&gt;$BK$3,"×レンジが広い",IF($BC87&gt;$BK$4,"×窓を開けて上昇",IF($Z87&gt;$BK$5,"×前日に急騰",IF($Z87&lt;$BK$6,"×前日に急落",IF($BD87&lt;$BK$7,"×高値から離れすぎ",IF($BE87&gt;$BK$8,"×当日の値幅が大きい","×")))))))))</f>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 t="shared" si="17"/>
        <v>-12.075654704170708</v>
      </c>
      <c r="M88" s="166">
        <f>IF(C88&lt;&gt;"",IFERROR(AVERAGE(出来高!E205:I205),""),"")</f>
        <v>17147100</v>
      </c>
      <c r="N88" s="166">
        <f>IF(C88&lt;&gt;"",IFERROR(AVERAGE(出来高!E205:AC205),""),"")</f>
        <v>17147100</v>
      </c>
      <c r="O88" s="168">
        <f t="shared" si="18"/>
        <v>1.0222428282333456</v>
      </c>
      <c r="P88" s="163" t="str">
        <f t="shared" si="19"/>
        <v>普通→</v>
      </c>
      <c r="Q88" s="163" t="str">
        <f t="shared" si="20"/>
        <v>中立→</v>
      </c>
      <c r="R88" s="166">
        <f t="shared" si="27"/>
        <v>3916</v>
      </c>
      <c r="S88" s="166">
        <f t="shared" si="28"/>
        <v>3481</v>
      </c>
      <c r="T88" s="163">
        <f>IF(C88="","",IFERROR(IF(O88&gt;=2,3,IF(O88&gt;=1.5,2,IF(O88&gt;=1,1,0)))+IF(E88&gt;G88,1,0)+IF(L88&gt;=-5,1,0)+IF(Q88="買い▲",2,0)+IF(W88&gt;=78,-4,IF(W88&gt;=72,-2,IF(W88&gt;=55,2,IF(W88&gt;=45,1,0))))+IF(X88&gt;0,1,0)+IF(V88="年初来高値更新●",3,IF(V88="高値圏",2,0))+IF(AD88="パーフェクト▲",3,IF(AD88="上昇トレンド▲",2,0))+IF(AE88="25日線押し目●",2,IF(AE88="5日線押し目○",1,0))+IF(P88="急増↑↑",2,IF(P88="増加↑",1,0))+N(AI88),0))</f>
      </c>
      <c r="U88" s="163" t="str">
        <f t="shared" si="29"/>
        <v>要確認</v>
      </c>
      <c r="V88" s="163" t="str">
        <f t="shared" si="22"/>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 t="shared" si="30"/>
        <v>1.7110799438990183</v>
      </c>
      <c r="AA88" s="163" t="str">
        <f t="shared" si="31"/>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 t="shared" si="23"/>
        <v>下降トレンド▼</v>
      </c>
      <c r="AE88" s="404" t="str">
        <f t="shared" si="24"/>
        <v>なし</v>
      </c>
      <c r="AF88" s="365" t="str">
        <f t="array" ref="AF88">IF(C88="","",IFERROR((INDEX(終値!$E:$E,MATCH(TEXT(C88,"0"),終値!$A:$A,0))-INDEX(終値!$E:$CZ,MATCH(TEXT(C88,"0"),終値!$A:$A,0),$AL$2))/INDEX(終値!$E:$CZ,MATCH(TEXT(C88,"0"),終値!$A:$A,0),$AL$2)*100,""))</f>
        <v/>
      </c>
      <c r="AG88" s="365">
        <f t="array" ref="AG88">IFERROR((終値!$E$5-INDEX(終値!$E$5:$CZ$5,1,$AL$2))/INDEX(終値!$E$5:$CZ$5,1,$AL$2)*100,"")</f>
        <v>1.0179378228534113</v>
      </c>
      <c r="AH88" s="366" t="str">
        <f t="shared" si="25"/>
        <v/>
      </c>
      <c r="AI88" s="364" t="str">
        <f t="shared" si="26"/>
        <v/>
      </c>
      <c r="BA88">
        <f>IFERROR((SUM(OFFSET(高値!$E$6,IFERROR(MATCH($C88,銘柄管理!$B$6:$B$305,0),MATCH(TEXT($C88,"0"),銘柄管理!$B$6:$B$305,0))-1,0,1,14))-SUM(OFFSET(安値!$E$6,IFERROR(MATCH($C88,銘柄管理!$B$6:$B$305,0),MATCH(TEXT($C88,"0"),銘柄管理!$B$6:$B$305,0))-1,0,1,14)))/SUM(OFFSET(終値!$E$6,IFERROR(MATCH($C88,銘柄管理!$B$6:$B$305,0),MATCH(TEXT($C88,"0"),銘柄管理!$B$6:$B$305,0))-1,0,1,14))*100,"")</f>
      </c>
      <c r="BB88">
        <f>IFERROR((MAX(OFFSET(高値!$E$6,IFERROR(MATCH($C88,銘柄管理!$B$6:$B$305,0),MATCH(TEXT($C88,"0"),銘柄管理!$B$6:$B$305,0))-1,0,1,25))-MIN(OFFSET(安値!$E$6,IFERROR(MATCH($C88,銘柄管理!$B$6:$B$305,0),MATCH(TEXT($C88,"0"),銘柄管理!$B$6:$B$305,0))-1,0,1,25)))/$E88*100,"")</f>
      </c>
      <c r="BC88">
        <f>IFERROR(($F88-$G88)/$G88*100,"")</f>
      </c>
      <c r="BD88">
        <f>IFERROR(($E88-MAX(OFFSET(高値!$E$6,IFERROR(MATCH($C88,銘柄管理!$B$6:$B$305,0),MATCH(TEXT($C88,"0"),銘柄管理!$B$6:$B$305,0))-1,0,1,25)))/MAX(OFFSET(高値!$E$6,IFERROR(MATCH($C88,銘柄管理!$B$6:$B$305,0),MATCH(TEXT($C88,"0"),銘柄管理!$B$6:$B$305,0))-1,0,1,25))*100,"")</f>
      </c>
      <c r="BE88">
        <f>IFERROR(($H88-$I88)/$F88*100,"")</f>
      </c>
      <c r="BF88">
        <f>IFERROR(-(($BA88-AVERAGE($BA$3:$BA$206))/STDEV($BA$3:$BA$206))-(($BE88-AVERAGE($BE$3:$BE$206))/STDEV($BE$3:$BE$206))-(($BB88-AVERAGE($BB$3:$BB$206))/STDEV($BB$3:$BB$206))-(($Z88-AVERAGE($Z$3:$Z$206))/STDEV($Z$3:$Z$206))-(($BC88-AVERAGE($BC$3:$BC$206))/STDEV($BC$3:$BC$206)),"")</f>
      </c>
      <c r="BG88">
        <f>IF(OR($C88="",$C88="TOPX",$BA88="",$BF88=""),0,IF(AND($BK$10=1,$BA88&lt;=$BK$2,$BB88&lt;=$BK$3,$BC88&lt;=$BK$4,$Z88&lt;=$BK$5,$Z88&gt;=$BK$6,$BD88&gt;=$BK$7,$BE88&lt;=$BK$8),1,0))</f>
      </c>
      <c r="BH88">
        <f>IF($C88="","",IF($BG88=1,"○ゲート通過",IF($BK$10&lt;&gt;1,"― この方向は停止中",IF($BA88&gt;$BK$2,"×値動きが荒い",IF($BB88&gt;$BK$3,"×レンジが広い",IF($BC88&gt;$BK$4,"×窓を開けて上昇",IF($Z88&gt;$BK$5,"×前日に急騰",IF($Z88&lt;$BK$6,"×前日に急落",IF($BD88&lt;$BK$7,"×高値から離れすぎ",IF($BE88&gt;$BK$8,"×当日の値幅が大きい","×")))))))))</f>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 t="shared" si="17"/>
        <v>-27.394438722966015</v>
      </c>
      <c r="M89" s="166">
        <f>IF(C89&lt;&gt;"",IFERROR(AVERAGE(出来高!E155:I155),""),"")</f>
        <v>2720060</v>
      </c>
      <c r="N89" s="166">
        <f>IF(C89&lt;&gt;"",IFERROR(AVERAGE(出来高!E155:AC155),""),"")</f>
        <v>1742029.1666666667</v>
      </c>
      <c r="O89" s="168">
        <f t="shared" si="18"/>
        <v>0.76869627875855684</v>
      </c>
      <c r="P89" s="163" t="str">
        <f t="shared" si="19"/>
        <v>減少↓</v>
      </c>
      <c r="Q89" s="163" t="str">
        <f t="shared" si="20"/>
        <v>様子見▼</v>
      </c>
      <c r="R89" s="166">
        <f t="shared" si="27"/>
        <v>3807</v>
      </c>
      <c r="S89" s="166">
        <f t="shared" si="28"/>
        <v>3384</v>
      </c>
      <c r="T89" s="163">
        <f>IF(C89="","",IFERROR(IF(O89&gt;=2,3,IF(O89&gt;=1.5,2,IF(O89&gt;=1,1,0)))+IF(E89&gt;G89,1,0)+IF(L89&gt;=-5,1,0)+IF(Q89="買い▲",2,0)+IF(W89&gt;=78,-4,IF(W89&gt;=72,-2,IF(W89&gt;=55,2,IF(W89&gt;=45,1,0))))+IF(X89&gt;0,1,0)+IF(V89="年初来高値更新●",3,IF(V89="高値圏",2,0))+IF(AD89="パーフェクト▲",3,IF(AD89="上昇トレンド▲",2,0))+IF(AE89="25日線押し目●",2,IF(AE89="5日線押し目○",1,0))+IF(P89="急増↑↑",2,IF(P89="増加↑",1,0))+N(AI89),0))</f>
      </c>
      <c r="U89" s="163" t="str">
        <f t="shared" si="29"/>
        <v>除外</v>
      </c>
      <c r="V89" s="163" t="str">
        <f t="shared" si="22"/>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 t="shared" si="30"/>
        <v>-8.0354813462040173</v>
      </c>
      <c r="AA89" s="163" t="str">
        <f t="shared" si="31"/>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 t="shared" si="23"/>
        <v>もみ合い→</v>
      </c>
      <c r="AE89" s="406" t="str">
        <f t="shared" si="24"/>
        <v>なし</v>
      </c>
      <c r="AF89" s="365">
        <f t="array" ref="AF89">IF(C89="","",IFERROR((INDEX(終値!$E:$E,MATCH(TEXT(C89,"0"),終値!$A:$A,0))-INDEX(終値!$E:$CZ,MATCH(TEXT(C89,"0"),終値!$A:$A,0),$AL$2))/INDEX(終値!$E:$CZ,MATCH(TEXT(C89,"0"),終値!$A:$A,0),$AL$2)*100,""))</f>
        <v>-24.808020477815703</v>
      </c>
      <c r="AG89" s="365">
        <f t="array" ref="AG89">IFERROR((終値!$E$5-INDEX(終値!$E$5:$CZ$5,1,$AL$2))/INDEX(終値!$E$5:$CZ$5,1,$AL$2)*100,"")</f>
        <v>1.0179378228534113</v>
      </c>
      <c r="AH89" s="366">
        <f t="shared" si="25"/>
        <v>-25.825958300669114</v>
      </c>
      <c r="AI89" s="364">
        <f t="shared" si="26"/>
        <v>-2</v>
      </c>
      <c r="BA89">
        <f>IFERROR((SUM(OFFSET(高値!$E$6,IFERROR(MATCH($C89,銘柄管理!$B$6:$B$305,0),MATCH(TEXT($C89,"0"),銘柄管理!$B$6:$B$305,0))-1,0,1,14))-SUM(OFFSET(安値!$E$6,IFERROR(MATCH($C89,銘柄管理!$B$6:$B$305,0),MATCH(TEXT($C89,"0"),銘柄管理!$B$6:$B$305,0))-1,0,1,14)))/SUM(OFFSET(終値!$E$6,IFERROR(MATCH($C89,銘柄管理!$B$6:$B$305,0),MATCH(TEXT($C89,"0"),銘柄管理!$B$6:$B$305,0))-1,0,1,14))*100,"")</f>
      </c>
      <c r="BB89">
        <f>IFERROR((MAX(OFFSET(高値!$E$6,IFERROR(MATCH($C89,銘柄管理!$B$6:$B$305,0),MATCH(TEXT($C89,"0"),銘柄管理!$B$6:$B$305,0))-1,0,1,25))-MIN(OFFSET(安値!$E$6,IFERROR(MATCH($C89,銘柄管理!$B$6:$B$305,0),MATCH(TEXT($C89,"0"),銘柄管理!$B$6:$B$305,0))-1,0,1,25)))/$E89*100,"")</f>
      </c>
      <c r="BC89">
        <f>IFERROR(($F89-$G89)/$G89*100,"")</f>
      </c>
      <c r="BD89">
        <f>IFERROR(($E89-MAX(OFFSET(高値!$E$6,IFERROR(MATCH($C89,銘柄管理!$B$6:$B$305,0),MATCH(TEXT($C89,"0"),銘柄管理!$B$6:$B$305,0))-1,0,1,25)))/MAX(OFFSET(高値!$E$6,IFERROR(MATCH($C89,銘柄管理!$B$6:$B$305,0),MATCH(TEXT($C89,"0"),銘柄管理!$B$6:$B$305,0))-1,0,1,25))*100,"")</f>
      </c>
      <c r="BE89">
        <f>IFERROR(($H89-$I89)/$F89*100,"")</f>
      </c>
      <c r="BF89">
        <f>IFERROR(-(($BA89-AVERAGE($BA$3:$BA$206))/STDEV($BA$3:$BA$206))-(($BE89-AVERAGE($BE$3:$BE$206))/STDEV($BE$3:$BE$206))-(($BB89-AVERAGE($BB$3:$BB$206))/STDEV($BB$3:$BB$206))-(($Z89-AVERAGE($Z$3:$Z$206))/STDEV($Z$3:$Z$206))-(($BC89-AVERAGE($BC$3:$BC$206))/STDEV($BC$3:$BC$206)),"")</f>
      </c>
      <c r="BG89">
        <f>IF(OR($C89="",$C89="TOPX",$BA89="",$BF89=""),0,IF(AND($BK$10=1,$BA89&lt;=$BK$2,$BB89&lt;=$BK$3,$BC89&lt;=$BK$4,$Z89&lt;=$BK$5,$Z89&gt;=$BK$6,$BD89&gt;=$BK$7,$BE89&lt;=$BK$8),1,0))</f>
      </c>
      <c r="BH89">
        <f>IF($C89="","",IF($BG89=1,"○ゲート通過",IF($BK$10&lt;&gt;1,"― この方向は停止中",IF($BA89&gt;$BK$2,"×値動きが荒い",IF($BB89&gt;$BK$3,"×レンジが広い",IF($BC89&gt;$BK$4,"×窓を開けて上昇",IF($Z89&gt;$BK$5,"×前日に急騰",IF($Z89&lt;$BK$6,"×前日に急落",IF($BD89&lt;$BK$7,"×高値から離れすぎ",IF($BE89&gt;$BK$8,"×当日の値幅が大きい","×")))))))))</f>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 t="shared" si="17"/>
        <v>-23.552077062010842</v>
      </c>
      <c r="M90" s="166">
        <f>IF(C90&lt;&gt;"",IFERROR(AVERAGE(出来高!E188:I188),""),"")</f>
        <v>3302160</v>
      </c>
      <c r="N90" s="166">
        <f>IF(C90&lt;&gt;"",IFERROR(AVERAGE(出来高!E188:AC188),""),"")</f>
        <v>3311376</v>
      </c>
      <c r="O90" s="168">
        <f t="shared" si="18"/>
        <v>0.95831213508733681</v>
      </c>
      <c r="P90" s="163" t="str">
        <f t="shared" si="19"/>
        <v>減少↓</v>
      </c>
      <c r="Q90" s="163" t="str">
        <f t="shared" si="20"/>
        <v>中立→</v>
      </c>
      <c r="R90" s="166">
        <f t="shared" si="27"/>
        <v>686</v>
      </c>
      <c r="S90" s="166">
        <f t="shared" si="28"/>
        <v>610</v>
      </c>
      <c r="T90" s="163">
        <f>IF(C90="","",IFERROR(IF(O90&gt;=2,3,IF(O90&gt;=1.5,2,IF(O90&gt;=1,1,0)))+IF(E90&gt;G90,1,0)+IF(L90&gt;=-5,1,0)+IF(Q90="買い▲",2,0)+IF(W90&gt;=78,-4,IF(W90&gt;=72,-2,IF(W90&gt;=55,2,IF(W90&gt;=45,1,0))))+IF(X90&gt;0,1,0)+IF(V90="年初来高値更新●",3,IF(V90="高値圏",2,0))+IF(AD90="パーフェクト▲",3,IF(AD90="上昇トレンド▲",2,0))+IF(AE90="25日線押し目●",2,IF(AE90="5日線押し目○",1,0))+IF(P90="急増↑↑",2,IF(P90="増加↑",1,0))+N(AI90),0))</f>
      </c>
      <c r="U90" s="163" t="str">
        <f t="shared" si="29"/>
        <v>除外</v>
      </c>
      <c r="V90" s="163" t="str">
        <f t="shared" si="22"/>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 t="shared" si="30"/>
        <v>2.1396396396396322</v>
      </c>
      <c r="AA90" s="163" t="str">
        <f t="shared" si="31"/>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 t="shared" si="23"/>
        <v>もみ合い→</v>
      </c>
      <c r="AE90" s="404" t="str">
        <f t="shared" si="24"/>
        <v>なし</v>
      </c>
      <c r="AF90" s="365">
        <f t="array" ref="AF90">IF(C90="","",IFERROR((INDEX(終値!$E:$E,MATCH(TEXT(C90,"0"),終値!$A:$A,0))-INDEX(終値!$E:$CZ,MATCH(TEXT(C90,"0"),終値!$A:$A,0),$AL$2))/INDEX(終値!$E:$CZ,MATCH(TEXT(C90,"0"),終値!$A:$A,0),$AL$2)*100,""))</f>
        <v>-0.20433825840931596</v>
      </c>
      <c r="AG90" s="365">
        <f t="array" ref="AG90">IFERROR((終値!$E$5-INDEX(終値!$E$5:$CZ$5,1,$AL$2))/INDEX(終値!$E$5:$CZ$5,1,$AL$2)*100,"")</f>
        <v>1.0179378228534113</v>
      </c>
      <c r="AH90" s="366">
        <f t="shared" si="25"/>
        <v>-1.2222760812627271</v>
      </c>
      <c r="AI90" s="364">
        <f t="shared" si="26"/>
        <v>-1</v>
      </c>
      <c r="BA90">
        <f>IFERROR((SUM(OFFSET(高値!$E$6,IFERROR(MATCH($C90,銘柄管理!$B$6:$B$305,0),MATCH(TEXT($C90,"0"),銘柄管理!$B$6:$B$305,0))-1,0,1,14))-SUM(OFFSET(安値!$E$6,IFERROR(MATCH($C90,銘柄管理!$B$6:$B$305,0),MATCH(TEXT($C90,"0"),銘柄管理!$B$6:$B$305,0))-1,0,1,14)))/SUM(OFFSET(終値!$E$6,IFERROR(MATCH($C90,銘柄管理!$B$6:$B$305,0),MATCH(TEXT($C90,"0"),銘柄管理!$B$6:$B$305,0))-1,0,1,14))*100,"")</f>
      </c>
      <c r="BB90">
        <f>IFERROR((MAX(OFFSET(高値!$E$6,IFERROR(MATCH($C90,銘柄管理!$B$6:$B$305,0),MATCH(TEXT($C90,"0"),銘柄管理!$B$6:$B$305,0))-1,0,1,25))-MIN(OFFSET(安値!$E$6,IFERROR(MATCH($C90,銘柄管理!$B$6:$B$305,0),MATCH(TEXT($C90,"0"),銘柄管理!$B$6:$B$305,0))-1,0,1,25)))/$E90*100,"")</f>
      </c>
      <c r="BC90">
        <f>IFERROR(($F90-$G90)/$G90*100,"")</f>
      </c>
      <c r="BD90">
        <f>IFERROR(($E90-MAX(OFFSET(高値!$E$6,IFERROR(MATCH($C90,銘柄管理!$B$6:$B$305,0),MATCH(TEXT($C90,"0"),銘柄管理!$B$6:$B$305,0))-1,0,1,25)))/MAX(OFFSET(高値!$E$6,IFERROR(MATCH($C90,銘柄管理!$B$6:$B$305,0),MATCH(TEXT($C90,"0"),銘柄管理!$B$6:$B$305,0))-1,0,1,25))*100,"")</f>
      </c>
      <c r="BE90">
        <f>IFERROR(($H90-$I90)/$F90*100,"")</f>
      </c>
      <c r="BF90">
        <f>IFERROR(-(($BA90-AVERAGE($BA$3:$BA$206))/STDEV($BA$3:$BA$206))-(($BE90-AVERAGE($BE$3:$BE$206))/STDEV($BE$3:$BE$206))-(($BB90-AVERAGE($BB$3:$BB$206))/STDEV($BB$3:$BB$206))-(($Z90-AVERAGE($Z$3:$Z$206))/STDEV($Z$3:$Z$206))-(($BC90-AVERAGE($BC$3:$BC$206))/STDEV($BC$3:$BC$206)),"")</f>
      </c>
      <c r="BG90">
        <f>IF(OR($C90="",$C90="TOPX",$BA90="",$BF90=""),0,IF(AND($BK$10=1,$BA90&lt;=$BK$2,$BB90&lt;=$BK$3,$BC90&lt;=$BK$4,$Z90&lt;=$BK$5,$Z90&gt;=$BK$6,$BD90&gt;=$BK$7,$BE90&lt;=$BK$8),1,0))</f>
      </c>
      <c r="BH90">
        <f>IF($C90="","",IF($BG90=1,"○ゲート通過",IF($BK$10&lt;&gt;1,"― この方向は停止中",IF($BA90&gt;$BK$2,"×値動きが荒い",IF($BB90&gt;$BK$3,"×レンジが広い",IF($BC90&gt;$BK$4,"×窓を開けて上昇",IF($Z90&gt;$BK$5,"×前日に急騰",IF($Z90&lt;$BK$6,"×前日に急落",IF($BD90&lt;$BK$7,"×高値から離れすぎ",IF($BE90&gt;$BK$8,"×当日の値幅が大きい","×")))))))))</f>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 t="shared" si="17"/>
        <v>-8.3665338645418323</v>
      </c>
      <c r="M91" s="166">
        <f>IF(C91&lt;&gt;"",IFERROR(AVERAGE(出来高!E120:I120),""),"")</f>
        <v>100160</v>
      </c>
      <c r="N91" s="166">
        <f>IF(C91&lt;&gt;"",IFERROR(AVERAGE(出来高!E120:AC120),""),"")</f>
        <v>81566.666666666672</v>
      </c>
      <c r="O91" s="168">
        <f t="shared" si="18"/>
        <v>1.1591453674121406</v>
      </c>
      <c r="P91" s="163" t="str">
        <f t="shared" si="19"/>
        <v>普通→</v>
      </c>
      <c r="Q91" s="163" t="str">
        <f t="shared" si="20"/>
        <v>様子見▼</v>
      </c>
      <c r="R91" s="166">
        <f t="shared" si="27"/>
        <v>4968</v>
      </c>
      <c r="S91" s="166">
        <f t="shared" si="28"/>
        <v>4416</v>
      </c>
      <c r="T91" s="163">
        <f>IF(C91="","",IFERROR(IF(O91&gt;=2,3,IF(O91&gt;=1.5,2,IF(O91&gt;=1,1,0)))+IF(E91&gt;G91,1,0)+IF(L91&gt;=-5,1,0)+IF(Q91="買い▲",2,0)+IF(W91&gt;=78,-4,IF(W91&gt;=72,-2,IF(W91&gt;=55,2,IF(W91&gt;=45,1,0))))+IF(X91&gt;0,1,0)+IF(V91="年初来高値更新●",3,IF(V91="高値圏",2,0))+IF(AD91="パーフェクト▲",3,IF(AD91="上昇トレンド▲",2,0))+IF(AE91="25日線押し目●",2,IF(AE91="5日線押し目○",1,0))+IF(P91="急増↑↑",2,IF(P91="増加↑",1,0))+N(AI91),0))</f>
      </c>
      <c r="U91" s="163" t="str">
        <f t="shared" si="29"/>
        <v>要確認</v>
      </c>
      <c r="V91" s="163" t="str">
        <f t="shared" si="22"/>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 t="shared" si="30"/>
        <v>-0.4329004329004329</v>
      </c>
      <c r="AA91" s="163" t="str">
        <f t="shared" si="31"/>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 t="shared" si="23"/>
        <v>上昇トレンド▲</v>
      </c>
      <c r="AE91" s="406" t="str">
        <f t="shared" si="24"/>
        <v>なし</v>
      </c>
      <c r="AF91" s="365">
        <f t="array" ref="AF91">IF(C91="","",IFERROR((INDEX(終値!$E:$E,MATCH(TEXT(C91,"0"),終値!$A:$A,0))-INDEX(終値!$E:$CZ,MATCH(TEXT(C91,"0"),終値!$A:$A,0),$AL$2))/INDEX(終値!$E:$CZ,MATCH(TEXT(C91,"0"),終値!$A:$A,0),$AL$2)*100,""))</f>
        <v>11.650485436893204</v>
      </c>
      <c r="AG91" s="365">
        <f t="array" ref="AG91">IFERROR((終値!$E$5-INDEX(終値!$E$5:$CZ$5,1,$AL$2))/INDEX(終値!$E$5:$CZ$5,1,$AL$2)*100,"")</f>
        <v>1.0179378228534113</v>
      </c>
      <c r="AH91" s="366">
        <f t="shared" si="25"/>
        <v>10.632547614039792</v>
      </c>
      <c r="AI91" s="364">
        <f t="shared" si="26"/>
        <v>3</v>
      </c>
      <c r="BA91">
        <f>IFERROR((SUM(OFFSET(高値!$E$6,IFERROR(MATCH($C91,銘柄管理!$B$6:$B$305,0),MATCH(TEXT($C91,"0"),銘柄管理!$B$6:$B$305,0))-1,0,1,14))-SUM(OFFSET(安値!$E$6,IFERROR(MATCH($C91,銘柄管理!$B$6:$B$305,0),MATCH(TEXT($C91,"0"),銘柄管理!$B$6:$B$305,0))-1,0,1,14)))/SUM(OFFSET(終値!$E$6,IFERROR(MATCH($C91,銘柄管理!$B$6:$B$305,0),MATCH(TEXT($C91,"0"),銘柄管理!$B$6:$B$305,0))-1,0,1,14))*100,"")</f>
      </c>
      <c r="BB91">
        <f>IFERROR((MAX(OFFSET(高値!$E$6,IFERROR(MATCH($C91,銘柄管理!$B$6:$B$305,0),MATCH(TEXT($C91,"0"),銘柄管理!$B$6:$B$305,0))-1,0,1,25))-MIN(OFFSET(安値!$E$6,IFERROR(MATCH($C91,銘柄管理!$B$6:$B$305,0),MATCH(TEXT($C91,"0"),銘柄管理!$B$6:$B$305,0))-1,0,1,25)))/$E91*100,"")</f>
      </c>
      <c r="BC91">
        <f>IFERROR(($F91-$G91)/$G91*100,"")</f>
      </c>
      <c r="BD91">
        <f>IFERROR(($E91-MAX(OFFSET(高値!$E$6,IFERROR(MATCH($C91,銘柄管理!$B$6:$B$305,0),MATCH(TEXT($C91,"0"),銘柄管理!$B$6:$B$305,0))-1,0,1,25)))/MAX(OFFSET(高値!$E$6,IFERROR(MATCH($C91,銘柄管理!$B$6:$B$305,0),MATCH(TEXT($C91,"0"),銘柄管理!$B$6:$B$305,0))-1,0,1,25))*100,"")</f>
      </c>
      <c r="BE91">
        <f>IFERROR(($H91-$I91)/$F91*100,"")</f>
      </c>
      <c r="BF91">
        <f>IFERROR(-(($BA91-AVERAGE($BA$3:$BA$206))/STDEV($BA$3:$BA$206))-(($BE91-AVERAGE($BE$3:$BE$206))/STDEV($BE$3:$BE$206))-(($BB91-AVERAGE($BB$3:$BB$206))/STDEV($BB$3:$BB$206))-(($Z91-AVERAGE($Z$3:$Z$206))/STDEV($Z$3:$Z$206))-(($BC91-AVERAGE($BC$3:$BC$206))/STDEV($BC$3:$BC$206)),"")</f>
      </c>
      <c r="BG91">
        <f>IF(OR($C91="",$C91="TOPX",$BA91="",$BF91=""),0,IF(AND($BK$10=1,$BA91&lt;=$BK$2,$BB91&lt;=$BK$3,$BC91&lt;=$BK$4,$Z91&lt;=$BK$5,$Z91&gt;=$BK$6,$BD91&gt;=$BK$7,$BE91&lt;=$BK$8),1,0))</f>
      </c>
      <c r="BH91">
        <f>IF($C91="","",IF($BG91=1,"○ゲート通過",IF($BK$10&lt;&gt;1,"― この方向は停止中",IF($BA91&gt;$BK$2,"×値動きが荒い",IF($BB91&gt;$BK$3,"×レンジが広い",IF($BC91&gt;$BK$4,"×窓を開けて上昇",IF($Z91&gt;$BK$5,"×前日に急騰",IF($Z91&lt;$BK$6,"×前日に急落",IF($BD91&lt;$BK$7,"×高値から離れすぎ",IF($BE91&gt;$BK$8,"×当日の値幅が大きい","×")))))))))</f>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 t="shared" si="17"/>
        <v>-70.731707317073173</v>
      </c>
      <c r="M92" s="166">
        <f>IF(C92&lt;&gt;"",IFERROR(AVERAGE(出来高!E140:I140),""),"")</f>
        <v>11598340</v>
      </c>
      <c r="N92" s="166">
        <f>IF(C92&lt;&gt;"",IFERROR(AVERAGE(出来高!E140:AC140),""),"")</f>
        <v>23217912.5</v>
      </c>
      <c r="O92" s="168">
        <f t="shared" si="18"/>
        <v>1.1462329954114123</v>
      </c>
      <c r="P92" s="163" t="str">
        <f t="shared" si="19"/>
        <v>普通→</v>
      </c>
      <c r="Q92" s="163" t="str">
        <f t="shared" si="20"/>
        <v>様子見▼</v>
      </c>
      <c r="R92" s="166">
        <f t="shared" si="27"/>
        <v>52</v>
      </c>
      <c r="S92" s="166">
        <f t="shared" si="28"/>
        <v>46</v>
      </c>
      <c r="T92" s="163">
        <f>IF(C92="","",IFERROR(IF(O92&gt;=2,3,IF(O92&gt;=1.5,2,IF(O92&gt;=1,1,0)))+IF(E92&gt;G92,1,0)+IF(L92&gt;=-5,1,0)+IF(Q92="買い▲",2,0)+IF(W92&gt;=78,-4,IF(W92&gt;=72,-2,IF(W92&gt;=55,2,IF(W92&gt;=45,1,0))))+IF(X92&gt;0,1,0)+IF(V92="年初来高値更新●",3,IF(V92="高値圏",2,0))+IF(AD92="パーフェクト▲",3,IF(AD92="上昇トレンド▲",2,0))+IF(AE92="25日線押し目●",2,IF(AE92="5日線押し目○",1,0))+IF(P92="急増↑↑",2,IF(P92="増加↑",1,0))+N(AI92),0))</f>
      </c>
      <c r="U92" s="163" t="str">
        <f t="shared" si="29"/>
        <v>除外</v>
      </c>
      <c r="V92" s="163" t="str">
        <f t="shared" si="22"/>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 t="shared" si="30"/>
        <v>-2.0408163265306123</v>
      </c>
      <c r="AA92" s="163" t="str">
        <f t="shared" si="31"/>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 t="shared" si="23"/>
        <v>下降トレンド▼</v>
      </c>
      <c r="AE92" s="404" t="str">
        <f t="shared" si="24"/>
        <v>なし</v>
      </c>
      <c r="AF92" s="365">
        <f t="array" ref="AF92">IF(C92="","",IFERROR((INDEX(終値!$E:$E,MATCH(TEXT(C92,"0"),終値!$A:$A,0))-INDEX(終値!$E:$CZ,MATCH(TEXT(C92,"0"),終値!$A:$A,0),$AL$2))/INDEX(終値!$E:$CZ,MATCH(TEXT(C92,"0"),終値!$A:$A,0),$AL$2)*100,""))</f>
        <v>-11.111111111111111</v>
      </c>
      <c r="AG92" s="365">
        <f t="array" ref="AG92">IFERROR((終値!$E$5-INDEX(終値!$E$5:$CZ$5,1,$AL$2))/INDEX(終値!$E$5:$CZ$5,1,$AL$2)*100,"")</f>
        <v>1.0179378228534113</v>
      </c>
      <c r="AH92" s="366">
        <f t="shared" si="25"/>
        <v>-12.129048933964523</v>
      </c>
      <c r="AI92" s="364">
        <f t="shared" si="26"/>
        <v>-2</v>
      </c>
      <c r="BA92">
        <f>IFERROR((SUM(OFFSET(高値!$E$6,IFERROR(MATCH($C92,銘柄管理!$B$6:$B$305,0),MATCH(TEXT($C92,"0"),銘柄管理!$B$6:$B$305,0))-1,0,1,14))-SUM(OFFSET(安値!$E$6,IFERROR(MATCH($C92,銘柄管理!$B$6:$B$305,0),MATCH(TEXT($C92,"0"),銘柄管理!$B$6:$B$305,0))-1,0,1,14)))/SUM(OFFSET(終値!$E$6,IFERROR(MATCH($C92,銘柄管理!$B$6:$B$305,0),MATCH(TEXT($C92,"0"),銘柄管理!$B$6:$B$305,0))-1,0,1,14))*100,"")</f>
      </c>
      <c r="BB92">
        <f>IFERROR((MAX(OFFSET(高値!$E$6,IFERROR(MATCH($C92,銘柄管理!$B$6:$B$305,0),MATCH(TEXT($C92,"0"),銘柄管理!$B$6:$B$305,0))-1,0,1,25))-MIN(OFFSET(安値!$E$6,IFERROR(MATCH($C92,銘柄管理!$B$6:$B$305,0),MATCH(TEXT($C92,"0"),銘柄管理!$B$6:$B$305,0))-1,0,1,25)))/$E92*100,"")</f>
      </c>
      <c r="BC92">
        <f>IFERROR(($F92-$G92)/$G92*100,"")</f>
      </c>
      <c r="BD92">
        <f>IFERROR(($E92-MAX(OFFSET(高値!$E$6,IFERROR(MATCH($C92,銘柄管理!$B$6:$B$305,0),MATCH(TEXT($C92,"0"),銘柄管理!$B$6:$B$305,0))-1,0,1,25)))/MAX(OFFSET(高値!$E$6,IFERROR(MATCH($C92,銘柄管理!$B$6:$B$305,0),MATCH(TEXT($C92,"0"),銘柄管理!$B$6:$B$305,0))-1,0,1,25))*100,"")</f>
      </c>
      <c r="BE92">
        <f>IFERROR(($H92-$I92)/$F92*100,"")</f>
      </c>
      <c r="BF92">
        <f>IFERROR(-(($BA92-AVERAGE($BA$3:$BA$206))/STDEV($BA$3:$BA$206))-(($BE92-AVERAGE($BE$3:$BE$206))/STDEV($BE$3:$BE$206))-(($BB92-AVERAGE($BB$3:$BB$206))/STDEV($BB$3:$BB$206))-(($Z92-AVERAGE($Z$3:$Z$206))/STDEV($Z$3:$Z$206))-(($BC92-AVERAGE($BC$3:$BC$206))/STDEV($BC$3:$BC$206)),"")</f>
      </c>
      <c r="BG92">
        <f>IF(OR($C92="",$C92="TOPX",$BA92="",$BF92=""),0,IF(AND($BK$10=1,$BA92&lt;=$BK$2,$BB92&lt;=$BK$3,$BC92&lt;=$BK$4,$Z92&lt;=$BK$5,$Z92&gt;=$BK$6,$BD92&gt;=$BK$7,$BE92&lt;=$BK$8),1,0))</f>
      </c>
      <c r="BH92">
        <f>IF($C92="","",IF($BG92=1,"○ゲート通過",IF($BK$10&lt;&gt;1,"― この方向は停止中",IF($BA92&gt;$BK$2,"×値動きが荒い",IF($BB92&gt;$BK$3,"×レンジが広い",IF($BC92&gt;$BK$4,"×窓を開けて上昇",IF($Z92&gt;$BK$5,"×前日に急騰",IF($Z92&lt;$BK$6,"×前日に急落",IF($BD92&lt;$BK$7,"×高値から離れすぎ",IF($BE92&gt;$BK$8,"×当日の値幅が大きい","×")))))))))</f>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 t="shared" si="17"/>
        <v>-22.299536116633529</v>
      </c>
      <c r="M93" s="166">
        <f>IF(C93&lt;&gt;"",IFERROR(AVERAGE(出来高!E11:I11),""),"")</f>
        <v>7196020</v>
      </c>
      <c r="N93" s="166">
        <f>IF(C93&lt;&gt;"",IFERROR(AVERAGE(出来高!E11:AC11),""),"")</f>
        <v>7094672</v>
      </c>
      <c r="O93" s="168">
        <f t="shared" si="18"/>
        <v>0.75985058407286254</v>
      </c>
      <c r="P93" s="163" t="str">
        <f t="shared" si="19"/>
        <v>減少↓</v>
      </c>
      <c r="Q93" s="163" t="str">
        <f t="shared" si="20"/>
        <v>中立→</v>
      </c>
      <c r="R93" s="166">
        <f t="shared" si="27"/>
        <v>5065</v>
      </c>
      <c r="S93" s="166">
        <f t="shared" si="28"/>
        <v>4502</v>
      </c>
      <c r="T93" s="163">
        <f>IF(C93="","",IFERROR(IF(O93&gt;=2,3,IF(O93&gt;=1.5,2,IF(O93&gt;=1,1,0)))+IF(E93&gt;G93,1,0)+IF(L93&gt;=-5,1,0)+IF(Q93="買い▲",2,0)+IF(W93&gt;=78,-4,IF(W93&gt;=72,-2,IF(W93&gt;=55,2,IF(W93&gt;=45,1,0))))+IF(X93&gt;0,1,0)+IF(V93="年初来高値更新●",3,IF(V93="高値圏",2,0))+IF(AD93="パーフェクト▲",3,IF(AD93="上昇トレンド▲",2,0))+IF(AE93="25日線押し目●",2,IF(AE93="5日線押し目○",1,0))+IF(P93="急増↑↑",2,IF(P93="増加↑",1,0))+N(AI93),0))</f>
      </c>
      <c r="U93" s="163" t="str">
        <f t="shared" si="29"/>
        <v>要確認</v>
      </c>
      <c r="V93" s="163" t="str">
        <f t="shared" si="22"/>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 t="shared" si="30"/>
        <v>1.2740228892247896</v>
      </c>
      <c r="AA93" s="163" t="str">
        <f t="shared" si="31"/>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 t="shared" si="23"/>
        <v>パーフェクト▲</v>
      </c>
      <c r="AE93" s="406" t="str">
        <f t="shared" si="24"/>
        <v>なし</v>
      </c>
      <c r="AF93" s="365">
        <f t="array" ref="AF93">IF(C93="","",IFERROR((INDEX(終値!$E:$E,MATCH(TEXT(C93,"0"),終値!$A:$A,0))-INDEX(終値!$E:$CZ,MATCH(TEXT(C93,"0"),終値!$A:$A,0),$AL$2))/INDEX(終値!$E:$CZ,MATCH(TEXT(C93,"0"),終値!$A:$A,0),$AL$2)*100,""))</f>
        <v>17.809595579000252</v>
      </c>
      <c r="AG93" s="365">
        <f t="array" ref="AG93">IFERROR((終値!$E$5-INDEX(終値!$E$5:$CZ$5,1,$AL$2))/INDEX(終値!$E$5:$CZ$5,1,$AL$2)*100,"")</f>
        <v>1.0179378228534113</v>
      </c>
      <c r="AH93" s="366">
        <f t="shared" si="25"/>
        <v>16.79165775614684</v>
      </c>
      <c r="AI93" s="364">
        <f t="shared" si="26"/>
        <v>3</v>
      </c>
      <c r="BA93">
        <f>IFERROR((SUM(OFFSET(高値!$E$6,IFERROR(MATCH($C93,銘柄管理!$B$6:$B$305,0),MATCH(TEXT($C93,"0"),銘柄管理!$B$6:$B$305,0))-1,0,1,14))-SUM(OFFSET(安値!$E$6,IFERROR(MATCH($C93,銘柄管理!$B$6:$B$305,0),MATCH(TEXT($C93,"0"),銘柄管理!$B$6:$B$305,0))-1,0,1,14)))/SUM(OFFSET(終値!$E$6,IFERROR(MATCH($C93,銘柄管理!$B$6:$B$305,0),MATCH(TEXT($C93,"0"),銘柄管理!$B$6:$B$305,0))-1,0,1,14))*100,"")</f>
      </c>
      <c r="BB93">
        <f>IFERROR((MAX(OFFSET(高値!$E$6,IFERROR(MATCH($C93,銘柄管理!$B$6:$B$305,0),MATCH(TEXT($C93,"0"),銘柄管理!$B$6:$B$305,0))-1,0,1,25))-MIN(OFFSET(安値!$E$6,IFERROR(MATCH($C93,銘柄管理!$B$6:$B$305,0),MATCH(TEXT($C93,"0"),銘柄管理!$B$6:$B$305,0))-1,0,1,25)))/$E93*100,"")</f>
      </c>
      <c r="BC93">
        <f>IFERROR(($F93-$G93)/$G93*100,"")</f>
      </c>
      <c r="BD93">
        <f>IFERROR(($E93-MAX(OFFSET(高値!$E$6,IFERROR(MATCH($C93,銘柄管理!$B$6:$B$305,0),MATCH(TEXT($C93,"0"),銘柄管理!$B$6:$B$305,0))-1,0,1,25)))/MAX(OFFSET(高値!$E$6,IFERROR(MATCH($C93,銘柄管理!$B$6:$B$305,0),MATCH(TEXT($C93,"0"),銘柄管理!$B$6:$B$305,0))-1,0,1,25))*100,"")</f>
      </c>
      <c r="BE93">
        <f>IFERROR(($H93-$I93)/$F93*100,"")</f>
      </c>
      <c r="BF93">
        <f>IFERROR(-(($BA93-AVERAGE($BA$3:$BA$206))/STDEV($BA$3:$BA$206))-(($BE93-AVERAGE($BE$3:$BE$206))/STDEV($BE$3:$BE$206))-(($BB93-AVERAGE($BB$3:$BB$206))/STDEV($BB$3:$BB$206))-(($Z93-AVERAGE($Z$3:$Z$206))/STDEV($Z$3:$Z$206))-(($BC93-AVERAGE($BC$3:$BC$206))/STDEV($BC$3:$BC$206)),"")</f>
      </c>
      <c r="BG93">
        <f>IF(OR($C93="",$C93="TOPX",$BA93="",$BF93=""),0,IF(AND($BK$10=1,$BA93&lt;=$BK$2,$BB93&lt;=$BK$3,$BC93&lt;=$BK$4,$Z93&lt;=$BK$5,$Z93&gt;=$BK$6,$BD93&gt;=$BK$7,$BE93&lt;=$BK$8),1,0))</f>
      </c>
      <c r="BH93">
        <f>IF($C93="","",IF($BG93=1,"○ゲート通過",IF($BK$10&lt;&gt;1,"― この方向は停止中",IF($BA93&gt;$BK$2,"×値動きが荒い",IF($BB93&gt;$BK$3,"×レンジが広い",IF($BC93&gt;$BK$4,"×窓を開けて上昇",IF($Z93&gt;$BK$5,"×前日に急騰",IF($Z93&lt;$BK$6,"×前日に急落",IF($BD93&lt;$BK$7,"×高値から離れすぎ",IF($BE93&gt;$BK$8,"×当日の値幅が大きい","×")))))))))</f>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 t="shared" si="17"/>
        <v>-51.215469613259671</v>
      </c>
      <c r="M94" s="166">
        <f>IF(C94&lt;&gt;"",IFERROR(AVERAGE(出来高!E141:I141),""),"")</f>
        <v>2873100</v>
      </c>
      <c r="N94" s="166">
        <f>IF(C94&lt;&gt;"",IFERROR(AVERAGE(出来高!E141:AC141),""),"")</f>
        <v>2823640</v>
      </c>
      <c r="O94" s="168">
        <f t="shared" si="18"/>
        <v>0.55260868051929968</v>
      </c>
      <c r="P94" s="163" t="str">
        <f t="shared" si="19"/>
        <v>減少↓</v>
      </c>
      <c r="Q94" s="163" t="str">
        <f t="shared" si="20"/>
        <v>様子見▼</v>
      </c>
      <c r="R94" s="166">
        <f t="shared" si="27"/>
        <v>1907</v>
      </c>
      <c r="S94" s="166">
        <f t="shared" si="28"/>
        <v>1695</v>
      </c>
      <c r="T94" s="163">
        <f>IF(C94="","",IFERROR(IF(O94&gt;=2,3,IF(O94&gt;=1.5,2,IF(O94&gt;=1,1,0)))+IF(E94&gt;G94,1,0)+IF(L94&gt;=-5,1,0)+IF(Q94="買い▲",2,0)+IF(W94&gt;=78,-4,IF(W94&gt;=72,-2,IF(W94&gt;=55,2,IF(W94&gt;=45,1,0))))+IF(X94&gt;0,1,0)+IF(V94="年初来高値更新●",3,IF(V94="高値圏",2,0))+IF(AD94="パーフェクト▲",3,IF(AD94="上昇トレンド▲",2,0))+IF(AE94="25日線押し目●",2,IF(AE94="5日線押し目○",1,0))+IF(P94="急増↑↑",2,IF(P94="増加↑",1,0))+N(AI94),0))</f>
      </c>
      <c r="U94" s="163" t="str">
        <f t="shared" si="29"/>
        <v>除外</v>
      </c>
      <c r="V94" s="163" t="str">
        <f t="shared" si="22"/>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 t="shared" si="30"/>
        <v>-1.0644257703081232</v>
      </c>
      <c r="AA94" s="163" t="str">
        <f t="shared" si="31"/>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 t="shared" si="23"/>
        <v>もみ合い→</v>
      </c>
      <c r="AE94" s="404" t="str">
        <f t="shared" si="24"/>
        <v>なし</v>
      </c>
      <c r="AF94" s="365">
        <f t="array" ref="AF94">IF(C94="","",IFERROR((INDEX(終値!$E:$E,MATCH(TEXT(C94,"0"),終値!$A:$A,0))-INDEX(終値!$E:$CZ,MATCH(TEXT(C94,"0"),終値!$A:$A,0),$AL$2))/INDEX(終値!$E:$CZ,MATCH(TEXT(C94,"0"),終値!$A:$A,0),$AL$2)*100,""))</f>
        <v>-35.828488372093027</v>
      </c>
      <c r="AG94" s="365">
        <f t="array" ref="AG94">IFERROR((終値!$E$5-INDEX(終値!$E$5:$CZ$5,1,$AL$2))/INDEX(終値!$E$5:$CZ$5,1,$AL$2)*100,"")</f>
        <v>1.0179378228534113</v>
      </c>
      <c r="AH94" s="366">
        <f t="shared" si="25"/>
        <v>-36.846426194946439</v>
      </c>
      <c r="AI94" s="364">
        <f t="shared" si="26"/>
        <v>-2</v>
      </c>
      <c r="BA94">
        <f>IFERROR((SUM(OFFSET(高値!$E$6,IFERROR(MATCH($C94,銘柄管理!$B$6:$B$305,0),MATCH(TEXT($C94,"0"),銘柄管理!$B$6:$B$305,0))-1,0,1,14))-SUM(OFFSET(安値!$E$6,IFERROR(MATCH($C94,銘柄管理!$B$6:$B$305,0),MATCH(TEXT($C94,"0"),銘柄管理!$B$6:$B$305,0))-1,0,1,14)))/SUM(OFFSET(終値!$E$6,IFERROR(MATCH($C94,銘柄管理!$B$6:$B$305,0),MATCH(TEXT($C94,"0"),銘柄管理!$B$6:$B$305,0))-1,0,1,14))*100,"")</f>
      </c>
      <c r="BB94">
        <f>IFERROR((MAX(OFFSET(高値!$E$6,IFERROR(MATCH($C94,銘柄管理!$B$6:$B$305,0),MATCH(TEXT($C94,"0"),銘柄管理!$B$6:$B$305,0))-1,0,1,25))-MIN(OFFSET(安値!$E$6,IFERROR(MATCH($C94,銘柄管理!$B$6:$B$305,0),MATCH(TEXT($C94,"0"),銘柄管理!$B$6:$B$305,0))-1,0,1,25)))/$E94*100,"")</f>
      </c>
      <c r="BC94">
        <f>IFERROR(($F94-$G94)/$G94*100,"")</f>
      </c>
      <c r="BD94">
        <f>IFERROR(($E94-MAX(OFFSET(高値!$E$6,IFERROR(MATCH($C94,銘柄管理!$B$6:$B$305,0),MATCH(TEXT($C94,"0"),銘柄管理!$B$6:$B$305,0))-1,0,1,25)))/MAX(OFFSET(高値!$E$6,IFERROR(MATCH($C94,銘柄管理!$B$6:$B$305,0),MATCH(TEXT($C94,"0"),銘柄管理!$B$6:$B$305,0))-1,0,1,25))*100,"")</f>
      </c>
      <c r="BE94">
        <f>IFERROR(($H94-$I94)/$F94*100,"")</f>
      </c>
      <c r="BF94">
        <f>IFERROR(-(($BA94-AVERAGE($BA$3:$BA$206))/STDEV($BA$3:$BA$206))-(($BE94-AVERAGE($BE$3:$BE$206))/STDEV($BE$3:$BE$206))-(($BB94-AVERAGE($BB$3:$BB$206))/STDEV($BB$3:$BB$206))-(($Z94-AVERAGE($Z$3:$Z$206))/STDEV($Z$3:$Z$206))-(($BC94-AVERAGE($BC$3:$BC$206))/STDEV($BC$3:$BC$206)),"")</f>
      </c>
      <c r="BG94">
        <f>IF(OR($C94="",$C94="TOPX",$BA94="",$BF94=""),0,IF(AND($BK$10=1,$BA94&lt;=$BK$2,$BB94&lt;=$BK$3,$BC94&lt;=$BK$4,$Z94&lt;=$BK$5,$Z94&gt;=$BK$6,$BD94&gt;=$BK$7,$BE94&lt;=$BK$8),1,0))</f>
      </c>
      <c r="BH94">
        <f>IF($C94="","",IF($BG94=1,"○ゲート通過",IF($BK$10&lt;&gt;1,"― この方向は停止中",IF($BA94&gt;$BK$2,"×値動きが荒い",IF($BB94&gt;$BK$3,"×レンジが広い",IF($BC94&gt;$BK$4,"×窓を開けて上昇",IF($Z94&gt;$BK$5,"×前日に急騰",IF($Z94&lt;$BK$6,"×前日に急落",IF($BD94&lt;$BK$7,"×高値から離れすぎ",IF($BE94&gt;$BK$8,"×当日の値幅が大きい","×")))))))))</f>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 t="shared" si="17"/>
        <v>-37.441860465116278</v>
      </c>
      <c r="M95" s="166">
        <f>IF(C95&lt;&gt;"",IFERROR(AVERAGE(出来高!E143:I143),""),"")</f>
        <v>1364720</v>
      </c>
      <c r="N95" s="166">
        <f>IF(C95&lt;&gt;"",IFERROR(AVERAGE(出来高!E143:AC143),""),"")</f>
        <v>2675604</v>
      </c>
      <c r="O95" s="168">
        <f t="shared" si="18"/>
        <v>0.56575707837505129</v>
      </c>
      <c r="P95" s="163" t="str">
        <f t="shared" si="19"/>
        <v>減少↓</v>
      </c>
      <c r="Q95" s="163" t="str">
        <f t="shared" si="20"/>
        <v>様子見▼</v>
      </c>
      <c r="R95" s="166">
        <f t="shared" si="27"/>
        <v>1743</v>
      </c>
      <c r="S95" s="166">
        <f t="shared" si="28"/>
        <v>1549</v>
      </c>
      <c r="T95" s="163">
        <f>IF(C95="","",IFERROR(IF(O95&gt;=2,3,IF(O95&gt;=1.5,2,IF(O95&gt;=1,1,0)))+IF(E95&gt;G95,1,0)+IF(L95&gt;=-5,1,0)+IF(Q95="買い▲",2,0)+IF(W95&gt;=78,-4,IF(W95&gt;=72,-2,IF(W95&gt;=55,2,IF(W95&gt;=45,1,0))))+IF(X95&gt;0,1,0)+IF(V95="年初来高値更新●",3,IF(V95="高値圏",2,0))+IF(AD95="パーフェクト▲",3,IF(AD95="上昇トレンド▲",2,0))+IF(AE95="25日線押し目●",2,IF(AE95="5日線押し目○",1,0))+IF(P95="急増↑↑",2,IF(P95="増加↑",1,0))+N(AI95),0))</f>
      </c>
      <c r="U95" s="163" t="str">
        <f t="shared" si="29"/>
        <v>除外</v>
      </c>
      <c r="V95" s="163" t="str">
        <f t="shared" si="22"/>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 t="shared" si="30"/>
        <v>-2.8880866425992782</v>
      </c>
      <c r="AA95" s="163" t="str">
        <f t="shared" si="31"/>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 t="shared" si="23"/>
        <v>もみ合い→</v>
      </c>
      <c r="AE95" s="406" t="str">
        <f t="shared" si="24"/>
        <v>なし</v>
      </c>
      <c r="AF95" s="365">
        <f t="array" ref="AF95">IF(C95="","",IFERROR((INDEX(終値!$E:$E,MATCH(TEXT(C95,"0"),終値!$A:$A,0))-INDEX(終値!$E:$CZ,MATCH(TEXT(C95,"0"),終値!$A:$A,0),$AL$2))/INDEX(終値!$E:$CZ,MATCH(TEXT(C95,"0"),終値!$A:$A,0),$AL$2)*100,""))</f>
        <v>3.4615384615384617</v>
      </c>
      <c r="AG95" s="365">
        <f t="array" ref="AG95">IFERROR((終値!$E$5-INDEX(終値!$E$5:$CZ$5,1,$AL$2))/INDEX(終値!$E$5:$CZ$5,1,$AL$2)*100,"")</f>
        <v>1.0179378228534113</v>
      </c>
      <c r="AH95" s="366">
        <f t="shared" si="25"/>
        <v>2.4436006386850506</v>
      </c>
      <c r="AI95" s="364">
        <f t="shared" si="26"/>
        <v>1</v>
      </c>
      <c r="BA95">
        <f>IFERROR((SUM(OFFSET(高値!$E$6,IFERROR(MATCH($C95,銘柄管理!$B$6:$B$305,0),MATCH(TEXT($C95,"0"),銘柄管理!$B$6:$B$305,0))-1,0,1,14))-SUM(OFFSET(安値!$E$6,IFERROR(MATCH($C95,銘柄管理!$B$6:$B$305,0),MATCH(TEXT($C95,"0"),銘柄管理!$B$6:$B$305,0))-1,0,1,14)))/SUM(OFFSET(終値!$E$6,IFERROR(MATCH($C95,銘柄管理!$B$6:$B$305,0),MATCH(TEXT($C95,"0"),銘柄管理!$B$6:$B$305,0))-1,0,1,14))*100,"")</f>
      </c>
      <c r="BB95">
        <f>IFERROR((MAX(OFFSET(高値!$E$6,IFERROR(MATCH($C95,銘柄管理!$B$6:$B$305,0),MATCH(TEXT($C95,"0"),銘柄管理!$B$6:$B$305,0))-1,0,1,25))-MIN(OFFSET(安値!$E$6,IFERROR(MATCH($C95,銘柄管理!$B$6:$B$305,0),MATCH(TEXT($C95,"0"),銘柄管理!$B$6:$B$305,0))-1,0,1,25)))/$E95*100,"")</f>
      </c>
      <c r="BC95">
        <f>IFERROR(($F95-$G95)/$G95*100,"")</f>
      </c>
      <c r="BD95">
        <f>IFERROR(($E95-MAX(OFFSET(高値!$E$6,IFERROR(MATCH($C95,銘柄管理!$B$6:$B$305,0),MATCH(TEXT($C95,"0"),銘柄管理!$B$6:$B$305,0))-1,0,1,25)))/MAX(OFFSET(高値!$E$6,IFERROR(MATCH($C95,銘柄管理!$B$6:$B$305,0),MATCH(TEXT($C95,"0"),銘柄管理!$B$6:$B$305,0))-1,0,1,25))*100,"")</f>
      </c>
      <c r="BE95">
        <f>IFERROR(($H95-$I95)/$F95*100,"")</f>
      </c>
      <c r="BF95">
        <f>IFERROR(-(($BA95-AVERAGE($BA$3:$BA$206))/STDEV($BA$3:$BA$206))-(($BE95-AVERAGE($BE$3:$BE$206))/STDEV($BE$3:$BE$206))-(($BB95-AVERAGE($BB$3:$BB$206))/STDEV($BB$3:$BB$206))-(($Z95-AVERAGE($Z$3:$Z$206))/STDEV($Z$3:$Z$206))-(($BC95-AVERAGE($BC$3:$BC$206))/STDEV($BC$3:$BC$206)),"")</f>
      </c>
      <c r="BG95">
        <f>IF(OR($C95="",$C95="TOPX",$BA95="",$BF95=""),0,IF(AND($BK$10=1,$BA95&lt;=$BK$2,$BB95&lt;=$BK$3,$BC95&lt;=$BK$4,$Z95&lt;=$BK$5,$Z95&gt;=$BK$6,$BD95&gt;=$BK$7,$BE95&lt;=$BK$8),1,0))</f>
      </c>
      <c r="BH95">
        <f>IF($C95="","",IF($BG95=1,"○ゲート通過",IF($BK$10&lt;&gt;1,"― この方向は停止中",IF($BA95&gt;$BK$2,"×値動きが荒い",IF($BB95&gt;$BK$3,"×レンジが広い",IF($BC95&gt;$BK$4,"×窓を開けて上昇",IF($Z95&gt;$BK$5,"×前日に急騰",IF($Z95&lt;$BK$6,"×前日に急落",IF($BD95&lt;$BK$7,"×高値から離れすぎ",IF($BE95&gt;$BK$8,"×当日の値幅が大きい","×")))))))))</f>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 t="shared" si="17"/>
        <v>-24.746192893401016</v>
      </c>
      <c r="M96" s="166">
        <f>IF(C96&lt;&gt;"",IFERROR(AVERAGE(出来高!E151:I151),""),"")</f>
        <v>231080</v>
      </c>
      <c r="N96" s="166">
        <f>IF(C96&lt;&gt;"",IFERROR(AVERAGE(出来高!E151:AC151),""),"")</f>
        <v>189450</v>
      </c>
      <c r="O96" s="168">
        <f t="shared" si="18"/>
        <v>0.76120823957071149</v>
      </c>
      <c r="P96" s="163" t="str">
        <f t="shared" si="19"/>
        <v>減少↓</v>
      </c>
      <c r="Q96" s="163" t="str">
        <f t="shared" si="20"/>
        <v>様子見▼</v>
      </c>
      <c r="R96" s="166">
        <f t="shared" si="27"/>
        <v>6404</v>
      </c>
      <c r="S96" s="166">
        <f t="shared" si="28"/>
        <v>5693</v>
      </c>
      <c r="T96" s="163">
        <f>IF(C96="","",IFERROR(IF(O96&gt;=2,3,IF(O96&gt;=1.5,2,IF(O96&gt;=1,1,0)))+IF(E96&gt;G96,1,0)+IF(L96&gt;=-5,1,0)+IF(Q96="買い▲",2,0)+IF(W96&gt;=78,-4,IF(W96&gt;=72,-2,IF(W96&gt;=55,2,IF(W96&gt;=45,1,0))))+IF(X96&gt;0,1,0)+IF(V96="年初来高値更新●",3,IF(V96="高値圏",2,0))+IF(AD96="パーフェクト▲",3,IF(AD96="上昇トレンド▲",2,0))+IF(AE96="25日線押し目●",2,IF(AE96="5日線押し目○",1,0))+IF(P96="急増↑↑",2,IF(P96="増加↑",1,0))+N(AI96),0))</f>
      </c>
      <c r="U96" s="163" t="str">
        <f t="shared" si="29"/>
        <v>除外</v>
      </c>
      <c r="V96" s="163" t="str">
        <f t="shared" si="22"/>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 t="shared" si="30"/>
        <v>-2.6272577996715927</v>
      </c>
      <c r="AA96" s="163" t="str">
        <f t="shared" si="31"/>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 t="shared" si="23"/>
        <v>パーフェクト▲</v>
      </c>
      <c r="AE96" s="404" t="str">
        <f t="shared" si="24"/>
        <v>なし</v>
      </c>
      <c r="AF96" s="365">
        <f t="array" ref="AF96">IF(C96="","",IFERROR((INDEX(終値!$E:$E,MATCH(TEXT(C96,"0"),終値!$A:$A,0))-INDEX(終値!$E:$CZ,MATCH(TEXT(C96,"0"),終値!$A:$A,0),$AL$2))/INDEX(終値!$E:$CZ,MATCH(TEXT(C96,"0"),終値!$A:$A,0),$AL$2)*100,""))</f>
        <v>-9.8784194528875382</v>
      </c>
      <c r="AG96" s="365">
        <f t="array" ref="AG96">IFERROR((終値!$E$5-INDEX(終値!$E$5:$CZ$5,1,$AL$2))/INDEX(終値!$E$5:$CZ$5,1,$AL$2)*100,"")</f>
        <v>1.0179378228534113</v>
      </c>
      <c r="AH96" s="366">
        <f t="shared" si="25"/>
        <v>-10.89635727574095</v>
      </c>
      <c r="AI96" s="364">
        <f t="shared" si="26"/>
        <v>-2</v>
      </c>
      <c r="BA96">
        <f>IFERROR((SUM(OFFSET(高値!$E$6,IFERROR(MATCH($C96,銘柄管理!$B$6:$B$305,0),MATCH(TEXT($C96,"0"),銘柄管理!$B$6:$B$305,0))-1,0,1,14))-SUM(OFFSET(安値!$E$6,IFERROR(MATCH($C96,銘柄管理!$B$6:$B$305,0),MATCH(TEXT($C96,"0"),銘柄管理!$B$6:$B$305,0))-1,0,1,14)))/SUM(OFFSET(終値!$E$6,IFERROR(MATCH($C96,銘柄管理!$B$6:$B$305,0),MATCH(TEXT($C96,"0"),銘柄管理!$B$6:$B$305,0))-1,0,1,14))*100,"")</f>
      </c>
      <c r="BB96">
        <f>IFERROR((MAX(OFFSET(高値!$E$6,IFERROR(MATCH($C96,銘柄管理!$B$6:$B$305,0),MATCH(TEXT($C96,"0"),銘柄管理!$B$6:$B$305,0))-1,0,1,25))-MIN(OFFSET(安値!$E$6,IFERROR(MATCH($C96,銘柄管理!$B$6:$B$305,0),MATCH(TEXT($C96,"0"),銘柄管理!$B$6:$B$305,0))-1,0,1,25)))/$E96*100,"")</f>
      </c>
      <c r="BC96">
        <f>IFERROR(($F96-$G96)/$G96*100,"")</f>
      </c>
      <c r="BD96">
        <f>IFERROR(($E96-MAX(OFFSET(高値!$E$6,IFERROR(MATCH($C96,銘柄管理!$B$6:$B$305,0),MATCH(TEXT($C96,"0"),銘柄管理!$B$6:$B$305,0))-1,0,1,25)))/MAX(OFFSET(高値!$E$6,IFERROR(MATCH($C96,銘柄管理!$B$6:$B$305,0),MATCH(TEXT($C96,"0"),銘柄管理!$B$6:$B$305,0))-1,0,1,25))*100,"")</f>
      </c>
      <c r="BE96">
        <f>IFERROR(($H96-$I96)/$F96*100,"")</f>
      </c>
      <c r="BF96">
        <f>IFERROR(-(($BA96-AVERAGE($BA$3:$BA$206))/STDEV($BA$3:$BA$206))-(($BE96-AVERAGE($BE$3:$BE$206))/STDEV($BE$3:$BE$206))-(($BB96-AVERAGE($BB$3:$BB$206))/STDEV($BB$3:$BB$206))-(($Z96-AVERAGE($Z$3:$Z$206))/STDEV($Z$3:$Z$206))-(($BC96-AVERAGE($BC$3:$BC$206))/STDEV($BC$3:$BC$206)),"")</f>
      </c>
      <c r="BG96">
        <f>IF(OR($C96="",$C96="TOPX",$BA96="",$BF96=""),0,IF(AND($BK$10=1,$BA96&lt;=$BK$2,$BB96&lt;=$BK$3,$BC96&lt;=$BK$4,$Z96&lt;=$BK$5,$Z96&gt;=$BK$6,$BD96&gt;=$BK$7,$BE96&lt;=$BK$8),1,0))</f>
      </c>
      <c r="BH96">
        <f>IF($C96="","",IF($BG96=1,"○ゲート通過",IF($BK$10&lt;&gt;1,"― この方向は停止中",IF($BA96&gt;$BK$2,"×値動きが荒い",IF($BB96&gt;$BK$3,"×レンジが広い",IF($BC96&gt;$BK$4,"×窓を開けて上昇",IF($Z96&gt;$BK$5,"×前日に急騰",IF($Z96&lt;$BK$6,"×前日に急落",IF($BD96&lt;$BK$7,"×高値から離れすぎ",IF($BE96&gt;$BK$8,"×当日の値幅が大きい","×")))))))))</f>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 t="shared" si="17"/>
        <v>-17.041420118343193</v>
      </c>
      <c r="M97" s="166">
        <f>IF(C97&lt;&gt;"",IFERROR(AVERAGE(出来高!E183:I183),""),"")</f>
        <v>199660</v>
      </c>
      <c r="N97" s="166">
        <f>IF(C97&lt;&gt;"",IFERROR(AVERAGE(出来高!E183:AC183),""),"")</f>
        <v>158780</v>
      </c>
      <c r="O97" s="168">
        <f t="shared" si="18"/>
        <v>0.75528398277071018</v>
      </c>
      <c r="P97" s="163" t="str">
        <f t="shared" si="19"/>
        <v>減少↓</v>
      </c>
      <c r="Q97" s="163" t="str">
        <f t="shared" si="20"/>
        <v>様子見▼</v>
      </c>
      <c r="R97" s="166">
        <f t="shared" si="27"/>
        <v>15142</v>
      </c>
      <c r="S97" s="166">
        <f t="shared" si="28"/>
        <v>13459</v>
      </c>
      <c r="T97" s="163">
        <f>IF(C97="","",IFERROR(IF(O97&gt;=2,3,IF(O97&gt;=1.5,2,IF(O97&gt;=1,1,0)))+IF(E97&gt;G97,1,0)+IF(L97&gt;=-5,1,0)+IF(Q97="買い▲",2,0)+IF(W97&gt;=78,-4,IF(W97&gt;=72,-2,IF(W97&gt;=55,2,IF(W97&gt;=45,1,0))))+IF(X97&gt;0,1,0)+IF(V97="年初来高値更新●",3,IF(V97="高値圏",2,0))+IF(AD97="パーフェクト▲",3,IF(AD97="上昇トレンド▲",2,0))+IF(AE97="25日線押し目●",2,IF(AE97="5日線押し目○",1,0))+IF(P97="急増↑↑",2,IF(P97="増加↑",1,0))+N(AI97),0))</f>
      </c>
      <c r="U97" s="163" t="str">
        <f t="shared" si="29"/>
        <v>除外</v>
      </c>
      <c r="V97" s="163" t="str">
        <f t="shared" si="22"/>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 t="shared" si="30"/>
        <v>-5.3981106612685563</v>
      </c>
      <c r="AA97" s="163" t="str">
        <f t="shared" si="31"/>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 t="shared" si="23"/>
        <v>パーフェクト▲</v>
      </c>
      <c r="AE97" s="406" t="str">
        <f t="shared" si="24"/>
        <v>なし</v>
      </c>
      <c r="AF97" s="365">
        <f t="array" ref="AF97">IF(C97="","",IFERROR((INDEX(終値!$E:$E,MATCH(TEXT(C97,"0"),終値!$A:$A,0))-INDEX(終値!$E:$CZ,MATCH(TEXT(C97,"0"),終値!$A:$A,0),$AL$2))/INDEX(終値!$E:$CZ,MATCH(TEXT(C97,"0"),終値!$A:$A,0),$AL$2)*100,""))</f>
        <v>-14.927184466019416</v>
      </c>
      <c r="AG97" s="365">
        <f t="array" ref="AG97">IFERROR((終値!$E$5-INDEX(終値!$E$5:$CZ$5,1,$AL$2))/INDEX(終値!$E$5:$CZ$5,1,$AL$2)*100,"")</f>
        <v>1.0179378228534113</v>
      </c>
      <c r="AH97" s="366">
        <f t="shared" si="25"/>
        <v>-15.945122288872827</v>
      </c>
      <c r="AI97" s="364">
        <f t="shared" si="26"/>
        <v>-2</v>
      </c>
      <c r="BA97">
        <f>IFERROR((SUM(OFFSET(高値!$E$6,IFERROR(MATCH($C97,銘柄管理!$B$6:$B$305,0),MATCH(TEXT($C97,"0"),銘柄管理!$B$6:$B$305,0))-1,0,1,14))-SUM(OFFSET(安値!$E$6,IFERROR(MATCH($C97,銘柄管理!$B$6:$B$305,0),MATCH(TEXT($C97,"0"),銘柄管理!$B$6:$B$305,0))-1,0,1,14)))/SUM(OFFSET(終値!$E$6,IFERROR(MATCH($C97,銘柄管理!$B$6:$B$305,0),MATCH(TEXT($C97,"0"),銘柄管理!$B$6:$B$305,0))-1,0,1,14))*100,"")</f>
      </c>
      <c r="BB97">
        <f>IFERROR((MAX(OFFSET(高値!$E$6,IFERROR(MATCH($C97,銘柄管理!$B$6:$B$305,0),MATCH(TEXT($C97,"0"),銘柄管理!$B$6:$B$305,0))-1,0,1,25))-MIN(OFFSET(安値!$E$6,IFERROR(MATCH($C97,銘柄管理!$B$6:$B$305,0),MATCH(TEXT($C97,"0"),銘柄管理!$B$6:$B$305,0))-1,0,1,25)))/$E97*100,"")</f>
      </c>
      <c r="BC97">
        <f>IFERROR(($F97-$G97)/$G97*100,"")</f>
      </c>
      <c r="BD97">
        <f>IFERROR(($E97-MAX(OFFSET(高値!$E$6,IFERROR(MATCH($C97,銘柄管理!$B$6:$B$305,0),MATCH(TEXT($C97,"0"),銘柄管理!$B$6:$B$305,0))-1,0,1,25)))/MAX(OFFSET(高値!$E$6,IFERROR(MATCH($C97,銘柄管理!$B$6:$B$305,0),MATCH(TEXT($C97,"0"),銘柄管理!$B$6:$B$305,0))-1,0,1,25))*100,"")</f>
      </c>
      <c r="BE97">
        <f>IFERROR(($H97-$I97)/$F97*100,"")</f>
      </c>
      <c r="BF97">
        <f>IFERROR(-(($BA97-AVERAGE($BA$3:$BA$206))/STDEV($BA$3:$BA$206))-(($BE97-AVERAGE($BE$3:$BE$206))/STDEV($BE$3:$BE$206))-(($BB97-AVERAGE($BB$3:$BB$206))/STDEV($BB$3:$BB$206))-(($Z97-AVERAGE($Z$3:$Z$206))/STDEV($Z$3:$Z$206))-(($BC97-AVERAGE($BC$3:$BC$206))/STDEV($BC$3:$BC$206)),"")</f>
      </c>
      <c r="BG97">
        <f>IF(OR($C97="",$C97="TOPX",$BA97="",$BF97=""),0,IF(AND($BK$10=1,$BA97&lt;=$BK$2,$BB97&lt;=$BK$3,$BC97&lt;=$BK$4,$Z97&lt;=$BK$5,$Z97&gt;=$BK$6,$BD97&gt;=$BK$7,$BE97&lt;=$BK$8),1,0))</f>
      </c>
      <c r="BH97">
        <f>IF($C97="","",IF($BG97=1,"○ゲート通過",IF($BK$10&lt;&gt;1,"― この方向は停止中",IF($BA97&gt;$BK$2,"×値動きが荒い",IF($BB97&gt;$BK$3,"×レンジが広い",IF($BC97&gt;$BK$4,"×窓を開けて上昇",IF($Z97&gt;$BK$5,"×前日に急騰",IF($Z97&lt;$BK$6,"×前日に急落",IF($BD97&lt;$BK$7,"×高値から離れすぎ",IF($BE97&gt;$BK$8,"×当日の値幅が大きい","×")))))))))</f>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 t="shared" si="17"/>
        <v>-33.607075173720787</v>
      </c>
      <c r="M98" s="166">
        <f>IF(C98&lt;&gt;"",IFERROR(AVERAGE(出来高!E201:I201),""),"")</f>
        <v>6209960</v>
      </c>
      <c r="N98" s="166">
        <f>IF(C98&lt;&gt;"",IFERROR(AVERAGE(出来高!E201:AC201),""),"")</f>
        <v>7904032</v>
      </c>
      <c r="O98" s="168">
        <f t="shared" si="18"/>
        <v>0.76050409342411218</v>
      </c>
      <c r="P98" s="163" t="str">
        <f t="shared" si="19"/>
        <v>減少↓</v>
      </c>
      <c r="Q98" s="163" t="str">
        <f t="shared" si="20"/>
        <v>様子見▼</v>
      </c>
      <c r="R98" s="166">
        <f t="shared" si="27"/>
        <v>5675</v>
      </c>
      <c r="S98" s="166">
        <f t="shared" si="28"/>
        <v>5045</v>
      </c>
      <c r="T98" s="163">
        <f>IF(C98="","",IFERROR(IF(O98&gt;=2,3,IF(O98&gt;=1.5,2,IF(O98&gt;=1,1,0)))+IF(E98&gt;G98,1,0)+IF(L98&gt;=-5,1,0)+IF(Q98="買い▲",2,0)+IF(W98&gt;=78,-4,IF(W98&gt;=72,-2,IF(W98&gt;=55,2,IF(W98&gt;=45,1,0))))+IF(X98&gt;0,1,0)+IF(V98="年初来高値更新●",3,IF(V98="高値圏",2,0))+IF(AD98="パーフェクト▲",3,IF(AD98="上昇トレンド▲",2,0))+IF(AE98="25日線押し目●",2,IF(AE98="5日線押し目○",1,0))+IF(P98="急増↑↑",2,IF(P98="増加↑",1,0))+N(AI98),0))</f>
      </c>
      <c r="U98" s="163" t="str">
        <f t="shared" si="29"/>
        <v>除外</v>
      </c>
      <c r="V98" s="163" t="str">
        <f t="shared" si="22"/>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 t="shared" si="30"/>
        <v>-2.3597175771088814</v>
      </c>
      <c r="AA98" s="163" t="str">
        <f t="shared" si="31"/>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 t="shared" si="23"/>
        <v>パーフェクト▲</v>
      </c>
      <c r="AE98" s="404" t="str">
        <f t="shared" si="24"/>
        <v>なし</v>
      </c>
      <c r="AF98" s="365">
        <f t="array" ref="AF98">IF(C98="","",IFERROR((INDEX(終値!$E:$E,MATCH(TEXT(C98,"0"),終値!$A:$A,0))-INDEX(終値!$E:$CZ,MATCH(TEXT(C98,"0"),終値!$A:$A,0),$AL$2))/INDEX(終値!$E:$CZ,MATCH(TEXT(C98,"0"),終値!$A:$A,0),$AL$2)*100,""))</f>
        <v>-28.033415502602026</v>
      </c>
      <c r="AG98" s="365">
        <f t="array" ref="AG98">IFERROR((終値!$E$5-INDEX(終値!$E$5:$CZ$5,1,$AL$2))/INDEX(終値!$E$5:$CZ$5,1,$AL$2)*100,"")</f>
        <v>1.0179378228534113</v>
      </c>
      <c r="AH98" s="366">
        <f t="shared" si="25"/>
        <v>-29.051353325455437</v>
      </c>
      <c r="AI98" s="364">
        <f t="shared" si="26"/>
        <v>-2</v>
      </c>
      <c r="BA98">
        <f>IFERROR((SUM(OFFSET(高値!$E$6,IFERROR(MATCH($C98,銘柄管理!$B$6:$B$305,0),MATCH(TEXT($C98,"0"),銘柄管理!$B$6:$B$305,0))-1,0,1,14))-SUM(OFFSET(安値!$E$6,IFERROR(MATCH($C98,銘柄管理!$B$6:$B$305,0),MATCH(TEXT($C98,"0"),銘柄管理!$B$6:$B$305,0))-1,0,1,14)))/SUM(OFFSET(終値!$E$6,IFERROR(MATCH($C98,銘柄管理!$B$6:$B$305,0),MATCH(TEXT($C98,"0"),銘柄管理!$B$6:$B$305,0))-1,0,1,14))*100,"")</f>
      </c>
      <c r="BB98">
        <f>IFERROR((MAX(OFFSET(高値!$E$6,IFERROR(MATCH($C98,銘柄管理!$B$6:$B$305,0),MATCH(TEXT($C98,"0"),銘柄管理!$B$6:$B$305,0))-1,0,1,25))-MIN(OFFSET(安値!$E$6,IFERROR(MATCH($C98,銘柄管理!$B$6:$B$305,0),MATCH(TEXT($C98,"0"),銘柄管理!$B$6:$B$305,0))-1,0,1,25)))/$E98*100,"")</f>
      </c>
      <c r="BC98">
        <f>IFERROR(($F98-$G98)/$G98*100,"")</f>
      </c>
      <c r="BD98">
        <f>IFERROR(($E98-MAX(OFFSET(高値!$E$6,IFERROR(MATCH($C98,銘柄管理!$B$6:$B$305,0),MATCH(TEXT($C98,"0"),銘柄管理!$B$6:$B$305,0))-1,0,1,25)))/MAX(OFFSET(高値!$E$6,IFERROR(MATCH($C98,銘柄管理!$B$6:$B$305,0),MATCH(TEXT($C98,"0"),銘柄管理!$B$6:$B$305,0))-1,0,1,25))*100,"")</f>
      </c>
      <c r="BE98">
        <f>IFERROR(($H98-$I98)/$F98*100,"")</f>
      </c>
      <c r="BF98">
        <f>IFERROR(-(($BA98-AVERAGE($BA$3:$BA$206))/STDEV($BA$3:$BA$206))-(($BE98-AVERAGE($BE$3:$BE$206))/STDEV($BE$3:$BE$206))-(($BB98-AVERAGE($BB$3:$BB$206))/STDEV($BB$3:$BB$206))-(($Z98-AVERAGE($Z$3:$Z$206))/STDEV($Z$3:$Z$206))-(($BC98-AVERAGE($BC$3:$BC$206))/STDEV($BC$3:$BC$206)),"")</f>
      </c>
      <c r="BG98">
        <f>IF(OR($C98="",$C98="TOPX",$BA98="",$BF98=""),0,IF(AND($BK$10=1,$BA98&lt;=$BK$2,$BB98&lt;=$BK$3,$BC98&lt;=$BK$4,$Z98&lt;=$BK$5,$Z98&gt;=$BK$6,$BD98&gt;=$BK$7,$BE98&lt;=$BK$8),1,0))</f>
      </c>
      <c r="BH98">
        <f>IF($C98="","",IF($BG98=1,"○ゲート通過",IF($BK$10&lt;&gt;1,"― この方向は停止中",IF($BA98&gt;$BK$2,"×値動きが荒い",IF($BB98&gt;$BK$3,"×レンジが広い",IF($BC98&gt;$BK$4,"×窓を開けて上昇",IF($Z98&gt;$BK$5,"×前日に急騰",IF($Z98&lt;$BK$6,"×前日に急落",IF($BD98&lt;$BK$7,"×高値から離れすぎ",IF($BE98&gt;$BK$8,"×当日の値幅が大きい","×")))))))))</f>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 t="shared" si="17"/>
        <v>-12.204606640741849</v>
      </c>
      <c r="M99" s="166">
        <f>IF(C99&lt;&gt;"",IFERROR(AVERAGE(出来高!E68:I68),""),"")</f>
        <v>9011900</v>
      </c>
      <c r="N99" s="166">
        <f>IF(C99&lt;&gt;"",IFERROR(AVERAGE(出来高!E68:AC68),""),"")</f>
        <v>6110416</v>
      </c>
      <c r="O99" s="168">
        <f t="shared" si="18"/>
        <v>0.81090558039924987</v>
      </c>
      <c r="P99" s="163" t="str">
        <f t="shared" si="19"/>
        <v>減少↓</v>
      </c>
      <c r="Q99" s="163" t="str">
        <f t="shared" si="20"/>
        <v>中立→</v>
      </c>
      <c r="R99" s="166">
        <f t="shared" si="27"/>
        <v>6340</v>
      </c>
      <c r="S99" s="166">
        <f t="shared" si="28"/>
        <v>5635</v>
      </c>
      <c r="T99" s="163">
        <f>IF(C99="","",IFERROR(IF(O99&gt;=2,3,IF(O99&gt;=1.5,2,IF(O99&gt;=1,1,0)))+IF(E99&gt;G99,1,0)+IF(L99&gt;=-5,1,0)+IF(Q99="買い▲",2,0)+IF(W99&gt;=78,-4,IF(W99&gt;=72,-2,IF(W99&gt;=55,2,IF(W99&gt;=45,1,0))))+IF(X99&gt;0,1,0)+IF(V99="年初来高値更新●",3,IF(V99="高値圏",2,0))+IF(AD99="パーフェクト▲",3,IF(AD99="上昇トレンド▲",2,0))+IF(AE99="25日線押し目●",2,IF(AE99="5日線押し目○",1,0))+IF(P99="急増↑↑",2,IF(P99="増加↑",1,0))+N(AI99),0))</f>
      </c>
      <c r="U99" s="163" t="str">
        <f t="shared" si="29"/>
        <v>要確認</v>
      </c>
      <c r="V99" s="163" t="str">
        <f t="shared" si="22"/>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 t="shared" si="30"/>
        <v>0.37619699042407662</v>
      </c>
      <c r="AA99" s="163" t="str">
        <f t="shared" si="31"/>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 t="shared" ref="AD99:AD130" si="32">IF(OR(C99="",AB99="",AC99=""),"",IF(AND(E99&gt;AB99,AB99&gt;AC99),"パーフェクト▲",IF(E99&gt;AC99,"上昇トレンド▲",IF(AND(E99&lt;AB99,AB99&lt;AC99),"下降トレンド▼","もみ合い→"))))</f>
        <v>パーフェクト▲</v>
      </c>
      <c r="AE99" s="406" t="str">
        <f t="shared" ref="AE99:AE130" si="33">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IFERROR((終値!$E$5-INDEX(終値!$E$5:$CZ$5,1,$AL$2))/INDEX(終値!$E$5:$CZ$5,1,$AL$2)*100,"")</f>
        <v>1.0179378228534113</v>
      </c>
      <c r="AH99" s="366">
        <f t="shared" si="25"/>
        <v>-3.7358695431053173</v>
      </c>
      <c r="AI99" s="364">
        <f t="shared" si="26"/>
        <v>-2</v>
      </c>
      <c r="BA99">
        <f>IFERROR((SUM(OFFSET(高値!$E$6,IFERROR(MATCH($C99,銘柄管理!$B$6:$B$305,0),MATCH(TEXT($C99,"0"),銘柄管理!$B$6:$B$305,0))-1,0,1,14))-SUM(OFFSET(安値!$E$6,IFERROR(MATCH($C99,銘柄管理!$B$6:$B$305,0),MATCH(TEXT($C99,"0"),銘柄管理!$B$6:$B$305,0))-1,0,1,14)))/SUM(OFFSET(終値!$E$6,IFERROR(MATCH($C99,銘柄管理!$B$6:$B$305,0),MATCH(TEXT($C99,"0"),銘柄管理!$B$6:$B$305,0))-1,0,1,14))*100,"")</f>
      </c>
      <c r="BB99">
        <f>IFERROR((MAX(OFFSET(高値!$E$6,IFERROR(MATCH($C99,銘柄管理!$B$6:$B$305,0),MATCH(TEXT($C99,"0"),銘柄管理!$B$6:$B$305,0))-1,0,1,25))-MIN(OFFSET(安値!$E$6,IFERROR(MATCH($C99,銘柄管理!$B$6:$B$305,0),MATCH(TEXT($C99,"0"),銘柄管理!$B$6:$B$305,0))-1,0,1,25)))/$E99*100,"")</f>
      </c>
      <c r="BC99">
        <f>IFERROR(($F99-$G99)/$G99*100,"")</f>
      </c>
      <c r="BD99">
        <f>IFERROR(($E99-MAX(OFFSET(高値!$E$6,IFERROR(MATCH($C99,銘柄管理!$B$6:$B$305,0),MATCH(TEXT($C99,"0"),銘柄管理!$B$6:$B$305,0))-1,0,1,25)))/MAX(OFFSET(高値!$E$6,IFERROR(MATCH($C99,銘柄管理!$B$6:$B$305,0),MATCH(TEXT($C99,"0"),銘柄管理!$B$6:$B$305,0))-1,0,1,25))*100,"")</f>
      </c>
      <c r="BE99">
        <f>IFERROR(($H99-$I99)/$F99*100,"")</f>
      </c>
      <c r="BF99">
        <f>IFERROR(-(($BA99-AVERAGE($BA$3:$BA$206))/STDEV($BA$3:$BA$206))-(($BE99-AVERAGE($BE$3:$BE$206))/STDEV($BE$3:$BE$206))-(($BB99-AVERAGE($BB$3:$BB$206))/STDEV($BB$3:$BB$206))-(($Z99-AVERAGE($Z$3:$Z$206))/STDEV($Z$3:$Z$206))-(($BC99-AVERAGE($BC$3:$BC$206))/STDEV($BC$3:$BC$206)),"")</f>
      </c>
      <c r="BG99">
        <f>IF(OR($C99="",$C99="TOPX",$BA99="",$BF99=""),0,IF(AND($BK$10=1,$BA99&lt;=$BK$2,$BB99&lt;=$BK$3,$BC99&lt;=$BK$4,$Z99&lt;=$BK$5,$Z99&gt;=$BK$6,$BD99&gt;=$BK$7,$BE99&lt;=$BK$8),1,0))</f>
      </c>
      <c r="BH99">
        <f>IF($C99="","",IF($BG99=1,"○ゲート通過",IF($BK$10&lt;&gt;1,"― この方向は停止中",IF($BA99&gt;$BK$2,"×値動きが荒い",IF($BB99&gt;$BK$3,"×レンジが広い",IF($BC99&gt;$BK$4,"×窓を開けて上昇",IF($Z99&gt;$BK$5,"×前日に急騰",IF($Z99&lt;$BK$6,"×前日に急落",IF($BD99&lt;$BK$7,"×高値から離れすぎ",IF($BE99&gt;$BK$8,"×当日の値幅が大きい","×")))))))))</f>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 t="shared" si="17"/>
        <v>-8.9253187613843341</v>
      </c>
      <c r="M100" s="166">
        <f>IF(C100&lt;&gt;"",IFERROR(AVERAGE(出来高!E91:I91),""),"")</f>
        <v>14973120</v>
      </c>
      <c r="N100" s="166">
        <f>IF(C100&lt;&gt;"",IFERROR(AVERAGE(出来高!E91:AC91),""),"")</f>
        <v>12655132</v>
      </c>
      <c r="O100" s="168">
        <f t="shared" si="18"/>
        <v>0.77368644611143167</v>
      </c>
      <c r="P100" s="163" t="str">
        <f t="shared" si="19"/>
        <v>減少↓</v>
      </c>
      <c r="Q100" s="163" t="str">
        <f t="shared" si="20"/>
        <v>中立→</v>
      </c>
      <c r="R100" s="166">
        <f t="shared" si="27"/>
        <v>5940</v>
      </c>
      <c r="S100" s="166">
        <f t="shared" si="28"/>
        <v>5280</v>
      </c>
      <c r="T100" s="163">
        <f>IF(C100="","",IFERROR(IF(O100&gt;=2,3,IF(O100&gt;=1.5,2,IF(O100&gt;=1,1,0)))+IF(E100&gt;G100,1,0)+IF(L100&gt;=-5,1,0)+IF(Q100="買い▲",2,0)+IF(W100&gt;=78,-4,IF(W100&gt;=72,-2,IF(W100&gt;=55,2,IF(W100&gt;=45,1,0))))+IF(X100&gt;0,1,0)+IF(V100="年初来高値更新●",3,IF(V100="高値圏",2,0))+IF(AD100="パーフェクト▲",3,IF(AD100="上昇トレンド▲",2,0))+IF(AE100="25日線押し目●",2,IF(AE100="5日線押し目○",1,0))+IF(P100="急増↑↑",2,IF(P100="増加↑",1,0))+N(AI100),0))</f>
      </c>
      <c r="U100" s="163" t="str">
        <f t="shared" si="29"/>
        <v>要確認</v>
      </c>
      <c r="V100" s="163" t="str">
        <f t="shared" si="22"/>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 t="shared" si="30"/>
        <v>0.43827611395178961</v>
      </c>
      <c r="AA100" s="163" t="str">
        <f t="shared" si="31"/>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 t="shared" si="32"/>
        <v>パーフェクト▲</v>
      </c>
      <c r="AE100" s="404" t="str">
        <f t="shared" si="33"/>
        <v>なし</v>
      </c>
      <c r="AF100" s="365">
        <f t="array" ref="AF100">IF(C100="","",IFERROR((INDEX(終値!$E:$E,MATCH(TEXT(C100,"0"),終値!$A:$A,0))-INDEX(終値!$E:$CZ,MATCH(TEXT(C100,"0"),終値!$A:$A,0),$AL$2))/INDEX(終値!$E:$CZ,MATCH(TEXT(C100,"0"),終値!$A:$A,0),$AL$2)*100,""))</f>
        <v>22.330960854092528</v>
      </c>
      <c r="AG100" s="365">
        <f t="array" ref="AG100">IFERROR((終値!$E$5-INDEX(終値!$E$5:$CZ$5,1,$AL$2))/INDEX(終値!$E$5:$CZ$5,1,$AL$2)*100,"")</f>
        <v>1.0179378228534113</v>
      </c>
      <c r="AH100" s="366">
        <f t="shared" si="25"/>
        <v>21.313023031239116</v>
      </c>
      <c r="AI100" s="364">
        <f t="shared" si="26"/>
        <v>3</v>
      </c>
      <c r="BA100">
        <f>IFERROR((SUM(OFFSET(高値!$E$6,IFERROR(MATCH($C100,銘柄管理!$B$6:$B$305,0),MATCH(TEXT($C100,"0"),銘柄管理!$B$6:$B$305,0))-1,0,1,14))-SUM(OFFSET(安値!$E$6,IFERROR(MATCH($C100,銘柄管理!$B$6:$B$305,0),MATCH(TEXT($C100,"0"),銘柄管理!$B$6:$B$305,0))-1,0,1,14)))/SUM(OFFSET(終値!$E$6,IFERROR(MATCH($C100,銘柄管理!$B$6:$B$305,0),MATCH(TEXT($C100,"0"),銘柄管理!$B$6:$B$305,0))-1,0,1,14))*100,"")</f>
      </c>
      <c r="BB100">
        <f>IFERROR((MAX(OFFSET(高値!$E$6,IFERROR(MATCH($C100,銘柄管理!$B$6:$B$305,0),MATCH(TEXT($C100,"0"),銘柄管理!$B$6:$B$305,0))-1,0,1,25))-MIN(OFFSET(安値!$E$6,IFERROR(MATCH($C100,銘柄管理!$B$6:$B$305,0),MATCH(TEXT($C100,"0"),銘柄管理!$B$6:$B$305,0))-1,0,1,25)))/$E100*100,"")</f>
      </c>
      <c r="BC100">
        <f>IFERROR(($F100-$G100)/$G100*100,"")</f>
      </c>
      <c r="BD100">
        <f>IFERROR(($E100-MAX(OFFSET(高値!$E$6,IFERROR(MATCH($C100,銘柄管理!$B$6:$B$305,0),MATCH(TEXT($C100,"0"),銘柄管理!$B$6:$B$305,0))-1,0,1,25)))/MAX(OFFSET(高値!$E$6,IFERROR(MATCH($C100,銘柄管理!$B$6:$B$305,0),MATCH(TEXT($C100,"0"),銘柄管理!$B$6:$B$305,0))-1,0,1,25))*100,"")</f>
      </c>
      <c r="BE100">
        <f>IFERROR(($H100-$I100)/$F100*100,"")</f>
      </c>
      <c r="BF100">
        <f>IFERROR(-(($BA100-AVERAGE($BA$3:$BA$206))/STDEV($BA$3:$BA$206))-(($BE100-AVERAGE($BE$3:$BE$206))/STDEV($BE$3:$BE$206))-(($BB100-AVERAGE($BB$3:$BB$206))/STDEV($BB$3:$BB$206))-(($Z100-AVERAGE($Z$3:$Z$206))/STDEV($Z$3:$Z$206))-(($BC100-AVERAGE($BC$3:$BC$206))/STDEV($BC$3:$BC$206)),"")</f>
      </c>
      <c r="BG100">
        <f>IF(OR($C100="",$C100="TOPX",$BA100="",$BF100=""),0,IF(AND($BK$10=1,$BA100&lt;=$BK$2,$BB100&lt;=$BK$3,$BC100&lt;=$BK$4,$Z100&lt;=$BK$5,$Z100&gt;=$BK$6,$BD100&gt;=$BK$7,$BE100&lt;=$BK$8),1,0))</f>
      </c>
      <c r="BH100">
        <f>IF($C100="","",IF($BG100=1,"○ゲート通過",IF($BK$10&lt;&gt;1,"― この方向は停止中",IF($BA100&gt;$BK$2,"×値動きが荒い",IF($BB100&gt;$BK$3,"×レンジが広い",IF($BC100&gt;$BK$4,"×窓を開けて上昇",IF($Z100&gt;$BK$5,"×前日に急騰",IF($Z100&lt;$BK$6,"×前日に急落",IF($BD100&lt;$BK$7,"×高値から離れすぎ",IF($BE100&gt;$BK$8,"×当日の値幅が大きい","×")))))))))</f>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 t="shared" si="17"/>
        <v>-29.602411908799699</v>
      </c>
      <c r="M101" s="166">
        <f>IF(C101&lt;&gt;"",IFERROR(AVERAGE(出来高!E79:I79),""),"")</f>
        <v>4232280</v>
      </c>
      <c r="N101" s="166">
        <f>IF(C101&lt;&gt;"",IFERROR(AVERAGE(出来高!E79:AC79),""),"")</f>
        <v>3520708</v>
      </c>
      <c r="O101" s="168">
        <f t="shared" si="18"/>
        <v>1.5334760460082981</v>
      </c>
      <c r="P101" s="163" t="str">
        <f t="shared" si="19"/>
        <v>増加↑</v>
      </c>
      <c r="Q101" s="163" t="str">
        <f t="shared" si="20"/>
        <v>様子見▼</v>
      </c>
      <c r="R101" s="166">
        <f t="shared" si="27"/>
        <v>4035</v>
      </c>
      <c r="S101" s="166">
        <f t="shared" si="28"/>
        <v>3587</v>
      </c>
      <c r="T101" s="163">
        <f>IF(C101="","",IFERROR(IF(O101&gt;=2,3,IF(O101&gt;=1.5,2,IF(O101&gt;=1,1,0)))+IF(E101&gt;G101,1,0)+IF(L101&gt;=-5,1,0)+IF(Q101="買い▲",2,0)+IF(W101&gt;=78,-4,IF(W101&gt;=72,-2,IF(W101&gt;=55,2,IF(W101&gt;=45,1,0))))+IF(X101&gt;0,1,0)+IF(V101="年初来高値更新●",3,IF(V101="高値圏",2,0))+IF(AD101="パーフェクト▲",3,IF(AD101="上昇トレンド▲",2,0))+IF(AE101="25日線押し目●",2,IF(AE101="5日線押し目○",1,0))+IF(P101="急増↑↑",2,IF(P101="増加↑",1,0))+N(AI101),0))</f>
      </c>
      <c r="U101" s="163" t="str">
        <f t="shared" si="29"/>
        <v>除外</v>
      </c>
      <c r="V101" s="163" t="str">
        <f t="shared" si="22"/>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 t="shared" si="30"/>
        <v>-8.7890625</v>
      </c>
      <c r="AA101" s="163" t="str">
        <f t="shared" si="31"/>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 t="shared" si="32"/>
        <v>もみ合い→</v>
      </c>
      <c r="AE101" s="406" t="str">
        <f t="shared" si="33"/>
        <v>なし</v>
      </c>
      <c r="AF101" s="365">
        <f t="array" ref="AF101">IF(C101="","",IFERROR((INDEX(終値!$E:$E,MATCH(TEXT(C101,"0"),終値!$A:$A,0))-INDEX(終値!$E:$CZ,MATCH(TEXT(C101,"0"),終値!$A:$A,0),$AL$2))/INDEX(終値!$E:$CZ,MATCH(TEXT(C101,"0"),終値!$A:$A,0),$AL$2)*100,""))</f>
        <v>-25.250100040016004</v>
      </c>
      <c r="AG101" s="365">
        <f t="array" ref="AG101">IFERROR((終値!$E$5-INDEX(終値!$E$5:$CZ$5,1,$AL$2))/INDEX(終値!$E$5:$CZ$5,1,$AL$2)*100,"")</f>
        <v>1.0179378228534113</v>
      </c>
      <c r="AH101" s="366">
        <f t="shared" si="25"/>
        <v>-26.268037862869416</v>
      </c>
      <c r="AI101" s="364">
        <f t="shared" si="26"/>
        <v>-2</v>
      </c>
      <c r="BA101">
        <f>IFERROR((SUM(OFFSET(高値!$E$6,IFERROR(MATCH($C101,銘柄管理!$B$6:$B$305,0),MATCH(TEXT($C101,"0"),銘柄管理!$B$6:$B$305,0))-1,0,1,14))-SUM(OFFSET(安値!$E$6,IFERROR(MATCH($C101,銘柄管理!$B$6:$B$305,0),MATCH(TEXT($C101,"0"),銘柄管理!$B$6:$B$305,0))-1,0,1,14)))/SUM(OFFSET(終値!$E$6,IFERROR(MATCH($C101,銘柄管理!$B$6:$B$305,0),MATCH(TEXT($C101,"0"),銘柄管理!$B$6:$B$305,0))-1,0,1,14))*100,"")</f>
      </c>
      <c r="BB101">
        <f>IFERROR((MAX(OFFSET(高値!$E$6,IFERROR(MATCH($C101,銘柄管理!$B$6:$B$305,0),MATCH(TEXT($C101,"0"),銘柄管理!$B$6:$B$305,0))-1,0,1,25))-MIN(OFFSET(安値!$E$6,IFERROR(MATCH($C101,銘柄管理!$B$6:$B$305,0),MATCH(TEXT($C101,"0"),銘柄管理!$B$6:$B$305,0))-1,0,1,25)))/$E101*100,"")</f>
      </c>
      <c r="BC101">
        <f>IFERROR(($F101-$G101)/$G101*100,"")</f>
      </c>
      <c r="BD101">
        <f>IFERROR(($E101-MAX(OFFSET(高値!$E$6,IFERROR(MATCH($C101,銘柄管理!$B$6:$B$305,0),MATCH(TEXT($C101,"0"),銘柄管理!$B$6:$B$305,0))-1,0,1,25)))/MAX(OFFSET(高値!$E$6,IFERROR(MATCH($C101,銘柄管理!$B$6:$B$305,0),MATCH(TEXT($C101,"0"),銘柄管理!$B$6:$B$305,0))-1,0,1,25))*100,"")</f>
      </c>
      <c r="BE101">
        <f>IFERROR(($H101-$I101)/$F101*100,"")</f>
      </c>
      <c r="BF101">
        <f>IFERROR(-(($BA101-AVERAGE($BA$3:$BA$206))/STDEV($BA$3:$BA$206))-(($BE101-AVERAGE($BE$3:$BE$206))/STDEV($BE$3:$BE$206))-(($BB101-AVERAGE($BB$3:$BB$206))/STDEV($BB$3:$BB$206))-(($Z101-AVERAGE($Z$3:$Z$206))/STDEV($Z$3:$Z$206))-(($BC101-AVERAGE($BC$3:$BC$206))/STDEV($BC$3:$BC$206)),"")</f>
      </c>
      <c r="BG101">
        <f>IF(OR($C101="",$C101="TOPX",$BA101="",$BF101=""),0,IF(AND($BK$10=1,$BA101&lt;=$BK$2,$BB101&lt;=$BK$3,$BC101&lt;=$BK$4,$Z101&lt;=$BK$5,$Z101&gt;=$BK$6,$BD101&gt;=$BK$7,$BE101&lt;=$BK$8),1,0))</f>
      </c>
      <c r="BH101">
        <f>IF($C101="","",IF($BG101=1,"○ゲート通過",IF($BK$10&lt;&gt;1,"― この方向は停止中",IF($BA101&gt;$BK$2,"×値動きが荒い",IF($BB101&gt;$BK$3,"×レンジが広い",IF($BC101&gt;$BK$4,"×窓を開けて上昇",IF($Z101&gt;$BK$5,"×前日に急騰",IF($Z101&lt;$BK$6,"×前日に急落",IF($BD101&lt;$BK$7,"×高値から離れすぎ",IF($BE101&gt;$BK$8,"×当日の値幅が大きい","×")))))))))</f>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 t="shared" si="17"/>
        <v>-9.6055684454756367</v>
      </c>
      <c r="M102" s="166">
        <f>IF(C102&lt;&gt;"",IFERROR(AVERAGE(出来高!E178:I178),""),"")</f>
        <v>418920</v>
      </c>
      <c r="N102" s="166">
        <f>IF(C102&lt;&gt;"",IFERROR(AVERAGE(出来高!E178:AC178),""),"")</f>
        <v>328625</v>
      </c>
      <c r="O102" s="168">
        <f t="shared" si="18"/>
        <v>0.47336006874820968</v>
      </c>
      <c r="P102" s="163" t="str">
        <f t="shared" si="19"/>
        <v>減少↓</v>
      </c>
      <c r="Q102" s="163" t="str">
        <f t="shared" si="20"/>
        <v>中立→</v>
      </c>
      <c r="R102" s="166">
        <f t="shared" si="27"/>
        <v>4208</v>
      </c>
      <c r="S102" s="166">
        <f t="shared" si="28"/>
        <v>3740</v>
      </c>
      <c r="T102" s="163">
        <f>IF(C102="","",IFERROR(IF(O102&gt;=2,3,IF(O102&gt;=1.5,2,IF(O102&gt;=1,1,0)))+IF(E102&gt;G102,1,0)+IF(L102&gt;=-5,1,0)+IF(Q102="買い▲",2,0)+IF(W102&gt;=78,-4,IF(W102&gt;=72,-2,IF(W102&gt;=55,2,IF(W102&gt;=45,1,0))))+IF(X102&gt;0,1,0)+IF(V102="年初来高値更新●",3,IF(V102="高値圏",2,0))+IF(AD102="パーフェクト▲",3,IF(AD102="上昇トレンド▲",2,0))+IF(AE102="25日線押し目●",2,IF(AE102="5日線押し目○",1,0))+IF(P102="急増↑↑",2,IF(P102="増加↑",1,0))+N(AI102),0))</f>
      </c>
      <c r="U102" s="163" t="str">
        <f t="shared" si="29"/>
        <v>要確認</v>
      </c>
      <c r="V102" s="163" t="str">
        <f t="shared" si="22"/>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 t="shared" si="30"/>
        <v>0.41237113402061859</v>
      </c>
      <c r="AA102" s="163" t="str">
        <f t="shared" si="31"/>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 t="shared" si="32"/>
        <v>上昇トレンド▲</v>
      </c>
      <c r="AE102" s="404" t="str">
        <f t="shared" si="33"/>
        <v>なし</v>
      </c>
      <c r="AF102" s="365">
        <f t="array" ref="AF102">IF(C102="","",IFERROR((INDEX(終値!$E:$E,MATCH(TEXT(C102,"0"),終値!$A:$A,0))-INDEX(終値!$E:$CZ,MATCH(TEXT(C102,"0"),終値!$A:$A,0),$AL$2))/INDEX(終値!$E:$CZ,MATCH(TEXT(C102,"0"),終値!$A:$A,0),$AL$2)*100,""))</f>
        <v>6.5354115395132624</v>
      </c>
      <c r="AG102" s="365">
        <f t="array" ref="AG102">IFERROR((終値!$E$5-INDEX(終値!$E$5:$CZ$5,1,$AL$2))/INDEX(終値!$E$5:$CZ$5,1,$AL$2)*100,"")</f>
        <v>1.0179378228534113</v>
      </c>
      <c r="AH102" s="366">
        <f t="shared" si="25"/>
        <v>5.5174737166598513</v>
      </c>
      <c r="AI102" s="364">
        <f t="shared" si="26"/>
        <v>3</v>
      </c>
      <c r="BA102">
        <f>IFERROR((SUM(OFFSET(高値!$E$6,IFERROR(MATCH($C102,銘柄管理!$B$6:$B$305,0),MATCH(TEXT($C102,"0"),銘柄管理!$B$6:$B$305,0))-1,0,1,14))-SUM(OFFSET(安値!$E$6,IFERROR(MATCH($C102,銘柄管理!$B$6:$B$305,0),MATCH(TEXT($C102,"0"),銘柄管理!$B$6:$B$305,0))-1,0,1,14)))/SUM(OFFSET(終値!$E$6,IFERROR(MATCH($C102,銘柄管理!$B$6:$B$305,0),MATCH(TEXT($C102,"0"),銘柄管理!$B$6:$B$305,0))-1,0,1,14))*100,"")</f>
      </c>
      <c r="BB102">
        <f>IFERROR((MAX(OFFSET(高値!$E$6,IFERROR(MATCH($C102,銘柄管理!$B$6:$B$305,0),MATCH(TEXT($C102,"0"),銘柄管理!$B$6:$B$305,0))-1,0,1,25))-MIN(OFFSET(安値!$E$6,IFERROR(MATCH($C102,銘柄管理!$B$6:$B$305,0),MATCH(TEXT($C102,"0"),銘柄管理!$B$6:$B$305,0))-1,0,1,25)))/$E102*100,"")</f>
      </c>
      <c r="BC102">
        <f>IFERROR(($F102-$G102)/$G102*100,"")</f>
      </c>
      <c r="BD102">
        <f>IFERROR(($E102-MAX(OFFSET(高値!$E$6,IFERROR(MATCH($C102,銘柄管理!$B$6:$B$305,0),MATCH(TEXT($C102,"0"),銘柄管理!$B$6:$B$305,0))-1,0,1,25)))/MAX(OFFSET(高値!$E$6,IFERROR(MATCH($C102,銘柄管理!$B$6:$B$305,0),MATCH(TEXT($C102,"0"),銘柄管理!$B$6:$B$305,0))-1,0,1,25))*100,"")</f>
      </c>
      <c r="BE102">
        <f>IFERROR(($H102-$I102)/$F102*100,"")</f>
      </c>
      <c r="BF102">
        <f>IFERROR(-(($BA102-AVERAGE($BA$3:$BA$206))/STDEV($BA$3:$BA$206))-(($BE102-AVERAGE($BE$3:$BE$206))/STDEV($BE$3:$BE$206))-(($BB102-AVERAGE($BB$3:$BB$206))/STDEV($BB$3:$BB$206))-(($Z102-AVERAGE($Z$3:$Z$206))/STDEV($Z$3:$Z$206))-(($BC102-AVERAGE($BC$3:$BC$206))/STDEV($BC$3:$BC$206)),"")</f>
      </c>
      <c r="BG102">
        <f>IF(OR($C102="",$C102="TOPX",$BA102="",$BF102=""),0,IF(AND($BK$10=1,$BA102&lt;=$BK$2,$BB102&lt;=$BK$3,$BC102&lt;=$BK$4,$Z102&lt;=$BK$5,$Z102&gt;=$BK$6,$BD102&gt;=$BK$7,$BE102&lt;=$BK$8),1,0))</f>
      </c>
      <c r="BH102">
        <f>IF($C102="","",IF($BG102=1,"○ゲート通過",IF($BK$10&lt;&gt;1,"― この方向は停止中",IF($BA102&gt;$BK$2,"×値動きが荒い",IF($BB102&gt;$BK$3,"×レンジが広い",IF($BC102&gt;$BK$4,"×窓を開けて上昇",IF($Z102&gt;$BK$5,"×前日に急騰",IF($Z102&lt;$BK$6,"×前日に急落",IF($BD102&lt;$BK$7,"×高値から離れすぎ",IF($BE102&gt;$BK$8,"×当日の値幅が大きい","×")))))))))</f>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 t="shared" si="17"/>
        <v>-45.126993502658003</v>
      </c>
      <c r="M103" s="166">
        <f>IF(C103&lt;&gt;"",IFERROR(AVERAGE(出来高!E147:I147),""),"")</f>
        <v>155040</v>
      </c>
      <c r="N103" s="166">
        <f>IF(C103&lt;&gt;"",IFERROR(AVERAGE(出来高!E147:AC147),""),"")</f>
        <v>114808.33333333333</v>
      </c>
      <c r="O103" s="168">
        <f t="shared" si="18"/>
        <v>0.59726522187822495</v>
      </c>
      <c r="P103" s="163" t="str">
        <f t="shared" si="19"/>
        <v>減少↓</v>
      </c>
      <c r="Q103" s="163" t="str">
        <f t="shared" si="20"/>
        <v>様子見▼</v>
      </c>
      <c r="R103" s="166">
        <f t="shared" si="27"/>
        <v>10033</v>
      </c>
      <c r="S103" s="166">
        <f t="shared" si="28"/>
        <v>8918</v>
      </c>
      <c r="T103" s="163">
        <f>IF(C103="","",IFERROR(IF(O103&gt;=2,3,IF(O103&gt;=1.5,2,IF(O103&gt;=1,1,0)))+IF(E103&gt;G103,1,0)+IF(L103&gt;=-5,1,0)+IF(Q103="買い▲",2,0)+IF(W103&gt;=78,-4,IF(W103&gt;=72,-2,IF(W103&gt;=55,2,IF(W103&gt;=45,1,0))))+IF(X103&gt;0,1,0)+IF(V103="年初来高値更新●",3,IF(V103="高値圏",2,0))+IF(AD103="パーフェクト▲",3,IF(AD103="上昇トレンド▲",2,0))+IF(AE103="25日線押し目●",2,IF(AE103="5日線押し目○",1,0))+IF(P103="急増↑↑",2,IF(P103="増加↑",1,0))+N(AI103),0))</f>
      </c>
      <c r="U103" s="163" t="str">
        <f t="shared" si="29"/>
        <v>除外</v>
      </c>
      <c r="V103" s="163" t="str">
        <f t="shared" si="22"/>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 t="shared" si="30"/>
        <v>-5.7809330628803242</v>
      </c>
      <c r="AA103" s="163" t="str">
        <f t="shared" si="31"/>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 t="shared" si="32"/>
        <v>上昇トレンド▲</v>
      </c>
      <c r="AE103" s="406" t="str">
        <f t="shared" si="33"/>
        <v>なし</v>
      </c>
      <c r="AF103" s="365">
        <f t="array" ref="AF103">IF(C103="","",IFERROR((INDEX(終値!$E:$E,MATCH(TEXT(C103,"0"),終値!$A:$A,0))-INDEX(終値!$E:$CZ,MATCH(TEXT(C103,"0"),終値!$A:$A,0),$AL$2))/INDEX(終値!$E:$CZ,MATCH(TEXT(C103,"0"),終値!$A:$A,0),$AL$2)*100,""))</f>
        <v>-33.926031294452343</v>
      </c>
      <c r="AG103" s="365">
        <f t="array" ref="AG103">IFERROR((終値!$E$5-INDEX(終値!$E$5:$CZ$5,1,$AL$2))/INDEX(終値!$E$5:$CZ$5,1,$AL$2)*100,"")</f>
        <v>1.0179378228534113</v>
      </c>
      <c r="AH103" s="366">
        <f t="shared" si="25"/>
        <v>-34.943969117305755</v>
      </c>
      <c r="AI103" s="364">
        <f t="shared" si="26"/>
        <v>-2</v>
      </c>
      <c r="BA103">
        <f>IFERROR((SUM(OFFSET(高値!$E$6,IFERROR(MATCH($C103,銘柄管理!$B$6:$B$305,0),MATCH(TEXT($C103,"0"),銘柄管理!$B$6:$B$305,0))-1,0,1,14))-SUM(OFFSET(安値!$E$6,IFERROR(MATCH($C103,銘柄管理!$B$6:$B$305,0),MATCH(TEXT($C103,"0"),銘柄管理!$B$6:$B$305,0))-1,0,1,14)))/SUM(OFFSET(終値!$E$6,IFERROR(MATCH($C103,銘柄管理!$B$6:$B$305,0),MATCH(TEXT($C103,"0"),銘柄管理!$B$6:$B$305,0))-1,0,1,14))*100,"")</f>
      </c>
      <c r="BB103">
        <f>IFERROR((MAX(OFFSET(高値!$E$6,IFERROR(MATCH($C103,銘柄管理!$B$6:$B$305,0),MATCH(TEXT($C103,"0"),銘柄管理!$B$6:$B$305,0))-1,0,1,25))-MIN(OFFSET(安値!$E$6,IFERROR(MATCH($C103,銘柄管理!$B$6:$B$305,0),MATCH(TEXT($C103,"0"),銘柄管理!$B$6:$B$305,0))-1,0,1,25)))/$E103*100,"")</f>
      </c>
      <c r="BC103">
        <f>IFERROR(($F103-$G103)/$G103*100,"")</f>
      </c>
      <c r="BD103">
        <f>IFERROR(($E103-MAX(OFFSET(高値!$E$6,IFERROR(MATCH($C103,銘柄管理!$B$6:$B$305,0),MATCH(TEXT($C103,"0"),銘柄管理!$B$6:$B$305,0))-1,0,1,25)))/MAX(OFFSET(高値!$E$6,IFERROR(MATCH($C103,銘柄管理!$B$6:$B$305,0),MATCH(TEXT($C103,"0"),銘柄管理!$B$6:$B$305,0))-1,0,1,25))*100,"")</f>
      </c>
      <c r="BE103">
        <f>IFERROR(($H103-$I103)/$F103*100,"")</f>
      </c>
      <c r="BF103">
        <f>IFERROR(-(($BA103-AVERAGE($BA$3:$BA$206))/STDEV($BA$3:$BA$206))-(($BE103-AVERAGE($BE$3:$BE$206))/STDEV($BE$3:$BE$206))-(($BB103-AVERAGE($BB$3:$BB$206))/STDEV($BB$3:$BB$206))-(($Z103-AVERAGE($Z$3:$Z$206))/STDEV($Z$3:$Z$206))-(($BC103-AVERAGE($BC$3:$BC$206))/STDEV($BC$3:$BC$206)),"")</f>
      </c>
      <c r="BG103">
        <f>IF(OR($C103="",$C103="TOPX",$BA103="",$BF103=""),0,IF(AND($BK$10=1,$BA103&lt;=$BK$2,$BB103&lt;=$BK$3,$BC103&lt;=$BK$4,$Z103&lt;=$BK$5,$Z103&gt;=$BK$6,$BD103&gt;=$BK$7,$BE103&lt;=$BK$8),1,0))</f>
      </c>
      <c r="BH103">
        <f>IF($C103="","",IF($BG103=1,"○ゲート通過",IF($BK$10&lt;&gt;1,"― この方向は停止中",IF($BA103&gt;$BK$2,"×値動きが荒い",IF($BB103&gt;$BK$3,"×レンジが広い",IF($BC103&gt;$BK$4,"×窓を開けて上昇",IF($Z103&gt;$BK$5,"×前日に急騰",IF($Z103&lt;$BK$6,"×前日に急落",IF($BD103&lt;$BK$7,"×高値から離れすぎ",IF($BE103&gt;$BK$8,"×当日の値幅が大きい","×")))))))))</f>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 t="shared" si="17"/>
        <v>-76.963470319634709</v>
      </c>
      <c r="M104" s="166">
        <f>IF(C104&lt;&gt;"",IFERROR(AVERAGE(出来高!E128:I128),""),"")</f>
        <v>1592960</v>
      </c>
      <c r="N104" s="166">
        <f>IF(C104&lt;&gt;"",IFERROR(AVERAGE(出来高!E128:AC128),""),"")</f>
        <v>1896187.5</v>
      </c>
      <c r="O104" s="168">
        <f t="shared" si="18"/>
        <v>0.82362394535958217</v>
      </c>
      <c r="P104" s="163" t="str">
        <f t="shared" si="19"/>
        <v>減少↓</v>
      </c>
      <c r="Q104" s="163" t="str">
        <f t="shared" si="20"/>
        <v>様子見▼</v>
      </c>
      <c r="R104" s="166">
        <f t="shared" si="27"/>
        <v>2179</v>
      </c>
      <c r="S104" s="166">
        <f t="shared" si="28"/>
        <v>1937</v>
      </c>
      <c r="T104" s="163">
        <f>IF(C104="","",IFERROR(IF(O104&gt;=2,3,IF(O104&gt;=1.5,2,IF(O104&gt;=1,1,0)))+IF(E104&gt;G104,1,0)+IF(L104&gt;=-5,1,0)+IF(Q104="買い▲",2,0)+IF(W104&gt;=78,-4,IF(W104&gt;=72,-2,IF(W104&gt;=55,2,IF(W104&gt;=45,1,0))))+IF(X104&gt;0,1,0)+IF(V104="年初来高値更新●",3,IF(V104="高値圏",2,0))+IF(AD104="パーフェクト▲",3,IF(AD104="上昇トレンド▲",2,0))+IF(AE104="25日線押し目●",2,IF(AE104="5日線押し目○",1,0))+IF(P104="急増↑↑",2,IF(P104="増加↑",1,0))+N(AI104),0))</f>
      </c>
      <c r="U104" s="163" t="str">
        <f t="shared" si="29"/>
        <v>要確認</v>
      </c>
      <c r="V104" s="163" t="str">
        <f t="shared" si="22"/>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 t="shared" si="30"/>
        <v>-4.1330166270783852</v>
      </c>
      <c r="AA104" s="163" t="str">
        <f t="shared" si="31"/>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 t="shared" si="32"/>
        <v>上昇トレンド▲</v>
      </c>
      <c r="AE104" s="404" t="str">
        <f t="shared" si="33"/>
        <v>なし</v>
      </c>
      <c r="AF104" s="365">
        <f t="array" ref="AF104">IF(C104="","",IFERROR((INDEX(終値!$E:$E,MATCH(TEXT(C104,"0"),終値!$A:$A,0))-INDEX(終値!$E:$CZ,MATCH(TEXT(C104,"0"),終値!$A:$A,0),$AL$2))/INDEX(終値!$E:$CZ,MATCH(TEXT(C104,"0"),終値!$A:$A,0),$AL$2)*100,""))</f>
        <v>4.1279669762641902</v>
      </c>
      <c r="AG104" s="365">
        <f t="array" ref="AG104">IFERROR((終値!$E$5-INDEX(終値!$E$5:$CZ$5,1,$AL$2))/INDEX(終値!$E$5:$CZ$5,1,$AL$2)*100,"")</f>
        <v>1.0179378228534113</v>
      </c>
      <c r="AH104" s="366">
        <f t="shared" si="25"/>
        <v>3.1100291534107791</v>
      </c>
      <c r="AI104" s="364">
        <f t="shared" si="26"/>
        <v>1</v>
      </c>
      <c r="BA104">
        <f>IFERROR((SUM(OFFSET(高値!$E$6,IFERROR(MATCH($C104,銘柄管理!$B$6:$B$305,0),MATCH(TEXT($C104,"0"),銘柄管理!$B$6:$B$305,0))-1,0,1,14))-SUM(OFFSET(安値!$E$6,IFERROR(MATCH($C104,銘柄管理!$B$6:$B$305,0),MATCH(TEXT($C104,"0"),銘柄管理!$B$6:$B$305,0))-1,0,1,14)))/SUM(OFFSET(終値!$E$6,IFERROR(MATCH($C104,銘柄管理!$B$6:$B$305,0),MATCH(TEXT($C104,"0"),銘柄管理!$B$6:$B$305,0))-1,0,1,14))*100,"")</f>
      </c>
      <c r="BB104">
        <f>IFERROR((MAX(OFFSET(高値!$E$6,IFERROR(MATCH($C104,銘柄管理!$B$6:$B$305,0),MATCH(TEXT($C104,"0"),銘柄管理!$B$6:$B$305,0))-1,0,1,25))-MIN(OFFSET(安値!$E$6,IFERROR(MATCH($C104,銘柄管理!$B$6:$B$305,0),MATCH(TEXT($C104,"0"),銘柄管理!$B$6:$B$305,0))-1,0,1,25)))/$E104*100,"")</f>
      </c>
      <c r="BC104">
        <f>IFERROR(($F104-$G104)/$G104*100,"")</f>
      </c>
      <c r="BD104">
        <f>IFERROR(($E104-MAX(OFFSET(高値!$E$6,IFERROR(MATCH($C104,銘柄管理!$B$6:$B$305,0),MATCH(TEXT($C104,"0"),銘柄管理!$B$6:$B$305,0))-1,0,1,25)))/MAX(OFFSET(高値!$E$6,IFERROR(MATCH($C104,銘柄管理!$B$6:$B$305,0),MATCH(TEXT($C104,"0"),銘柄管理!$B$6:$B$305,0))-1,0,1,25))*100,"")</f>
      </c>
      <c r="BE104">
        <f>IFERROR(($H104-$I104)/$F104*100,"")</f>
      </c>
      <c r="BF104">
        <f>IFERROR(-(($BA104-AVERAGE($BA$3:$BA$206))/STDEV($BA$3:$BA$206))-(($BE104-AVERAGE($BE$3:$BE$206))/STDEV($BE$3:$BE$206))-(($BB104-AVERAGE($BB$3:$BB$206))/STDEV($BB$3:$BB$206))-(($Z104-AVERAGE($Z$3:$Z$206))/STDEV($Z$3:$Z$206))-(($BC104-AVERAGE($BC$3:$BC$206))/STDEV($BC$3:$BC$206)),"")</f>
      </c>
      <c r="BG104">
        <f>IF(OR($C104="",$C104="TOPX",$BA104="",$BF104=""),0,IF(AND($BK$10=1,$BA104&lt;=$BK$2,$BB104&lt;=$BK$3,$BC104&lt;=$BK$4,$Z104&lt;=$BK$5,$Z104&gt;=$BK$6,$BD104&gt;=$BK$7,$BE104&lt;=$BK$8),1,0))</f>
      </c>
      <c r="BH104">
        <f>IF($C104="","",IF($BG104=1,"○ゲート通過",IF($BK$10&lt;&gt;1,"― この方向は停止中",IF($BA104&gt;$BK$2,"×値動きが荒い",IF($BB104&gt;$BK$3,"×レンジが広い",IF($BC104&gt;$BK$4,"×窓を開けて上昇",IF($Z104&gt;$BK$5,"×前日に急騰",IF($Z104&lt;$BK$6,"×前日に急落",IF($BD104&lt;$BK$7,"×高値から離れすぎ",IF($BE104&gt;$BK$8,"×当日の値幅が大きい","×")))))))))</f>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 t="shared" si="17"/>
        <v>-64.662447257383974</v>
      </c>
      <c r="M105" s="166">
        <f>IF(C105&lt;&gt;"",IFERROR(AVERAGE(出来高!E133:I133),""),"")</f>
        <v>727700</v>
      </c>
      <c r="N105" s="166">
        <f>IF(C105&lt;&gt;"",IFERROR(AVERAGE(出来高!E133:AC133),""),"")</f>
        <v>867991.66666666663</v>
      </c>
      <c r="O105" s="168">
        <f t="shared" si="18"/>
        <v>0.61481379689432458</v>
      </c>
      <c r="P105" s="163" t="str">
        <f t="shared" si="19"/>
        <v>減少↓</v>
      </c>
      <c r="Q105" s="163" t="str">
        <f t="shared" si="20"/>
        <v>様子見▼</v>
      </c>
      <c r="R105" s="166">
        <f t="shared" si="27"/>
        <v>3618</v>
      </c>
      <c r="S105" s="166">
        <f t="shared" si="28"/>
        <v>3216</v>
      </c>
      <c r="T105" s="163">
        <f>IF(C105="","",IFERROR(IF(O105&gt;=2,3,IF(O105&gt;=1.5,2,IF(O105&gt;=1,1,0)))+IF(E105&gt;G105,1,0)+IF(L105&gt;=-5,1,0)+IF(Q105="買い▲",2,0)+IF(W105&gt;=78,-4,IF(W105&gt;=72,-2,IF(W105&gt;=55,2,IF(W105&gt;=45,1,0))))+IF(X105&gt;0,1,0)+IF(V105="年初来高値更新●",3,IF(V105="高値圏",2,0))+IF(AD105="パーフェクト▲",3,IF(AD105="上昇トレンド▲",2,0))+IF(AE105="25日線押し目●",2,IF(AE105="5日線押し目○",1,0))+IF(P105="急増↑↑",2,IF(P105="増加↑",1,0))+N(AI105),0))</f>
      </c>
      <c r="U105" s="163" t="str">
        <f t="shared" si="29"/>
        <v>除外</v>
      </c>
      <c r="V105" s="163" t="str">
        <f t="shared" si="22"/>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 t="shared" si="30"/>
        <v>-0.8875739644970414</v>
      </c>
      <c r="AA105" s="163" t="str">
        <f t="shared" si="31"/>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 t="shared" si="32"/>
        <v>もみ合い→</v>
      </c>
      <c r="AE105" s="406" t="str">
        <f t="shared" si="33"/>
        <v>なし</v>
      </c>
      <c r="AF105" s="365">
        <f t="array" ref="AF105">IF(C105="","",IFERROR((INDEX(終値!$E:$E,MATCH(TEXT(C105,"0"),終値!$A:$A,0))-INDEX(終値!$E:$CZ,MATCH(TEXT(C105,"0"),終値!$A:$A,0),$AL$2))/INDEX(終値!$E:$CZ,MATCH(TEXT(C105,"0"),終値!$A:$A,0),$AL$2)*100,""))</f>
        <v>-59.589867310012067</v>
      </c>
      <c r="AG105" s="365">
        <f t="array" ref="AG105">IFERROR((終値!$E$5-INDEX(終値!$E$5:$CZ$5,1,$AL$2))/INDEX(終値!$E$5:$CZ$5,1,$AL$2)*100,"")</f>
        <v>1.0179378228534113</v>
      </c>
      <c r="AH105" s="366">
        <f t="shared" si="25"/>
        <v>-60.607805132865479</v>
      </c>
      <c r="AI105" s="364">
        <f t="shared" si="26"/>
        <v>-2</v>
      </c>
      <c r="BA105">
        <f>IFERROR((SUM(OFFSET(高値!$E$6,IFERROR(MATCH($C105,銘柄管理!$B$6:$B$305,0),MATCH(TEXT($C105,"0"),銘柄管理!$B$6:$B$305,0))-1,0,1,14))-SUM(OFFSET(安値!$E$6,IFERROR(MATCH($C105,銘柄管理!$B$6:$B$305,0),MATCH(TEXT($C105,"0"),銘柄管理!$B$6:$B$305,0))-1,0,1,14)))/SUM(OFFSET(終値!$E$6,IFERROR(MATCH($C105,銘柄管理!$B$6:$B$305,0),MATCH(TEXT($C105,"0"),銘柄管理!$B$6:$B$305,0))-1,0,1,14))*100,"")</f>
      </c>
      <c r="BB105">
        <f>IFERROR((MAX(OFFSET(高値!$E$6,IFERROR(MATCH($C105,銘柄管理!$B$6:$B$305,0),MATCH(TEXT($C105,"0"),銘柄管理!$B$6:$B$305,0))-1,0,1,25))-MIN(OFFSET(安値!$E$6,IFERROR(MATCH($C105,銘柄管理!$B$6:$B$305,0),MATCH(TEXT($C105,"0"),銘柄管理!$B$6:$B$305,0))-1,0,1,25)))/$E105*100,"")</f>
      </c>
      <c r="BC105">
        <f>IFERROR(($F105-$G105)/$G105*100,"")</f>
      </c>
      <c r="BD105">
        <f>IFERROR(($E105-MAX(OFFSET(高値!$E$6,IFERROR(MATCH($C105,銘柄管理!$B$6:$B$305,0),MATCH(TEXT($C105,"0"),銘柄管理!$B$6:$B$305,0))-1,0,1,25)))/MAX(OFFSET(高値!$E$6,IFERROR(MATCH($C105,銘柄管理!$B$6:$B$305,0),MATCH(TEXT($C105,"0"),銘柄管理!$B$6:$B$305,0))-1,0,1,25))*100,"")</f>
      </c>
      <c r="BE105">
        <f>IFERROR(($H105-$I105)/$F105*100,"")</f>
      </c>
      <c r="BF105">
        <f>IFERROR(-(($BA105-AVERAGE($BA$3:$BA$206))/STDEV($BA$3:$BA$206))-(($BE105-AVERAGE($BE$3:$BE$206))/STDEV($BE$3:$BE$206))-(($BB105-AVERAGE($BB$3:$BB$206))/STDEV($BB$3:$BB$206))-(($Z105-AVERAGE($Z$3:$Z$206))/STDEV($Z$3:$Z$206))-(($BC105-AVERAGE($BC$3:$BC$206))/STDEV($BC$3:$BC$206)),"")</f>
      </c>
      <c r="BG105">
        <f>IF(OR($C105="",$C105="TOPX",$BA105="",$BF105=""),0,IF(AND($BK$10=1,$BA105&lt;=$BK$2,$BB105&lt;=$BK$3,$BC105&lt;=$BK$4,$Z105&lt;=$BK$5,$Z105&gt;=$BK$6,$BD105&gt;=$BK$7,$BE105&lt;=$BK$8),1,0))</f>
      </c>
      <c r="BH105">
        <f>IF($C105="","",IF($BG105=1,"○ゲート通過",IF($BK$10&lt;&gt;1,"― この方向は停止中",IF($BA105&gt;$BK$2,"×値動きが荒い",IF($BB105&gt;$BK$3,"×レンジが広い",IF($BC105&gt;$BK$4,"×窓を開けて上昇",IF($Z105&gt;$BK$5,"×前日に急騰",IF($Z105&lt;$BK$6,"×前日に急落",IF($BD105&lt;$BK$7,"×高値から離れすぎ",IF($BE105&gt;$BK$8,"×当日の値幅が大きい","×")))))))))</f>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 t="shared" si="17"/>
        <v>-19.888440084631657</v>
      </c>
      <c r="M106" s="166">
        <f>IF(C106&lt;&gt;"",IFERROR(AVERAGE(出来高!E90:I90),""),"")</f>
        <v>3380340</v>
      </c>
      <c r="N106" s="166">
        <f>IF(C106&lt;&gt;"",IFERROR(AVERAGE(出来高!E90:AC90),""),"")</f>
        <v>3331148</v>
      </c>
      <c r="O106" s="168">
        <f t="shared" si="18"/>
        <v>0.5882248531212837</v>
      </c>
      <c r="P106" s="163" t="str">
        <f t="shared" si="19"/>
        <v>減少↓</v>
      </c>
      <c r="Q106" s="163" t="str">
        <f t="shared" si="20"/>
        <v>様子見▼</v>
      </c>
      <c r="R106" s="166">
        <f t="shared" si="27"/>
        <v>4498</v>
      </c>
      <c r="S106" s="166">
        <f t="shared" si="28"/>
        <v>3998</v>
      </c>
      <c r="T106" s="163">
        <f>IF(C106="","",IFERROR(IF(O106&gt;=2,3,IF(O106&gt;=1.5,2,IF(O106&gt;=1,1,0)))+IF(E106&gt;G106,1,0)+IF(L106&gt;=-5,1,0)+IF(Q106="買い▲",2,0)+IF(W106&gt;=78,-4,IF(W106&gt;=72,-2,IF(W106&gt;=55,2,IF(W106&gt;=45,1,0))))+IF(X106&gt;0,1,0)+IF(V106="年初来高値更新●",3,IF(V106="高値圏",2,0))+IF(AD106="パーフェクト▲",3,IF(AD106="上昇トレンド▲",2,0))+IF(AE106="25日線押し目●",2,IF(AE106="5日線押し目○",1,0))+IF(P106="急増↑↑",2,IF(P106="増加↑",1,0))+N(AI106),0))</f>
      </c>
      <c r="U106" s="163" t="str">
        <f t="shared" si="29"/>
        <v>除外</v>
      </c>
      <c r="V106" s="163" t="str">
        <f t="shared" si="22"/>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 t="shared" si="30"/>
        <v>-7.4032903512672306</v>
      </c>
      <c r="AA106" s="163" t="str">
        <f t="shared" si="31"/>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 t="shared" si="32"/>
        <v>もみ合い→</v>
      </c>
      <c r="AE106" s="404" t="str">
        <f t="shared" si="33"/>
        <v>なし</v>
      </c>
      <c r="AF106" s="365">
        <f t="array" ref="AF106">IF(C106="","",IFERROR((INDEX(終値!$E:$E,MATCH(TEXT(C106,"0"),終値!$A:$A,0))-INDEX(終値!$E:$CZ,MATCH(TEXT(C106,"0"),終値!$A:$A,0),$AL$2))/INDEX(終値!$E:$CZ,MATCH(TEXT(C106,"0"),終値!$A:$A,0),$AL$2)*100,""))</f>
        <v>-18.011811023622048</v>
      </c>
      <c r="AG106" s="365">
        <f t="array" ref="AG106">IFERROR((終値!$E$5-INDEX(終値!$E$5:$CZ$5,1,$AL$2))/INDEX(終値!$E$5:$CZ$5,1,$AL$2)*100,"")</f>
        <v>1.0179378228534113</v>
      </c>
      <c r="AH106" s="366">
        <f t="shared" si="25"/>
        <v>-19.02974884647546</v>
      </c>
      <c r="AI106" s="364">
        <f t="shared" si="26"/>
        <v>-2</v>
      </c>
      <c r="BA106">
        <f>IFERROR((SUM(OFFSET(高値!$E$6,IFERROR(MATCH($C106,銘柄管理!$B$6:$B$305,0),MATCH(TEXT($C106,"0"),銘柄管理!$B$6:$B$305,0))-1,0,1,14))-SUM(OFFSET(安値!$E$6,IFERROR(MATCH($C106,銘柄管理!$B$6:$B$305,0),MATCH(TEXT($C106,"0"),銘柄管理!$B$6:$B$305,0))-1,0,1,14)))/SUM(OFFSET(終値!$E$6,IFERROR(MATCH($C106,銘柄管理!$B$6:$B$305,0),MATCH(TEXT($C106,"0"),銘柄管理!$B$6:$B$305,0))-1,0,1,14))*100,"")</f>
      </c>
      <c r="BB106">
        <f>IFERROR((MAX(OFFSET(高値!$E$6,IFERROR(MATCH($C106,銘柄管理!$B$6:$B$305,0),MATCH(TEXT($C106,"0"),銘柄管理!$B$6:$B$305,0))-1,0,1,25))-MIN(OFFSET(安値!$E$6,IFERROR(MATCH($C106,銘柄管理!$B$6:$B$305,0),MATCH(TEXT($C106,"0"),銘柄管理!$B$6:$B$305,0))-1,0,1,25)))/$E106*100,"")</f>
      </c>
      <c r="BC106">
        <f>IFERROR(($F106-$G106)/$G106*100,"")</f>
      </c>
      <c r="BD106">
        <f>IFERROR(($E106-MAX(OFFSET(高値!$E$6,IFERROR(MATCH($C106,銘柄管理!$B$6:$B$305,0),MATCH(TEXT($C106,"0"),銘柄管理!$B$6:$B$305,0))-1,0,1,25)))/MAX(OFFSET(高値!$E$6,IFERROR(MATCH($C106,銘柄管理!$B$6:$B$305,0),MATCH(TEXT($C106,"0"),銘柄管理!$B$6:$B$305,0))-1,0,1,25))*100,"")</f>
      </c>
      <c r="BE106">
        <f>IFERROR(($H106-$I106)/$F106*100,"")</f>
      </c>
      <c r="BF106">
        <f>IFERROR(-(($BA106-AVERAGE($BA$3:$BA$206))/STDEV($BA$3:$BA$206))-(($BE106-AVERAGE($BE$3:$BE$206))/STDEV($BE$3:$BE$206))-(($BB106-AVERAGE($BB$3:$BB$206))/STDEV($BB$3:$BB$206))-(($Z106-AVERAGE($Z$3:$Z$206))/STDEV($Z$3:$Z$206))-(($BC106-AVERAGE($BC$3:$BC$206))/STDEV($BC$3:$BC$206)),"")</f>
      </c>
      <c r="BG106">
        <f>IF(OR($C106="",$C106="TOPX",$BA106="",$BF106=""),0,IF(AND($BK$10=1,$BA106&lt;=$BK$2,$BB106&lt;=$BK$3,$BC106&lt;=$BK$4,$Z106&lt;=$BK$5,$Z106&gt;=$BK$6,$BD106&gt;=$BK$7,$BE106&lt;=$BK$8),1,0))</f>
      </c>
      <c r="BH106">
        <f>IF($C106="","",IF($BG106=1,"○ゲート通過",IF($BK$10&lt;&gt;1,"― この方向は停止中",IF($BA106&gt;$BK$2,"×値動きが荒い",IF($BB106&gt;$BK$3,"×レンジが広い",IF($BC106&gt;$BK$4,"×窓を開けて上昇",IF($Z106&gt;$BK$5,"×前日に急騰",IF($Z106&lt;$BK$6,"×前日に急落",IF($BD106&lt;$BK$7,"×高値から離れすぎ",IF($BE106&gt;$BK$8,"×当日の値幅が大きい","×")))))))))</f>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 t="shared" si="17"/>
        <v>-21.979238754325259</v>
      </c>
      <c r="M107" s="166">
        <f>IF(C107&lt;&gt;"",IFERROR(AVERAGE(出来高!E203:I203),""),"")</f>
        <v>2126040</v>
      </c>
      <c r="N107" s="166">
        <f>IF(C107&lt;&gt;"",IFERROR(AVERAGE(出来高!E203:AC203),""),"")</f>
        <v>1188620</v>
      </c>
      <c r="O107" s="168">
        <f t="shared" si="18"/>
        <v>0.53921845308648941</v>
      </c>
      <c r="P107" s="163" t="str">
        <f t="shared" si="19"/>
        <v>減少↓</v>
      </c>
      <c r="Q107" s="163" t="str">
        <f t="shared" si="20"/>
        <v>中立→</v>
      </c>
      <c r="R107" s="166">
        <f t="shared" si="27"/>
        <v>6088</v>
      </c>
      <c r="S107" s="166">
        <f t="shared" si="28"/>
        <v>5412</v>
      </c>
      <c r="T107" s="163">
        <f>IF(C107="","",IFERROR(IF(O107&gt;=2,3,IF(O107&gt;=1.5,2,IF(O107&gt;=1,1,0)))+IF(E107&gt;G107,1,0)+IF(L107&gt;=-5,1,0)+IF(Q107="買い▲",2,0)+IF(W107&gt;=78,-4,IF(W107&gt;=72,-2,IF(W107&gt;=55,2,IF(W107&gt;=45,1,0))))+IF(X107&gt;0,1,0)+IF(V107="年初来高値更新●",3,IF(V107="高値圏",2,0))+IF(AD107="パーフェクト▲",3,IF(AD107="上昇トレンド▲",2,0))+IF(AE107="25日線押し目●",2,IF(AE107="5日線押し目○",1,0))+IF(P107="急増↑↑",2,IF(P107="増加↑",1,0))+N(AI107),0))</f>
      </c>
      <c r="U107" s="163" t="str">
        <f t="shared" si="29"/>
        <v>要確認</v>
      </c>
      <c r="V107" s="163" t="str">
        <f t="shared" si="22"/>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 t="shared" si="30"/>
        <v>2.8461959496442253</v>
      </c>
      <c r="AA107" s="163" t="str">
        <f t="shared" si="31"/>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 t="shared" si="32"/>
        <v>上昇トレンド▲</v>
      </c>
      <c r="AE107" s="406" t="str">
        <f t="shared" si="33"/>
        <v>なし</v>
      </c>
      <c r="AF107" s="365">
        <f t="array" ref="AF107">IF(C107="","",IFERROR((INDEX(終値!$E:$E,MATCH(TEXT(C107,"0"),終値!$A:$A,0))-INDEX(終値!$E:$CZ,MATCH(TEXT(C107,"0"),終値!$A:$A,0),$AL$2))/INDEX(終値!$E:$CZ,MATCH(TEXT(C107,"0"),終値!$A:$A,0),$AL$2)*100,""))</f>
        <v>8.278908951210143</v>
      </c>
      <c r="AG107" s="365">
        <f t="array" ref="AG107">IFERROR((終値!$E$5-INDEX(終値!$E$5:$CZ$5,1,$AL$2))/INDEX(終値!$E$5:$CZ$5,1,$AL$2)*100,"")</f>
        <v>1.0179378228534113</v>
      </c>
      <c r="AH107" s="366">
        <f t="shared" si="25"/>
        <v>7.260971128356732</v>
      </c>
      <c r="AI107" s="364">
        <f t="shared" si="26"/>
        <v>3</v>
      </c>
      <c r="BA107">
        <f>IFERROR((SUM(OFFSET(高値!$E$6,IFERROR(MATCH($C107,銘柄管理!$B$6:$B$305,0),MATCH(TEXT($C107,"0"),銘柄管理!$B$6:$B$305,0))-1,0,1,14))-SUM(OFFSET(安値!$E$6,IFERROR(MATCH($C107,銘柄管理!$B$6:$B$305,0),MATCH(TEXT($C107,"0"),銘柄管理!$B$6:$B$305,0))-1,0,1,14)))/SUM(OFFSET(終値!$E$6,IFERROR(MATCH($C107,銘柄管理!$B$6:$B$305,0),MATCH(TEXT($C107,"0"),銘柄管理!$B$6:$B$305,0))-1,0,1,14))*100,"")</f>
      </c>
      <c r="BB107">
        <f>IFERROR((MAX(OFFSET(高値!$E$6,IFERROR(MATCH($C107,銘柄管理!$B$6:$B$305,0),MATCH(TEXT($C107,"0"),銘柄管理!$B$6:$B$305,0))-1,0,1,25))-MIN(OFFSET(安値!$E$6,IFERROR(MATCH($C107,銘柄管理!$B$6:$B$305,0),MATCH(TEXT($C107,"0"),銘柄管理!$B$6:$B$305,0))-1,0,1,25)))/$E107*100,"")</f>
      </c>
      <c r="BC107">
        <f>IFERROR(($F107-$G107)/$G107*100,"")</f>
      </c>
      <c r="BD107">
        <f>IFERROR(($E107-MAX(OFFSET(高値!$E$6,IFERROR(MATCH($C107,銘柄管理!$B$6:$B$305,0),MATCH(TEXT($C107,"0"),銘柄管理!$B$6:$B$305,0))-1,0,1,25)))/MAX(OFFSET(高値!$E$6,IFERROR(MATCH($C107,銘柄管理!$B$6:$B$305,0),MATCH(TEXT($C107,"0"),銘柄管理!$B$6:$B$305,0))-1,0,1,25))*100,"")</f>
      </c>
      <c r="BE107">
        <f>IFERROR(($H107-$I107)/$F107*100,"")</f>
      </c>
      <c r="BF107">
        <f>IFERROR(-(($BA107-AVERAGE($BA$3:$BA$206))/STDEV($BA$3:$BA$206))-(($BE107-AVERAGE($BE$3:$BE$206))/STDEV($BE$3:$BE$206))-(($BB107-AVERAGE($BB$3:$BB$206))/STDEV($BB$3:$BB$206))-(($Z107-AVERAGE($Z$3:$Z$206))/STDEV($Z$3:$Z$206))-(($BC107-AVERAGE($BC$3:$BC$206))/STDEV($BC$3:$BC$206)),"")</f>
      </c>
      <c r="BG107">
        <f>IF(OR($C107="",$C107="TOPX",$BA107="",$BF107=""),0,IF(AND($BK$10=1,$BA107&lt;=$BK$2,$BB107&lt;=$BK$3,$BC107&lt;=$BK$4,$Z107&lt;=$BK$5,$Z107&gt;=$BK$6,$BD107&gt;=$BK$7,$BE107&lt;=$BK$8),1,0))</f>
      </c>
      <c r="BH107">
        <f>IF($C107="","",IF($BG107=1,"○ゲート通過",IF($BK$10&lt;&gt;1,"― この方向は停止中",IF($BA107&gt;$BK$2,"×値動きが荒い",IF($BB107&gt;$BK$3,"×レンジが広い",IF($BC107&gt;$BK$4,"×窓を開けて上昇",IF($Z107&gt;$BK$5,"×前日に急騰",IF($Z107&lt;$BK$6,"×前日に急落",IF($BD107&lt;$BK$7,"×高値から離れすぎ",IF($BE107&gt;$BK$8,"×当日の値幅が大きい","×")))))))))</f>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 t="shared" si="17"/>
        <v>-19.727272727272727</v>
      </c>
      <c r="M108" s="166">
        <f>IF(C108&lt;&gt;"",IFERROR(AVERAGE(出来高!E30:I30),""),"")</f>
        <v>1065840</v>
      </c>
      <c r="N108" s="166">
        <f>IF(C108&lt;&gt;"",IFERROR(AVERAGE(出来高!E30:AC30),""),"")</f>
        <v>926276</v>
      </c>
      <c r="O108" s="168">
        <f t="shared" si="18"/>
        <v>0.70320123095398934</v>
      </c>
      <c r="P108" s="163" t="str">
        <f t="shared" si="19"/>
        <v>減少↓</v>
      </c>
      <c r="Q108" s="163" t="str">
        <f t="shared" si="20"/>
        <v>様子見▼</v>
      </c>
      <c r="R108" s="166">
        <f t="shared" si="27"/>
        <v>4768</v>
      </c>
      <c r="S108" s="166">
        <f t="shared" si="28"/>
        <v>4238</v>
      </c>
      <c r="T108" s="163">
        <f>IF(C108="","",IFERROR(IF(O108&gt;=2,3,IF(O108&gt;=1.5,2,IF(O108&gt;=1,1,0)))+IF(E108&gt;G108,1,0)+IF(L108&gt;=-5,1,0)+IF(Q108="買い▲",2,0)+IF(W108&gt;=78,-4,IF(W108&gt;=72,-2,IF(W108&gt;=55,2,IF(W108&gt;=45,1,0))))+IF(X108&gt;0,1,0)+IF(V108="年初来高値更新●",3,IF(V108="高値圏",2,0))+IF(AD108="パーフェクト▲",3,IF(AD108="上昇トレンド▲",2,0))+IF(AE108="25日線押し目●",2,IF(AE108="5日線押し目○",1,0))+IF(P108="急増↑↑",2,IF(P108="増加↑",1,0))+N(AI108),0))</f>
      </c>
      <c r="U108" s="163" t="str">
        <f t="shared" si="29"/>
        <v>除外</v>
      </c>
      <c r="V108" s="163" t="str">
        <f t="shared" si="22"/>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 t="shared" si="30"/>
        <v>-4.1259500542888166</v>
      </c>
      <c r="AA108" s="163" t="str">
        <f t="shared" si="31"/>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 t="shared" si="32"/>
        <v>パーフェクト▲</v>
      </c>
      <c r="AE108" s="404" t="str">
        <f t="shared" si="33"/>
        <v>なし</v>
      </c>
      <c r="AF108" s="365">
        <f t="array" ref="AF108">IF(C108="","",IFERROR((INDEX(終値!$E:$E,MATCH(TEXT(C108,"0"),終値!$A:$A,0))-INDEX(終値!$E:$CZ,MATCH(TEXT(C108,"0"),終値!$A:$A,0),$AL$2))/INDEX(終値!$E:$CZ,MATCH(TEXT(C108,"0"),終値!$A:$A,0),$AL$2)*100,""))</f>
        <v>-14.932562620423893</v>
      </c>
      <c r="AG108" s="365">
        <f t="array" ref="AG108">IFERROR((終値!$E$5-INDEX(終値!$E$5:$CZ$5,1,$AL$2))/INDEX(終値!$E$5:$CZ$5,1,$AL$2)*100,"")</f>
        <v>1.0179378228534113</v>
      </c>
      <c r="AH108" s="366">
        <f t="shared" si="25"/>
        <v>-15.950500443277305</v>
      </c>
      <c r="AI108" s="364">
        <f t="shared" si="26"/>
        <v>-2</v>
      </c>
      <c r="BA108">
        <f>IFERROR((SUM(OFFSET(高値!$E$6,IFERROR(MATCH($C108,銘柄管理!$B$6:$B$305,0),MATCH(TEXT($C108,"0"),銘柄管理!$B$6:$B$305,0))-1,0,1,14))-SUM(OFFSET(安値!$E$6,IFERROR(MATCH($C108,銘柄管理!$B$6:$B$305,0),MATCH(TEXT($C108,"0"),銘柄管理!$B$6:$B$305,0))-1,0,1,14)))/SUM(OFFSET(終値!$E$6,IFERROR(MATCH($C108,銘柄管理!$B$6:$B$305,0),MATCH(TEXT($C108,"0"),銘柄管理!$B$6:$B$305,0))-1,0,1,14))*100,"")</f>
      </c>
      <c r="BB108">
        <f>IFERROR((MAX(OFFSET(高値!$E$6,IFERROR(MATCH($C108,銘柄管理!$B$6:$B$305,0),MATCH(TEXT($C108,"0"),銘柄管理!$B$6:$B$305,0))-1,0,1,25))-MIN(OFFSET(安値!$E$6,IFERROR(MATCH($C108,銘柄管理!$B$6:$B$305,0),MATCH(TEXT($C108,"0"),銘柄管理!$B$6:$B$305,0))-1,0,1,25)))/$E108*100,"")</f>
      </c>
      <c r="BC108">
        <f>IFERROR(($F108-$G108)/$G108*100,"")</f>
      </c>
      <c r="BD108">
        <f>IFERROR(($E108-MAX(OFFSET(高値!$E$6,IFERROR(MATCH($C108,銘柄管理!$B$6:$B$305,0),MATCH(TEXT($C108,"0"),銘柄管理!$B$6:$B$305,0))-1,0,1,25)))/MAX(OFFSET(高値!$E$6,IFERROR(MATCH($C108,銘柄管理!$B$6:$B$305,0),MATCH(TEXT($C108,"0"),銘柄管理!$B$6:$B$305,0))-1,0,1,25))*100,"")</f>
      </c>
      <c r="BE108">
        <f>IFERROR(($H108-$I108)/$F108*100,"")</f>
      </c>
      <c r="BF108">
        <f>IFERROR(-(($BA108-AVERAGE($BA$3:$BA$206))/STDEV($BA$3:$BA$206))-(($BE108-AVERAGE($BE$3:$BE$206))/STDEV($BE$3:$BE$206))-(($BB108-AVERAGE($BB$3:$BB$206))/STDEV($BB$3:$BB$206))-(($Z108-AVERAGE($Z$3:$Z$206))/STDEV($Z$3:$Z$206))-(($BC108-AVERAGE($BC$3:$BC$206))/STDEV($BC$3:$BC$206)),"")</f>
      </c>
      <c r="BG108">
        <f>IF(OR($C108="",$C108="TOPX",$BA108="",$BF108=""),0,IF(AND($BK$10=1,$BA108&lt;=$BK$2,$BB108&lt;=$BK$3,$BC108&lt;=$BK$4,$Z108&lt;=$BK$5,$Z108&gt;=$BK$6,$BD108&gt;=$BK$7,$BE108&lt;=$BK$8),1,0))</f>
      </c>
      <c r="BH108">
        <f>IF($C108="","",IF($BG108=1,"○ゲート通過",IF($BK$10&lt;&gt;1,"― この方向は停止中",IF($BA108&gt;$BK$2,"×値動きが荒い",IF($BB108&gt;$BK$3,"×レンジが広い",IF($BC108&gt;$BK$4,"×窓を開けて上昇",IF($Z108&gt;$BK$5,"×前日に急騰",IF($Z108&lt;$BK$6,"×前日に急落",IF($BD108&lt;$BK$7,"×高値から離れすぎ",IF($BE108&gt;$BK$8,"×当日の値幅が大きい","×")))))))))</f>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 t="shared" si="17"/>
        <v>-57.941888619854723</v>
      </c>
      <c r="M109" s="166">
        <f>IF(C109&lt;&gt;"",IFERROR(AVERAGE(出来高!E135:I135),""),"")</f>
        <v>670220</v>
      </c>
      <c r="N109" s="166">
        <f>IF(C109&lt;&gt;"",IFERROR(AVERAGE(出来高!E135:AC135),""),"")</f>
        <v>841004</v>
      </c>
      <c r="O109" s="168">
        <f t="shared" si="18"/>
        <v>0.64710095192623318</v>
      </c>
      <c r="P109" s="163" t="str">
        <f t="shared" si="19"/>
        <v>減少↓</v>
      </c>
      <c r="Q109" s="163" t="str">
        <f t="shared" si="20"/>
        <v>様子見▼</v>
      </c>
      <c r="R109" s="166">
        <f t="shared" si="27"/>
        <v>1876</v>
      </c>
      <c r="S109" s="166">
        <f t="shared" si="28"/>
        <v>1668</v>
      </c>
      <c r="T109" s="163">
        <f>IF(C109="","",IFERROR(IF(O109&gt;=2,3,IF(O109&gt;=1.5,2,IF(O109&gt;=1,1,0)))+IF(E109&gt;G109,1,0)+IF(L109&gt;=-5,1,0)+IF(Q109="買い▲",2,0)+IF(W109&gt;=78,-4,IF(W109&gt;=72,-2,IF(W109&gt;=55,2,IF(W109&gt;=45,1,0))))+IF(X109&gt;0,1,0)+IF(V109="年初来高値更新●",3,IF(V109="高値圏",2,0))+IF(AD109="パーフェクト▲",3,IF(AD109="上昇トレンド▲",2,0))+IF(AE109="25日線押し目●",2,IF(AE109="5日線押し目○",1,0))+IF(P109="急増↑↑",2,IF(P109="増加↑",1,0))+N(AI109),0))</f>
      </c>
      <c r="U109" s="163" t="str">
        <f t="shared" si="29"/>
        <v>要確認</v>
      </c>
      <c r="V109" s="163" t="str">
        <f t="shared" si="22"/>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 t="shared" si="30"/>
        <v>-5.081967213114754</v>
      </c>
      <c r="AA109" s="163" t="str">
        <f t="shared" si="31"/>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 t="shared" si="32"/>
        <v>パーフェクト▲</v>
      </c>
      <c r="AE109" s="406" t="str">
        <f t="shared" si="33"/>
        <v>なし</v>
      </c>
      <c r="AF109" s="365">
        <f t="array" ref="AF109">IF(C109="","",IFERROR((INDEX(終値!$E:$E,MATCH(TEXT(C109,"0"),終値!$A:$A,0))-INDEX(終値!$E:$CZ,MATCH(TEXT(C109,"0"),終値!$A:$A,0),$AL$2))/INDEX(終値!$E:$CZ,MATCH(TEXT(C109,"0"),終値!$A:$A,0),$AL$2)*100,""))</f>
        <v>-79.047044632086852</v>
      </c>
      <c r="AG109" s="365">
        <f t="array" ref="AG109">IFERROR((終値!$E$5-INDEX(終値!$E$5:$CZ$5,1,$AL$2))/INDEX(終値!$E$5:$CZ$5,1,$AL$2)*100,"")</f>
        <v>1.0179378228534113</v>
      </c>
      <c r="AH109" s="366">
        <f t="shared" si="25"/>
        <v>-80.064982454940264</v>
      </c>
      <c r="AI109" s="364">
        <f t="shared" si="26"/>
        <v>-2</v>
      </c>
      <c r="BA109">
        <f>IFERROR((SUM(OFFSET(高値!$E$6,IFERROR(MATCH($C109,銘柄管理!$B$6:$B$305,0),MATCH(TEXT($C109,"0"),銘柄管理!$B$6:$B$305,0))-1,0,1,14))-SUM(OFFSET(安値!$E$6,IFERROR(MATCH($C109,銘柄管理!$B$6:$B$305,0),MATCH(TEXT($C109,"0"),銘柄管理!$B$6:$B$305,0))-1,0,1,14)))/SUM(OFFSET(終値!$E$6,IFERROR(MATCH($C109,銘柄管理!$B$6:$B$305,0),MATCH(TEXT($C109,"0"),銘柄管理!$B$6:$B$305,0))-1,0,1,14))*100,"")</f>
      </c>
      <c r="BB109">
        <f>IFERROR((MAX(OFFSET(高値!$E$6,IFERROR(MATCH($C109,銘柄管理!$B$6:$B$305,0),MATCH(TEXT($C109,"0"),銘柄管理!$B$6:$B$305,0))-1,0,1,25))-MIN(OFFSET(安値!$E$6,IFERROR(MATCH($C109,銘柄管理!$B$6:$B$305,0),MATCH(TEXT($C109,"0"),銘柄管理!$B$6:$B$305,0))-1,0,1,25)))/$E109*100,"")</f>
      </c>
      <c r="BC109">
        <f>IFERROR(($F109-$G109)/$G109*100,"")</f>
      </c>
      <c r="BD109">
        <f>IFERROR(($E109-MAX(OFFSET(高値!$E$6,IFERROR(MATCH($C109,銘柄管理!$B$6:$B$305,0),MATCH(TEXT($C109,"0"),銘柄管理!$B$6:$B$305,0))-1,0,1,25)))/MAX(OFFSET(高値!$E$6,IFERROR(MATCH($C109,銘柄管理!$B$6:$B$305,0),MATCH(TEXT($C109,"0"),銘柄管理!$B$6:$B$305,0))-1,0,1,25))*100,"")</f>
      </c>
      <c r="BE109">
        <f>IFERROR(($H109-$I109)/$F109*100,"")</f>
      </c>
      <c r="BF109">
        <f>IFERROR(-(($BA109-AVERAGE($BA$3:$BA$206))/STDEV($BA$3:$BA$206))-(($BE109-AVERAGE($BE$3:$BE$206))/STDEV($BE$3:$BE$206))-(($BB109-AVERAGE($BB$3:$BB$206))/STDEV($BB$3:$BB$206))-(($Z109-AVERAGE($Z$3:$Z$206))/STDEV($Z$3:$Z$206))-(($BC109-AVERAGE($BC$3:$BC$206))/STDEV($BC$3:$BC$206)),"")</f>
      </c>
      <c r="BG109">
        <f>IF(OR($C109="",$C109="TOPX",$BA109="",$BF109=""),0,IF(AND($BK$10=1,$BA109&lt;=$BK$2,$BB109&lt;=$BK$3,$BC109&lt;=$BK$4,$Z109&lt;=$BK$5,$Z109&gt;=$BK$6,$BD109&gt;=$BK$7,$BE109&lt;=$BK$8),1,0))</f>
      </c>
      <c r="BH109">
        <f>IF($C109="","",IF($BG109=1,"○ゲート通過",IF($BK$10&lt;&gt;1,"― この方向は停止中",IF($BA109&gt;$BK$2,"×値動きが荒い",IF($BB109&gt;$BK$3,"×レンジが広い",IF($BC109&gt;$BK$4,"×窓を開けて上昇",IF($Z109&gt;$BK$5,"×前日に急騰",IF($Z109&lt;$BK$6,"×前日に急落",IF($BD109&lt;$BK$7,"×高値から離れすぎ",IF($BE109&gt;$BK$8,"×当日の値幅が大きい","×")))))))))</f>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 t="shared" si="17"/>
        <v>-19.477693144722526</v>
      </c>
      <c r="M110" s="166">
        <f>IF(C110&lt;&gt;"",IFERROR(AVERAGE(出来高!E132:I132),""),"")</f>
        <v>1086600</v>
      </c>
      <c r="N110" s="166">
        <f>IF(C110&lt;&gt;"",IFERROR(AVERAGE(出来高!E132:AC132),""),"")</f>
        <v>1480050</v>
      </c>
      <c r="O110" s="168">
        <f t="shared" si="18"/>
        <v>0.82413031474323584</v>
      </c>
      <c r="P110" s="163" t="str">
        <f t="shared" si="19"/>
        <v>減少↓</v>
      </c>
      <c r="Q110" s="163" t="str">
        <f t="shared" si="20"/>
        <v>中立→</v>
      </c>
      <c r="R110" s="166">
        <f t="shared" si="27"/>
        <v>7992</v>
      </c>
      <c r="S110" s="166">
        <f t="shared" si="28"/>
        <v>7104</v>
      </c>
      <c r="T110" s="163">
        <f>IF(C110="","",IFERROR(IF(O110&gt;=2,3,IF(O110&gt;=1.5,2,IF(O110&gt;=1,1,0)))+IF(E110&gt;G110,1,0)+IF(L110&gt;=-5,1,0)+IF(Q110="買い▲",2,0)+IF(W110&gt;=78,-4,IF(W110&gt;=72,-2,IF(W110&gt;=55,2,IF(W110&gt;=45,1,0))))+IF(X110&gt;0,1,0)+IF(V110="年初来高値更新●",3,IF(V110="高値圏",2,0))+IF(AD110="パーフェクト▲",3,IF(AD110="上昇トレンド▲",2,0))+IF(AE110="25日線押し目●",2,IF(AE110="5日線押し目○",1,0))+IF(P110="急増↑↑",2,IF(P110="増加↑",1,0))+N(AI110),0))</f>
      </c>
      <c r="U110" s="163" t="str">
        <f t="shared" si="29"/>
        <v>要確認</v>
      </c>
      <c r="V110" s="163" t="str">
        <f t="shared" si="22"/>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 t="shared" si="30"/>
        <v>0.27100271002710025</v>
      </c>
      <c r="AA110" s="163" t="str">
        <f t="shared" si="31"/>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 t="shared" si="32"/>
        <v>パーフェクト▲</v>
      </c>
      <c r="AE110" s="404" t="str">
        <f t="shared" si="33"/>
        <v>なし</v>
      </c>
      <c r="AF110" s="365">
        <f t="array" ref="AF110">IF(C110="","",IFERROR((INDEX(終値!$E:$E,MATCH(TEXT(C110,"0"),終値!$A:$A,0))-INDEX(終値!$E:$CZ,MATCH(TEXT(C110,"0"),終値!$A:$A,0),$AL$2))/INDEX(終値!$E:$CZ,MATCH(TEXT(C110,"0"),終値!$A:$A,0),$AL$2)*100,""))</f>
        <v>-0.67114093959731547</v>
      </c>
      <c r="AG110" s="365">
        <f t="array" ref="AG110">IFERROR((終値!$E$5-INDEX(終値!$E$5:$CZ$5,1,$AL$2))/INDEX(終値!$E$5:$CZ$5,1,$AL$2)*100,"")</f>
        <v>1.0179378228534113</v>
      </c>
      <c r="AH110" s="366">
        <f t="shared" si="25"/>
        <v>-1.6890787624507269</v>
      </c>
      <c r="AI110" s="364">
        <f t="shared" si="26"/>
        <v>-1</v>
      </c>
      <c r="BA110">
        <f>IFERROR((SUM(OFFSET(高値!$E$6,IFERROR(MATCH($C110,銘柄管理!$B$6:$B$305,0),MATCH(TEXT($C110,"0"),銘柄管理!$B$6:$B$305,0))-1,0,1,14))-SUM(OFFSET(安値!$E$6,IFERROR(MATCH($C110,銘柄管理!$B$6:$B$305,0),MATCH(TEXT($C110,"0"),銘柄管理!$B$6:$B$305,0))-1,0,1,14)))/SUM(OFFSET(終値!$E$6,IFERROR(MATCH($C110,銘柄管理!$B$6:$B$305,0),MATCH(TEXT($C110,"0"),銘柄管理!$B$6:$B$305,0))-1,0,1,14))*100,"")</f>
      </c>
      <c r="BB110">
        <f>IFERROR((MAX(OFFSET(高値!$E$6,IFERROR(MATCH($C110,銘柄管理!$B$6:$B$305,0),MATCH(TEXT($C110,"0"),銘柄管理!$B$6:$B$305,0))-1,0,1,25))-MIN(OFFSET(安値!$E$6,IFERROR(MATCH($C110,銘柄管理!$B$6:$B$305,0),MATCH(TEXT($C110,"0"),銘柄管理!$B$6:$B$305,0))-1,0,1,25)))/$E110*100,"")</f>
      </c>
      <c r="BC110">
        <f>IFERROR(($F110-$G110)/$G110*100,"")</f>
      </c>
      <c r="BD110">
        <f>IFERROR(($E110-MAX(OFFSET(高値!$E$6,IFERROR(MATCH($C110,銘柄管理!$B$6:$B$305,0),MATCH(TEXT($C110,"0"),銘柄管理!$B$6:$B$305,0))-1,0,1,25)))/MAX(OFFSET(高値!$E$6,IFERROR(MATCH($C110,銘柄管理!$B$6:$B$305,0),MATCH(TEXT($C110,"0"),銘柄管理!$B$6:$B$305,0))-1,0,1,25))*100,"")</f>
      </c>
      <c r="BE110">
        <f>IFERROR(($H110-$I110)/$F110*100,"")</f>
      </c>
      <c r="BF110">
        <f>IFERROR(-(($BA110-AVERAGE($BA$3:$BA$206))/STDEV($BA$3:$BA$206))-(($BE110-AVERAGE($BE$3:$BE$206))/STDEV($BE$3:$BE$206))-(($BB110-AVERAGE($BB$3:$BB$206))/STDEV($BB$3:$BB$206))-(($Z110-AVERAGE($Z$3:$Z$206))/STDEV($Z$3:$Z$206))-(($BC110-AVERAGE($BC$3:$BC$206))/STDEV($BC$3:$BC$206)),"")</f>
      </c>
      <c r="BG110">
        <f>IF(OR($C110="",$C110="TOPX",$BA110="",$BF110=""),0,IF(AND($BK$10=1,$BA110&lt;=$BK$2,$BB110&lt;=$BK$3,$BC110&lt;=$BK$4,$Z110&lt;=$BK$5,$Z110&gt;=$BK$6,$BD110&gt;=$BK$7,$BE110&lt;=$BK$8),1,0))</f>
      </c>
      <c r="BH110">
        <f>IF($C110="","",IF($BG110=1,"○ゲート通過",IF($BK$10&lt;&gt;1,"― この方向は停止中",IF($BA110&gt;$BK$2,"×値動きが荒い",IF($BB110&gt;$BK$3,"×レンジが広い",IF($BC110&gt;$BK$4,"×窓を開けて上昇",IF($Z110&gt;$BK$5,"×前日に急騰",IF($Z110&lt;$BK$6,"×前日に急落",IF($BD110&lt;$BK$7,"×高値から離れすぎ",IF($BE110&gt;$BK$8,"×当日の値幅が大きい","×")))))))))</f>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 t="shared" si="17"/>
        <v>-28.128078817733993</v>
      </c>
      <c r="M111" s="166">
        <f>IF(C111&lt;&gt;"",IFERROR(AVERAGE(出来高!E57:I57),""),"")</f>
        <v>273240</v>
      </c>
      <c r="N111" s="166">
        <f>IF(C111&lt;&gt;"",IFERROR(AVERAGE(出来高!E57:AC57),""),"")</f>
        <v>338720</v>
      </c>
      <c r="O111" s="168">
        <f t="shared" si="18"/>
        <v>1.5532132923437272</v>
      </c>
      <c r="P111" s="163" t="str">
        <f t="shared" si="19"/>
        <v>増加↑</v>
      </c>
      <c r="Q111" s="163" t="str">
        <f t="shared" si="20"/>
        <v>様子見▼</v>
      </c>
      <c r="R111" s="166">
        <f t="shared" si="27"/>
        <v>1576</v>
      </c>
      <c r="S111" s="166">
        <f t="shared" si="28"/>
        <v>1401</v>
      </c>
      <c r="T111" s="163">
        <f>IF(C111="","",IFERROR(IF(O111&gt;=2,3,IF(O111&gt;=1.5,2,IF(O111&gt;=1,1,0)))+IF(E111&gt;G111,1,0)+IF(L111&gt;=-5,1,0)+IF(Q111="買い▲",2,0)+IF(W111&gt;=78,-4,IF(W111&gt;=72,-2,IF(W111&gt;=55,2,IF(W111&gt;=45,1,0))))+IF(X111&gt;0,1,0)+IF(V111="年初来高値更新●",3,IF(V111="高値圏",2,0))+IF(AD111="パーフェクト▲",3,IF(AD111="上昇トレンド▲",2,0))+IF(AE111="25日線押し目●",2,IF(AE111="5日線押し目○",1,0))+IF(P111="急増↑↑",2,IF(P111="増加↑",1,0))+N(AI111),0))</f>
      </c>
      <c r="U111" s="163" t="str">
        <f t="shared" si="29"/>
        <v>有効</v>
      </c>
      <c r="V111" s="163" t="str">
        <f t="shared" si="22"/>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 t="shared" si="30"/>
        <v>-1.0847457627118644</v>
      </c>
      <c r="AA111" s="163" t="str">
        <f t="shared" si="31"/>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 t="shared" si="32"/>
        <v>もみ合い→</v>
      </c>
      <c r="AE111" s="406" t="str">
        <f t="shared" si="33"/>
        <v>なし</v>
      </c>
      <c r="AF111" s="365">
        <f t="array" ref="AF111">IF(C111="","",IFERROR((INDEX(終値!$E:$E,MATCH(TEXT(C111,"0"),終値!$A:$A,0))-INDEX(終値!$E:$CZ,MATCH(TEXT(C111,"0"),終値!$A:$A,0),$AL$2))/INDEX(終値!$E:$CZ,MATCH(TEXT(C111,"0"),終値!$A:$A,0),$AL$2)*100,""))</f>
        <v>-3.56906807666887</v>
      </c>
      <c r="AG111" s="365">
        <f t="array" ref="AG111">IFERROR((終値!$E$5-INDEX(終値!$E$5:$CZ$5,1,$AL$2))/INDEX(終値!$E$5:$CZ$5,1,$AL$2)*100,"")</f>
        <v>1.0179378228534113</v>
      </c>
      <c r="AH111" s="366">
        <f t="shared" si="25"/>
        <v>-4.5870058995222811</v>
      </c>
      <c r="AI111" s="364">
        <f t="shared" si="26"/>
        <v>-2</v>
      </c>
      <c r="BA111">
        <f>IFERROR((SUM(OFFSET(高値!$E$6,IFERROR(MATCH($C111,銘柄管理!$B$6:$B$305,0),MATCH(TEXT($C111,"0"),銘柄管理!$B$6:$B$305,0))-1,0,1,14))-SUM(OFFSET(安値!$E$6,IFERROR(MATCH($C111,銘柄管理!$B$6:$B$305,0),MATCH(TEXT($C111,"0"),銘柄管理!$B$6:$B$305,0))-1,0,1,14)))/SUM(OFFSET(終値!$E$6,IFERROR(MATCH($C111,銘柄管理!$B$6:$B$305,0),MATCH(TEXT($C111,"0"),銘柄管理!$B$6:$B$305,0))-1,0,1,14))*100,"")</f>
      </c>
      <c r="BB111">
        <f>IFERROR((MAX(OFFSET(高値!$E$6,IFERROR(MATCH($C111,銘柄管理!$B$6:$B$305,0),MATCH(TEXT($C111,"0"),銘柄管理!$B$6:$B$305,0))-1,0,1,25))-MIN(OFFSET(安値!$E$6,IFERROR(MATCH($C111,銘柄管理!$B$6:$B$305,0),MATCH(TEXT($C111,"0"),銘柄管理!$B$6:$B$305,0))-1,0,1,25)))/$E111*100,"")</f>
      </c>
      <c r="BC111">
        <f>IFERROR(($F111-$G111)/$G111*100,"")</f>
      </c>
      <c r="BD111">
        <f>IFERROR(($E111-MAX(OFFSET(高値!$E$6,IFERROR(MATCH($C111,銘柄管理!$B$6:$B$305,0),MATCH(TEXT($C111,"0"),銘柄管理!$B$6:$B$305,0))-1,0,1,25)))/MAX(OFFSET(高値!$E$6,IFERROR(MATCH($C111,銘柄管理!$B$6:$B$305,0),MATCH(TEXT($C111,"0"),銘柄管理!$B$6:$B$305,0))-1,0,1,25))*100,"")</f>
      </c>
      <c r="BE111">
        <f>IFERROR(($H111-$I111)/$F111*100,"")</f>
      </c>
      <c r="BF111">
        <f>IFERROR(-(($BA111-AVERAGE($BA$3:$BA$206))/STDEV($BA$3:$BA$206))-(($BE111-AVERAGE($BE$3:$BE$206))/STDEV($BE$3:$BE$206))-(($BB111-AVERAGE($BB$3:$BB$206))/STDEV($BB$3:$BB$206))-(($Z111-AVERAGE($Z$3:$Z$206))/STDEV($Z$3:$Z$206))-(($BC111-AVERAGE($BC$3:$BC$206))/STDEV($BC$3:$BC$206)),"")</f>
      </c>
      <c r="BG111">
        <f>IF(OR($C111="",$C111="TOPX",$BA111="",$BF111=""),0,IF(AND($BK$10=1,$BA111&lt;=$BK$2,$BB111&lt;=$BK$3,$BC111&lt;=$BK$4,$Z111&lt;=$BK$5,$Z111&gt;=$BK$6,$BD111&gt;=$BK$7,$BE111&lt;=$BK$8),1,0))</f>
      </c>
      <c r="BH111">
        <f>IF($C111="","",IF($BG111=1,"○ゲート通過",IF($BK$10&lt;&gt;1,"― この方向は停止中",IF($BA111&gt;$BK$2,"×値動きが荒い",IF($BB111&gt;$BK$3,"×レンジが広い",IF($BC111&gt;$BK$4,"×窓を開けて上昇",IF($Z111&gt;$BK$5,"×前日に急騰",IF($Z111&lt;$BK$6,"×前日に急落",IF($BD111&lt;$BK$7,"×高値から離れすぎ",IF($BE111&gt;$BK$8,"×当日の値幅が大きい","×")))))))))</f>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 t="shared" si="17"/>
        <v>-5.6900964756841903</v>
      </c>
      <c r="M112" s="166">
        <f>IF(C112&lt;&gt;"",IFERROR(AVERAGE(出来高!E104:I104),""),"")</f>
        <v>5159220</v>
      </c>
      <c r="N112" s="166">
        <f>IF(C112&lt;&gt;"",IFERROR(AVERAGE(出来高!E104:AC104),""),"")</f>
        <v>5511388</v>
      </c>
      <c r="O112" s="168">
        <f t="shared" si="18"/>
        <v>0.76015366663953077</v>
      </c>
      <c r="P112" s="163" t="str">
        <f t="shared" si="19"/>
        <v>減少↓</v>
      </c>
      <c r="Q112" s="163" t="str">
        <f t="shared" si="20"/>
        <v>中立→</v>
      </c>
      <c r="R112" s="166">
        <f t="shared" si="27"/>
        <v>2587</v>
      </c>
      <c r="S112" s="166">
        <f t="shared" si="28"/>
        <v>2299</v>
      </c>
      <c r="T112" s="163">
        <f>IF(C112="","",IFERROR(IF(O112&gt;=2,3,IF(O112&gt;=1.5,2,IF(O112&gt;=1,1,0)))+IF(E112&gt;G112,1,0)+IF(L112&gt;=-5,1,0)+IF(Q112="買い▲",2,0)+IF(W112&gt;=78,-4,IF(W112&gt;=72,-2,IF(W112&gt;=55,2,IF(W112&gt;=45,1,0))))+IF(X112&gt;0,1,0)+IF(V112="年初来高値更新●",3,IF(V112="高値圏",2,0))+IF(AD112="パーフェクト▲",3,IF(AD112="上昇トレンド▲",2,0))+IF(AE112="25日線押し目●",2,IF(AE112="5日線押し目○",1,0))+IF(P112="急増↑↑",2,IF(P112="増加↑",1,0))+N(AI112),0))</f>
      </c>
      <c r="U112" s="163" t="str">
        <f t="shared" si="29"/>
        <v>要確認</v>
      </c>
      <c r="V112" s="163" t="str">
        <f t="shared" si="22"/>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 t="shared" si="30"/>
        <v>1.6122189223589309</v>
      </c>
      <c r="AA112" s="163" t="str">
        <f t="shared" si="31"/>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 t="shared" si="32"/>
        <v>パーフェクト▲</v>
      </c>
      <c r="AE112" s="404" t="str">
        <f t="shared" si="33"/>
        <v>なし</v>
      </c>
      <c r="AF112" s="365">
        <f t="array" ref="AF112">IF(C112="","",IFERROR((INDEX(終値!$E:$E,MATCH(TEXT(C112,"0"),終値!$A:$A,0))-INDEX(終値!$E:$CZ,MATCH(TEXT(C112,"0"),終値!$A:$A,0),$AL$2))/INDEX(終値!$E:$CZ,MATCH(TEXT(C112,"0"),終値!$A:$A,0),$AL$2)*100,""))</f>
        <v>10.445008070094536</v>
      </c>
      <c r="AG112" s="365">
        <f t="array" ref="AG112">IFERROR((終値!$E$5-INDEX(終値!$E$5:$CZ$5,1,$AL$2))/INDEX(終値!$E$5:$CZ$5,1,$AL$2)*100,"")</f>
        <v>1.0179378228534113</v>
      </c>
      <c r="AH112" s="366">
        <f t="shared" si="25"/>
        <v>9.4270702472411241</v>
      </c>
      <c r="AI112" s="364">
        <f t="shared" si="26"/>
        <v>3</v>
      </c>
      <c r="BA112">
        <f>IFERROR((SUM(OFFSET(高値!$E$6,IFERROR(MATCH($C112,銘柄管理!$B$6:$B$305,0),MATCH(TEXT($C112,"0"),銘柄管理!$B$6:$B$305,0))-1,0,1,14))-SUM(OFFSET(安値!$E$6,IFERROR(MATCH($C112,銘柄管理!$B$6:$B$305,0),MATCH(TEXT($C112,"0"),銘柄管理!$B$6:$B$305,0))-1,0,1,14)))/SUM(OFFSET(終値!$E$6,IFERROR(MATCH($C112,銘柄管理!$B$6:$B$305,0),MATCH(TEXT($C112,"0"),銘柄管理!$B$6:$B$305,0))-1,0,1,14))*100,"")</f>
      </c>
      <c r="BB112">
        <f>IFERROR((MAX(OFFSET(高値!$E$6,IFERROR(MATCH($C112,銘柄管理!$B$6:$B$305,0),MATCH(TEXT($C112,"0"),銘柄管理!$B$6:$B$305,0))-1,0,1,25))-MIN(OFFSET(安値!$E$6,IFERROR(MATCH($C112,銘柄管理!$B$6:$B$305,0),MATCH(TEXT($C112,"0"),銘柄管理!$B$6:$B$305,0))-1,0,1,25)))/$E112*100,"")</f>
      </c>
      <c r="BC112">
        <f>IFERROR(($F112-$G112)/$G112*100,"")</f>
      </c>
      <c r="BD112">
        <f>IFERROR(($E112-MAX(OFFSET(高値!$E$6,IFERROR(MATCH($C112,銘柄管理!$B$6:$B$305,0),MATCH(TEXT($C112,"0"),銘柄管理!$B$6:$B$305,0))-1,0,1,25)))/MAX(OFFSET(高値!$E$6,IFERROR(MATCH($C112,銘柄管理!$B$6:$B$305,0),MATCH(TEXT($C112,"0"),銘柄管理!$B$6:$B$305,0))-1,0,1,25))*100,"")</f>
      </c>
      <c r="BE112">
        <f>IFERROR(($H112-$I112)/$F112*100,"")</f>
      </c>
      <c r="BF112">
        <f>IFERROR(-(($BA112-AVERAGE($BA$3:$BA$206))/STDEV($BA$3:$BA$206))-(($BE112-AVERAGE($BE$3:$BE$206))/STDEV($BE$3:$BE$206))-(($BB112-AVERAGE($BB$3:$BB$206))/STDEV($BB$3:$BB$206))-(($Z112-AVERAGE($Z$3:$Z$206))/STDEV($Z$3:$Z$206))-(($BC112-AVERAGE($BC$3:$BC$206))/STDEV($BC$3:$BC$206)),"")</f>
      </c>
      <c r="BG112">
        <f>IF(OR($C112="",$C112="TOPX",$BA112="",$BF112=""),0,IF(AND($BK$10=1,$BA112&lt;=$BK$2,$BB112&lt;=$BK$3,$BC112&lt;=$BK$4,$Z112&lt;=$BK$5,$Z112&gt;=$BK$6,$BD112&gt;=$BK$7,$BE112&lt;=$BK$8),1,0))</f>
      </c>
      <c r="BH112">
        <f>IF($C112="","",IF($BG112=1,"○ゲート通過",IF($BK$10&lt;&gt;1,"― この方向は停止中",IF($BA112&gt;$BK$2,"×値動きが荒い",IF($BB112&gt;$BK$3,"×レンジが広い",IF($BC112&gt;$BK$4,"×窓を開けて上昇",IF($Z112&gt;$BK$5,"×前日に急騰",IF($Z112&lt;$BK$6,"×前日に急落",IF($BD112&lt;$BK$7,"×高値から離れすぎ",IF($BE112&gt;$BK$8,"×当日の値幅が大きい","×")))))))))</f>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 t="shared" si="17"/>
        <v>-32.82068062827225</v>
      </c>
      <c r="M113" s="166">
        <f>IF(C113&lt;&gt;"",IFERROR(AVERAGE(出来高!E197:I197),""),"")</f>
        <v>2315160</v>
      </c>
      <c r="N113" s="166">
        <f>IF(C113&lt;&gt;"",IFERROR(AVERAGE(出来高!E197:AC197),""),"")</f>
        <v>1957596</v>
      </c>
      <c r="O113" s="168">
        <f t="shared" si="18"/>
        <v>0.67779332745900933</v>
      </c>
      <c r="P113" s="163" t="str">
        <f t="shared" si="19"/>
        <v>減少↓</v>
      </c>
      <c r="Q113" s="163" t="str">
        <f t="shared" si="20"/>
        <v>様子見▼</v>
      </c>
      <c r="R113" s="166">
        <f t="shared" si="27"/>
        <v>66517</v>
      </c>
      <c r="S113" s="166">
        <f t="shared" si="28"/>
        <v>59126</v>
      </c>
      <c r="T113" s="163">
        <f>IF(C113="","",IFERROR(IF(O113&gt;=2,3,IF(O113&gt;=1.5,2,IF(O113&gt;=1,1,0)))+IF(E113&gt;G113,1,0)+IF(L113&gt;=-5,1,0)+IF(Q113="買い▲",2,0)+IF(W113&gt;=78,-4,IF(W113&gt;=72,-2,IF(W113&gt;=55,2,IF(W113&gt;=45,1,0))))+IF(X113&gt;0,1,0)+IF(V113="年初来高値更新●",3,IF(V113="高値圏",2,0))+IF(AD113="パーフェクト▲",3,IF(AD113="上昇トレンド▲",2,0))+IF(AE113="25日線押し目●",2,IF(AE113="5日線押し目○",1,0))+IF(P113="急増↑↑",2,IF(P113="増加↑",1,0))+N(AI113),0))</f>
      </c>
      <c r="U113" s="163" t="str">
        <f t="shared" si="29"/>
        <v>除外</v>
      </c>
      <c r="V113" s="163" t="str">
        <f t="shared" si="22"/>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 t="shared" si="30"/>
        <v>-3.3730781299027299</v>
      </c>
      <c r="AA113" s="163" t="str">
        <f t="shared" si="31"/>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 t="shared" si="32"/>
        <v>上昇トレンド▲</v>
      </c>
      <c r="AE113" s="406" t="str">
        <f t="shared" si="33"/>
        <v>なし</v>
      </c>
      <c r="AF113" s="365">
        <f t="array" ref="AF113">IF(C113="","",IFERROR((INDEX(終値!$E:$E,MATCH(TEXT(C113,"0"),終値!$A:$A,0))-INDEX(終値!$E:$CZ,MATCH(TEXT(C113,"0"),終値!$A:$A,0),$AL$2))/INDEX(終値!$E:$CZ,MATCH(TEXT(C113,"0"),終値!$A:$A,0),$AL$2)*100,""))</f>
        <v>-27.129673450070989</v>
      </c>
      <c r="AG113" s="365">
        <f t="array" ref="AG113">IFERROR((終値!$E$5-INDEX(終値!$E$5:$CZ$5,1,$AL$2))/INDEX(終値!$E$5:$CZ$5,1,$AL$2)*100,"")</f>
        <v>1.0179378228534113</v>
      </c>
      <c r="AH113" s="366">
        <f t="shared" si="25"/>
        <v>-28.147611272924401</v>
      </c>
      <c r="AI113" s="364">
        <f t="shared" si="26"/>
        <v>-2</v>
      </c>
      <c r="BA113">
        <f>IFERROR((SUM(OFFSET(高値!$E$6,IFERROR(MATCH($C113,銘柄管理!$B$6:$B$305,0),MATCH(TEXT($C113,"0"),銘柄管理!$B$6:$B$305,0))-1,0,1,14))-SUM(OFFSET(安値!$E$6,IFERROR(MATCH($C113,銘柄管理!$B$6:$B$305,0),MATCH(TEXT($C113,"0"),銘柄管理!$B$6:$B$305,0))-1,0,1,14)))/SUM(OFFSET(終値!$E$6,IFERROR(MATCH($C113,銘柄管理!$B$6:$B$305,0),MATCH(TEXT($C113,"0"),銘柄管理!$B$6:$B$305,0))-1,0,1,14))*100,"")</f>
      </c>
      <c r="BB113">
        <f>IFERROR((MAX(OFFSET(高値!$E$6,IFERROR(MATCH($C113,銘柄管理!$B$6:$B$305,0),MATCH(TEXT($C113,"0"),銘柄管理!$B$6:$B$305,0))-1,0,1,25))-MIN(OFFSET(安値!$E$6,IFERROR(MATCH($C113,銘柄管理!$B$6:$B$305,0),MATCH(TEXT($C113,"0"),銘柄管理!$B$6:$B$305,0))-1,0,1,25)))/$E113*100,"")</f>
      </c>
      <c r="BC113">
        <f>IFERROR(($F113-$G113)/$G113*100,"")</f>
      </c>
      <c r="BD113">
        <f>IFERROR(($E113-MAX(OFFSET(高値!$E$6,IFERROR(MATCH($C113,銘柄管理!$B$6:$B$305,0),MATCH(TEXT($C113,"0"),銘柄管理!$B$6:$B$305,0))-1,0,1,25)))/MAX(OFFSET(高値!$E$6,IFERROR(MATCH($C113,銘柄管理!$B$6:$B$305,0),MATCH(TEXT($C113,"0"),銘柄管理!$B$6:$B$305,0))-1,0,1,25))*100,"")</f>
      </c>
      <c r="BE113">
        <f>IFERROR(($H113-$I113)/$F113*100,"")</f>
      </c>
      <c r="BF113">
        <f>IFERROR(-(($BA113-AVERAGE($BA$3:$BA$206))/STDEV($BA$3:$BA$206))-(($BE113-AVERAGE($BE$3:$BE$206))/STDEV($BE$3:$BE$206))-(($BB113-AVERAGE($BB$3:$BB$206))/STDEV($BB$3:$BB$206))-(($Z113-AVERAGE($Z$3:$Z$206))/STDEV($Z$3:$Z$206))-(($BC113-AVERAGE($BC$3:$BC$206))/STDEV($BC$3:$BC$206)),"")</f>
      </c>
      <c r="BG113">
        <f>IF(OR($C113="",$C113="TOPX",$BA113="",$BF113=""),0,IF(AND($BK$10=1,$BA113&lt;=$BK$2,$BB113&lt;=$BK$3,$BC113&lt;=$BK$4,$Z113&lt;=$BK$5,$Z113&gt;=$BK$6,$BD113&gt;=$BK$7,$BE113&lt;=$BK$8),1,0))</f>
      </c>
      <c r="BH113">
        <f>IF($C113="","",IF($BG113=1,"○ゲート通過",IF($BK$10&lt;&gt;1,"― この方向は停止中",IF($BA113&gt;$BK$2,"×値動きが荒い",IF($BB113&gt;$BK$3,"×レンジが広い",IF($BC113&gt;$BK$4,"×窓を開けて上昇",IF($Z113&gt;$BK$5,"×前日に急騰",IF($Z113&lt;$BK$6,"×前日に急落",IF($BD113&lt;$BK$7,"×高値から離れすぎ",IF($BE113&gt;$BK$8,"×当日の値幅が大きい","×")))))))))</f>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 t="shared" si="17"/>
        <v>-9.236274180923628</v>
      </c>
      <c r="M114" s="166">
        <f>IF(C114&lt;&gt;"",IFERROR(AVERAGE(出来高!E92:I92),""),"")</f>
        <v>1997180</v>
      </c>
      <c r="N114" s="166">
        <f>IF(C114&lt;&gt;"",IFERROR(AVERAGE(出来高!E92:AC92),""),"")</f>
        <v>1060564</v>
      </c>
      <c r="O114" s="168">
        <f t="shared" si="18"/>
        <v>0.79747443895893211</v>
      </c>
      <c r="P114" s="163" t="str">
        <f t="shared" si="19"/>
        <v>減少↓</v>
      </c>
      <c r="Q114" s="163" t="str">
        <f t="shared" si="20"/>
        <v>様子見▼</v>
      </c>
      <c r="R114" s="166">
        <f t="shared" si="27"/>
        <v>8766</v>
      </c>
      <c r="S114" s="166">
        <f t="shared" si="28"/>
        <v>7792</v>
      </c>
      <c r="T114" s="163">
        <f>IF(C114="","",IFERROR(IF(O114&gt;=2,3,IF(O114&gt;=1.5,2,IF(O114&gt;=1,1,0)))+IF(E114&gt;G114,1,0)+IF(L114&gt;=-5,1,0)+IF(Q114="買い▲",2,0)+IF(W114&gt;=78,-4,IF(W114&gt;=72,-2,IF(W114&gt;=55,2,IF(W114&gt;=45,1,0))))+IF(X114&gt;0,1,0)+IF(V114="年初来高値更新●",3,IF(V114="高値圏",2,0))+IF(AD114="パーフェクト▲",3,IF(AD114="上昇トレンド▲",2,0))+IF(AE114="25日線押し目●",2,IF(AE114="5日線押し目○",1,0))+IF(P114="急増↑↑",2,IF(P114="増加↑",1,0))+N(AI114),0))</f>
      </c>
      <c r="U114" s="163" t="str">
        <f t="shared" si="29"/>
        <v>除外</v>
      </c>
      <c r="V114" s="163" t="str">
        <f t="shared" si="22"/>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 t="shared" si="30"/>
        <v>-4.3370654095462582</v>
      </c>
      <c r="AA114" s="163" t="str">
        <f t="shared" si="31"/>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 t="shared" si="32"/>
        <v>上昇トレンド▲</v>
      </c>
      <c r="AE114" s="404" t="str">
        <f t="shared" si="33"/>
        <v>なし</v>
      </c>
      <c r="AF114" s="365">
        <f t="array" ref="AF114">IF(C114="","",IFERROR((INDEX(終値!$E:$E,MATCH(TEXT(C114,"0"),終値!$A:$A,0))-INDEX(終値!$E:$CZ,MATCH(TEXT(C114,"0"),終値!$A:$A,0),$AL$2))/INDEX(終値!$E:$CZ,MATCH(TEXT(C114,"0"),終値!$A:$A,0),$AL$2)*100,""))</f>
        <v>-9.1244961934617113</v>
      </c>
      <c r="AG114" s="365">
        <f t="array" ref="AG114">IFERROR((終値!$E$5-INDEX(終値!$E$5:$CZ$5,1,$AL$2))/INDEX(終値!$E$5:$CZ$5,1,$AL$2)*100,"")</f>
        <v>1.0179378228534113</v>
      </c>
      <c r="AH114" s="366">
        <f t="shared" si="25"/>
        <v>-10.142434016315123</v>
      </c>
      <c r="AI114" s="364">
        <f t="shared" si="26"/>
        <v>-2</v>
      </c>
      <c r="BA114">
        <f>IFERROR((SUM(OFFSET(高値!$E$6,IFERROR(MATCH($C114,銘柄管理!$B$6:$B$305,0),MATCH(TEXT($C114,"0"),銘柄管理!$B$6:$B$305,0))-1,0,1,14))-SUM(OFFSET(安値!$E$6,IFERROR(MATCH($C114,銘柄管理!$B$6:$B$305,0),MATCH(TEXT($C114,"0"),銘柄管理!$B$6:$B$305,0))-1,0,1,14)))/SUM(OFFSET(終値!$E$6,IFERROR(MATCH($C114,銘柄管理!$B$6:$B$305,0),MATCH(TEXT($C114,"0"),銘柄管理!$B$6:$B$305,0))-1,0,1,14))*100,"")</f>
      </c>
      <c r="BB114">
        <f>IFERROR((MAX(OFFSET(高値!$E$6,IFERROR(MATCH($C114,銘柄管理!$B$6:$B$305,0),MATCH(TEXT($C114,"0"),銘柄管理!$B$6:$B$305,0))-1,0,1,25))-MIN(OFFSET(安値!$E$6,IFERROR(MATCH($C114,銘柄管理!$B$6:$B$305,0),MATCH(TEXT($C114,"0"),銘柄管理!$B$6:$B$305,0))-1,0,1,25)))/$E114*100,"")</f>
      </c>
      <c r="BC114">
        <f>IFERROR(($F114-$G114)/$G114*100,"")</f>
      </c>
      <c r="BD114">
        <f>IFERROR(($E114-MAX(OFFSET(高値!$E$6,IFERROR(MATCH($C114,銘柄管理!$B$6:$B$305,0),MATCH(TEXT($C114,"0"),銘柄管理!$B$6:$B$305,0))-1,0,1,25)))/MAX(OFFSET(高値!$E$6,IFERROR(MATCH($C114,銘柄管理!$B$6:$B$305,0),MATCH(TEXT($C114,"0"),銘柄管理!$B$6:$B$305,0))-1,0,1,25))*100,"")</f>
      </c>
      <c r="BE114">
        <f>IFERROR(($H114-$I114)/$F114*100,"")</f>
      </c>
      <c r="BF114">
        <f>IFERROR(-(($BA114-AVERAGE($BA$3:$BA$206))/STDEV($BA$3:$BA$206))-(($BE114-AVERAGE($BE$3:$BE$206))/STDEV($BE$3:$BE$206))-(($BB114-AVERAGE($BB$3:$BB$206))/STDEV($BB$3:$BB$206))-(($Z114-AVERAGE($Z$3:$Z$206))/STDEV($Z$3:$Z$206))-(($BC114-AVERAGE($BC$3:$BC$206))/STDEV($BC$3:$BC$206)),"")</f>
      </c>
      <c r="BG114">
        <f>IF(OR($C114="",$C114="TOPX",$BA114="",$BF114=""),0,IF(AND($BK$10=1,$BA114&lt;=$BK$2,$BB114&lt;=$BK$3,$BC114&lt;=$BK$4,$Z114&lt;=$BK$5,$Z114&gt;=$BK$6,$BD114&gt;=$BK$7,$BE114&lt;=$BK$8),1,0))</f>
      </c>
      <c r="BH114">
        <f>IF($C114="","",IF($BG114=1,"○ゲート通過",IF($BK$10&lt;&gt;1,"― この方向は停止中",IF($BA114&gt;$BK$2,"×値動きが荒い",IF($BB114&gt;$BK$3,"×レンジが広い",IF($BC114&gt;$BK$4,"×窓を開けて上昇",IF($Z114&gt;$BK$5,"×前日に急騰",IF($Z114&lt;$BK$6,"×前日に急落",IF($BD114&lt;$BK$7,"×高値から離れすぎ",IF($BE114&gt;$BK$8,"×当日の値幅が大きい","×")))))))))</f>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 t="shared" si="17"/>
        <v>-89.444444444444443</v>
      </c>
      <c r="M115" s="166">
        <f>IF(C115&lt;&gt;"",IFERROR(AVERAGE(出来高!E137:I137),""),"")</f>
        <v>3800860</v>
      </c>
      <c r="N115" s="166">
        <f>IF(C115&lt;&gt;"",IFERROR(AVERAGE(出来高!E137:AC137),""),"")</f>
        <v>3863145.8333333335</v>
      </c>
      <c r="O115" s="168">
        <f t="shared" si="18"/>
        <v>0.35981330540982831</v>
      </c>
      <c r="P115" s="163" t="str">
        <f t="shared" si="19"/>
        <v>減少↓</v>
      </c>
      <c r="Q115" s="163" t="str">
        <f t="shared" si="20"/>
        <v>様子見▼</v>
      </c>
      <c r="R115" s="166">
        <f t="shared" si="27"/>
        <v>82</v>
      </c>
      <c r="S115" s="166">
        <f t="shared" si="28"/>
        <v>73</v>
      </c>
      <c r="T115" s="163">
        <f>IF(C115="","",IFERROR(IF(O115&gt;=2,3,IF(O115&gt;=1.5,2,IF(O115&gt;=1,1,0)))+IF(E115&gt;G115,1,0)+IF(L115&gt;=-5,1,0)+IF(Q115="買い▲",2,0)+IF(W115&gt;=78,-4,IF(W115&gt;=72,-2,IF(W115&gt;=55,2,IF(W115&gt;=45,1,0))))+IF(X115&gt;0,1,0)+IF(V115="年初来高値更新●",3,IF(V115="高値圏",2,0))+IF(AD115="パーフェクト▲",3,IF(AD115="上昇トレンド▲",2,0))+IF(AE115="25日線押し目●",2,IF(AE115="5日線押し目○",1,0))+IF(P115="急増↑↑",2,IF(P115="増加↑",1,0))+N(AI115),0))</f>
      </c>
      <c r="U115" s="163" t="str">
        <f t="shared" si="29"/>
        <v>除外</v>
      </c>
      <c r="V115" s="163" t="str">
        <f t="shared" si="22"/>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 t="shared" si="30"/>
        <v>-2.5641025641025639</v>
      </c>
      <c r="AA115" s="163" t="str">
        <f t="shared" si="31"/>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 t="shared" si="32"/>
        <v>下降トレンド▼</v>
      </c>
      <c r="AE115" s="406" t="str">
        <f t="shared" si="33"/>
        <v>なし</v>
      </c>
      <c r="AF115" s="365">
        <f t="array" ref="AF115">IF(C115="","",IFERROR((INDEX(終値!$E:$E,MATCH(TEXT(C115,"0"),終値!$A:$A,0))-INDEX(終値!$E:$CZ,MATCH(TEXT(C115,"0"),終値!$A:$A,0),$AL$2))/INDEX(終値!$E:$CZ,MATCH(TEXT(C115,"0"),終値!$A:$A,0),$AL$2)*100,""))</f>
        <v>-69.721115537848604</v>
      </c>
      <c r="AG115" s="365">
        <f t="array" ref="AG115">IFERROR((終値!$E$5-INDEX(終値!$E$5:$CZ$5,1,$AL$2))/INDEX(終値!$E$5:$CZ$5,1,$AL$2)*100,"")</f>
        <v>1.0179378228534113</v>
      </c>
      <c r="AH115" s="366">
        <f t="shared" si="25"/>
        <v>-70.739053360702016</v>
      </c>
      <c r="AI115" s="364">
        <f t="shared" si="26"/>
        <v>-2</v>
      </c>
      <c r="BA115">
        <f>IFERROR((SUM(OFFSET(高値!$E$6,IFERROR(MATCH($C115,銘柄管理!$B$6:$B$305,0),MATCH(TEXT($C115,"0"),銘柄管理!$B$6:$B$305,0))-1,0,1,14))-SUM(OFFSET(安値!$E$6,IFERROR(MATCH($C115,銘柄管理!$B$6:$B$305,0),MATCH(TEXT($C115,"0"),銘柄管理!$B$6:$B$305,0))-1,0,1,14)))/SUM(OFFSET(終値!$E$6,IFERROR(MATCH($C115,銘柄管理!$B$6:$B$305,0),MATCH(TEXT($C115,"0"),銘柄管理!$B$6:$B$305,0))-1,0,1,14))*100,"")</f>
      </c>
      <c r="BB115">
        <f>IFERROR((MAX(OFFSET(高値!$E$6,IFERROR(MATCH($C115,銘柄管理!$B$6:$B$305,0),MATCH(TEXT($C115,"0"),銘柄管理!$B$6:$B$305,0))-1,0,1,25))-MIN(OFFSET(安値!$E$6,IFERROR(MATCH($C115,銘柄管理!$B$6:$B$305,0),MATCH(TEXT($C115,"0"),銘柄管理!$B$6:$B$305,0))-1,0,1,25)))/$E115*100,"")</f>
      </c>
      <c r="BC115">
        <f>IFERROR(($F115-$G115)/$G115*100,"")</f>
      </c>
      <c r="BD115">
        <f>IFERROR(($E115-MAX(OFFSET(高値!$E$6,IFERROR(MATCH($C115,銘柄管理!$B$6:$B$305,0),MATCH(TEXT($C115,"0"),銘柄管理!$B$6:$B$305,0))-1,0,1,25)))/MAX(OFFSET(高値!$E$6,IFERROR(MATCH($C115,銘柄管理!$B$6:$B$305,0),MATCH(TEXT($C115,"0"),銘柄管理!$B$6:$B$305,0))-1,0,1,25))*100,"")</f>
      </c>
      <c r="BE115">
        <f>IFERROR(($H115-$I115)/$F115*100,"")</f>
      </c>
      <c r="BF115">
        <f>IFERROR(-(($BA115-AVERAGE($BA$3:$BA$206))/STDEV($BA$3:$BA$206))-(($BE115-AVERAGE($BE$3:$BE$206))/STDEV($BE$3:$BE$206))-(($BB115-AVERAGE($BB$3:$BB$206))/STDEV($BB$3:$BB$206))-(($Z115-AVERAGE($Z$3:$Z$206))/STDEV($Z$3:$Z$206))-(($BC115-AVERAGE($BC$3:$BC$206))/STDEV($BC$3:$BC$206)),"")</f>
      </c>
      <c r="BG115">
        <f>IF(OR($C115="",$C115="TOPX",$BA115="",$BF115=""),0,IF(AND($BK$10=1,$BA115&lt;=$BK$2,$BB115&lt;=$BK$3,$BC115&lt;=$BK$4,$Z115&lt;=$BK$5,$Z115&gt;=$BK$6,$BD115&gt;=$BK$7,$BE115&lt;=$BK$8),1,0))</f>
      </c>
      <c r="BH115">
        <f>IF($C115="","",IF($BG115=1,"○ゲート通過",IF($BK$10&lt;&gt;1,"― この方向は停止中",IF($BA115&gt;$BK$2,"×値動きが荒い",IF($BB115&gt;$BK$3,"×レンジが広い",IF($BC115&gt;$BK$4,"×窓を開けて上昇",IF($Z115&gt;$BK$5,"×前日に急騰",IF($Z115&lt;$BK$6,"×前日に急落",IF($BD115&lt;$BK$7,"×高値から離れすぎ",IF($BE115&gt;$BK$8,"×当日の値幅が大きい","×")))))))))</f>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 t="shared" si="17"/>
        <v>-32.435530085959883</v>
      </c>
      <c r="M116" s="166">
        <f>IF(C116&lt;&gt;"",IFERROR(AVERAGE(出来高!E72:I72),""),"")</f>
        <v>49900</v>
      </c>
      <c r="N116" s="166">
        <f>IF(C116&lt;&gt;"",IFERROR(AVERAGE(出来高!E72:AC72),""),"")</f>
        <v>71812</v>
      </c>
      <c r="O116" s="168">
        <f t="shared" si="18"/>
        <v>1.2124248496993988</v>
      </c>
      <c r="P116" s="163" t="str">
        <f t="shared" si="19"/>
        <v>普通→</v>
      </c>
      <c r="Q116" s="163" t="str">
        <f t="shared" si="20"/>
        <v>様子見▼</v>
      </c>
      <c r="R116" s="166">
        <f t="shared" si="27"/>
        <v>2547</v>
      </c>
      <c r="S116" s="166">
        <f t="shared" si="28"/>
        <v>2264</v>
      </c>
      <c r="T116" s="163">
        <f>IF(C116="","",IFERROR(IF(O116&gt;=2,3,IF(O116&gt;=1.5,2,IF(O116&gt;=1,1,0)))+IF(E116&gt;G116,1,0)+IF(L116&gt;=-5,1,0)+IF(Q116="買い▲",2,0)+IF(W116&gt;=78,-4,IF(W116&gt;=72,-2,IF(W116&gt;=55,2,IF(W116&gt;=45,1,0))))+IF(X116&gt;0,1,0)+IF(V116="年初来高値更新●",3,IF(V116="高値圏",2,0))+IF(AD116="パーフェクト▲",3,IF(AD116="上昇トレンド▲",2,0))+IF(AE116="25日線押し目●",2,IF(AE116="5日線押し目○",1,0))+IF(P116="急増↑↑",2,IF(P116="増加↑",1,0))+N(AI116),0))</f>
      </c>
      <c r="U116" s="163" t="str">
        <f t="shared" si="29"/>
        <v>除外</v>
      </c>
      <c r="V116" s="163" t="str">
        <f t="shared" si="22"/>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 t="shared" si="30"/>
        <v>-1.3389121338912133</v>
      </c>
      <c r="AA116" s="163" t="str">
        <f t="shared" si="31"/>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 t="shared" si="32"/>
        <v>下降トレンド▼</v>
      </c>
      <c r="AE116" s="404" t="str">
        <f t="shared" si="33"/>
        <v>なし</v>
      </c>
      <c r="AF116" s="365">
        <f t="array" ref="AF116">IF(C116="","",IFERROR((INDEX(終値!$E:$E,MATCH(TEXT(C116,"0"),終値!$A:$A,0))-INDEX(終値!$E:$CZ,MATCH(TEXT(C116,"0"),終値!$A:$A,0),$AL$2))/INDEX(終値!$E:$CZ,MATCH(TEXT(C116,"0"),終値!$A:$A,0),$AL$2)*100,""))</f>
        <v>-1.8726591760299627</v>
      </c>
      <c r="AG116" s="365">
        <f t="array" ref="AG116">IFERROR((終値!$E$5-INDEX(終値!$E$5:$CZ$5,1,$AL$2))/INDEX(終値!$E$5:$CZ$5,1,$AL$2)*100,"")</f>
        <v>1.0179378228534113</v>
      </c>
      <c r="AH116" s="366">
        <f t="shared" si="25"/>
        <v>-2.8905969988833737</v>
      </c>
      <c r="AI116" s="364">
        <f t="shared" si="26"/>
        <v>-1</v>
      </c>
      <c r="BA116">
        <f>IFERROR((SUM(OFFSET(高値!$E$6,IFERROR(MATCH($C116,銘柄管理!$B$6:$B$305,0),MATCH(TEXT($C116,"0"),銘柄管理!$B$6:$B$305,0))-1,0,1,14))-SUM(OFFSET(安値!$E$6,IFERROR(MATCH($C116,銘柄管理!$B$6:$B$305,0),MATCH(TEXT($C116,"0"),銘柄管理!$B$6:$B$305,0))-1,0,1,14)))/SUM(OFFSET(終値!$E$6,IFERROR(MATCH($C116,銘柄管理!$B$6:$B$305,0),MATCH(TEXT($C116,"0"),銘柄管理!$B$6:$B$305,0))-1,0,1,14))*100,"")</f>
      </c>
      <c r="BB116">
        <f>IFERROR((MAX(OFFSET(高値!$E$6,IFERROR(MATCH($C116,銘柄管理!$B$6:$B$305,0),MATCH(TEXT($C116,"0"),銘柄管理!$B$6:$B$305,0))-1,0,1,25))-MIN(OFFSET(安値!$E$6,IFERROR(MATCH($C116,銘柄管理!$B$6:$B$305,0),MATCH(TEXT($C116,"0"),銘柄管理!$B$6:$B$305,0))-1,0,1,25)))/$E116*100,"")</f>
      </c>
      <c r="BC116">
        <f>IFERROR(($F116-$G116)/$G116*100,"")</f>
      </c>
      <c r="BD116">
        <f>IFERROR(($E116-MAX(OFFSET(高値!$E$6,IFERROR(MATCH($C116,銘柄管理!$B$6:$B$305,0),MATCH(TEXT($C116,"0"),銘柄管理!$B$6:$B$305,0))-1,0,1,25)))/MAX(OFFSET(高値!$E$6,IFERROR(MATCH($C116,銘柄管理!$B$6:$B$305,0),MATCH(TEXT($C116,"0"),銘柄管理!$B$6:$B$305,0))-1,0,1,25))*100,"")</f>
      </c>
      <c r="BE116">
        <f>IFERROR(($H116-$I116)/$F116*100,"")</f>
      </c>
      <c r="BF116">
        <f>IFERROR(-(($BA116-AVERAGE($BA$3:$BA$206))/STDEV($BA$3:$BA$206))-(($BE116-AVERAGE($BE$3:$BE$206))/STDEV($BE$3:$BE$206))-(($BB116-AVERAGE($BB$3:$BB$206))/STDEV($BB$3:$BB$206))-(($Z116-AVERAGE($Z$3:$Z$206))/STDEV($Z$3:$Z$206))-(($BC116-AVERAGE($BC$3:$BC$206))/STDEV($BC$3:$BC$206)),"")</f>
      </c>
      <c r="BG116">
        <f>IF(OR($C116="",$C116="TOPX",$BA116="",$BF116=""),0,IF(AND($BK$10=1,$BA116&lt;=$BK$2,$BB116&lt;=$BK$3,$BC116&lt;=$BK$4,$Z116&lt;=$BK$5,$Z116&gt;=$BK$6,$BD116&gt;=$BK$7,$BE116&lt;=$BK$8),1,0))</f>
      </c>
      <c r="BH116">
        <f>IF($C116="","",IF($BG116=1,"○ゲート通過",IF($BK$10&lt;&gt;1,"― この方向は停止中",IF($BA116&gt;$BK$2,"×値動きが荒い",IF($BB116&gt;$BK$3,"×レンジが広い",IF($BC116&gt;$BK$4,"×窓を開けて上昇",IF($Z116&gt;$BK$5,"×前日に急騰",IF($Z116&lt;$BK$6,"×前日に急落",IF($BD116&lt;$BK$7,"×高値から離れすぎ",IF($BE116&gt;$BK$8,"×当日の値幅が大きい","×")))))))))</f>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 t="shared" si="17"/>
        <v>-19.299820466786354</v>
      </c>
      <c r="M117" s="166">
        <f>IF(C117&lt;&gt;"",IFERROR(AVERAGE(出来高!E42:I42),""),"")</f>
        <v>426820</v>
      </c>
      <c r="N117" s="166">
        <f>IF(C117&lt;&gt;"",IFERROR(AVERAGE(出来高!E42:AC42),""),"")</f>
        <v>332340</v>
      </c>
      <c r="O117" s="168">
        <f t="shared" si="18"/>
        <v>1.6901738437748934</v>
      </c>
      <c r="P117" s="163" t="str">
        <f t="shared" si="19"/>
        <v>増加↑</v>
      </c>
      <c r="Q117" s="163" t="str">
        <f t="shared" si="20"/>
        <v>買い▲</v>
      </c>
      <c r="R117" s="166">
        <f t="shared" si="27"/>
        <v>3884</v>
      </c>
      <c r="S117" s="166">
        <f t="shared" si="28"/>
        <v>3452</v>
      </c>
      <c r="T117" s="163">
        <f>IF(C117="","",IFERROR(IF(O117&gt;=2,3,IF(O117&gt;=1.5,2,IF(O117&gt;=1,1,0)))+IF(E117&gt;G117,1,0)+IF(L117&gt;=-5,1,0)+IF(Q117="買い▲",2,0)+IF(W117&gt;=78,-4,IF(W117&gt;=72,-2,IF(W117&gt;=55,2,IF(W117&gt;=45,1,0))))+IF(X117&gt;0,1,0)+IF(V117="年初来高値更新●",3,IF(V117="高値圏",2,0))+IF(AD117="パーフェクト▲",3,IF(AD117="上昇トレンド▲",2,0))+IF(AE117="25日線押し目●",2,IF(AE117="5日線押し目○",1,0))+IF(P117="急増↑↑",2,IF(P117="増加↑",1,0))+N(AI117),0))</f>
      </c>
      <c r="U117" s="163" t="str">
        <f t="shared" si="29"/>
        <v>有効</v>
      </c>
      <c r="V117" s="163" t="str">
        <f t="shared" si="22"/>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 t="shared" si="30"/>
        <v>2.7428571428571429</v>
      </c>
      <c r="AA117" s="163" t="str">
        <f t="shared" si="31"/>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 t="shared" si="32"/>
        <v>上昇トレンド▲</v>
      </c>
      <c r="AE117" s="406" t="str">
        <f t="shared" si="33"/>
        <v>なし</v>
      </c>
      <c r="AF117" s="365">
        <f t="array" ref="AF117">IF(C117="","",IFERROR((INDEX(終値!$E:$E,MATCH(TEXT(C117,"0"),終値!$A:$A,0))-INDEX(終値!$E:$CZ,MATCH(TEXT(C117,"0"),終値!$A:$A,0),$AL$2))/INDEX(終値!$E:$CZ,MATCH(TEXT(C117,"0"),終値!$A:$A,0),$AL$2)*100,""))</f>
        <v>0.86956521739130432</v>
      </c>
      <c r="AG117" s="365">
        <f t="array" ref="AG117">IFERROR((終値!$E$5-INDEX(終値!$E$5:$CZ$5,1,$AL$2))/INDEX(終値!$E$5:$CZ$5,1,$AL$2)*100,"")</f>
        <v>1.0179378228534113</v>
      </c>
      <c r="AH117" s="366">
        <f t="shared" si="25"/>
        <v>-0.14837260546210695</v>
      </c>
      <c r="AI117" s="364">
        <f t="shared" si="26"/>
        <v>-1</v>
      </c>
      <c r="BA117">
        <f>IFERROR((SUM(OFFSET(高値!$E$6,IFERROR(MATCH($C117,銘柄管理!$B$6:$B$305,0),MATCH(TEXT($C117,"0"),銘柄管理!$B$6:$B$305,0))-1,0,1,14))-SUM(OFFSET(安値!$E$6,IFERROR(MATCH($C117,銘柄管理!$B$6:$B$305,0),MATCH(TEXT($C117,"0"),銘柄管理!$B$6:$B$305,0))-1,0,1,14)))/SUM(OFFSET(終値!$E$6,IFERROR(MATCH($C117,銘柄管理!$B$6:$B$305,0),MATCH(TEXT($C117,"0"),銘柄管理!$B$6:$B$305,0))-1,0,1,14))*100,"")</f>
      </c>
      <c r="BB117">
        <f>IFERROR((MAX(OFFSET(高値!$E$6,IFERROR(MATCH($C117,銘柄管理!$B$6:$B$305,0),MATCH(TEXT($C117,"0"),銘柄管理!$B$6:$B$305,0))-1,0,1,25))-MIN(OFFSET(安値!$E$6,IFERROR(MATCH($C117,銘柄管理!$B$6:$B$305,0),MATCH(TEXT($C117,"0"),銘柄管理!$B$6:$B$305,0))-1,0,1,25)))/$E117*100,"")</f>
      </c>
      <c r="BC117">
        <f>IFERROR(($F117-$G117)/$G117*100,"")</f>
      </c>
      <c r="BD117">
        <f>IFERROR(($E117-MAX(OFFSET(高値!$E$6,IFERROR(MATCH($C117,銘柄管理!$B$6:$B$305,0),MATCH(TEXT($C117,"0"),銘柄管理!$B$6:$B$305,0))-1,0,1,25)))/MAX(OFFSET(高値!$E$6,IFERROR(MATCH($C117,銘柄管理!$B$6:$B$305,0),MATCH(TEXT($C117,"0"),銘柄管理!$B$6:$B$305,0))-1,0,1,25))*100,"")</f>
      </c>
      <c r="BE117">
        <f>IFERROR(($H117-$I117)/$F117*100,"")</f>
      </c>
      <c r="BF117">
        <f>IFERROR(-(($BA117-AVERAGE($BA$3:$BA$206))/STDEV($BA$3:$BA$206))-(($BE117-AVERAGE($BE$3:$BE$206))/STDEV($BE$3:$BE$206))-(($BB117-AVERAGE($BB$3:$BB$206))/STDEV($BB$3:$BB$206))-(($Z117-AVERAGE($Z$3:$Z$206))/STDEV($Z$3:$Z$206))-(($BC117-AVERAGE($BC$3:$BC$206))/STDEV($BC$3:$BC$206)),"")</f>
      </c>
      <c r="BG117">
        <f>IF(OR($C117="",$C117="TOPX",$BA117="",$BF117=""),0,IF(AND($BK$10=1,$BA117&lt;=$BK$2,$BB117&lt;=$BK$3,$BC117&lt;=$BK$4,$Z117&lt;=$BK$5,$Z117&gt;=$BK$6,$BD117&gt;=$BK$7,$BE117&lt;=$BK$8),1,0))</f>
      </c>
      <c r="BH117">
        <f>IF($C117="","",IF($BG117=1,"○ゲート通過",IF($BK$10&lt;&gt;1,"― この方向は停止中",IF($BA117&gt;$BK$2,"×値動きが荒い",IF($BB117&gt;$BK$3,"×レンジが広い",IF($BC117&gt;$BK$4,"×窓を開けて上昇",IF($Z117&gt;$BK$5,"×前日に急騰",IF($Z117&lt;$BK$6,"×前日に急落",IF($BD117&lt;$BK$7,"×高値から離れすぎ",IF($BE117&gt;$BK$8,"×当日の値幅が大きい","×")))))))))</f>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 t="shared" si="17"/>
        <v>-8.2604220277920746</v>
      </c>
      <c r="M118" s="166">
        <f>IF(C118&lt;&gt;"",IFERROR(AVERAGE(出来高!E36:I36),""),"")</f>
        <v>3631280</v>
      </c>
      <c r="N118" s="166">
        <f>IF(C118&lt;&gt;"",IFERROR(AVERAGE(出来高!E36:AC36),""),"")</f>
        <v>2348684</v>
      </c>
      <c r="O118" s="168">
        <f t="shared" si="18"/>
        <v>0.65186380560022916</v>
      </c>
      <c r="P118" s="163" t="str">
        <f t="shared" si="19"/>
        <v>減少↓</v>
      </c>
      <c r="Q118" s="163" t="str">
        <f t="shared" si="20"/>
        <v>中立→</v>
      </c>
      <c r="R118" s="166">
        <f t="shared" si="27"/>
        <v>1925</v>
      </c>
      <c r="S118" s="166">
        <f t="shared" si="28"/>
        <v>1711</v>
      </c>
      <c r="T118" s="163">
        <f>IF(C118="","",IFERROR(IF(O118&gt;=2,3,IF(O118&gt;=1.5,2,IF(O118&gt;=1,1,0)))+IF(E118&gt;G118,1,0)+IF(L118&gt;=-5,1,0)+IF(Q118="買い▲",2,0)+IF(W118&gt;=78,-4,IF(W118&gt;=72,-2,IF(W118&gt;=55,2,IF(W118&gt;=45,1,0))))+IF(X118&gt;0,1,0)+IF(V118="年初来高値更新●",3,IF(V118="高値圏",2,0))+IF(AD118="パーフェクト▲",3,IF(AD118="上昇トレンド▲",2,0))+IF(AE118="25日線押し目●",2,IF(AE118="5日線押し目○",1,0))+IF(P118="急増↑↑",2,IF(P118="増加↑",1,0))+N(AI118),0))</f>
      </c>
      <c r="U118" s="163" t="str">
        <f t="shared" si="29"/>
        <v>除外</v>
      </c>
      <c r="V118" s="163" t="str">
        <f t="shared" si="22"/>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 t="shared" si="30"/>
        <v>1.5958962667426617</v>
      </c>
      <c r="AA118" s="163" t="str">
        <f t="shared" si="31"/>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 t="shared" si="32"/>
        <v>もみ合い→</v>
      </c>
      <c r="AE118" s="404" t="str">
        <f t="shared" si="33"/>
        <v>なし</v>
      </c>
      <c r="AF118" s="365">
        <f t="array" ref="AF118">IF(C118="","",IFERROR((INDEX(終値!$E:$E,MATCH(TEXT(C118,"0"),終値!$A:$A,0))-INDEX(終値!$E:$CZ,MATCH(TEXT(C118,"0"),終値!$A:$A,0),$AL$2))/INDEX(終値!$E:$CZ,MATCH(TEXT(C118,"0"),終値!$A:$A,0),$AL$2)*100,""))</f>
        <v>-0.50237231370360036</v>
      </c>
      <c r="AG118" s="365">
        <f t="array" ref="AG118">IFERROR((終値!$E$5-INDEX(終値!$E$5:$CZ$5,1,$AL$2))/INDEX(終値!$E$5:$CZ$5,1,$AL$2)*100,"")</f>
        <v>1.0179378228534113</v>
      </c>
      <c r="AH118" s="366">
        <f t="shared" si="25"/>
        <v>-1.5203101365570117</v>
      </c>
      <c r="AI118" s="364">
        <f t="shared" si="26"/>
        <v>-1</v>
      </c>
      <c r="BA118">
        <f>IFERROR((SUM(OFFSET(高値!$E$6,IFERROR(MATCH($C118,銘柄管理!$B$6:$B$305,0),MATCH(TEXT($C118,"0"),銘柄管理!$B$6:$B$305,0))-1,0,1,14))-SUM(OFFSET(安値!$E$6,IFERROR(MATCH($C118,銘柄管理!$B$6:$B$305,0),MATCH(TEXT($C118,"0"),銘柄管理!$B$6:$B$305,0))-1,0,1,14)))/SUM(OFFSET(終値!$E$6,IFERROR(MATCH($C118,銘柄管理!$B$6:$B$305,0),MATCH(TEXT($C118,"0"),銘柄管理!$B$6:$B$305,0))-1,0,1,14))*100,"")</f>
      </c>
      <c r="BB118">
        <f>IFERROR((MAX(OFFSET(高値!$E$6,IFERROR(MATCH($C118,銘柄管理!$B$6:$B$305,0),MATCH(TEXT($C118,"0"),銘柄管理!$B$6:$B$305,0))-1,0,1,25))-MIN(OFFSET(安値!$E$6,IFERROR(MATCH($C118,銘柄管理!$B$6:$B$305,0),MATCH(TEXT($C118,"0"),銘柄管理!$B$6:$B$305,0))-1,0,1,25)))/$E118*100,"")</f>
      </c>
      <c r="BC118">
        <f>IFERROR(($F118-$G118)/$G118*100,"")</f>
      </c>
      <c r="BD118">
        <f>IFERROR(($E118-MAX(OFFSET(高値!$E$6,IFERROR(MATCH($C118,銘柄管理!$B$6:$B$305,0),MATCH(TEXT($C118,"0"),銘柄管理!$B$6:$B$305,0))-1,0,1,25)))/MAX(OFFSET(高値!$E$6,IFERROR(MATCH($C118,銘柄管理!$B$6:$B$305,0),MATCH(TEXT($C118,"0"),銘柄管理!$B$6:$B$305,0))-1,0,1,25))*100,"")</f>
      </c>
      <c r="BE118">
        <f>IFERROR(($H118-$I118)/$F118*100,"")</f>
      </c>
      <c r="BF118">
        <f>IFERROR(-(($BA118-AVERAGE($BA$3:$BA$206))/STDEV($BA$3:$BA$206))-(($BE118-AVERAGE($BE$3:$BE$206))/STDEV($BE$3:$BE$206))-(($BB118-AVERAGE($BB$3:$BB$206))/STDEV($BB$3:$BB$206))-(($Z118-AVERAGE($Z$3:$Z$206))/STDEV($Z$3:$Z$206))-(($BC118-AVERAGE($BC$3:$BC$206))/STDEV($BC$3:$BC$206)),"")</f>
      </c>
      <c r="BG118">
        <f>IF(OR($C118="",$C118="TOPX",$BA118="",$BF118=""),0,IF(AND($BK$10=1,$BA118&lt;=$BK$2,$BB118&lt;=$BK$3,$BC118&lt;=$BK$4,$Z118&lt;=$BK$5,$Z118&gt;=$BK$6,$BD118&gt;=$BK$7,$BE118&lt;=$BK$8),1,0))</f>
      </c>
      <c r="BH118">
        <f>IF($C118="","",IF($BG118=1,"○ゲート通過",IF($BK$10&lt;&gt;1,"― この方向は停止中",IF($BA118&gt;$BK$2,"×値動きが荒い",IF($BB118&gt;$BK$3,"×レンジが広い",IF($BC118&gt;$BK$4,"×窓を開けて上昇",IF($Z118&gt;$BK$5,"×前日に急騰",IF($Z118&lt;$BK$6,"×前日に急落",IF($BD118&lt;$BK$7,"×高値から離れすぎ",IF($BE118&gt;$BK$8,"×当日の値幅が大きい","×")))))))))</f>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 t="shared" si="17"/>
        <v>-15.149393090569561</v>
      </c>
      <c r="M119" s="166">
        <f>IF(C119&lt;&gt;"",IFERROR(AVERAGE(出来高!E49:I49),""),"")</f>
        <v>1085400</v>
      </c>
      <c r="N119" s="166">
        <f>IF(C119&lt;&gt;"",IFERROR(AVERAGE(出来高!E49:AC49),""),"")</f>
        <v>670133.33333333337</v>
      </c>
      <c r="O119" s="168">
        <f t="shared" si="18"/>
        <v>0.56928321356182054</v>
      </c>
      <c r="P119" s="163" t="str">
        <f t="shared" si="19"/>
        <v>減少↓</v>
      </c>
      <c r="Q119" s="163" t="str">
        <f t="shared" si="20"/>
        <v>中立→</v>
      </c>
      <c r="R119" s="166">
        <f t="shared" si="27"/>
        <v>3926</v>
      </c>
      <c r="S119" s="166">
        <f t="shared" si="28"/>
        <v>3490</v>
      </c>
      <c r="T119" s="163">
        <f>IF(C119="","",IFERROR(IF(O119&gt;=2,3,IF(O119&gt;=1.5,2,IF(O119&gt;=1,1,0)))+IF(E119&gt;G119,1,0)+IF(L119&gt;=-5,1,0)+IF(Q119="買い▲",2,0)+IF(W119&gt;=78,-4,IF(W119&gt;=72,-2,IF(W119&gt;=55,2,IF(W119&gt;=45,1,0))))+IF(X119&gt;0,1,0)+IF(V119="年初来高値更新●",3,IF(V119="高値圏",2,0))+IF(AD119="パーフェクト▲",3,IF(AD119="上昇トレンド▲",2,0))+IF(AE119="25日線押し目●",2,IF(AE119="5日線押し目○",1,0))+IF(P119="急増↑↑",2,IF(P119="増加↑",1,0))+N(AI119),0))</f>
      </c>
      <c r="U119" s="163" t="str">
        <f t="shared" si="29"/>
        <v>除外</v>
      </c>
      <c r="V119" s="163" t="str">
        <f t="shared" si="22"/>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 t="shared" si="30"/>
        <v>0.63676633444075303</v>
      </c>
      <c r="AA119" s="163" t="str">
        <f t="shared" si="31"/>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 t="shared" si="32"/>
        <v>上昇トレンド▲</v>
      </c>
      <c r="AE119" s="406" t="str">
        <f t="shared" si="33"/>
        <v>なし</v>
      </c>
      <c r="AF119" s="365">
        <f t="array" ref="AF119">IF(C119="","",IFERROR((INDEX(終値!$E:$E,MATCH(TEXT(C119,"0"),終値!$A:$A,0))-INDEX(終値!$E:$CZ,MATCH(TEXT(C119,"0"),終値!$A:$A,0),$AL$2))/INDEX(終値!$E:$CZ,MATCH(TEXT(C119,"0"),終値!$A:$A,0),$AL$2)*100,""))</f>
        <v>-2.859433458043827</v>
      </c>
      <c r="AG119" s="365">
        <f t="array" ref="AG119">IFERROR((終値!$E$5-INDEX(終値!$E$5:$CZ$5,1,$AL$2))/INDEX(終値!$E$5:$CZ$5,1,$AL$2)*100,"")</f>
        <v>1.0179378228534113</v>
      </c>
      <c r="AH119" s="366">
        <f t="shared" si="25"/>
        <v>-3.877371280897238</v>
      </c>
      <c r="AI119" s="364">
        <f t="shared" si="26"/>
        <v>-2</v>
      </c>
      <c r="BA119">
        <f>IFERROR((SUM(OFFSET(高値!$E$6,IFERROR(MATCH($C119,銘柄管理!$B$6:$B$305,0),MATCH(TEXT($C119,"0"),銘柄管理!$B$6:$B$305,0))-1,0,1,14))-SUM(OFFSET(安値!$E$6,IFERROR(MATCH($C119,銘柄管理!$B$6:$B$305,0),MATCH(TEXT($C119,"0"),銘柄管理!$B$6:$B$305,0))-1,0,1,14)))/SUM(OFFSET(終値!$E$6,IFERROR(MATCH($C119,銘柄管理!$B$6:$B$305,0),MATCH(TEXT($C119,"0"),銘柄管理!$B$6:$B$305,0))-1,0,1,14))*100,"")</f>
      </c>
      <c r="BB119">
        <f>IFERROR((MAX(OFFSET(高値!$E$6,IFERROR(MATCH($C119,銘柄管理!$B$6:$B$305,0),MATCH(TEXT($C119,"0"),銘柄管理!$B$6:$B$305,0))-1,0,1,25))-MIN(OFFSET(安値!$E$6,IFERROR(MATCH($C119,銘柄管理!$B$6:$B$305,0),MATCH(TEXT($C119,"0"),銘柄管理!$B$6:$B$305,0))-1,0,1,25)))/$E119*100,"")</f>
      </c>
      <c r="BC119">
        <f>IFERROR(($F119-$G119)/$G119*100,"")</f>
      </c>
      <c r="BD119">
        <f>IFERROR(($E119-MAX(OFFSET(高値!$E$6,IFERROR(MATCH($C119,銘柄管理!$B$6:$B$305,0),MATCH(TEXT($C119,"0"),銘柄管理!$B$6:$B$305,0))-1,0,1,25)))/MAX(OFFSET(高値!$E$6,IFERROR(MATCH($C119,銘柄管理!$B$6:$B$305,0),MATCH(TEXT($C119,"0"),銘柄管理!$B$6:$B$305,0))-1,0,1,25))*100,"")</f>
      </c>
      <c r="BE119">
        <f>IFERROR(($H119-$I119)/$F119*100,"")</f>
      </c>
      <c r="BF119">
        <f>IFERROR(-(($BA119-AVERAGE($BA$3:$BA$206))/STDEV($BA$3:$BA$206))-(($BE119-AVERAGE($BE$3:$BE$206))/STDEV($BE$3:$BE$206))-(($BB119-AVERAGE($BB$3:$BB$206))/STDEV($BB$3:$BB$206))-(($Z119-AVERAGE($Z$3:$Z$206))/STDEV($Z$3:$Z$206))-(($BC119-AVERAGE($BC$3:$BC$206))/STDEV($BC$3:$BC$206)),"")</f>
      </c>
      <c r="BG119">
        <f>IF(OR($C119="",$C119="TOPX",$BA119="",$BF119=""),0,IF(AND($BK$10=1,$BA119&lt;=$BK$2,$BB119&lt;=$BK$3,$BC119&lt;=$BK$4,$Z119&lt;=$BK$5,$Z119&gt;=$BK$6,$BD119&gt;=$BK$7,$BE119&lt;=$BK$8),1,0))</f>
      </c>
      <c r="BH119">
        <f>IF($C119="","",IF($BG119=1,"○ゲート通過",IF($BK$10&lt;&gt;1,"― この方向は停止中",IF($BA119&gt;$BK$2,"×値動きが荒い",IF($BB119&gt;$BK$3,"×レンジが広い",IF($BC119&gt;$BK$4,"×窓を開けて上昇",IF($Z119&gt;$BK$5,"×前日に急騰",IF($Z119&lt;$BK$6,"×前日に急落",IF($BD119&lt;$BK$7,"×高値から離れすぎ",IF($BE119&gt;$BK$8,"×当日の値幅が大きい","×")))))))))</f>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 t="shared" si="17"/>
        <v>-3.4968210717529522</v>
      </c>
      <c r="M120" s="166">
        <f>IF(C120&lt;&gt;"",IFERROR(AVERAGE(出来高!E55:I55),""),"")</f>
        <v>290760</v>
      </c>
      <c r="N120" s="166">
        <f>IF(C120&lt;&gt;"",IFERROR(AVERAGE(出来高!E55:AC55),""),"")</f>
        <v>225568</v>
      </c>
      <c r="O120" s="168">
        <f t="shared" si="18"/>
        <v>1.3186132893107718</v>
      </c>
      <c r="P120" s="163" t="str">
        <f t="shared" si="19"/>
        <v>普通→</v>
      </c>
      <c r="Q120" s="163" t="str">
        <f t="shared" si="20"/>
        <v>中立→</v>
      </c>
      <c r="R120" s="166">
        <f t="shared" si="27"/>
        <v>4590</v>
      </c>
      <c r="S120" s="166">
        <f t="shared" si="28"/>
        <v>4080</v>
      </c>
      <c r="T120" s="163">
        <f>IF(C120="","",IFERROR(IF(O120&gt;=2,3,IF(O120&gt;=1.5,2,IF(O120&gt;=1,1,0)))+IF(E120&gt;G120,1,0)+IF(L120&gt;=-5,1,0)+IF(Q120="買い▲",2,0)+IF(W120&gt;=78,-4,IF(W120&gt;=72,-2,IF(W120&gt;=55,2,IF(W120&gt;=45,1,0))))+IF(X120&gt;0,1,0)+IF(V120="年初来高値更新●",3,IF(V120="高値圏",2,0))+IF(AD120="パーフェクト▲",3,IF(AD120="上昇トレンド▲",2,0))+IF(AE120="25日線押し目●",2,IF(AE120="5日線押し目○",1,0))+IF(P120="急増↑↑",2,IF(P120="増加↑",1,0))+N(AI120),0))</f>
      </c>
      <c r="U120" s="163" t="str">
        <f t="shared" si="29"/>
        <v>要確認</v>
      </c>
      <c r="V120" s="163" t="str">
        <f t="shared" si="22"/>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 t="shared" si="30"/>
        <v>0.25949516395376265</v>
      </c>
      <c r="AA120" s="163" t="str">
        <f t="shared" si="31"/>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 t="shared" si="32"/>
        <v>パーフェクト▲</v>
      </c>
      <c r="AE120" s="404" t="str">
        <f t="shared" si="33"/>
        <v>なし</v>
      </c>
      <c r="AF120" s="365">
        <f t="array" ref="AF120">IF(C120="","",IFERROR((INDEX(終値!$E:$E,MATCH(TEXT(C120,"0"),終値!$A:$A,0))-INDEX(終値!$E:$CZ,MATCH(TEXT(C120,"0"),終値!$A:$A,0),$AL$2))/INDEX(終値!$E:$CZ,MATCH(TEXT(C120,"0"),終値!$A:$A,0),$AL$2)*100,""))</f>
        <v>4.192203971561657</v>
      </c>
      <c r="AG120" s="365">
        <f t="array" ref="AG120">IFERROR((終値!$E$5-INDEX(終値!$E$5:$CZ$5,1,$AL$2))/INDEX(終値!$E$5:$CZ$5,1,$AL$2)*100,"")</f>
        <v>1.0179378228534113</v>
      </c>
      <c r="AH120" s="366">
        <f t="shared" si="25"/>
        <v>3.174266148708246</v>
      </c>
      <c r="AI120" s="364">
        <f t="shared" si="26"/>
        <v>1</v>
      </c>
      <c r="BA120">
        <f>IFERROR((SUM(OFFSET(高値!$E$6,IFERROR(MATCH($C120,銘柄管理!$B$6:$B$305,0),MATCH(TEXT($C120,"0"),銘柄管理!$B$6:$B$305,0))-1,0,1,14))-SUM(OFFSET(安値!$E$6,IFERROR(MATCH($C120,銘柄管理!$B$6:$B$305,0),MATCH(TEXT($C120,"0"),銘柄管理!$B$6:$B$305,0))-1,0,1,14)))/SUM(OFFSET(終値!$E$6,IFERROR(MATCH($C120,銘柄管理!$B$6:$B$305,0),MATCH(TEXT($C120,"0"),銘柄管理!$B$6:$B$305,0))-1,0,1,14))*100,"")</f>
      </c>
      <c r="BB120">
        <f>IFERROR((MAX(OFFSET(高値!$E$6,IFERROR(MATCH($C120,銘柄管理!$B$6:$B$305,0),MATCH(TEXT($C120,"0"),銘柄管理!$B$6:$B$305,0))-1,0,1,25))-MIN(OFFSET(安値!$E$6,IFERROR(MATCH($C120,銘柄管理!$B$6:$B$305,0),MATCH(TEXT($C120,"0"),銘柄管理!$B$6:$B$305,0))-1,0,1,25)))/$E120*100,"")</f>
      </c>
      <c r="BC120">
        <f>IFERROR(($F120-$G120)/$G120*100,"")</f>
      </c>
      <c r="BD120">
        <f>IFERROR(($E120-MAX(OFFSET(高値!$E$6,IFERROR(MATCH($C120,銘柄管理!$B$6:$B$305,0),MATCH(TEXT($C120,"0"),銘柄管理!$B$6:$B$305,0))-1,0,1,25)))/MAX(OFFSET(高値!$E$6,IFERROR(MATCH($C120,銘柄管理!$B$6:$B$305,0),MATCH(TEXT($C120,"0"),銘柄管理!$B$6:$B$305,0))-1,0,1,25))*100,"")</f>
      </c>
      <c r="BE120">
        <f>IFERROR(($H120-$I120)/$F120*100,"")</f>
      </c>
      <c r="BF120">
        <f>IFERROR(-(($BA120-AVERAGE($BA$3:$BA$206))/STDEV($BA$3:$BA$206))-(($BE120-AVERAGE($BE$3:$BE$206))/STDEV($BE$3:$BE$206))-(($BB120-AVERAGE($BB$3:$BB$206))/STDEV($BB$3:$BB$206))-(($Z120-AVERAGE($Z$3:$Z$206))/STDEV($Z$3:$Z$206))-(($BC120-AVERAGE($BC$3:$BC$206))/STDEV($BC$3:$BC$206)),"")</f>
      </c>
      <c r="BG120">
        <f>IF(OR($C120="",$C120="TOPX",$BA120="",$BF120=""),0,IF(AND($BK$10=1,$BA120&lt;=$BK$2,$BB120&lt;=$BK$3,$BC120&lt;=$BK$4,$Z120&lt;=$BK$5,$Z120&gt;=$BK$6,$BD120&gt;=$BK$7,$BE120&lt;=$BK$8),1,0))</f>
      </c>
      <c r="BH120">
        <f>IF($C120="","",IF($BG120=1,"○ゲート通過",IF($BK$10&lt;&gt;1,"― この方向は停止中",IF($BA120&gt;$BK$2,"×値動きが荒い",IF($BB120&gt;$BK$3,"×レンジが広い",IF($BC120&gt;$BK$4,"×窓を開けて上昇",IF($Z120&gt;$BK$5,"×前日に急騰",IF($Z120&lt;$BK$6,"×前日に急落",IF($BD120&lt;$BK$7,"×高値から離れすぎ",IF($BE120&gt;$BK$8,"×当日の値幅が大きい","×")))))))))</f>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 t="shared" si="17"/>
        <v>-25.626461744069495</v>
      </c>
      <c r="M121" s="166">
        <f>IF(C121&lt;&gt;"",IFERROR(AVERAGE(出来高!E89:I89),""),"")</f>
        <v>33440</v>
      </c>
      <c r="N121" s="166">
        <f>IF(C121&lt;&gt;"",IFERROR(AVERAGE(出来高!E89:AC89),""),"")</f>
        <v>46228</v>
      </c>
      <c r="O121" s="168">
        <f t="shared" si="18"/>
        <v>0.83433014354066981</v>
      </c>
      <c r="P121" s="163" t="str">
        <f t="shared" si="19"/>
        <v>減少↓</v>
      </c>
      <c r="Q121" s="163" t="str">
        <f t="shared" si="20"/>
        <v>中立→</v>
      </c>
      <c r="R121" s="166">
        <f t="shared" si="27"/>
        <v>2404</v>
      </c>
      <c r="S121" s="166">
        <f t="shared" si="28"/>
        <v>2137</v>
      </c>
      <c r="T121" s="163">
        <f>IF(C121="","",IFERROR(IF(O121&gt;=2,3,IF(O121&gt;=1.5,2,IF(O121&gt;=1,1,0)))+IF(E121&gt;G121,1,0)+IF(L121&gt;=-5,1,0)+IF(Q121="買い▲",2,0)+IF(W121&gt;=78,-4,IF(W121&gt;=72,-2,IF(W121&gt;=55,2,IF(W121&gt;=45,1,0))))+IF(X121&gt;0,1,0)+IF(V121="年初来高値更新●",3,IF(V121="高値圏",2,0))+IF(AD121="パーフェクト▲",3,IF(AD121="上昇トレンド▲",2,0))+IF(AE121="25日線押し目●",2,IF(AE121="5日線押し目○",1,0))+IF(P121="急増↑↑",2,IF(P121="増加↑",1,0))+N(AI121),0))</f>
      </c>
      <c r="U121" s="163" t="str">
        <f t="shared" si="29"/>
        <v>要確認</v>
      </c>
      <c r="V121" s="163" t="str">
        <f t="shared" si="22"/>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 t="shared" si="30"/>
        <v>0.58743786714866697</v>
      </c>
      <c r="AA121" s="163" t="str">
        <f t="shared" si="31"/>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 t="shared" si="32"/>
        <v>下降トレンド▼</v>
      </c>
      <c r="AE121" s="406" t="str">
        <f t="shared" si="33"/>
        <v>なし</v>
      </c>
      <c r="AF121" s="365">
        <f t="array" ref="AF121">IF(C121="","",IFERROR((INDEX(終値!$E:$E,MATCH(TEXT(C121,"0"),終値!$A:$A,0))-INDEX(終値!$E:$CZ,MATCH(TEXT(C121,"0"),終値!$A:$A,0),$AL$2))/INDEX(終値!$E:$CZ,MATCH(TEXT(C121,"0"),終値!$A:$A,0),$AL$2)*100,""))</f>
        <v>9.5472440944881889</v>
      </c>
      <c r="AG121" s="365">
        <f t="array" ref="AG121">IFERROR((終値!$E$5-INDEX(終値!$E$5:$CZ$5,1,$AL$2))/INDEX(終値!$E$5:$CZ$5,1,$AL$2)*100,"")</f>
        <v>1.0179378228534113</v>
      </c>
      <c r="AH121" s="366">
        <f t="shared" si="25"/>
        <v>8.5293062716347769</v>
      </c>
      <c r="AI121" s="364">
        <f t="shared" si="26"/>
        <v>3</v>
      </c>
      <c r="BA121">
        <f>IFERROR((SUM(OFFSET(高値!$E$6,IFERROR(MATCH($C121,銘柄管理!$B$6:$B$305,0),MATCH(TEXT($C121,"0"),銘柄管理!$B$6:$B$305,0))-1,0,1,14))-SUM(OFFSET(安値!$E$6,IFERROR(MATCH($C121,銘柄管理!$B$6:$B$305,0),MATCH(TEXT($C121,"0"),銘柄管理!$B$6:$B$305,0))-1,0,1,14)))/SUM(OFFSET(終値!$E$6,IFERROR(MATCH($C121,銘柄管理!$B$6:$B$305,0),MATCH(TEXT($C121,"0"),銘柄管理!$B$6:$B$305,0))-1,0,1,14))*100,"")</f>
      </c>
      <c r="BB121">
        <f>IFERROR((MAX(OFFSET(高値!$E$6,IFERROR(MATCH($C121,銘柄管理!$B$6:$B$305,0),MATCH(TEXT($C121,"0"),銘柄管理!$B$6:$B$305,0))-1,0,1,25))-MIN(OFFSET(安値!$E$6,IFERROR(MATCH($C121,銘柄管理!$B$6:$B$305,0),MATCH(TEXT($C121,"0"),銘柄管理!$B$6:$B$305,0))-1,0,1,25)))/$E121*100,"")</f>
      </c>
      <c r="BC121">
        <f>IFERROR(($F121-$G121)/$G121*100,"")</f>
      </c>
      <c r="BD121">
        <f>IFERROR(($E121-MAX(OFFSET(高値!$E$6,IFERROR(MATCH($C121,銘柄管理!$B$6:$B$305,0),MATCH(TEXT($C121,"0"),銘柄管理!$B$6:$B$305,0))-1,0,1,25)))/MAX(OFFSET(高値!$E$6,IFERROR(MATCH($C121,銘柄管理!$B$6:$B$305,0),MATCH(TEXT($C121,"0"),銘柄管理!$B$6:$B$305,0))-1,0,1,25))*100,"")</f>
      </c>
      <c r="BE121">
        <f>IFERROR(($H121-$I121)/$F121*100,"")</f>
      </c>
      <c r="BF121">
        <f>IFERROR(-(($BA121-AVERAGE($BA$3:$BA$206))/STDEV($BA$3:$BA$206))-(($BE121-AVERAGE($BE$3:$BE$206))/STDEV($BE$3:$BE$206))-(($BB121-AVERAGE($BB$3:$BB$206))/STDEV($BB$3:$BB$206))-(($Z121-AVERAGE($Z$3:$Z$206))/STDEV($Z$3:$Z$206))-(($BC121-AVERAGE($BC$3:$BC$206))/STDEV($BC$3:$BC$206)),"")</f>
      </c>
      <c r="BG121">
        <f>IF(OR($C121="",$C121="TOPX",$BA121="",$BF121=""),0,IF(AND($BK$10=1,$BA121&lt;=$BK$2,$BB121&lt;=$BK$3,$BC121&lt;=$BK$4,$Z121&lt;=$BK$5,$Z121&gt;=$BK$6,$BD121&gt;=$BK$7,$BE121&lt;=$BK$8),1,0))</f>
      </c>
      <c r="BH121">
        <f>IF($C121="","",IF($BG121=1,"○ゲート通過",IF($BK$10&lt;&gt;1,"― この方向は停止中",IF($BA121&gt;$BK$2,"×値動きが荒い",IF($BB121&gt;$BK$3,"×レンジが広い",IF($BC121&gt;$BK$4,"×窓を開けて上昇",IF($Z121&gt;$BK$5,"×前日に急騰",IF($Z121&lt;$BK$6,"×前日に急落",IF($BD121&lt;$BK$7,"×高値から離れすぎ",IF($BE121&gt;$BK$8,"×当日の値幅が大きい","×")))))))))</f>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 t="shared" si="17"/>
        <v>-26.694915254237291</v>
      </c>
      <c r="M122" s="166">
        <f>IF(C122&lt;&gt;"",IFERROR(AVERAGE(出来高!E62:I62),""),"")</f>
        <v>915560</v>
      </c>
      <c r="N122" s="166">
        <f>IF(C122&lt;&gt;"",IFERROR(AVERAGE(出来高!E62:AC62),""),"")</f>
        <v>698424</v>
      </c>
      <c r="O122" s="168">
        <f t="shared" si="18"/>
        <v>1.3824326095504391</v>
      </c>
      <c r="P122" s="163" t="str">
        <f t="shared" si="19"/>
        <v>普通→</v>
      </c>
      <c r="Q122" s="163" t="str">
        <f t="shared" si="20"/>
        <v>中立→</v>
      </c>
      <c r="R122" s="166">
        <f t="shared" si="27"/>
        <v>3737</v>
      </c>
      <c r="S122" s="166">
        <f t="shared" si="28"/>
        <v>3322</v>
      </c>
      <c r="T122" s="163">
        <f>IF(C122="","",IFERROR(IF(O122&gt;=2,3,IF(O122&gt;=1.5,2,IF(O122&gt;=1,1,0)))+IF(E122&gt;G122,1,0)+IF(L122&gt;=-5,1,0)+IF(Q122="買い▲",2,0)+IF(W122&gt;=78,-4,IF(W122&gt;=72,-2,IF(W122&gt;=55,2,IF(W122&gt;=45,1,0))))+IF(X122&gt;0,1,0)+IF(V122="年初来高値更新●",3,IF(V122="高値圏",2,0))+IF(AD122="パーフェクト▲",3,IF(AD122="上昇トレンド▲",2,0))+IF(AE122="25日線押し目●",2,IF(AE122="5日線押し目○",1,0))+IF(P122="急増↑↑",2,IF(P122="増加↑",1,0))+N(AI122),0))</f>
      </c>
      <c r="U122" s="163" t="str">
        <f t="shared" si="29"/>
        <v>要確認</v>
      </c>
      <c r="V122" s="163" t="str">
        <f t="shared" si="22"/>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 t="shared" si="30"/>
        <v>5.1671732522796354</v>
      </c>
      <c r="AA122" s="163" t="str">
        <f t="shared" si="31"/>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 t="shared" si="32"/>
        <v>上昇トレンド▲</v>
      </c>
      <c r="AE122" s="404" t="str">
        <f t="shared" si="33"/>
        <v>なし</v>
      </c>
      <c r="AF122" s="365">
        <f t="array" ref="AF122">IF(C122="","",IFERROR((INDEX(終値!$E:$E,MATCH(TEXT(C122,"0"),終値!$A:$A,0))-INDEX(終値!$E:$CZ,MATCH(TEXT(C122,"0"),終値!$A:$A,0),$AL$2))/INDEX(終値!$E:$CZ,MATCH(TEXT(C122,"0"),終値!$A:$A,0),$AL$2)*100,""))</f>
        <v>18.737131091283459</v>
      </c>
      <c r="AG122" s="365">
        <f t="array" ref="AG122">IFERROR((終値!$E$5-INDEX(終値!$E$5:$CZ$5,1,$AL$2))/INDEX(終値!$E$5:$CZ$5,1,$AL$2)*100,"")</f>
        <v>1.0179378228534113</v>
      </c>
      <c r="AH122" s="366">
        <f t="shared" si="25"/>
        <v>17.719193268430047</v>
      </c>
      <c r="AI122" s="364">
        <f t="shared" si="26"/>
        <v>3</v>
      </c>
      <c r="BA122">
        <f>IFERROR((SUM(OFFSET(高値!$E$6,IFERROR(MATCH($C122,銘柄管理!$B$6:$B$305,0),MATCH(TEXT($C122,"0"),銘柄管理!$B$6:$B$305,0))-1,0,1,14))-SUM(OFFSET(安値!$E$6,IFERROR(MATCH($C122,銘柄管理!$B$6:$B$305,0),MATCH(TEXT($C122,"0"),銘柄管理!$B$6:$B$305,0))-1,0,1,14)))/SUM(OFFSET(終値!$E$6,IFERROR(MATCH($C122,銘柄管理!$B$6:$B$305,0),MATCH(TEXT($C122,"0"),銘柄管理!$B$6:$B$305,0))-1,0,1,14))*100,"")</f>
      </c>
      <c r="BB122">
        <f>IFERROR((MAX(OFFSET(高値!$E$6,IFERROR(MATCH($C122,銘柄管理!$B$6:$B$305,0),MATCH(TEXT($C122,"0"),銘柄管理!$B$6:$B$305,0))-1,0,1,25))-MIN(OFFSET(安値!$E$6,IFERROR(MATCH($C122,銘柄管理!$B$6:$B$305,0),MATCH(TEXT($C122,"0"),銘柄管理!$B$6:$B$305,0))-1,0,1,25)))/$E122*100,"")</f>
      </c>
      <c r="BC122">
        <f>IFERROR(($F122-$G122)/$G122*100,"")</f>
      </c>
      <c r="BD122">
        <f>IFERROR(($E122-MAX(OFFSET(高値!$E$6,IFERROR(MATCH($C122,銘柄管理!$B$6:$B$305,0),MATCH(TEXT($C122,"0"),銘柄管理!$B$6:$B$305,0))-1,0,1,25)))/MAX(OFFSET(高値!$E$6,IFERROR(MATCH($C122,銘柄管理!$B$6:$B$305,0),MATCH(TEXT($C122,"0"),銘柄管理!$B$6:$B$305,0))-1,0,1,25))*100,"")</f>
      </c>
      <c r="BE122">
        <f>IFERROR(($H122-$I122)/$F122*100,"")</f>
      </c>
      <c r="BF122">
        <f>IFERROR(-(($BA122-AVERAGE($BA$3:$BA$206))/STDEV($BA$3:$BA$206))-(($BE122-AVERAGE($BE$3:$BE$206))/STDEV($BE$3:$BE$206))-(($BB122-AVERAGE($BB$3:$BB$206))/STDEV($BB$3:$BB$206))-(($Z122-AVERAGE($Z$3:$Z$206))/STDEV($Z$3:$Z$206))-(($BC122-AVERAGE($BC$3:$BC$206))/STDEV($BC$3:$BC$206)),"")</f>
      </c>
      <c r="BG122">
        <f>IF(OR($C122="",$C122="TOPX",$BA122="",$BF122=""),0,IF(AND($BK$10=1,$BA122&lt;=$BK$2,$BB122&lt;=$BK$3,$BC122&lt;=$BK$4,$Z122&lt;=$BK$5,$Z122&gt;=$BK$6,$BD122&gt;=$BK$7,$BE122&lt;=$BK$8),1,0))</f>
      </c>
      <c r="BH122">
        <f>IF($C122="","",IF($BG122=1,"○ゲート通過",IF($BK$10&lt;&gt;1,"― この方向は停止中",IF($BA122&gt;$BK$2,"×値動きが荒い",IF($BB122&gt;$BK$3,"×レンジが広い",IF($BC122&gt;$BK$4,"×窓を開けて上昇",IF($Z122&gt;$BK$5,"×前日に急騰",IF($Z122&lt;$BK$6,"×前日に急落",IF($BD122&lt;$BK$7,"×高値から離れすぎ",IF($BE122&gt;$BK$8,"×当日の値幅が大きい","×")))))))))</f>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 t="shared" si="17"/>
        <v>-5.3169734151329244</v>
      </c>
      <c r="M123" s="166">
        <f>IF(C123&lt;&gt;"",IFERROR(AVERAGE(出来高!E118:I118),""),"")</f>
        <v>1132180</v>
      </c>
      <c r="N123" s="166">
        <f>IF(C123&lt;&gt;"",IFERROR(AVERAGE(出来高!E118:AC118),""),"")</f>
        <v>972772</v>
      </c>
      <c r="O123" s="168">
        <f t="shared" si="18"/>
        <v>0.79943118585383954</v>
      </c>
      <c r="P123" s="163" t="str">
        <f t="shared" si="19"/>
        <v>減少↓</v>
      </c>
      <c r="Q123" s="163" t="str">
        <f t="shared" si="20"/>
        <v>様子見▼</v>
      </c>
      <c r="R123" s="166">
        <f t="shared" si="27"/>
        <v>5000</v>
      </c>
      <c r="S123" s="166">
        <f t="shared" si="28"/>
        <v>4445</v>
      </c>
      <c r="T123" s="163">
        <f>IF(C123="","",IFERROR(IF(O123&gt;=2,3,IF(O123&gt;=1.5,2,IF(O123&gt;=1,1,0)))+IF(E123&gt;G123,1,0)+IF(L123&gt;=-5,1,0)+IF(Q123="買い▲",2,0)+IF(W123&gt;=78,-4,IF(W123&gt;=72,-2,IF(W123&gt;=55,2,IF(W123&gt;=45,1,0))))+IF(X123&gt;0,1,0)+IF(V123="年初来高値更新●",3,IF(V123="高値圏",2,0))+IF(AD123="パーフェクト▲",3,IF(AD123="上昇トレンド▲",2,0))+IF(AE123="25日線押し目●",2,IF(AE123="5日線押し目○",1,0))+IF(P123="急増↑↑",2,IF(P123="増加↑",1,0))+N(AI123),0))</f>
      </c>
      <c r="U123" s="163" t="str">
        <f t="shared" si="29"/>
        <v>要確認</v>
      </c>
      <c r="V123" s="163" t="str">
        <f t="shared" si="22"/>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 t="shared" si="30"/>
        <v>-1.0049176822749626</v>
      </c>
      <c r="AA123" s="163" t="str">
        <f t="shared" si="31"/>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 t="shared" si="32"/>
        <v>上昇トレンド▲</v>
      </c>
      <c r="AE123" s="406" t="str">
        <f t="shared" si="33"/>
        <v>なし</v>
      </c>
      <c r="AF123" s="365">
        <f t="array" ref="AF123">IF(C123="","",IFERROR((INDEX(終値!$E:$E,MATCH(TEXT(C123,"0"),終値!$A:$A,0))-INDEX(終値!$E:$CZ,MATCH(TEXT(C123,"0"),終値!$A:$A,0),$AL$2))/INDEX(終値!$E:$CZ,MATCH(TEXT(C123,"0"),終値!$A:$A,0),$AL$2)*100,""))</f>
        <v>1.2464465340039361</v>
      </c>
      <c r="AG123" s="365">
        <f t="array" ref="AG123">IFERROR((終値!$E$5-INDEX(終値!$E$5:$CZ$5,1,$AL$2))/INDEX(終値!$E$5:$CZ$5,1,$AL$2)*100,"")</f>
        <v>1.0179378228534113</v>
      </c>
      <c r="AH123" s="366">
        <f t="shared" si="25"/>
        <v>0.22850871115052485</v>
      </c>
      <c r="AI123" s="364">
        <f t="shared" si="26"/>
        <v>1</v>
      </c>
      <c r="BA123">
        <f>IFERROR((SUM(OFFSET(高値!$E$6,IFERROR(MATCH($C123,銘柄管理!$B$6:$B$305,0),MATCH(TEXT($C123,"0"),銘柄管理!$B$6:$B$305,0))-1,0,1,14))-SUM(OFFSET(安値!$E$6,IFERROR(MATCH($C123,銘柄管理!$B$6:$B$305,0),MATCH(TEXT($C123,"0"),銘柄管理!$B$6:$B$305,0))-1,0,1,14)))/SUM(OFFSET(終値!$E$6,IFERROR(MATCH($C123,銘柄管理!$B$6:$B$305,0),MATCH(TEXT($C123,"0"),銘柄管理!$B$6:$B$305,0))-1,0,1,14))*100,"")</f>
      </c>
      <c r="BB123">
        <f>IFERROR((MAX(OFFSET(高値!$E$6,IFERROR(MATCH($C123,銘柄管理!$B$6:$B$305,0),MATCH(TEXT($C123,"0"),銘柄管理!$B$6:$B$305,0))-1,0,1,25))-MIN(OFFSET(安値!$E$6,IFERROR(MATCH($C123,銘柄管理!$B$6:$B$305,0),MATCH(TEXT($C123,"0"),銘柄管理!$B$6:$B$305,0))-1,0,1,25)))/$E123*100,"")</f>
      </c>
      <c r="BC123">
        <f>IFERROR(($F123-$G123)/$G123*100,"")</f>
      </c>
      <c r="BD123">
        <f>IFERROR(($E123-MAX(OFFSET(高値!$E$6,IFERROR(MATCH($C123,銘柄管理!$B$6:$B$305,0),MATCH(TEXT($C123,"0"),銘柄管理!$B$6:$B$305,0))-1,0,1,25)))/MAX(OFFSET(高値!$E$6,IFERROR(MATCH($C123,銘柄管理!$B$6:$B$305,0),MATCH(TEXT($C123,"0"),銘柄管理!$B$6:$B$305,0))-1,0,1,25))*100,"")</f>
      </c>
      <c r="BE123">
        <f>IFERROR(($H123-$I123)/$F123*100,"")</f>
      </c>
      <c r="BF123">
        <f>IFERROR(-(($BA123-AVERAGE($BA$3:$BA$206))/STDEV($BA$3:$BA$206))-(($BE123-AVERAGE($BE$3:$BE$206))/STDEV($BE$3:$BE$206))-(($BB123-AVERAGE($BB$3:$BB$206))/STDEV($BB$3:$BB$206))-(($Z123-AVERAGE($Z$3:$Z$206))/STDEV($Z$3:$Z$206))-(($BC123-AVERAGE($BC$3:$BC$206))/STDEV($BC$3:$BC$206)),"")</f>
      </c>
      <c r="BG123">
        <f>IF(OR($C123="",$C123="TOPX",$BA123="",$BF123=""),0,IF(AND($BK$10=1,$BA123&lt;=$BK$2,$BB123&lt;=$BK$3,$BC123&lt;=$BK$4,$Z123&lt;=$BK$5,$Z123&gt;=$BK$6,$BD123&gt;=$BK$7,$BE123&lt;=$BK$8),1,0))</f>
      </c>
      <c r="BH123">
        <f>IF($C123="","",IF($BG123=1,"○ゲート通過",IF($BK$10&lt;&gt;1,"― この方向は停止中",IF($BA123&gt;$BK$2,"×値動きが荒い",IF($BB123&gt;$BK$3,"×レンジが広い",IF($BC123&gt;$BK$4,"×窓を開けて上昇",IF($Z123&gt;$BK$5,"×前日に急騰",IF($Z123&lt;$BK$6,"×前日に急落",IF($BD123&lt;$BK$7,"×高値から離れすぎ",IF($BE123&gt;$BK$8,"×当日の値幅が大きい","×")))))))))</f>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 t="shared" si="17"/>
        <v>-40.753461414618442</v>
      </c>
      <c r="M124" s="166">
        <f>IF(C124&lt;&gt;"",IFERROR(AVERAGE(出来高!E117:I117),""),"")</f>
        <v>1057000</v>
      </c>
      <c r="N124" s="166">
        <f>IF(C124&lt;&gt;"",IFERROR(AVERAGE(出来高!E117:AC117),""),"")</f>
        <v>1103732</v>
      </c>
      <c r="O124" s="168">
        <f t="shared" si="18"/>
        <v>1.1195837275307474</v>
      </c>
      <c r="P124" s="163" t="str">
        <f t="shared" si="19"/>
        <v>普通→</v>
      </c>
      <c r="Q124" s="163" t="str">
        <f t="shared" si="20"/>
        <v>様子見▼</v>
      </c>
      <c r="R124" s="166">
        <f t="shared" si="27"/>
        <v>5962</v>
      </c>
      <c r="S124" s="166">
        <f t="shared" si="28"/>
        <v>5299</v>
      </c>
      <c r="T124" s="163">
        <f>IF(C124="","",IFERROR(IF(O124&gt;=2,3,IF(O124&gt;=1.5,2,IF(O124&gt;=1,1,0)))+IF(E124&gt;G124,1,0)+IF(L124&gt;=-5,1,0)+IF(Q124="買い▲",2,0)+IF(W124&gt;=78,-4,IF(W124&gt;=72,-2,IF(W124&gt;=55,2,IF(W124&gt;=45,1,0))))+IF(X124&gt;0,1,0)+IF(V124="年初来高値更新●",3,IF(V124="高値圏",2,0))+IF(AD124="パーフェクト▲",3,IF(AD124="上昇トレンド▲",2,0))+IF(AE124="25日線押し目●",2,IF(AE124="5日線押し目○",1,0))+IF(P124="急増↑↑",2,IF(P124="増加↑",1,0))+N(AI124),0))</f>
      </c>
      <c r="U124" s="163" t="str">
        <f t="shared" si="29"/>
        <v>要確認</v>
      </c>
      <c r="V124" s="163" t="str">
        <f t="shared" si="22"/>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 t="shared" si="30"/>
        <v>-0.57636887608069165</v>
      </c>
      <c r="AA124" s="163" t="str">
        <f t="shared" si="31"/>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 t="shared" si="32"/>
        <v>パーフェクト▲</v>
      </c>
      <c r="AE124" s="404" t="str">
        <f t="shared" si="33"/>
        <v>なし</v>
      </c>
      <c r="AF124" s="365">
        <f t="array" ref="AF124">IF(C124="","",IFERROR((INDEX(終値!$E:$E,MATCH(TEXT(C124,"0"),終値!$A:$A,0))-INDEX(終値!$E:$CZ,MATCH(TEXT(C124,"0"),終値!$A:$A,0),$AL$2))/INDEX(終値!$E:$CZ,MATCH(TEXT(C124,"0"),終値!$A:$A,0),$AL$2)*100,""))</f>
        <v>7.7493656060901817</v>
      </c>
      <c r="AG124" s="365">
        <f t="array" ref="AG124">IFERROR((終値!$E$5-INDEX(終値!$E$5:$CZ$5,1,$AL$2))/INDEX(終値!$E$5:$CZ$5,1,$AL$2)*100,"")</f>
        <v>1.0179378228534113</v>
      </c>
      <c r="AH124" s="366">
        <f t="shared" si="25"/>
        <v>6.7314277832367706</v>
      </c>
      <c r="AI124" s="364">
        <f t="shared" si="26"/>
        <v>3</v>
      </c>
      <c r="BA124">
        <f>IFERROR((SUM(OFFSET(高値!$E$6,IFERROR(MATCH($C124,銘柄管理!$B$6:$B$305,0),MATCH(TEXT($C124,"0"),銘柄管理!$B$6:$B$305,0))-1,0,1,14))-SUM(OFFSET(安値!$E$6,IFERROR(MATCH($C124,銘柄管理!$B$6:$B$305,0),MATCH(TEXT($C124,"0"),銘柄管理!$B$6:$B$305,0))-1,0,1,14)))/SUM(OFFSET(終値!$E$6,IFERROR(MATCH($C124,銘柄管理!$B$6:$B$305,0),MATCH(TEXT($C124,"0"),銘柄管理!$B$6:$B$305,0))-1,0,1,14))*100,"")</f>
      </c>
      <c r="BB124">
        <f>IFERROR((MAX(OFFSET(高値!$E$6,IFERROR(MATCH($C124,銘柄管理!$B$6:$B$305,0),MATCH(TEXT($C124,"0"),銘柄管理!$B$6:$B$305,0))-1,0,1,25))-MIN(OFFSET(安値!$E$6,IFERROR(MATCH($C124,銘柄管理!$B$6:$B$305,0),MATCH(TEXT($C124,"0"),銘柄管理!$B$6:$B$305,0))-1,0,1,25)))/$E124*100,"")</f>
      </c>
      <c r="BC124">
        <f>IFERROR(($F124-$G124)/$G124*100,"")</f>
      </c>
      <c r="BD124">
        <f>IFERROR(($E124-MAX(OFFSET(高値!$E$6,IFERROR(MATCH($C124,銘柄管理!$B$6:$B$305,0),MATCH(TEXT($C124,"0"),銘柄管理!$B$6:$B$305,0))-1,0,1,25)))/MAX(OFFSET(高値!$E$6,IFERROR(MATCH($C124,銘柄管理!$B$6:$B$305,0),MATCH(TEXT($C124,"0"),銘柄管理!$B$6:$B$305,0))-1,0,1,25))*100,"")</f>
      </c>
      <c r="BE124">
        <f>IFERROR(($H124-$I124)/$F124*100,"")</f>
      </c>
      <c r="BF124">
        <f>IFERROR(-(($BA124-AVERAGE($BA$3:$BA$206))/STDEV($BA$3:$BA$206))-(($BE124-AVERAGE($BE$3:$BE$206))/STDEV($BE$3:$BE$206))-(($BB124-AVERAGE($BB$3:$BB$206))/STDEV($BB$3:$BB$206))-(($Z124-AVERAGE($Z$3:$Z$206))/STDEV($Z$3:$Z$206))-(($BC124-AVERAGE($BC$3:$BC$206))/STDEV($BC$3:$BC$206)),"")</f>
      </c>
      <c r="BG124">
        <f>IF(OR($C124="",$C124="TOPX",$BA124="",$BF124=""),0,IF(AND($BK$10=1,$BA124&lt;=$BK$2,$BB124&lt;=$BK$3,$BC124&lt;=$BK$4,$Z124&lt;=$BK$5,$Z124&gt;=$BK$6,$BD124&gt;=$BK$7,$BE124&lt;=$BK$8),1,0))</f>
      </c>
      <c r="BH124">
        <f>IF($C124="","",IF($BG124=1,"○ゲート通過",IF($BK$10&lt;&gt;1,"― この方向は停止中",IF($BA124&gt;$BK$2,"×値動きが荒い",IF($BB124&gt;$BK$3,"×レンジが広い",IF($BC124&gt;$BK$4,"×窓を開けて上昇",IF($Z124&gt;$BK$5,"×前日に急騰",IF($Z124&lt;$BK$6,"×前日に急落",IF($BD124&lt;$BK$7,"×高値から離れすぎ",IF($BE124&gt;$BK$8,"×当日の値幅が大きい","×")))))))))</f>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 t="shared" si="17"/>
        <v>-42.064792638346148</v>
      </c>
      <c r="M125" s="166">
        <f>IF(C125&lt;&gt;"",IFERROR(AVERAGE(出来高!E103:I103),""),"")</f>
        <v>54445500</v>
      </c>
      <c r="N125" s="166">
        <f>IF(C125&lt;&gt;"",IFERROR(AVERAGE(出来高!E103:AC103),""),"")</f>
        <v>42442200</v>
      </c>
      <c r="O125" s="168">
        <f t="shared" si="18"/>
        <v>1.05723338016916</v>
      </c>
      <c r="P125" s="163" t="str">
        <f t="shared" si="19"/>
        <v>普通→</v>
      </c>
      <c r="Q125" s="163" t="str">
        <f t="shared" si="20"/>
        <v>様子見▼</v>
      </c>
      <c r="R125" s="166">
        <f t="shared" si="27"/>
        <v>4964</v>
      </c>
      <c r="S125" s="166">
        <f t="shared" si="28"/>
        <v>4412</v>
      </c>
      <c r="T125" s="163">
        <f>IF(C125="","",IFERROR(IF(O125&gt;=2,3,IF(O125&gt;=1.5,2,IF(O125&gt;=1,1,0)))+IF(E125&gt;G125,1,0)+IF(L125&gt;=-5,1,0)+IF(Q125="買い▲",2,0)+IF(W125&gt;=78,-4,IF(W125&gt;=72,-2,IF(W125&gt;=55,2,IF(W125&gt;=45,1,0))))+IF(X125&gt;0,1,0)+IF(V125="年初来高値更新●",3,IF(V125="高値圏",2,0))+IF(AD125="パーフェクト▲",3,IF(AD125="上昇トレンド▲",2,0))+IF(AE125="25日線押し目●",2,IF(AE125="5日線押し目○",1,0))+IF(P125="急増↑↑",2,IF(P125="増加↑",1,0))+N(AI125),0))</f>
      </c>
      <c r="U125" s="163" t="str">
        <f t="shared" si="29"/>
        <v>除外</v>
      </c>
      <c r="V125" s="163" t="str">
        <f t="shared" si="22"/>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 t="shared" si="30"/>
        <v>-9.4027202838557056</v>
      </c>
      <c r="AA125" s="163" t="str">
        <f t="shared" si="31"/>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 t="shared" si="32"/>
        <v>下降トレンド▼</v>
      </c>
      <c r="AE125" s="406" t="str">
        <f t="shared" si="33"/>
        <v>なし</v>
      </c>
      <c r="AF125" s="365">
        <f t="array" ref="AF125">IF(C125="","",IFERROR((INDEX(終値!$E:$E,MATCH(TEXT(C125,"0"),終値!$A:$A,0))-INDEX(終値!$E:$CZ,MATCH(TEXT(C125,"0"),終値!$A:$A,0),$AL$2))/INDEX(終値!$E:$CZ,MATCH(TEXT(C125,"0"),終値!$A:$A,0),$AL$2)*100,""))</f>
        <v>-21.112255406797118</v>
      </c>
      <c r="AG125" s="365">
        <f t="array" ref="AG125">IFERROR((終値!$E$5-INDEX(終値!$E$5:$CZ$5,1,$AL$2))/INDEX(終値!$E$5:$CZ$5,1,$AL$2)*100,"")</f>
        <v>1.0179378228534113</v>
      </c>
      <c r="AH125" s="366">
        <f t="shared" si="25"/>
        <v>-22.13019322965053</v>
      </c>
      <c r="AI125" s="364">
        <f t="shared" si="26"/>
        <v>-2</v>
      </c>
      <c r="BA125">
        <f>IFERROR((SUM(OFFSET(高値!$E$6,IFERROR(MATCH($C125,銘柄管理!$B$6:$B$305,0),MATCH(TEXT($C125,"0"),銘柄管理!$B$6:$B$305,0))-1,0,1,14))-SUM(OFFSET(安値!$E$6,IFERROR(MATCH($C125,銘柄管理!$B$6:$B$305,0),MATCH(TEXT($C125,"0"),銘柄管理!$B$6:$B$305,0))-1,0,1,14)))/SUM(OFFSET(終値!$E$6,IFERROR(MATCH($C125,銘柄管理!$B$6:$B$305,0),MATCH(TEXT($C125,"0"),銘柄管理!$B$6:$B$305,0))-1,0,1,14))*100,"")</f>
      </c>
      <c r="BB125">
        <f>IFERROR((MAX(OFFSET(高値!$E$6,IFERROR(MATCH($C125,銘柄管理!$B$6:$B$305,0),MATCH(TEXT($C125,"0"),銘柄管理!$B$6:$B$305,0))-1,0,1,25))-MIN(OFFSET(安値!$E$6,IFERROR(MATCH($C125,銘柄管理!$B$6:$B$305,0),MATCH(TEXT($C125,"0"),銘柄管理!$B$6:$B$305,0))-1,0,1,25)))/$E125*100,"")</f>
      </c>
      <c r="BC125">
        <f>IFERROR(($F125-$G125)/$G125*100,"")</f>
      </c>
      <c r="BD125">
        <f>IFERROR(($E125-MAX(OFFSET(高値!$E$6,IFERROR(MATCH($C125,銘柄管理!$B$6:$B$305,0),MATCH(TEXT($C125,"0"),銘柄管理!$B$6:$B$305,0))-1,0,1,25)))/MAX(OFFSET(高値!$E$6,IFERROR(MATCH($C125,銘柄管理!$B$6:$B$305,0),MATCH(TEXT($C125,"0"),銘柄管理!$B$6:$B$305,0))-1,0,1,25))*100,"")</f>
      </c>
      <c r="BE125">
        <f>IFERROR(($H125-$I125)/$F125*100,"")</f>
      </c>
      <c r="BF125">
        <f>IFERROR(-(($BA125-AVERAGE($BA$3:$BA$206))/STDEV($BA$3:$BA$206))-(($BE125-AVERAGE($BE$3:$BE$206))/STDEV($BE$3:$BE$206))-(($BB125-AVERAGE($BB$3:$BB$206))/STDEV($BB$3:$BB$206))-(($Z125-AVERAGE($Z$3:$Z$206))/STDEV($Z$3:$Z$206))-(($BC125-AVERAGE($BC$3:$BC$206))/STDEV($BC$3:$BC$206)),"")</f>
      </c>
      <c r="BG125">
        <f>IF(OR($C125="",$C125="TOPX",$BA125="",$BF125=""),0,IF(AND($BK$10=1,$BA125&lt;=$BK$2,$BB125&lt;=$BK$3,$BC125&lt;=$BK$4,$Z125&lt;=$BK$5,$Z125&gt;=$BK$6,$BD125&gt;=$BK$7,$BE125&lt;=$BK$8),1,0))</f>
      </c>
      <c r="BH125">
        <f>IF($C125="","",IF($BG125=1,"○ゲート通過",IF($BK$10&lt;&gt;1,"― この方向は停止中",IF($BA125&gt;$BK$2,"×値動きが荒い",IF($BB125&gt;$BK$3,"×レンジが広い",IF($BC125&gt;$BK$4,"×窓を開けて上昇",IF($Z125&gt;$BK$5,"×前日に急騰",IF($Z125&lt;$BK$6,"×前日に急落",IF($BD125&lt;$BK$7,"×高値から離れすぎ",IF($BE125&gt;$BK$8,"×当日の値幅が大きい","×")))))))))</f>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 t="shared" si="17"/>
        <v>-28.502815501821793</v>
      </c>
      <c r="M126" s="166">
        <f>IF(C126&lt;&gt;"",IFERROR(AVERAGE(出来高!E102:I102),""),"")</f>
        <v>31458650</v>
      </c>
      <c r="N126" s="166">
        <f>IF(C126&lt;&gt;"",IFERROR(AVERAGE(出来高!E102:AC102),""),"")</f>
        <v>31458650</v>
      </c>
      <c r="O126" s="168">
        <f t="shared" si="18"/>
        <v>1.0162038103987299</v>
      </c>
      <c r="P126" s="163" t="str">
        <f t="shared" si="19"/>
        <v>普通→</v>
      </c>
      <c r="Q126" s="163" t="str">
        <f t="shared" si="20"/>
        <v>様子見▼</v>
      </c>
      <c r="R126" s="166">
        <f t="shared" si="27"/>
        <v>2331</v>
      </c>
      <c r="S126" s="166">
        <f t="shared" si="28"/>
        <v>2072</v>
      </c>
      <c r="T126" s="163">
        <f>IF(C126="","",IFERROR(IF(O126&gt;=2,3,IF(O126&gt;=1.5,2,IF(O126&gt;=1,1,0)))+IF(E126&gt;G126,1,0)+IF(L126&gt;=-5,1,0)+IF(Q126="買い▲",2,0)+IF(W126&gt;=78,-4,IF(W126&gt;=72,-2,IF(W126&gt;=55,2,IF(W126&gt;=45,1,0))))+IF(X126&gt;0,1,0)+IF(V126="年初来高値更新●",3,IF(V126="高値圏",2,0))+IF(AD126="パーフェクト▲",3,IF(AD126="上昇トレンド▲",2,0))+IF(AE126="25日線押し目●",2,IF(AE126="5日線押し目○",1,0))+IF(P126="急増↑↑",2,IF(P126="増加↑",1,0))+N(AI126),0))</f>
      </c>
      <c r="U126" s="163" t="str">
        <f t="shared" si="29"/>
        <v>要確認</v>
      </c>
      <c r="V126" s="163" t="str">
        <f t="shared" si="22"/>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 t="shared" si="30"/>
        <v>-8.9816571790006314</v>
      </c>
      <c r="AA126" s="163" t="str">
        <f t="shared" si="31"/>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 t="shared" si="32"/>
        <v>パーフェクト▲</v>
      </c>
      <c r="AE126" s="404" t="str">
        <f t="shared" si="33"/>
        <v>なし</v>
      </c>
      <c r="AF126" s="365" t="str">
        <f t="array" ref="AF126">IF(C126="","",IFERROR((INDEX(終値!$E:$E,MATCH(TEXT(C126,"0"),終値!$A:$A,0))-INDEX(終値!$E:$CZ,MATCH(TEXT(C126,"0"),終値!$A:$A,0),$AL$2))/INDEX(終値!$E:$CZ,MATCH(TEXT(C126,"0"),終値!$A:$A,0),$AL$2)*100,""))</f>
        <v/>
      </c>
      <c r="AG126" s="365">
        <f t="array" ref="AG126">IFERROR((終値!$E$5-INDEX(終値!$E$5:$CZ$5,1,$AL$2))/INDEX(終値!$E$5:$CZ$5,1,$AL$2)*100,"")</f>
        <v>1.0179378228534113</v>
      </c>
      <c r="AH126" s="366" t="str">
        <f t="shared" si="25"/>
        <v/>
      </c>
      <c r="AI126" s="364" t="str">
        <f t="shared" si="26"/>
        <v/>
      </c>
      <c r="BA126">
        <f>IFERROR((SUM(OFFSET(高値!$E$6,IFERROR(MATCH($C126,銘柄管理!$B$6:$B$305,0),MATCH(TEXT($C126,"0"),銘柄管理!$B$6:$B$305,0))-1,0,1,14))-SUM(OFFSET(安値!$E$6,IFERROR(MATCH($C126,銘柄管理!$B$6:$B$305,0),MATCH(TEXT($C126,"0"),銘柄管理!$B$6:$B$305,0))-1,0,1,14)))/SUM(OFFSET(終値!$E$6,IFERROR(MATCH($C126,銘柄管理!$B$6:$B$305,0),MATCH(TEXT($C126,"0"),銘柄管理!$B$6:$B$305,0))-1,0,1,14))*100,"")</f>
      </c>
      <c r="BB126">
        <f>IFERROR((MAX(OFFSET(高値!$E$6,IFERROR(MATCH($C126,銘柄管理!$B$6:$B$305,0),MATCH(TEXT($C126,"0"),銘柄管理!$B$6:$B$305,0))-1,0,1,25))-MIN(OFFSET(安値!$E$6,IFERROR(MATCH($C126,銘柄管理!$B$6:$B$305,0),MATCH(TEXT($C126,"0"),銘柄管理!$B$6:$B$305,0))-1,0,1,25)))/$E126*100,"")</f>
      </c>
      <c r="BC126">
        <f>IFERROR(($F126-$G126)/$G126*100,"")</f>
      </c>
      <c r="BD126">
        <f>IFERROR(($E126-MAX(OFFSET(高値!$E$6,IFERROR(MATCH($C126,銘柄管理!$B$6:$B$305,0),MATCH(TEXT($C126,"0"),銘柄管理!$B$6:$B$305,0))-1,0,1,25)))/MAX(OFFSET(高値!$E$6,IFERROR(MATCH($C126,銘柄管理!$B$6:$B$305,0),MATCH(TEXT($C126,"0"),銘柄管理!$B$6:$B$305,0))-1,0,1,25))*100,"")</f>
      </c>
      <c r="BE126">
        <f>IFERROR(($H126-$I126)/$F126*100,"")</f>
      </c>
      <c r="BF126">
        <f>IFERROR(-(($BA126-AVERAGE($BA$3:$BA$206))/STDEV($BA$3:$BA$206))-(($BE126-AVERAGE($BE$3:$BE$206))/STDEV($BE$3:$BE$206))-(($BB126-AVERAGE($BB$3:$BB$206))/STDEV($BB$3:$BB$206))-(($Z126-AVERAGE($Z$3:$Z$206))/STDEV($Z$3:$Z$206))-(($BC126-AVERAGE($BC$3:$BC$206))/STDEV($BC$3:$BC$206)),"")</f>
      </c>
      <c r="BG126">
        <f>IF(OR($C126="",$C126="TOPX",$BA126="",$BF126=""),0,IF(AND($BK$10=1,$BA126&lt;=$BK$2,$BB126&lt;=$BK$3,$BC126&lt;=$BK$4,$Z126&lt;=$BK$5,$Z126&gt;=$BK$6,$BD126&gt;=$BK$7,$BE126&lt;=$BK$8),1,0))</f>
      </c>
      <c r="BH126">
        <f>IF($C126="","",IF($BG126=1,"○ゲート通過",IF($BK$10&lt;&gt;1,"― この方向は停止中",IF($BA126&gt;$BK$2,"×値動きが荒い",IF($BB126&gt;$BK$3,"×レンジが広い",IF($BC126&gt;$BK$4,"×窓を開けて上昇",IF($Z126&gt;$BK$5,"×前日に急騰",IF($Z126&lt;$BK$6,"×前日に急落",IF($BD126&lt;$BK$7,"×高値から離れすぎ",IF($BE126&gt;$BK$8,"×当日の値幅が大きい","×")))))))))</f>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 t="shared" si="17"/>
        <v>-19.733059548254619</v>
      </c>
      <c r="M127" s="166">
        <f>IF(C127&lt;&gt;"",IFERROR(AVERAGE(出来高!E200:I200),""),"")</f>
        <v>37311000</v>
      </c>
      <c r="N127" s="166">
        <f>IF(C127&lt;&gt;"",IFERROR(AVERAGE(出来高!E200:AC200),""),"")</f>
        <v>22022140</v>
      </c>
      <c r="O127" s="168">
        <f t="shared" si="18"/>
        <v>1.939229717777599</v>
      </c>
      <c r="P127" s="163" t="str">
        <f t="shared" si="19"/>
        <v>増加↑</v>
      </c>
      <c r="Q127" s="163" t="str">
        <f t="shared" si="20"/>
        <v>様子見▼</v>
      </c>
      <c r="R127" s="166">
        <f t="shared" si="27"/>
        <v>4222</v>
      </c>
      <c r="S127" s="166">
        <f t="shared" si="28"/>
        <v>3753</v>
      </c>
      <c r="T127" s="163">
        <f>IF(C127="","",IFERROR(IF(O127&gt;=2,3,IF(O127&gt;=1.5,2,IF(O127&gt;=1,1,0)))+IF(E127&gt;G127,1,0)+IF(L127&gt;=-5,1,0)+IF(Q127="買い▲",2,0)+IF(W127&gt;=78,-4,IF(W127&gt;=72,-2,IF(W127&gt;=55,2,IF(W127&gt;=45,1,0))))+IF(X127&gt;0,1,0)+IF(V127="年初来高値更新●",3,IF(V127="高値圏",2,0))+IF(AD127="パーフェクト▲",3,IF(AD127="上昇トレンド▲",2,0))+IF(AE127="25日線押し目●",2,IF(AE127="5日線押し目○",1,0))+IF(P127="急増↑↑",2,IF(P127="増加↑",1,0))+N(AI127),0))</f>
      </c>
      <c r="U127" s="163" t="str">
        <f t="shared" si="29"/>
        <v>有効</v>
      </c>
      <c r="V127" s="163" t="str">
        <f t="shared" si="22"/>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 t="shared" si="30"/>
        <v>-0.25516713447307987</v>
      </c>
      <c r="AA127" s="163" t="str">
        <f t="shared" si="31"/>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 t="shared" si="32"/>
        <v>パーフェクト▲</v>
      </c>
      <c r="AE127" s="406" t="str">
        <f t="shared" si="33"/>
        <v>なし</v>
      </c>
      <c r="AF127" s="365">
        <f t="array" ref="AF127">IF(C127="","",IFERROR((INDEX(終値!$E:$E,MATCH(TEXT(C127,"0"),終値!$A:$A,0))-INDEX(終値!$E:$CZ,MATCH(TEXT(C127,"0"),終値!$A:$A,0),$AL$2))/INDEX(終値!$E:$CZ,MATCH(TEXT(C127,"0"),終値!$A:$A,0),$AL$2)*100,""))</f>
        <v>-10.158584233509538</v>
      </c>
      <c r="AG127" s="365">
        <f t="array" ref="AG127">IFERROR((終値!$E$5-INDEX(終値!$E$5:$CZ$5,1,$AL$2))/INDEX(終値!$E$5:$CZ$5,1,$AL$2)*100,"")</f>
        <v>1.0179378228534113</v>
      </c>
      <c r="AH127" s="366">
        <f t="shared" si="25"/>
        <v>-11.17652205636295</v>
      </c>
      <c r="AI127" s="364">
        <f t="shared" si="26"/>
        <v>-2</v>
      </c>
      <c r="BA127">
        <f>IFERROR((SUM(OFFSET(高値!$E$6,IFERROR(MATCH($C127,銘柄管理!$B$6:$B$305,0),MATCH(TEXT($C127,"0"),銘柄管理!$B$6:$B$305,0))-1,0,1,14))-SUM(OFFSET(安値!$E$6,IFERROR(MATCH($C127,銘柄管理!$B$6:$B$305,0),MATCH(TEXT($C127,"0"),銘柄管理!$B$6:$B$305,0))-1,0,1,14)))/SUM(OFFSET(終値!$E$6,IFERROR(MATCH($C127,銘柄管理!$B$6:$B$305,0),MATCH(TEXT($C127,"0"),銘柄管理!$B$6:$B$305,0))-1,0,1,14))*100,"")</f>
      </c>
      <c r="BB127">
        <f>IFERROR((MAX(OFFSET(高値!$E$6,IFERROR(MATCH($C127,銘柄管理!$B$6:$B$305,0),MATCH(TEXT($C127,"0"),銘柄管理!$B$6:$B$305,0))-1,0,1,25))-MIN(OFFSET(安値!$E$6,IFERROR(MATCH($C127,銘柄管理!$B$6:$B$305,0),MATCH(TEXT($C127,"0"),銘柄管理!$B$6:$B$305,0))-1,0,1,25)))/$E127*100,"")</f>
      </c>
      <c r="BC127">
        <f>IFERROR(($F127-$G127)/$G127*100,"")</f>
      </c>
      <c r="BD127">
        <f>IFERROR(($E127-MAX(OFFSET(高値!$E$6,IFERROR(MATCH($C127,銘柄管理!$B$6:$B$305,0),MATCH(TEXT($C127,"0"),銘柄管理!$B$6:$B$305,0))-1,0,1,25)))/MAX(OFFSET(高値!$E$6,IFERROR(MATCH($C127,銘柄管理!$B$6:$B$305,0),MATCH(TEXT($C127,"0"),銘柄管理!$B$6:$B$305,0))-1,0,1,25))*100,"")</f>
      </c>
      <c r="BE127">
        <f>IFERROR(($H127-$I127)/$F127*100,"")</f>
      </c>
      <c r="BF127">
        <f>IFERROR(-(($BA127-AVERAGE($BA$3:$BA$206))/STDEV($BA$3:$BA$206))-(($BE127-AVERAGE($BE$3:$BE$206))/STDEV($BE$3:$BE$206))-(($BB127-AVERAGE($BB$3:$BB$206))/STDEV($BB$3:$BB$206))-(($Z127-AVERAGE($Z$3:$Z$206))/STDEV($Z$3:$Z$206))-(($BC127-AVERAGE($BC$3:$BC$206))/STDEV($BC$3:$BC$206)),"")</f>
      </c>
      <c r="BG127">
        <f>IF(OR($C127="",$C127="TOPX",$BA127="",$BF127=""),0,IF(AND($BK$10=1,$BA127&lt;=$BK$2,$BB127&lt;=$BK$3,$BC127&lt;=$BK$4,$Z127&lt;=$BK$5,$Z127&gt;=$BK$6,$BD127&gt;=$BK$7,$BE127&lt;=$BK$8),1,0))</f>
      </c>
      <c r="BH127">
        <f>IF($C127="","",IF($BG127=1,"○ゲート通過",IF($BK$10&lt;&gt;1,"― この方向は停止中",IF($BA127&gt;$BK$2,"×値動きが荒い",IF($BB127&gt;$BK$3,"×レンジが広い",IF($BC127&gt;$BK$4,"×窓を開けて上昇",IF($Z127&gt;$BK$5,"×前日に急騰",IF($Z127&lt;$BK$6,"×前日に急落",IF($BD127&lt;$BK$7,"×高値から離れすぎ",IF($BE127&gt;$BK$8,"×当日の値幅が大きい","×")))))))))</f>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 t="shared" si="17"/>
        <v>-28.053311793214863</v>
      </c>
      <c r="M128" s="166">
        <f>IF(C128&lt;&gt;"",IFERROR(AVERAGE(出来高!E10:I10),""),"")</f>
        <v>575340</v>
      </c>
      <c r="N128" s="166">
        <f>IF(C128&lt;&gt;"",IFERROR(AVERAGE(出来高!E10:AC10),""),"")</f>
        <v>491308</v>
      </c>
      <c r="O128" s="168">
        <f t="shared" si="18"/>
        <v>1.5550804741544131</v>
      </c>
      <c r="P128" s="163" t="str">
        <f t="shared" si="19"/>
        <v>増加↑</v>
      </c>
      <c r="Q128" s="163" t="str">
        <f t="shared" si="20"/>
        <v>買い▲</v>
      </c>
      <c r="R128" s="166">
        <f t="shared" si="27"/>
        <v>9620</v>
      </c>
      <c r="S128" s="166">
        <f t="shared" si="28"/>
        <v>8551</v>
      </c>
      <c r="T128" s="163">
        <f>IF(C128="","",IFERROR(IF(O128&gt;=2,3,IF(O128&gt;=1.5,2,IF(O128&gt;=1,1,0)))+IF(E128&gt;G128,1,0)+IF(L128&gt;=-5,1,0)+IF(Q128="買い▲",2,0)+IF(W128&gt;=78,-4,IF(W128&gt;=72,-2,IF(W128&gt;=55,2,IF(W128&gt;=45,1,0))))+IF(X128&gt;0,1,0)+IF(V128="年初来高値更新●",3,IF(V128="高値圏",2,0))+IF(AD128="パーフェクト▲",3,IF(AD128="上昇トレンド▲",2,0))+IF(AE128="25日線押し目●",2,IF(AE128="5日線押し目○",1,0))+IF(P128="急増↑↑",2,IF(P128="増加↑",1,0))+N(AI128),0))</f>
      </c>
      <c r="U128" s="163" t="str">
        <f t="shared" si="29"/>
        <v>有効</v>
      </c>
      <c r="V128" s="163" t="str">
        <f t="shared" si="22"/>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 t="shared" si="30"/>
        <v>4.0658955485453907</v>
      </c>
      <c r="AA128" s="163" t="str">
        <f t="shared" si="31"/>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 t="shared" si="32"/>
        <v>上昇トレンド▲</v>
      </c>
      <c r="AE128" s="404" t="str">
        <f t="shared" si="33"/>
        <v>なし</v>
      </c>
      <c r="AF128" s="365">
        <f t="array" ref="AF128">IF(C128="","",IFERROR((INDEX(終値!$E:$E,MATCH(TEXT(C128,"0"),終値!$A:$A,0))-INDEX(終値!$E:$CZ,MATCH(TEXT(C128,"0"),終値!$A:$A,0),$AL$2))/INDEX(終値!$E:$CZ,MATCH(TEXT(C128,"0"),終値!$A:$A,0),$AL$2)*100,""))</f>
        <v>3.5456870495233668</v>
      </c>
      <c r="AG128" s="365">
        <f t="array" ref="AG128">IFERROR((終値!$E$5-INDEX(終値!$E$5:$CZ$5,1,$AL$2))/INDEX(終値!$E$5:$CZ$5,1,$AL$2)*100,"")</f>
        <v>1.0179378228534113</v>
      </c>
      <c r="AH128" s="366">
        <f t="shared" si="25"/>
        <v>2.5277492266699557</v>
      </c>
      <c r="AI128" s="364">
        <f t="shared" si="26"/>
        <v>1</v>
      </c>
      <c r="BA128">
        <f>IFERROR((SUM(OFFSET(高値!$E$6,IFERROR(MATCH($C128,銘柄管理!$B$6:$B$305,0),MATCH(TEXT($C128,"0"),銘柄管理!$B$6:$B$305,0))-1,0,1,14))-SUM(OFFSET(安値!$E$6,IFERROR(MATCH($C128,銘柄管理!$B$6:$B$305,0),MATCH(TEXT($C128,"0"),銘柄管理!$B$6:$B$305,0))-1,0,1,14)))/SUM(OFFSET(終値!$E$6,IFERROR(MATCH($C128,銘柄管理!$B$6:$B$305,0),MATCH(TEXT($C128,"0"),銘柄管理!$B$6:$B$305,0))-1,0,1,14))*100,"")</f>
      </c>
      <c r="BB128">
        <f>IFERROR((MAX(OFFSET(高値!$E$6,IFERROR(MATCH($C128,銘柄管理!$B$6:$B$305,0),MATCH(TEXT($C128,"0"),銘柄管理!$B$6:$B$305,0))-1,0,1,25))-MIN(OFFSET(安値!$E$6,IFERROR(MATCH($C128,銘柄管理!$B$6:$B$305,0),MATCH(TEXT($C128,"0"),銘柄管理!$B$6:$B$305,0))-1,0,1,25)))/$E128*100,"")</f>
      </c>
      <c r="BC128">
        <f>IFERROR(($F128-$G128)/$G128*100,"")</f>
      </c>
      <c r="BD128">
        <f>IFERROR(($E128-MAX(OFFSET(高値!$E$6,IFERROR(MATCH($C128,銘柄管理!$B$6:$B$305,0),MATCH(TEXT($C128,"0"),銘柄管理!$B$6:$B$305,0))-1,0,1,25)))/MAX(OFFSET(高値!$E$6,IFERROR(MATCH($C128,銘柄管理!$B$6:$B$305,0),MATCH(TEXT($C128,"0"),銘柄管理!$B$6:$B$305,0))-1,0,1,25))*100,"")</f>
      </c>
      <c r="BE128">
        <f>IFERROR(($H128-$I128)/$F128*100,"")</f>
      </c>
      <c r="BF128">
        <f>IFERROR(-(($BA128-AVERAGE($BA$3:$BA$206))/STDEV($BA$3:$BA$206))-(($BE128-AVERAGE($BE$3:$BE$206))/STDEV($BE$3:$BE$206))-(($BB128-AVERAGE($BB$3:$BB$206))/STDEV($BB$3:$BB$206))-(($Z128-AVERAGE($Z$3:$Z$206))/STDEV($Z$3:$Z$206))-(($BC128-AVERAGE($BC$3:$BC$206))/STDEV($BC$3:$BC$206)),"")</f>
      </c>
      <c r="BG128">
        <f>IF(OR($C128="",$C128="TOPX",$BA128="",$BF128=""),0,IF(AND($BK$10=1,$BA128&lt;=$BK$2,$BB128&lt;=$BK$3,$BC128&lt;=$BK$4,$Z128&lt;=$BK$5,$Z128&gt;=$BK$6,$BD128&gt;=$BK$7,$BE128&lt;=$BK$8),1,0))</f>
      </c>
      <c r="BH128">
        <f>IF($C128="","",IF($BG128=1,"○ゲート通過",IF($BK$10&lt;&gt;1,"― この方向は停止中",IF($BA128&gt;$BK$2,"×値動きが荒い",IF($BB128&gt;$BK$3,"×レンジが広い",IF($BC128&gt;$BK$4,"×窓を開けて上昇",IF($Z128&gt;$BK$5,"×前日に急騰",IF($Z128&lt;$BK$6,"×前日に急落",IF($BD128&lt;$BK$7,"×高値から離れすぎ",IF($BE128&gt;$BK$8,"×当日の値幅が大きい","×")))))))))</f>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 t="shared" si="17"/>
        <v>-31.669172932330824</v>
      </c>
      <c r="M129" s="166">
        <f>IF(C129&lt;&gt;"",IFERROR(AVERAGE(出来高!F8:J8),""),"")</f>
        <v>3307800</v>
      </c>
      <c r="N129" s="166">
        <f>IF(C129&lt;&gt;"",IFERROR(AVERAGE(出来高!F8:AD8),""),"")</f>
        <v>2971856</v>
      </c>
      <c r="O129" s="168">
        <f t="shared" si="18"/>
        <v>1.4833121712316344</v>
      </c>
      <c r="P129" s="163" t="str">
        <f t="shared" si="19"/>
        <v>普通→</v>
      </c>
      <c r="Q129" s="163" t="str">
        <f t="shared" si="20"/>
        <v>中立→</v>
      </c>
      <c r="R129" s="166">
        <f t="shared" si="27"/>
        <v>9815</v>
      </c>
      <c r="S129" s="166">
        <f t="shared" si="28"/>
        <v>8724</v>
      </c>
      <c r="T129" s="163">
        <f>IF(C129="","",IFERROR(IF(O129&gt;=2,3,IF(O129&gt;=1.5,2,IF(O129&gt;=1,1,0)))+IF(E129&gt;G129,1,0)+IF(L129&gt;=-5,1,0)+IF(Q129="買い▲",2,0)+IF(W129&gt;=78,-4,IF(W129&gt;=72,-2,IF(W129&gt;=55,2,IF(W129&gt;=45,1,0))))+IF(X129&gt;0,1,0)+IF(V129="年初来高値更新●",3,IF(V129="高値圏",2,0))+IF(AD129="パーフェクト▲",3,IF(AD129="上昇トレンド▲",2,0))+IF(AE129="25日線押し目●",2,IF(AE129="5日線押し目○",1,0))+IF(P129="急増↑↑",2,IF(P129="増加↑",1,0))+N(AI129),0))</f>
      </c>
      <c r="U129" s="163" t="str">
        <f t="shared" si="29"/>
        <v>要確認</v>
      </c>
      <c r="V129" s="163" t="str">
        <f t="shared" si="22"/>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 t="shared" si="30"/>
        <v>6.1310288450309471</v>
      </c>
      <c r="AA129" s="163" t="str">
        <f t="shared" si="31"/>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 t="shared" si="32"/>
        <v>パーフェクト▲</v>
      </c>
      <c r="AE129" s="406" t="str">
        <f t="shared" si="33"/>
        <v>なし</v>
      </c>
      <c r="AF129" s="365">
        <f t="array" ref="AF129">IF(C129="","",IFERROR((INDEX(終値!$E:$E,MATCH(TEXT(C129,"0"),終値!$A:$A,0))-INDEX(終値!$E:$CZ,MATCH(TEXT(C129,"0"),終値!$A:$A,0),$AL$2))/INDEX(終値!$E:$CZ,MATCH(TEXT(C129,"0"),終値!$A:$A,0),$AL$2)*100,""))</f>
        <v>23.882224645583424</v>
      </c>
      <c r="AG129" s="365">
        <f t="array" ref="AG129">IFERROR((終値!$E$5-INDEX(終値!$E$5:$CZ$5,1,$AL$2))/INDEX(終値!$E$5:$CZ$5,1,$AL$2)*100,"")</f>
        <v>1.0179378228534113</v>
      </c>
      <c r="AH129" s="366">
        <f t="shared" si="25"/>
        <v>22.864286822730012</v>
      </c>
      <c r="AI129" s="364">
        <f t="shared" si="26"/>
        <v>3</v>
      </c>
      <c r="BA129">
        <f>IFERROR((SUM(OFFSET(高値!$E$6,IFERROR(MATCH($C129,銘柄管理!$B$6:$B$305,0),MATCH(TEXT($C129,"0"),銘柄管理!$B$6:$B$305,0))-1,0,1,14))-SUM(OFFSET(安値!$E$6,IFERROR(MATCH($C129,銘柄管理!$B$6:$B$305,0),MATCH(TEXT($C129,"0"),銘柄管理!$B$6:$B$305,0))-1,0,1,14)))/SUM(OFFSET(終値!$E$6,IFERROR(MATCH($C129,銘柄管理!$B$6:$B$305,0),MATCH(TEXT($C129,"0"),銘柄管理!$B$6:$B$305,0))-1,0,1,14))*100,"")</f>
      </c>
      <c r="BB129">
        <f>IFERROR((MAX(OFFSET(高値!$E$6,IFERROR(MATCH($C129,銘柄管理!$B$6:$B$305,0),MATCH(TEXT($C129,"0"),銘柄管理!$B$6:$B$305,0))-1,0,1,25))-MIN(OFFSET(安値!$E$6,IFERROR(MATCH($C129,銘柄管理!$B$6:$B$305,0),MATCH(TEXT($C129,"0"),銘柄管理!$B$6:$B$305,0))-1,0,1,25)))/$E129*100,"")</f>
      </c>
      <c r="BC129">
        <f>IFERROR(($F129-$G129)/$G129*100,"")</f>
      </c>
      <c r="BD129">
        <f>IFERROR(($E129-MAX(OFFSET(高値!$E$6,IFERROR(MATCH($C129,銘柄管理!$B$6:$B$305,0),MATCH(TEXT($C129,"0"),銘柄管理!$B$6:$B$305,0))-1,0,1,25)))/MAX(OFFSET(高値!$E$6,IFERROR(MATCH($C129,銘柄管理!$B$6:$B$305,0),MATCH(TEXT($C129,"0"),銘柄管理!$B$6:$B$305,0))-1,0,1,25))*100,"")</f>
      </c>
      <c r="BE129">
        <f>IFERROR(($H129-$I129)/$F129*100,"")</f>
      </c>
      <c r="BF129">
        <f>IFERROR(-(($BA129-AVERAGE($BA$3:$BA$206))/STDEV($BA$3:$BA$206))-(($BE129-AVERAGE($BE$3:$BE$206))/STDEV($BE$3:$BE$206))-(($BB129-AVERAGE($BB$3:$BB$206))/STDEV($BB$3:$BB$206))-(($Z129-AVERAGE($Z$3:$Z$206))/STDEV($Z$3:$Z$206))-(($BC129-AVERAGE($BC$3:$BC$206))/STDEV($BC$3:$BC$206)),"")</f>
      </c>
      <c r="BG129">
        <f>IF(OR($C129="",$C129="TOPX",$BA129="",$BF129=""),0,IF(AND($BK$10=1,$BA129&lt;=$BK$2,$BB129&lt;=$BK$3,$BC129&lt;=$BK$4,$Z129&lt;=$BK$5,$Z129&gt;=$BK$6,$BD129&gt;=$BK$7,$BE129&lt;=$BK$8),1,0))</f>
      </c>
      <c r="BH129">
        <f>IF($C129="","",IF($BG129=1,"○ゲート通過",IF($BK$10&lt;&gt;1,"― この方向は停止中",IF($BA129&gt;$BK$2,"×値動きが荒い",IF($BB129&gt;$BK$3,"×レンジが広い",IF($BC129&gt;$BK$4,"×窓を開けて上昇",IF($Z129&gt;$BK$5,"×前日に急騰",IF($Z129&lt;$BK$6,"×前日に急落",IF($BD129&lt;$BK$7,"×高値から離れすぎ",IF($BE129&gt;$BK$8,"×当日の値幅が大きい","×")))))))))</f>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 t="shared" si="17"/>
        <v>-27.244531505060397</v>
      </c>
      <c r="M130" s="166">
        <f>IF(C130&lt;&gt;"",IFERROR(AVERAGE(出来高!E9:I9),""),"")</f>
        <v>1324120</v>
      </c>
      <c r="N130" s="166">
        <f>IF(C130&lt;&gt;"",IFERROR(AVERAGE(出来高!E9:AC9),""),"")</f>
        <v>1442080</v>
      </c>
      <c r="O130" s="168">
        <f t="shared" si="18"/>
        <v>1.0483188834848804</v>
      </c>
      <c r="P130" s="163" t="str">
        <f t="shared" si="19"/>
        <v>普通→</v>
      </c>
      <c r="Q130" s="163" t="str">
        <f t="shared" si="20"/>
        <v>中立→</v>
      </c>
      <c r="R130" s="166">
        <f t="shared" si="27"/>
        <v>4814</v>
      </c>
      <c r="S130" s="166">
        <f t="shared" si="28"/>
        <v>4279</v>
      </c>
      <c r="T130" s="163">
        <f>IF(C130="","",IFERROR(IF(O130&gt;=2,3,IF(O130&gt;=1.5,2,IF(O130&gt;=1,1,0)))+IF(E130&gt;G130,1,0)+IF(L130&gt;=-5,1,0)+IF(Q130="買い▲",2,0)+IF(W130&gt;=78,-4,IF(W130&gt;=72,-2,IF(W130&gt;=55,2,IF(W130&gt;=45,1,0))))+IF(X130&gt;0,1,0)+IF(V130="年初来高値更新●",3,IF(V130="高値圏",2,0))+IF(AD130="パーフェクト▲",3,IF(AD130="上昇トレンド▲",2,0))+IF(AE130="25日線押し目●",2,IF(AE130="5日線押し目○",1,0))+IF(P130="急増↑↑",2,IF(P130="増加↑",1,0))+N(AI130),0))</f>
      </c>
      <c r="U130" s="163" t="str">
        <f t="shared" si="29"/>
        <v>要確認</v>
      </c>
      <c r="V130" s="163" t="str">
        <f t="shared" si="22"/>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 t="shared" si="30"/>
        <v>1.711547238703788</v>
      </c>
      <c r="AA130" s="163" t="str">
        <f t="shared" si="31"/>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 t="shared" si="32"/>
        <v>もみ合い→</v>
      </c>
      <c r="AE130" s="404" t="str">
        <f t="shared" si="33"/>
        <v>なし</v>
      </c>
      <c r="AF130" s="365">
        <f t="array" ref="AF130">IF(C130="","",IFERROR((INDEX(終値!$E:$E,MATCH(TEXT(C130,"0"),終値!$A:$A,0))-INDEX(終値!$E:$CZ,MATCH(TEXT(C130,"0"),終値!$A:$A,0),$AL$2))/INDEX(終値!$E:$CZ,MATCH(TEXT(C130,"0"),終値!$A:$A,0),$AL$2)*100,""))</f>
        <v>1.5956234328698427</v>
      </c>
      <c r="AG130" s="365">
        <f t="array" ref="AG130">IFERROR((終値!$E$5-INDEX(終値!$E$5:$CZ$5,1,$AL$2))/INDEX(終値!$E$5:$CZ$5,1,$AL$2)*100,"")</f>
        <v>1.0179378228534113</v>
      </c>
      <c r="AH130" s="366">
        <f t="shared" si="25"/>
        <v>0.57768561001643137</v>
      </c>
      <c r="AI130" s="364">
        <f t="shared" si="26"/>
        <v>1</v>
      </c>
      <c r="BA130">
        <f>IFERROR((SUM(OFFSET(高値!$E$6,IFERROR(MATCH($C130,銘柄管理!$B$6:$B$305,0),MATCH(TEXT($C130,"0"),銘柄管理!$B$6:$B$305,0))-1,0,1,14))-SUM(OFFSET(安値!$E$6,IFERROR(MATCH($C130,銘柄管理!$B$6:$B$305,0),MATCH(TEXT($C130,"0"),銘柄管理!$B$6:$B$305,0))-1,0,1,14)))/SUM(OFFSET(終値!$E$6,IFERROR(MATCH($C130,銘柄管理!$B$6:$B$305,0),MATCH(TEXT($C130,"0"),銘柄管理!$B$6:$B$305,0))-1,0,1,14))*100,"")</f>
      </c>
      <c r="BB130">
        <f>IFERROR((MAX(OFFSET(高値!$E$6,IFERROR(MATCH($C130,銘柄管理!$B$6:$B$305,0),MATCH(TEXT($C130,"0"),銘柄管理!$B$6:$B$305,0))-1,0,1,25))-MIN(OFFSET(安値!$E$6,IFERROR(MATCH($C130,銘柄管理!$B$6:$B$305,0),MATCH(TEXT($C130,"0"),銘柄管理!$B$6:$B$305,0))-1,0,1,25)))/$E130*100,"")</f>
      </c>
      <c r="BC130">
        <f>IFERROR(($F130-$G130)/$G130*100,"")</f>
      </c>
      <c r="BD130">
        <f>IFERROR(($E130-MAX(OFFSET(高値!$E$6,IFERROR(MATCH($C130,銘柄管理!$B$6:$B$305,0),MATCH(TEXT($C130,"0"),銘柄管理!$B$6:$B$305,0))-1,0,1,25)))/MAX(OFFSET(高値!$E$6,IFERROR(MATCH($C130,銘柄管理!$B$6:$B$305,0),MATCH(TEXT($C130,"0"),銘柄管理!$B$6:$B$305,0))-1,0,1,25))*100,"")</f>
      </c>
      <c r="BE130">
        <f>IFERROR(($H130-$I130)/$F130*100,"")</f>
      </c>
      <c r="BF130">
        <f>IFERROR(-(($BA130-AVERAGE($BA$3:$BA$206))/STDEV($BA$3:$BA$206))-(($BE130-AVERAGE($BE$3:$BE$206))/STDEV($BE$3:$BE$206))-(($BB130-AVERAGE($BB$3:$BB$206))/STDEV($BB$3:$BB$206))-(($Z130-AVERAGE($Z$3:$Z$206))/STDEV($Z$3:$Z$206))-(($BC130-AVERAGE($BC$3:$BC$206))/STDEV($BC$3:$BC$206)),"")</f>
      </c>
      <c r="BG130">
        <f>IF(OR($C130="",$C130="TOPX",$BA130="",$BF130=""),0,IF(AND($BK$10=1,$BA130&lt;=$BK$2,$BB130&lt;=$BK$3,$BC130&lt;=$BK$4,$Z130&lt;=$BK$5,$Z130&gt;=$BK$6,$BD130&gt;=$BK$7,$BE130&lt;=$BK$8),1,0))</f>
      </c>
      <c r="BH130">
        <f>IF($C130="","",IF($BG130=1,"○ゲート通過",IF($BK$10&lt;&gt;1,"― この方向は停止中",IF($BA130&gt;$BK$2,"×値動きが荒い",IF($BB130&gt;$BK$3,"×レンジが広い",IF($BC130&gt;$BK$4,"×窓を開けて上昇",IF($Z130&gt;$BK$5,"×前日に急騰",IF($Z130&lt;$BK$6,"×前日に急落",IF($BD130&lt;$BK$7,"×高値から離れすぎ",IF($BE130&gt;$BK$8,"×当日の値幅が大きい","×")))))))))</f>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 t="shared" ref="L131:L194" si="34">IF(AND(E131&lt;&gt;"",K131&lt;&gt;"",K131&lt;&gt;0),(E131-K131)/K131*100,"")</f>
        <v>-44.592720970537265</v>
      </c>
      <c r="M131" s="166">
        <f>IF(C131&lt;&gt;"",IFERROR(AVERAGE(出来高!F6:J6),""),"")</f>
        <v>1457140</v>
      </c>
      <c r="N131" s="166">
        <f>IF(C131&lt;&gt;"",IFERROR(AVERAGE(出来高!F6:AD6),""),"")</f>
        <v>1309736</v>
      </c>
      <c r="O131" s="168">
        <f t="shared" ref="O131:O194" si="35">IF(AND(J131&lt;&gt;"",M131&lt;&gt;"",M131&lt;&gt;0),J131/M131,"")</f>
        <v>0.93875674266027975</v>
      </c>
      <c r="P131" s="163" t="str">
        <f t="shared" ref="P131:P194" si="36">IF(O131="","",IF(O131&gt;=2,"急増↑↑",IF(O131&gt;=1.5,"増加↑",IF(O131&gt;=1,"普通→","減少↓"))))</f>
        <v>減少↓</v>
      </c>
      <c r="Q131" s="163" t="str">
        <f t="shared" ref="Q131:Q194" si="37">IF(E131="","",IF(AND(E131&gt;G131,O131&gt;=1.5),"買い▲",IF(E131&lt;G131,"様子見▼","中立→")))</f>
        <v>様子見▼</v>
      </c>
      <c r="R131" s="166">
        <f t="shared" si="27"/>
        <v>34528</v>
      </c>
      <c r="S131" s="166">
        <f t="shared" si="28"/>
        <v>30691</v>
      </c>
      <c r="T131" s="163">
        <f>IF(C131="","",IFERROR(IF(O131&gt;=2,3,IF(O131&gt;=1.5,2,IF(O131&gt;=1,1,0)))+IF(E131&gt;G131,1,0)+IF(L131&gt;=-5,1,0)+IF(Q131="買い▲",2,0)+IF(W131&gt;=78,-4,IF(W131&gt;=72,-2,IF(W131&gt;=55,2,IF(W131&gt;=45,1,0))))+IF(X131&gt;0,1,0)+IF(V131="年初来高値更新●",3,IF(V131="高値圏",2,0))+IF(AD131="パーフェクト▲",3,IF(AD131="上昇トレンド▲",2,0))+IF(AE131="25日線押し目●",2,IF(AE131="5日線押し目○",1,0))+IF(P131="急増↑↑",2,IF(P131="増加↑",1,0))+N(AI131),0))</f>
      </c>
      <c r="U131" s="163" t="str">
        <f t="shared" si="29"/>
        <v>除外</v>
      </c>
      <c r="V131" s="163" t="str">
        <f t="shared" ref="V131:V194" si="39">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 t="shared" si="30"/>
        <v>-9.6382136800452241</v>
      </c>
      <c r="AA131" s="163" t="str">
        <f t="shared" si="31"/>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 t="shared" ref="AD131:AD162" si="40">IF(OR(C131="",AB131="",AC131=""),"",IF(AND(E131&gt;AB131,AB131&gt;AC131),"パーフェクト▲",IF(E131&gt;AC131,"上昇トレンド▲",IF(AND(E131&lt;AB131,AB131&lt;AC131),"下降トレンド▼","もみ合い→"))))</f>
        <v>上昇トレンド▲</v>
      </c>
      <c r="AE131" s="406" t="str">
        <f t="shared" ref="AE131:AE162" si="41">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IFERROR((終値!$E$5-INDEX(終値!$E$5:$CZ$5,1,$AL$2))/INDEX(終値!$E$5:$CZ$5,1,$AL$2)*100,"")</f>
        <v>1.0179378228534113</v>
      </c>
      <c r="AH131" s="366">
        <f t="shared" ref="AH131:AH194" si="42">IF(OR(AF131="",AG131=""),"",AF131-AG131)</f>
        <v>-26.944721882167592</v>
      </c>
      <c r="AI131" s="364">
        <f t="shared" ref="AI131:AI194" si="43">IF(AH131="","",IF(AH131&gt;5,3,IF(AH131&gt;0,1,IF(AH131&gt;-3,-1,-2))))</f>
        <v>-2</v>
      </c>
      <c r="BA131">
        <f>IFERROR((SUM(OFFSET(高値!$E$6,IFERROR(MATCH($C131,銘柄管理!$B$6:$B$305,0),MATCH(TEXT($C131,"0"),銘柄管理!$B$6:$B$305,0))-1,0,1,14))-SUM(OFFSET(安値!$E$6,IFERROR(MATCH($C131,銘柄管理!$B$6:$B$305,0),MATCH(TEXT($C131,"0"),銘柄管理!$B$6:$B$305,0))-1,0,1,14)))/SUM(OFFSET(終値!$E$6,IFERROR(MATCH($C131,銘柄管理!$B$6:$B$305,0),MATCH(TEXT($C131,"0"),銘柄管理!$B$6:$B$305,0))-1,0,1,14))*100,"")</f>
      </c>
      <c r="BB131">
        <f>IFERROR((MAX(OFFSET(高値!$E$6,IFERROR(MATCH($C131,銘柄管理!$B$6:$B$305,0),MATCH(TEXT($C131,"0"),銘柄管理!$B$6:$B$305,0))-1,0,1,25))-MIN(OFFSET(安値!$E$6,IFERROR(MATCH($C131,銘柄管理!$B$6:$B$305,0),MATCH(TEXT($C131,"0"),銘柄管理!$B$6:$B$305,0))-1,0,1,25)))/$E131*100,"")</f>
      </c>
      <c r="BC131">
        <f>IFERROR(($F131-$G131)/$G131*100,"")</f>
      </c>
      <c r="BD131">
        <f>IFERROR(($E131-MAX(OFFSET(高値!$E$6,IFERROR(MATCH($C131,銘柄管理!$B$6:$B$305,0),MATCH(TEXT($C131,"0"),銘柄管理!$B$6:$B$305,0))-1,0,1,25)))/MAX(OFFSET(高値!$E$6,IFERROR(MATCH($C131,銘柄管理!$B$6:$B$305,0),MATCH(TEXT($C131,"0"),銘柄管理!$B$6:$B$305,0))-1,0,1,25))*100,"")</f>
      </c>
      <c r="BE131">
        <f>IFERROR(($H131-$I131)/$F131*100,"")</f>
      </c>
      <c r="BF131">
        <f>IFERROR(-(($BA131-AVERAGE($BA$3:$BA$206))/STDEV($BA$3:$BA$206))-(($BE131-AVERAGE($BE$3:$BE$206))/STDEV($BE$3:$BE$206))-(($BB131-AVERAGE($BB$3:$BB$206))/STDEV($BB$3:$BB$206))-(($Z131-AVERAGE($Z$3:$Z$206))/STDEV($Z$3:$Z$206))-(($BC131-AVERAGE($BC$3:$BC$206))/STDEV($BC$3:$BC$206)),"")</f>
      </c>
      <c r="BG131">
        <f>IF(OR($C131="",$C131="TOPX",$BA131="",$BF131=""),0,IF(AND($BK$10=1,$BA131&lt;=$BK$2,$BB131&lt;=$BK$3,$BC131&lt;=$BK$4,$Z131&lt;=$BK$5,$Z131&gt;=$BK$6,$BD131&gt;=$BK$7,$BE131&lt;=$BK$8),1,0))</f>
      </c>
      <c r="BH131">
        <f>IF($C131="","",IF($BG131=1,"○ゲート通過",IF($BK$10&lt;&gt;1,"― この方向は停止中",IF($BA131&gt;$BK$2,"×値動きが荒い",IF($BB131&gt;$BK$3,"×レンジが広い",IF($BC131&gt;$BK$4,"×窓を開けて上昇",IF($Z131&gt;$BK$5,"×前日に急騰",IF($Z131&lt;$BK$6,"×前日に急落",IF($BD131&lt;$BK$7,"×高値から離れすぎ",IF($BE131&gt;$BK$8,"×当日の値幅が大きい","×")))))))))</f>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 t="shared" si="34"/>
        <v>-11.831831831831833</v>
      </c>
      <c r="M132" s="166">
        <f>IF(C132&lt;&gt;"",IFERROR(AVERAGE(出来高!E13:I13),""),"")</f>
        <v>622000</v>
      </c>
      <c r="N132" s="166">
        <f>IF(C132&lt;&gt;"",IFERROR(AVERAGE(出来高!E13:AC13),""),"")</f>
        <v>390060</v>
      </c>
      <c r="O132" s="168">
        <f t="shared" si="35"/>
        <v>0.45241157556270095</v>
      </c>
      <c r="P132" s="163" t="str">
        <f t="shared" si="36"/>
        <v>減少↓</v>
      </c>
      <c r="Q132" s="163" t="str">
        <f t="shared" si="37"/>
        <v>中立→</v>
      </c>
      <c r="R132" s="166">
        <f t="shared" ref="R132:R195" si="44">IF(E132&lt;&gt;"",ROUND(E132*1.08,0),"")</f>
        <v>3171</v>
      </c>
      <c r="S132" s="166">
        <f t="shared" ref="S132:S195" si="45">IF(E132&lt;&gt;"",ROUND(E132*0.96,0),"")</f>
        <v>2819</v>
      </c>
      <c r="T132" s="163">
        <f>IF(C132="","",IFERROR(IF(O132&gt;=2,3,IF(O132&gt;=1.5,2,IF(O132&gt;=1,1,0)))+IF(E132&gt;G132,1,0)+IF(L132&gt;=-5,1,0)+IF(Q132="買い▲",2,0)+IF(W132&gt;=78,-4,IF(W132&gt;=72,-2,IF(W132&gt;=55,2,IF(W132&gt;=45,1,0))))+IF(X132&gt;0,1,0)+IF(V132="年初来高値更新●",3,IF(V132="高値圏",2,0))+IF(AD132="パーフェクト▲",3,IF(AD132="上昇トレンド▲",2,0))+IF(AE132="25日線押し目●",2,IF(AE132="5日線押し目○",1,0))+IF(P132="急増↑↑",2,IF(P132="増加↑",1,0))+N(AI132),0))</f>
      </c>
      <c r="U132" s="163" t="str">
        <f t="shared" ref="U132:U195" si="46">IF(T132="","",IF(AND(T132&gt;=3,O132&gt;=1.5),"有効",IF(T132&gt;=3,"要確認","除外")))</f>
        <v>要確認</v>
      </c>
      <c r="V132" s="163" t="str">
        <f t="shared" si="39"/>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 t="shared" ref="Z132:Z195" si="47">IF(AND(E132&lt;&gt;"",G132&lt;&gt;"",G132&lt;&gt;0),(E132-G132)/G132*100,"")</f>
        <v>0.65135413095646211</v>
      </c>
      <c r="AA132" s="163" t="str">
        <f t="shared" ref="AA132:AA195" si="48">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 t="shared" si="40"/>
        <v>パーフェクト▲</v>
      </c>
      <c r="AE132" s="404" t="str">
        <f t="shared" si="41"/>
        <v>なし</v>
      </c>
      <c r="AF132" s="365">
        <f t="array" ref="AF132">IF(C132="","",IFERROR((INDEX(終値!$E:$E,MATCH(TEXT(C132,"0"),終値!$A:$A,0))-INDEX(終値!$E:$CZ,MATCH(TEXT(C132,"0"),終値!$A:$A,0),$AL$2))/INDEX(終値!$E:$CZ,MATCH(TEXT(C132,"0"),終値!$A:$A,0),$AL$2)*100,""))</f>
        <v>7.0751276440554349</v>
      </c>
      <c r="AG132" s="365">
        <f t="array" ref="AG132">IFERROR((終値!$E$5-INDEX(終値!$E$5:$CZ$5,1,$AL$2))/INDEX(終値!$E$5:$CZ$5,1,$AL$2)*100,"")</f>
        <v>1.0179378228534113</v>
      </c>
      <c r="AH132" s="366">
        <f t="shared" si="42"/>
        <v>6.0571898212020239</v>
      </c>
      <c r="AI132" s="364">
        <f t="shared" si="43"/>
        <v>3</v>
      </c>
      <c r="BA132">
        <f>IFERROR((SUM(OFFSET(高値!$E$6,IFERROR(MATCH($C132,銘柄管理!$B$6:$B$305,0),MATCH(TEXT($C132,"0"),銘柄管理!$B$6:$B$305,0))-1,0,1,14))-SUM(OFFSET(安値!$E$6,IFERROR(MATCH($C132,銘柄管理!$B$6:$B$305,0),MATCH(TEXT($C132,"0"),銘柄管理!$B$6:$B$305,0))-1,0,1,14)))/SUM(OFFSET(終値!$E$6,IFERROR(MATCH($C132,銘柄管理!$B$6:$B$305,0),MATCH(TEXT($C132,"0"),銘柄管理!$B$6:$B$305,0))-1,0,1,14))*100,"")</f>
      </c>
      <c r="BB132">
        <f>IFERROR((MAX(OFFSET(高値!$E$6,IFERROR(MATCH($C132,銘柄管理!$B$6:$B$305,0),MATCH(TEXT($C132,"0"),銘柄管理!$B$6:$B$305,0))-1,0,1,25))-MIN(OFFSET(安値!$E$6,IFERROR(MATCH($C132,銘柄管理!$B$6:$B$305,0),MATCH(TEXT($C132,"0"),銘柄管理!$B$6:$B$305,0))-1,0,1,25)))/$E132*100,"")</f>
      </c>
      <c r="BC132">
        <f>IFERROR(($F132-$G132)/$G132*100,"")</f>
      </c>
      <c r="BD132">
        <f>IFERROR(($E132-MAX(OFFSET(高値!$E$6,IFERROR(MATCH($C132,銘柄管理!$B$6:$B$305,0),MATCH(TEXT($C132,"0"),銘柄管理!$B$6:$B$305,0))-1,0,1,25)))/MAX(OFFSET(高値!$E$6,IFERROR(MATCH($C132,銘柄管理!$B$6:$B$305,0),MATCH(TEXT($C132,"0"),銘柄管理!$B$6:$B$305,0))-1,0,1,25))*100,"")</f>
      </c>
      <c r="BE132">
        <f>IFERROR(($H132-$I132)/$F132*100,"")</f>
      </c>
      <c r="BF132">
        <f>IFERROR(-(($BA132-AVERAGE($BA$3:$BA$206))/STDEV($BA$3:$BA$206))-(($BE132-AVERAGE($BE$3:$BE$206))/STDEV($BE$3:$BE$206))-(($BB132-AVERAGE($BB$3:$BB$206))/STDEV($BB$3:$BB$206))-(($Z132-AVERAGE($Z$3:$Z$206))/STDEV($Z$3:$Z$206))-(($BC132-AVERAGE($BC$3:$BC$206))/STDEV($BC$3:$BC$206)),"")</f>
      </c>
      <c r="BG132">
        <f>IF(OR($C132="",$C132="TOPX",$BA132="",$BF132=""),0,IF(AND($BK$10=1,$BA132&lt;=$BK$2,$BB132&lt;=$BK$3,$BC132&lt;=$BK$4,$Z132&lt;=$BK$5,$Z132&gt;=$BK$6,$BD132&gt;=$BK$7,$BE132&lt;=$BK$8),1,0))</f>
      </c>
      <c r="BH132">
        <f>IF($C132="","",IF($BG132=1,"○ゲート通過",IF($BK$10&lt;&gt;1,"― この方向は停止中",IF($BA132&gt;$BK$2,"×値動きが荒い",IF($BB132&gt;$BK$3,"×レンジが広い",IF($BC132&gt;$BK$4,"×窓を開けて上昇",IF($Z132&gt;$BK$5,"×前日に急騰",IF($Z132&lt;$BK$6,"×前日に急落",IF($BD132&lt;$BK$7,"×高値から離れすぎ",IF($BE132&gt;$BK$8,"×当日の値幅が大きい","×")))))))))</f>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 t="shared" si="34"/>
        <v>-34.333764553686933</v>
      </c>
      <c r="M133" s="166">
        <f>IF(C133&lt;&gt;"",IFERROR(AVERAGE(出来高!E20:I20),""),"")</f>
        <v>325380</v>
      </c>
      <c r="N133" s="166">
        <f>IF(C133&lt;&gt;"",IFERROR(AVERAGE(出来高!E20:AC20),""),"")</f>
        <v>233675</v>
      </c>
      <c r="O133" s="168">
        <f t="shared" si="35"/>
        <v>1.5056241932509682</v>
      </c>
      <c r="P133" s="163" t="str">
        <f t="shared" si="36"/>
        <v>増加↑</v>
      </c>
      <c r="Q133" s="163" t="str">
        <f t="shared" si="37"/>
        <v>様子見▼</v>
      </c>
      <c r="R133" s="166">
        <f t="shared" si="44"/>
        <v>2741</v>
      </c>
      <c r="S133" s="166">
        <f t="shared" si="45"/>
        <v>2436</v>
      </c>
      <c r="T133" s="163">
        <f>IF(C133="","",IFERROR(IF(O133&gt;=2,3,IF(O133&gt;=1.5,2,IF(O133&gt;=1,1,0)))+IF(E133&gt;G133,1,0)+IF(L133&gt;=-5,1,0)+IF(Q133="買い▲",2,0)+IF(W133&gt;=78,-4,IF(W133&gt;=72,-2,IF(W133&gt;=55,2,IF(W133&gt;=45,1,0))))+IF(X133&gt;0,1,0)+IF(V133="年初来高値更新●",3,IF(V133="高値圏",2,0))+IF(AD133="パーフェクト▲",3,IF(AD133="上昇トレンド▲",2,0))+IF(AE133="25日線押し目●",2,IF(AE133="5日線押し目○",1,0))+IF(P133="急増↑↑",2,IF(P133="増加↑",1,0))+N(AI133),0))</f>
      </c>
      <c r="U133" s="163" t="str">
        <f t="shared" si="46"/>
        <v>有効</v>
      </c>
      <c r="V133" s="163" t="str">
        <f t="shared" si="39"/>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 t="shared" si="47"/>
        <v>-0.3142183817753339</v>
      </c>
      <c r="AA133" s="163" t="str">
        <f t="shared" si="48"/>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 t="shared" si="40"/>
        <v>もみ合い→</v>
      </c>
      <c r="AE133" s="406" t="str">
        <f t="shared" si="41"/>
        <v>なし</v>
      </c>
      <c r="AF133" s="365">
        <f t="array" ref="AF133">IF(C133="","",IFERROR((INDEX(終値!$E:$E,MATCH(TEXT(C133,"0"),終値!$A:$A,0))-INDEX(終値!$E:$CZ,MATCH(TEXT(C133,"0"),終値!$A:$A,0),$AL$2))/INDEX(終値!$E:$CZ,MATCH(TEXT(C133,"0"),終値!$A:$A,0),$AL$2)*100,""))</f>
        <v>13.557046979865772</v>
      </c>
      <c r="AG133" s="365">
        <f t="array" ref="AG133">IFERROR((終値!$E$5-INDEX(終値!$E$5:$CZ$5,1,$AL$2))/INDEX(終値!$E$5:$CZ$5,1,$AL$2)*100,"")</f>
        <v>1.0179378228534113</v>
      </c>
      <c r="AH133" s="366">
        <f t="shared" si="42"/>
        <v>12.53910915701236</v>
      </c>
      <c r="AI133" s="364">
        <f t="shared" si="43"/>
        <v>3</v>
      </c>
      <c r="BA133">
        <f>IFERROR((SUM(OFFSET(高値!$E$6,IFERROR(MATCH($C133,銘柄管理!$B$6:$B$305,0),MATCH(TEXT($C133,"0"),銘柄管理!$B$6:$B$305,0))-1,0,1,14))-SUM(OFFSET(安値!$E$6,IFERROR(MATCH($C133,銘柄管理!$B$6:$B$305,0),MATCH(TEXT($C133,"0"),銘柄管理!$B$6:$B$305,0))-1,0,1,14)))/SUM(OFFSET(終値!$E$6,IFERROR(MATCH($C133,銘柄管理!$B$6:$B$305,0),MATCH(TEXT($C133,"0"),銘柄管理!$B$6:$B$305,0))-1,0,1,14))*100,"")</f>
      </c>
      <c r="BB133">
        <f>IFERROR((MAX(OFFSET(高値!$E$6,IFERROR(MATCH($C133,銘柄管理!$B$6:$B$305,0),MATCH(TEXT($C133,"0"),銘柄管理!$B$6:$B$305,0))-1,0,1,25))-MIN(OFFSET(安値!$E$6,IFERROR(MATCH($C133,銘柄管理!$B$6:$B$305,0),MATCH(TEXT($C133,"0"),銘柄管理!$B$6:$B$305,0))-1,0,1,25)))/$E133*100,"")</f>
      </c>
      <c r="BC133">
        <f>IFERROR(($F133-$G133)/$G133*100,"")</f>
      </c>
      <c r="BD133">
        <f>IFERROR(($E133-MAX(OFFSET(高値!$E$6,IFERROR(MATCH($C133,銘柄管理!$B$6:$B$305,0),MATCH(TEXT($C133,"0"),銘柄管理!$B$6:$B$305,0))-1,0,1,25)))/MAX(OFFSET(高値!$E$6,IFERROR(MATCH($C133,銘柄管理!$B$6:$B$305,0),MATCH(TEXT($C133,"0"),銘柄管理!$B$6:$B$305,0))-1,0,1,25))*100,"")</f>
      </c>
      <c r="BE133">
        <f>IFERROR(($H133-$I133)/$F133*100,"")</f>
      </c>
      <c r="BF133">
        <f>IFERROR(-(($BA133-AVERAGE($BA$3:$BA$206))/STDEV($BA$3:$BA$206))-(($BE133-AVERAGE($BE$3:$BE$206))/STDEV($BE$3:$BE$206))-(($BB133-AVERAGE($BB$3:$BB$206))/STDEV($BB$3:$BB$206))-(($Z133-AVERAGE($Z$3:$Z$206))/STDEV($Z$3:$Z$206))-(($BC133-AVERAGE($BC$3:$BC$206))/STDEV($BC$3:$BC$206)),"")</f>
      </c>
      <c r="BG133">
        <f>IF(OR($C133="",$C133="TOPX",$BA133="",$BF133=""),0,IF(AND($BK$10=1,$BA133&lt;=$BK$2,$BB133&lt;=$BK$3,$BC133&lt;=$BK$4,$Z133&lt;=$BK$5,$Z133&gt;=$BK$6,$BD133&gt;=$BK$7,$BE133&lt;=$BK$8),1,0))</f>
      </c>
      <c r="BH133">
        <f>IF($C133="","",IF($BG133=1,"○ゲート通過",IF($BK$10&lt;&gt;1,"― この方向は停止中",IF($BA133&gt;$BK$2,"×値動きが荒い",IF($BB133&gt;$BK$3,"×レンジが広い",IF($BC133&gt;$BK$4,"×窓を開けて上昇",IF($Z133&gt;$BK$5,"×前日に急騰",IF($Z133&lt;$BK$6,"×前日に急落",IF($BD133&lt;$BK$7,"×高値から離れすぎ",IF($BE133&gt;$BK$8,"×当日の値幅が大きい","×")))))))))</f>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 t="shared" si="34"/>
        <v>-29.428208386276999</v>
      </c>
      <c r="M134" s="166">
        <f>IF(C134&lt;&gt;"",IFERROR(AVERAGE(出来高!E51:I51),""),"")</f>
        <v>80420</v>
      </c>
      <c r="N134" s="166">
        <f>IF(C134&lt;&gt;"",IFERROR(AVERAGE(出来高!E51:AC51),""),"")</f>
        <v>42388</v>
      </c>
      <c r="O134" s="168">
        <f t="shared" si="35"/>
        <v>0.79830887838846054</v>
      </c>
      <c r="P134" s="163" t="str">
        <f t="shared" si="36"/>
        <v>減少↓</v>
      </c>
      <c r="Q134" s="163" t="str">
        <f t="shared" si="37"/>
        <v>中立→</v>
      </c>
      <c r="R134" s="166">
        <f t="shared" si="44"/>
        <v>2999</v>
      </c>
      <c r="S134" s="166">
        <f t="shared" si="45"/>
        <v>2666</v>
      </c>
      <c r="T134" s="163">
        <f>IF(C134="","",IFERROR(IF(O134&gt;=2,3,IF(O134&gt;=1.5,2,IF(O134&gt;=1,1,0)))+IF(E134&gt;G134,1,0)+IF(L134&gt;=-5,1,0)+IF(Q134="買い▲",2,0)+IF(W134&gt;=78,-4,IF(W134&gt;=72,-2,IF(W134&gt;=55,2,IF(W134&gt;=45,1,0))))+IF(X134&gt;0,1,0)+IF(V134="年初来高値更新●",3,IF(V134="高値圏",2,0))+IF(AD134="パーフェクト▲",3,IF(AD134="上昇トレンド▲",2,0))+IF(AE134="25日線押し目●",2,IF(AE134="5日線押し目○",1,0))+IF(P134="急増↑↑",2,IF(P134="増加↑",1,0))+N(AI134),0))</f>
      </c>
      <c r="U134" s="163" t="str">
        <f t="shared" si="46"/>
        <v>要確認</v>
      </c>
      <c r="V134" s="163" t="str">
        <f t="shared" si="39"/>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 t="shared" si="47"/>
        <v>1.6471449487554906</v>
      </c>
      <c r="AA134" s="163" t="str">
        <f t="shared" si="48"/>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 t="shared" si="40"/>
        <v>上昇トレンド▲</v>
      </c>
      <c r="AE134" s="404" t="str">
        <f t="shared" si="41"/>
        <v>なし</v>
      </c>
      <c r="AF134" s="365">
        <f t="array" ref="AF134">IF(C134="","",IFERROR((INDEX(終値!$E:$E,MATCH(TEXT(C134,"0"),終値!$A:$A,0))-INDEX(終値!$E:$CZ,MATCH(TEXT(C134,"0"),終値!$A:$A,0),$AL$2))/INDEX(終値!$E:$CZ,MATCH(TEXT(C134,"0"),終値!$A:$A,0),$AL$2)*100,""))</f>
        <v>22.604856512141282</v>
      </c>
      <c r="AG134" s="365">
        <f t="array" ref="AG134">IFERROR((終値!$E$5-INDEX(終値!$E$5:$CZ$5,1,$AL$2))/INDEX(終値!$E$5:$CZ$5,1,$AL$2)*100,"")</f>
        <v>1.0179378228534113</v>
      </c>
      <c r="AH134" s="366">
        <f t="shared" si="42"/>
        <v>21.58691868928787</v>
      </c>
      <c r="AI134" s="364">
        <f t="shared" si="43"/>
        <v>3</v>
      </c>
      <c r="BA134">
        <f>IFERROR((SUM(OFFSET(高値!$E$6,IFERROR(MATCH($C134,銘柄管理!$B$6:$B$305,0),MATCH(TEXT($C134,"0"),銘柄管理!$B$6:$B$305,0))-1,0,1,14))-SUM(OFFSET(安値!$E$6,IFERROR(MATCH($C134,銘柄管理!$B$6:$B$305,0),MATCH(TEXT($C134,"0"),銘柄管理!$B$6:$B$305,0))-1,0,1,14)))/SUM(OFFSET(終値!$E$6,IFERROR(MATCH($C134,銘柄管理!$B$6:$B$305,0),MATCH(TEXT($C134,"0"),銘柄管理!$B$6:$B$305,0))-1,0,1,14))*100,"")</f>
      </c>
      <c r="BB134">
        <f>IFERROR((MAX(OFFSET(高値!$E$6,IFERROR(MATCH($C134,銘柄管理!$B$6:$B$305,0),MATCH(TEXT($C134,"0"),銘柄管理!$B$6:$B$305,0))-1,0,1,25))-MIN(OFFSET(安値!$E$6,IFERROR(MATCH($C134,銘柄管理!$B$6:$B$305,0),MATCH(TEXT($C134,"0"),銘柄管理!$B$6:$B$305,0))-1,0,1,25)))/$E134*100,"")</f>
      </c>
      <c r="BC134">
        <f>IFERROR(($F134-$G134)/$G134*100,"")</f>
      </c>
      <c r="BD134">
        <f>IFERROR(($E134-MAX(OFFSET(高値!$E$6,IFERROR(MATCH($C134,銘柄管理!$B$6:$B$305,0),MATCH(TEXT($C134,"0"),銘柄管理!$B$6:$B$305,0))-1,0,1,25)))/MAX(OFFSET(高値!$E$6,IFERROR(MATCH($C134,銘柄管理!$B$6:$B$305,0),MATCH(TEXT($C134,"0"),銘柄管理!$B$6:$B$305,0))-1,0,1,25))*100,"")</f>
      </c>
      <c r="BE134">
        <f>IFERROR(($H134-$I134)/$F134*100,"")</f>
      </c>
      <c r="BF134">
        <f>IFERROR(-(($BA134-AVERAGE($BA$3:$BA$206))/STDEV($BA$3:$BA$206))-(($BE134-AVERAGE($BE$3:$BE$206))/STDEV($BE$3:$BE$206))-(($BB134-AVERAGE($BB$3:$BB$206))/STDEV($BB$3:$BB$206))-(($Z134-AVERAGE($Z$3:$Z$206))/STDEV($Z$3:$Z$206))-(($BC134-AVERAGE($BC$3:$BC$206))/STDEV($BC$3:$BC$206)),"")</f>
      </c>
      <c r="BG134">
        <f>IF(OR($C134="",$C134="TOPX",$BA134="",$BF134=""),0,IF(AND($BK$10=1,$BA134&lt;=$BK$2,$BB134&lt;=$BK$3,$BC134&lt;=$BK$4,$Z134&lt;=$BK$5,$Z134&gt;=$BK$6,$BD134&gt;=$BK$7,$BE134&lt;=$BK$8),1,0))</f>
      </c>
      <c r="BH134">
        <f>IF($C134="","",IF($BG134=1,"○ゲート通過",IF($BK$10&lt;&gt;1,"― この方向は停止中",IF($BA134&gt;$BK$2,"×値動きが荒い",IF($BB134&gt;$BK$3,"×レンジが広い",IF($BC134&gt;$BK$4,"×窓を開けて上昇",IF($Z134&gt;$BK$5,"×前日に急騰",IF($Z134&lt;$BK$6,"×前日に急落",IF($BD134&lt;$BK$7,"×高値から離れすぎ",IF($BE134&gt;$BK$8,"×当日の値幅が大きい","×")))))))))</f>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 t="shared" si="34"/>
        <v>-29.784866468842729</v>
      </c>
      <c r="M135" s="166">
        <f>IF(C135&lt;&gt;"",IFERROR(AVERAGE(出来高!E180:I180),""),"")</f>
        <v>167920</v>
      </c>
      <c r="N135" s="166">
        <f>IF(C135&lt;&gt;"",IFERROR(AVERAGE(出来高!E180:AC180),""),"")</f>
        <v>125712.5</v>
      </c>
      <c r="O135" s="168">
        <f t="shared" si="35"/>
        <v>0.79085278704144835</v>
      </c>
      <c r="P135" s="163" t="str">
        <f t="shared" si="36"/>
        <v>減少↓</v>
      </c>
      <c r="Q135" s="163" t="str">
        <f t="shared" si="37"/>
        <v>中立→</v>
      </c>
      <c r="R135" s="166">
        <f t="shared" si="44"/>
        <v>2044</v>
      </c>
      <c r="S135" s="166">
        <f t="shared" si="45"/>
        <v>1817</v>
      </c>
      <c r="T135" s="163">
        <f>IF(C135="","",IFERROR(IF(O135&gt;=2,3,IF(O135&gt;=1.5,2,IF(O135&gt;=1,1,0)))+IF(E135&gt;G135,1,0)+IF(L135&gt;=-5,1,0)+IF(Q135="買い▲",2,0)+IF(W135&gt;=78,-4,IF(W135&gt;=72,-2,IF(W135&gt;=55,2,IF(W135&gt;=45,1,0))))+IF(X135&gt;0,1,0)+IF(V135="年初来高値更新●",3,IF(V135="高値圏",2,0))+IF(AD135="パーフェクト▲",3,IF(AD135="上昇トレンド▲",2,0))+IF(AE135="25日線押し目●",2,IF(AE135="5日線押し目○",1,0))+IF(P135="急増↑↑",2,IF(P135="増加↑",1,0))+N(AI135),0))</f>
      </c>
      <c r="U135" s="163" t="str">
        <f t="shared" si="46"/>
        <v>要確認</v>
      </c>
      <c r="V135" s="163" t="str">
        <f t="shared" si="39"/>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 t="shared" si="47"/>
        <v>1.5013404825737267</v>
      </c>
      <c r="AA135" s="163" t="str">
        <f t="shared" si="48"/>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 t="shared" si="40"/>
        <v>上昇トレンド▲</v>
      </c>
      <c r="AE135" s="406" t="str">
        <f t="shared" si="41"/>
        <v>なし</v>
      </c>
      <c r="AF135" s="365">
        <f t="array" ref="AF135">IF(C135="","",IFERROR((INDEX(終値!$E:$E,MATCH(TEXT(C135,"0"),終値!$A:$A,0))-INDEX(終値!$E:$CZ,MATCH(TEXT(C135,"0"),終値!$A:$A,0),$AL$2))/INDEX(終値!$E:$CZ,MATCH(TEXT(C135,"0"),終値!$A:$A,0),$AL$2)*100,""))</f>
        <v>10.122164048865621</v>
      </c>
      <c r="AG135" s="365">
        <f t="array" ref="AG135">IFERROR((終値!$E$5-INDEX(終値!$E$5:$CZ$5,1,$AL$2))/INDEX(終値!$E$5:$CZ$5,1,$AL$2)*100,"")</f>
        <v>1.0179378228534113</v>
      </c>
      <c r="AH135" s="366">
        <f t="shared" si="42"/>
        <v>9.1042262260122087</v>
      </c>
      <c r="AI135" s="364">
        <f t="shared" si="43"/>
        <v>3</v>
      </c>
      <c r="BA135">
        <f>IFERROR((SUM(OFFSET(高値!$E$6,IFERROR(MATCH($C135,銘柄管理!$B$6:$B$305,0),MATCH(TEXT($C135,"0"),銘柄管理!$B$6:$B$305,0))-1,0,1,14))-SUM(OFFSET(安値!$E$6,IFERROR(MATCH($C135,銘柄管理!$B$6:$B$305,0),MATCH(TEXT($C135,"0"),銘柄管理!$B$6:$B$305,0))-1,0,1,14)))/SUM(OFFSET(終値!$E$6,IFERROR(MATCH($C135,銘柄管理!$B$6:$B$305,0),MATCH(TEXT($C135,"0"),銘柄管理!$B$6:$B$305,0))-1,0,1,14))*100,"")</f>
      </c>
      <c r="BB135">
        <f>IFERROR((MAX(OFFSET(高値!$E$6,IFERROR(MATCH($C135,銘柄管理!$B$6:$B$305,0),MATCH(TEXT($C135,"0"),銘柄管理!$B$6:$B$305,0))-1,0,1,25))-MIN(OFFSET(安値!$E$6,IFERROR(MATCH($C135,銘柄管理!$B$6:$B$305,0),MATCH(TEXT($C135,"0"),銘柄管理!$B$6:$B$305,0))-1,0,1,25)))/$E135*100,"")</f>
      </c>
      <c r="BC135">
        <f>IFERROR(($F135-$G135)/$G135*100,"")</f>
      </c>
      <c r="BD135">
        <f>IFERROR(($E135-MAX(OFFSET(高値!$E$6,IFERROR(MATCH($C135,銘柄管理!$B$6:$B$305,0),MATCH(TEXT($C135,"0"),銘柄管理!$B$6:$B$305,0))-1,0,1,25)))/MAX(OFFSET(高値!$E$6,IFERROR(MATCH($C135,銘柄管理!$B$6:$B$305,0),MATCH(TEXT($C135,"0"),銘柄管理!$B$6:$B$305,0))-1,0,1,25))*100,"")</f>
      </c>
      <c r="BE135">
        <f>IFERROR(($H135-$I135)/$F135*100,"")</f>
      </c>
      <c r="BF135">
        <f>IFERROR(-(($BA135-AVERAGE($BA$3:$BA$206))/STDEV($BA$3:$BA$206))-(($BE135-AVERAGE($BE$3:$BE$206))/STDEV($BE$3:$BE$206))-(($BB135-AVERAGE($BB$3:$BB$206))/STDEV($BB$3:$BB$206))-(($Z135-AVERAGE($Z$3:$Z$206))/STDEV($Z$3:$Z$206))-(($BC135-AVERAGE($BC$3:$BC$206))/STDEV($BC$3:$BC$206)),"")</f>
      </c>
      <c r="BG135">
        <f>IF(OR($C135="",$C135="TOPX",$BA135="",$BF135=""),0,IF(AND($BK$10=1,$BA135&lt;=$BK$2,$BB135&lt;=$BK$3,$BC135&lt;=$BK$4,$Z135&lt;=$BK$5,$Z135&gt;=$BK$6,$BD135&gt;=$BK$7,$BE135&lt;=$BK$8),1,0))</f>
      </c>
      <c r="BH135">
        <f>IF($C135="","",IF($BG135=1,"○ゲート通過",IF($BK$10&lt;&gt;1,"― この方向は停止中",IF($BA135&gt;$BK$2,"×値動きが荒い",IF($BB135&gt;$BK$3,"×レンジが広い",IF($BC135&gt;$BK$4,"×窓を開けて上昇",IF($Z135&gt;$BK$5,"×前日に急騰",IF($Z135&lt;$BK$6,"×前日に急落",IF($BD135&lt;$BK$7,"×高値から離れすぎ",IF($BE135&gt;$BK$8,"×当日の値幅が大きい","×")))))))))</f>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 t="shared" si="34"/>
        <v>-11.201216421692854</v>
      </c>
      <c r="M136" s="166">
        <f>IF(C136&lt;&gt;"",IFERROR(AVERAGE(出来高!F7:J7),""),"")</f>
        <v>387160</v>
      </c>
      <c r="N136" s="166">
        <f>IF(C136&lt;&gt;"",IFERROR(AVERAGE(出来高!F7:AD7),""),"")</f>
        <v>388816</v>
      </c>
      <c r="O136" s="168">
        <f t="shared" si="35"/>
        <v>1.0486620518648622</v>
      </c>
      <c r="P136" s="163" t="str">
        <f t="shared" si="36"/>
        <v>普通→</v>
      </c>
      <c r="Q136" s="163" t="str">
        <f t="shared" si="37"/>
        <v>中立→</v>
      </c>
      <c r="R136" s="166">
        <f t="shared" si="44"/>
        <v>1892</v>
      </c>
      <c r="S136" s="166">
        <f t="shared" si="45"/>
        <v>1682</v>
      </c>
      <c r="T136" s="163">
        <f>IF(C136="","",IFERROR(IF(O136&gt;=2,3,IF(O136&gt;=1.5,2,IF(O136&gt;=1,1,0)))+IF(E136&gt;G136,1,0)+IF(L136&gt;=-5,1,0)+IF(Q136="買い▲",2,0)+IF(W136&gt;=78,-4,IF(W136&gt;=72,-2,IF(W136&gt;=55,2,IF(W136&gt;=45,1,0))))+IF(X136&gt;0,1,0)+IF(V136="年初来高値更新●",3,IF(V136="高値圏",2,0))+IF(AD136="パーフェクト▲",3,IF(AD136="上昇トレンド▲",2,0))+IF(AE136="25日線押し目●",2,IF(AE136="5日線押し目○",1,0))+IF(P136="急増↑↑",2,IF(P136="増加↑",1,0))+N(AI136),0))</f>
      </c>
      <c r="U136" s="163" t="str">
        <f t="shared" si="46"/>
        <v>要確認</v>
      </c>
      <c r="V136" s="163" t="str">
        <f t="shared" si="39"/>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 t="shared" si="47"/>
        <v>1.6831108531630876</v>
      </c>
      <c r="AA136" s="163" t="str">
        <f t="shared" si="48"/>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 t="shared" si="40"/>
        <v>パーフェクト▲</v>
      </c>
      <c r="AE136" s="404" t="str">
        <f t="shared" si="41"/>
        <v>なし</v>
      </c>
      <c r="AF136" s="365">
        <f t="array" ref="AF136">IF(C136="","",IFERROR((INDEX(終値!$E:$E,MATCH(TEXT(C136,"0"),終値!$A:$A,0))-INDEX(終値!$E:$CZ,MATCH(TEXT(C136,"0"),終値!$A:$A,0),$AL$2))/INDEX(終値!$E:$CZ,MATCH(TEXT(C136,"0"),終値!$A:$A,0),$AL$2)*100,""))</f>
        <v>2.756598240469208</v>
      </c>
      <c r="AG136" s="365">
        <f t="array" ref="AG136">IFERROR((終値!$E$5-INDEX(終値!$E$5:$CZ$5,1,$AL$2))/INDEX(終値!$E$5:$CZ$5,1,$AL$2)*100,"")</f>
        <v>1.0179378228534113</v>
      </c>
      <c r="AH136" s="366">
        <f t="shared" si="42"/>
        <v>1.7386604176157967</v>
      </c>
      <c r="AI136" s="364">
        <f t="shared" si="43"/>
        <v>1</v>
      </c>
      <c r="BA136">
        <f>IFERROR((SUM(OFFSET(高値!$E$6,IFERROR(MATCH($C136,銘柄管理!$B$6:$B$305,0),MATCH(TEXT($C136,"0"),銘柄管理!$B$6:$B$305,0))-1,0,1,14))-SUM(OFFSET(安値!$E$6,IFERROR(MATCH($C136,銘柄管理!$B$6:$B$305,0),MATCH(TEXT($C136,"0"),銘柄管理!$B$6:$B$305,0))-1,0,1,14)))/SUM(OFFSET(終値!$E$6,IFERROR(MATCH($C136,銘柄管理!$B$6:$B$305,0),MATCH(TEXT($C136,"0"),銘柄管理!$B$6:$B$305,0))-1,0,1,14))*100,"")</f>
      </c>
      <c r="BB136">
        <f>IFERROR((MAX(OFFSET(高値!$E$6,IFERROR(MATCH($C136,銘柄管理!$B$6:$B$305,0),MATCH(TEXT($C136,"0"),銘柄管理!$B$6:$B$305,0))-1,0,1,25))-MIN(OFFSET(安値!$E$6,IFERROR(MATCH($C136,銘柄管理!$B$6:$B$305,0),MATCH(TEXT($C136,"0"),銘柄管理!$B$6:$B$305,0))-1,0,1,25)))/$E136*100,"")</f>
      </c>
      <c r="BC136">
        <f>IFERROR(($F136-$G136)/$G136*100,"")</f>
      </c>
      <c r="BD136">
        <f>IFERROR(($E136-MAX(OFFSET(高値!$E$6,IFERROR(MATCH($C136,銘柄管理!$B$6:$B$305,0),MATCH(TEXT($C136,"0"),銘柄管理!$B$6:$B$305,0))-1,0,1,25)))/MAX(OFFSET(高値!$E$6,IFERROR(MATCH($C136,銘柄管理!$B$6:$B$305,0),MATCH(TEXT($C136,"0"),銘柄管理!$B$6:$B$305,0))-1,0,1,25))*100,"")</f>
      </c>
      <c r="BE136">
        <f>IFERROR(($H136-$I136)/$F136*100,"")</f>
      </c>
      <c r="BF136">
        <f>IFERROR(-(($BA136-AVERAGE($BA$3:$BA$206))/STDEV($BA$3:$BA$206))-(($BE136-AVERAGE($BE$3:$BE$206))/STDEV($BE$3:$BE$206))-(($BB136-AVERAGE($BB$3:$BB$206))/STDEV($BB$3:$BB$206))-(($Z136-AVERAGE($Z$3:$Z$206))/STDEV($Z$3:$Z$206))-(($BC136-AVERAGE($BC$3:$BC$206))/STDEV($BC$3:$BC$206)),"")</f>
      </c>
      <c r="BG136">
        <f>IF(OR($C136="",$C136="TOPX",$BA136="",$BF136=""),0,IF(AND($BK$10=1,$BA136&lt;=$BK$2,$BB136&lt;=$BK$3,$BC136&lt;=$BK$4,$Z136&lt;=$BK$5,$Z136&gt;=$BK$6,$BD136&gt;=$BK$7,$BE136&lt;=$BK$8),1,0))</f>
      </c>
      <c r="BH136">
        <f>IF($C136="","",IF($BG136=1,"○ゲート通過",IF($BK$10&lt;&gt;1,"― この方向は停止中",IF($BA136&gt;$BK$2,"×値動きが荒い",IF($BB136&gt;$BK$3,"×レンジが広い",IF($BC136&gt;$BK$4,"×窓を開けて上昇",IF($Z136&gt;$BK$5,"×前日に急騰",IF($Z136&lt;$BK$6,"×前日に急落",IF($BD136&lt;$BK$7,"×高値から離れすぎ",IF($BE136&gt;$BK$8,"×当日の値幅が大きい","×")))))))))</f>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 t="shared" si="34"/>
        <v>-21.216617210682493</v>
      </c>
      <c r="M137" s="166">
        <f>IF(C137&lt;&gt;"",IFERROR(AVERAGE(出来高!E84:I84),""),"")</f>
        <v>7907900</v>
      </c>
      <c r="N137" s="166">
        <f>IF(C137&lt;&gt;"",IFERROR(AVERAGE(出来高!E84:AC84),""),"")</f>
        <v>5935052</v>
      </c>
      <c r="O137" s="168">
        <f t="shared" si="35"/>
        <v>0.92899505557733408</v>
      </c>
      <c r="P137" s="163" t="str">
        <f t="shared" si="36"/>
        <v>減少↓</v>
      </c>
      <c r="Q137" s="163" t="str">
        <f t="shared" si="37"/>
        <v>中立→</v>
      </c>
      <c r="R137" s="166">
        <f t="shared" si="44"/>
        <v>2007</v>
      </c>
      <c r="S137" s="166">
        <f t="shared" si="45"/>
        <v>1784</v>
      </c>
      <c r="T137" s="163">
        <f>IF(C137="","",IFERROR(IF(O137&gt;=2,3,IF(O137&gt;=1.5,2,IF(O137&gt;=1,1,0)))+IF(E137&gt;G137,1,0)+IF(L137&gt;=-5,1,0)+IF(Q137="買い▲",2,0)+IF(W137&gt;=78,-4,IF(W137&gt;=72,-2,IF(W137&gt;=55,2,IF(W137&gt;=45,1,0))))+IF(X137&gt;0,1,0)+IF(V137="年初来高値更新●",3,IF(V137="高値圏",2,0))+IF(AD137="パーフェクト▲",3,IF(AD137="上昇トレンド▲",2,0))+IF(AE137="25日線押し目●",2,IF(AE137="5日線押し目○",1,0))+IF(P137="急増↑↑",2,IF(P137="増加↑",1,0))+N(AI137),0))</f>
      </c>
      <c r="U137" s="163" t="str">
        <f t="shared" si="46"/>
        <v>要確認</v>
      </c>
      <c r="V137" s="163" t="str">
        <f t="shared" si="39"/>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 t="shared" si="47"/>
        <v>1.0878433505575198</v>
      </c>
      <c r="AA137" s="163" t="str">
        <f t="shared" si="48"/>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 t="shared" si="40"/>
        <v>パーフェクト▲</v>
      </c>
      <c r="AE137" s="406" t="str">
        <f t="shared" si="41"/>
        <v>なし</v>
      </c>
      <c r="AF137" s="365">
        <f t="array" ref="AF137">IF(C137="","",IFERROR((INDEX(終値!$E:$E,MATCH(TEXT(C137,"0"),終値!$A:$A,0))-INDEX(終値!$E:$CZ,MATCH(TEXT(C137,"0"),終値!$A:$A,0),$AL$2))/INDEX(終値!$E:$CZ,MATCH(TEXT(C137,"0"),終値!$A:$A,0),$AL$2)*100,""))</f>
        <v>19.710144927536234</v>
      </c>
      <c r="AG137" s="365">
        <f t="array" ref="AG137">IFERROR((終値!$E$5-INDEX(終値!$E$5:$CZ$5,1,$AL$2))/INDEX(終値!$E$5:$CZ$5,1,$AL$2)*100,"")</f>
        <v>1.0179378228534113</v>
      </c>
      <c r="AH137" s="366">
        <f t="shared" si="42"/>
        <v>18.692207104682822</v>
      </c>
      <c r="AI137" s="364">
        <f t="shared" si="43"/>
        <v>3</v>
      </c>
      <c r="BA137">
        <f>IFERROR((SUM(OFFSET(高値!$E$6,IFERROR(MATCH($C137,銘柄管理!$B$6:$B$305,0),MATCH(TEXT($C137,"0"),銘柄管理!$B$6:$B$305,0))-1,0,1,14))-SUM(OFFSET(安値!$E$6,IFERROR(MATCH($C137,銘柄管理!$B$6:$B$305,0),MATCH(TEXT($C137,"0"),銘柄管理!$B$6:$B$305,0))-1,0,1,14)))/SUM(OFFSET(終値!$E$6,IFERROR(MATCH($C137,銘柄管理!$B$6:$B$305,0),MATCH(TEXT($C137,"0"),銘柄管理!$B$6:$B$305,0))-1,0,1,14))*100,"")</f>
      </c>
      <c r="BB137">
        <f>IFERROR((MAX(OFFSET(高値!$E$6,IFERROR(MATCH($C137,銘柄管理!$B$6:$B$305,0),MATCH(TEXT($C137,"0"),銘柄管理!$B$6:$B$305,0))-1,0,1,25))-MIN(OFFSET(安値!$E$6,IFERROR(MATCH($C137,銘柄管理!$B$6:$B$305,0),MATCH(TEXT($C137,"0"),銘柄管理!$B$6:$B$305,0))-1,0,1,25)))/$E137*100,"")</f>
      </c>
      <c r="BC137">
        <f>IFERROR(($F137-$G137)/$G137*100,"")</f>
      </c>
      <c r="BD137">
        <f>IFERROR(($E137-MAX(OFFSET(高値!$E$6,IFERROR(MATCH($C137,銘柄管理!$B$6:$B$305,0),MATCH(TEXT($C137,"0"),銘柄管理!$B$6:$B$305,0))-1,0,1,25)))/MAX(OFFSET(高値!$E$6,IFERROR(MATCH($C137,銘柄管理!$B$6:$B$305,0),MATCH(TEXT($C137,"0"),銘柄管理!$B$6:$B$305,0))-1,0,1,25))*100,"")</f>
      </c>
      <c r="BE137">
        <f>IFERROR(($H137-$I137)/$F137*100,"")</f>
      </c>
      <c r="BF137">
        <f>IFERROR(-(($BA137-AVERAGE($BA$3:$BA$206))/STDEV($BA$3:$BA$206))-(($BE137-AVERAGE($BE$3:$BE$206))/STDEV($BE$3:$BE$206))-(($BB137-AVERAGE($BB$3:$BB$206))/STDEV($BB$3:$BB$206))-(($Z137-AVERAGE($Z$3:$Z$206))/STDEV($Z$3:$Z$206))-(($BC137-AVERAGE($BC$3:$BC$206))/STDEV($BC$3:$BC$206)),"")</f>
      </c>
      <c r="BG137">
        <f>IF(OR($C137="",$C137="TOPX",$BA137="",$BF137=""),0,IF(AND($BK$10=1,$BA137&lt;=$BK$2,$BB137&lt;=$BK$3,$BC137&lt;=$BK$4,$Z137&lt;=$BK$5,$Z137&gt;=$BK$6,$BD137&gt;=$BK$7,$BE137&lt;=$BK$8),1,0))</f>
      </c>
      <c r="BH137">
        <f>IF($C137="","",IF($BG137=1,"○ゲート通過",IF($BK$10&lt;&gt;1,"― この方向は停止中",IF($BA137&gt;$BK$2,"×値動きが荒い",IF($BB137&gt;$BK$3,"×レンジが広い",IF($BC137&gt;$BK$4,"×窓を開けて上昇",IF($Z137&gt;$BK$5,"×前日に急騰",IF($Z137&lt;$BK$6,"×前日に急落",IF($BD137&lt;$BK$7,"×高値から離れすぎ",IF($BE137&gt;$BK$8,"×当日の値幅が大きい","×")))))))))</f>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 t="shared" si="34"/>
        <v>-32.967289719626166</v>
      </c>
      <c r="M138" s="166">
        <f>IF(C138&lt;&gt;"",IFERROR(AVERAGE(出来高!E179:I179),""),"")</f>
        <v>126620</v>
      </c>
      <c r="N138" s="166">
        <f>IF(C138&lt;&gt;"",IFERROR(AVERAGE(出来高!E179:AC179),""),"")</f>
        <v>104852</v>
      </c>
      <c r="O138" s="168">
        <f t="shared" si="35"/>
        <v>0.86637182119728318</v>
      </c>
      <c r="P138" s="163" t="str">
        <f t="shared" si="36"/>
        <v>減少↓</v>
      </c>
      <c r="Q138" s="163" t="str">
        <f t="shared" si="37"/>
        <v>中立→</v>
      </c>
      <c r="R138" s="166">
        <f t="shared" si="44"/>
        <v>3099</v>
      </c>
      <c r="S138" s="166">
        <f t="shared" si="45"/>
        <v>2754</v>
      </c>
      <c r="T138" s="163">
        <f>IF(C138="","",IFERROR(IF(O138&gt;=2,3,IF(O138&gt;=1.5,2,IF(O138&gt;=1,1,0)))+IF(E138&gt;G138,1,0)+IF(L138&gt;=-5,1,0)+IF(Q138="買い▲",2,0)+IF(W138&gt;=78,-4,IF(W138&gt;=72,-2,IF(W138&gt;=55,2,IF(W138&gt;=45,1,0))))+IF(X138&gt;0,1,0)+IF(V138="年初来高値更新●",3,IF(V138="高値圏",2,0))+IF(AD138="パーフェクト▲",3,IF(AD138="上昇トレンド▲",2,0))+IF(AE138="25日線押し目●",2,IF(AE138="5日線押し目○",1,0))+IF(P138="急増↑↑",2,IF(P138="増加↑",1,0))+N(AI138),0))</f>
      </c>
      <c r="U138" s="163" t="str">
        <f t="shared" si="46"/>
        <v>要確認</v>
      </c>
      <c r="V138" s="163" t="str">
        <f t="shared" si="39"/>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 t="shared" si="47"/>
        <v>1.2707377338510413</v>
      </c>
      <c r="AA138" s="163" t="str">
        <f t="shared" si="48"/>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 t="shared" si="40"/>
        <v>パーフェクト▲</v>
      </c>
      <c r="AE138" s="404" t="str">
        <f t="shared" si="41"/>
        <v>なし</v>
      </c>
      <c r="AF138" s="365">
        <f t="array" ref="AF138">IF(C138="","",IFERROR((INDEX(終値!$E:$E,MATCH(TEXT(C138,"0"),終値!$A:$A,0))-INDEX(終値!$E:$CZ,MATCH(TEXT(C138,"0"),終値!$A:$A,0),$AL$2))/INDEX(終値!$E:$CZ,MATCH(TEXT(C138,"0"),終値!$A:$A,0),$AL$2)*100,""))</f>
        <v>12.730844793713164</v>
      </c>
      <c r="AG138" s="365">
        <f t="array" ref="AG138">IFERROR((終値!$E$5-INDEX(終値!$E$5:$CZ$5,1,$AL$2))/INDEX(終値!$E$5:$CZ$5,1,$AL$2)*100,"")</f>
        <v>1.0179378228534113</v>
      </c>
      <c r="AH138" s="366">
        <f t="shared" si="42"/>
        <v>11.712906970859752</v>
      </c>
      <c r="AI138" s="364">
        <f t="shared" si="43"/>
        <v>3</v>
      </c>
      <c r="BA138">
        <f>IFERROR((SUM(OFFSET(高値!$E$6,IFERROR(MATCH($C138,銘柄管理!$B$6:$B$305,0),MATCH(TEXT($C138,"0"),銘柄管理!$B$6:$B$305,0))-1,0,1,14))-SUM(OFFSET(安値!$E$6,IFERROR(MATCH($C138,銘柄管理!$B$6:$B$305,0),MATCH(TEXT($C138,"0"),銘柄管理!$B$6:$B$305,0))-1,0,1,14)))/SUM(OFFSET(終値!$E$6,IFERROR(MATCH($C138,銘柄管理!$B$6:$B$305,0),MATCH(TEXT($C138,"0"),銘柄管理!$B$6:$B$305,0))-1,0,1,14))*100,"")</f>
      </c>
      <c r="BB138">
        <f>IFERROR((MAX(OFFSET(高値!$E$6,IFERROR(MATCH($C138,銘柄管理!$B$6:$B$305,0),MATCH(TEXT($C138,"0"),銘柄管理!$B$6:$B$305,0))-1,0,1,25))-MIN(OFFSET(安値!$E$6,IFERROR(MATCH($C138,銘柄管理!$B$6:$B$305,0),MATCH(TEXT($C138,"0"),銘柄管理!$B$6:$B$305,0))-1,0,1,25)))/$E138*100,"")</f>
      </c>
      <c r="BC138">
        <f>IFERROR(($F138-$G138)/$G138*100,"")</f>
      </c>
      <c r="BD138">
        <f>IFERROR(($E138-MAX(OFFSET(高値!$E$6,IFERROR(MATCH($C138,銘柄管理!$B$6:$B$305,0),MATCH(TEXT($C138,"0"),銘柄管理!$B$6:$B$305,0))-1,0,1,25)))/MAX(OFFSET(高値!$E$6,IFERROR(MATCH($C138,銘柄管理!$B$6:$B$305,0),MATCH(TEXT($C138,"0"),銘柄管理!$B$6:$B$305,0))-1,0,1,25))*100,"")</f>
      </c>
      <c r="BE138">
        <f>IFERROR(($H138-$I138)/$F138*100,"")</f>
      </c>
      <c r="BF138">
        <f>IFERROR(-(($BA138-AVERAGE($BA$3:$BA$206))/STDEV($BA$3:$BA$206))-(($BE138-AVERAGE($BE$3:$BE$206))/STDEV($BE$3:$BE$206))-(($BB138-AVERAGE($BB$3:$BB$206))/STDEV($BB$3:$BB$206))-(($Z138-AVERAGE($Z$3:$Z$206))/STDEV($Z$3:$Z$206))-(($BC138-AVERAGE($BC$3:$BC$206))/STDEV($BC$3:$BC$206)),"")</f>
      </c>
      <c r="BG138">
        <f>IF(OR($C138="",$C138="TOPX",$BA138="",$BF138=""),0,IF(AND($BK$10=1,$BA138&lt;=$BK$2,$BB138&lt;=$BK$3,$BC138&lt;=$BK$4,$Z138&lt;=$BK$5,$Z138&gt;=$BK$6,$BD138&gt;=$BK$7,$BE138&lt;=$BK$8),1,0))</f>
      </c>
      <c r="BH138">
        <f>IF($C138="","",IF($BG138=1,"○ゲート通過",IF($BK$10&lt;&gt;1,"― この方向は停止中",IF($BA138&gt;$BK$2,"×値動きが荒い",IF($BB138&gt;$BK$3,"×レンジが広い",IF($BC138&gt;$BK$4,"×窓を開けて上昇",IF($Z138&gt;$BK$5,"×前日に急騰",IF($Z138&lt;$BK$6,"×前日に急落",IF($BD138&lt;$BK$7,"×高値から離れすぎ",IF($BE138&gt;$BK$8,"×当日の値幅が大きい","×")))))))))</f>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 t="shared" si="34"/>
        <v>-15.255305736499263</v>
      </c>
      <c r="M139" s="166">
        <f>IF(C139&lt;&gt;"",IFERROR(AVERAGE(出来高!E38:I38),""),"")</f>
        <v>3407660</v>
      </c>
      <c r="N139" s="166">
        <f>IF(C139&lt;&gt;"",IFERROR(AVERAGE(出来高!E38:AC38),""),"")</f>
        <v>2411612</v>
      </c>
      <c r="O139" s="168">
        <f t="shared" si="35"/>
        <v>0.87881420094727758</v>
      </c>
      <c r="P139" s="163" t="str">
        <f t="shared" si="36"/>
        <v>減少↓</v>
      </c>
      <c r="Q139" s="163" t="str">
        <f t="shared" si="37"/>
        <v>中立→</v>
      </c>
      <c r="R139" s="166">
        <f t="shared" si="44"/>
        <v>2178</v>
      </c>
      <c r="S139" s="166">
        <f t="shared" si="45"/>
        <v>1936</v>
      </c>
      <c r="T139" s="163">
        <f>IF(C139="","",IFERROR(IF(O139&gt;=2,3,IF(O139&gt;=1.5,2,IF(O139&gt;=1,1,0)))+IF(E139&gt;G139,1,0)+IF(L139&gt;=-5,1,0)+IF(Q139="買い▲",2,0)+IF(W139&gt;=78,-4,IF(W139&gt;=72,-2,IF(W139&gt;=55,2,IF(W139&gt;=45,1,0))))+IF(X139&gt;0,1,0)+IF(V139="年初来高値更新●",3,IF(V139="高値圏",2,0))+IF(AD139="パーフェクト▲",3,IF(AD139="上昇トレンド▲",2,0))+IF(AE139="25日線押し目●",2,IF(AE139="5日線押し目○",1,0))+IF(P139="急増↑↑",2,IF(P139="増加↑",1,0))+N(AI139),0))</f>
      </c>
      <c r="U139" s="163" t="str">
        <f t="shared" si="46"/>
        <v>要確認</v>
      </c>
      <c r="V139" s="163" t="str">
        <f t="shared" si="39"/>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 t="shared" si="47"/>
        <v>2.2565922920892496</v>
      </c>
      <c r="AA139" s="163" t="str">
        <f t="shared" si="48"/>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 t="shared" si="40"/>
        <v>上昇トレンド▲</v>
      </c>
      <c r="AE139" s="406" t="str">
        <f t="shared" si="41"/>
        <v>なし</v>
      </c>
      <c r="AF139" s="365">
        <f t="array" ref="AF139">IF(C139="","",IFERROR((INDEX(終値!$E:$E,MATCH(TEXT(C139,"0"),終値!$A:$A,0))-INDEX(終値!$E:$CZ,MATCH(TEXT(C139,"0"),終値!$A:$A,0),$AL$2))/INDEX(終値!$E:$CZ,MATCH(TEXT(C139,"0"),終値!$A:$A,0),$AL$2)*100,""))</f>
        <v>9.0589507842076795</v>
      </c>
      <c r="AG139" s="365">
        <f t="array" ref="AG139">IFERROR((終値!$E$5-INDEX(終値!$E$5:$CZ$5,1,$AL$2))/INDEX(終値!$E$5:$CZ$5,1,$AL$2)*100,"")</f>
        <v>1.0179378228534113</v>
      </c>
      <c r="AH139" s="366">
        <f t="shared" si="42"/>
        <v>8.0410129613542676</v>
      </c>
      <c r="AI139" s="364">
        <f t="shared" si="43"/>
        <v>3</v>
      </c>
      <c r="BA139">
        <f>IFERROR((SUM(OFFSET(高値!$E$6,IFERROR(MATCH($C139,銘柄管理!$B$6:$B$305,0),MATCH(TEXT($C139,"0"),銘柄管理!$B$6:$B$305,0))-1,0,1,14))-SUM(OFFSET(安値!$E$6,IFERROR(MATCH($C139,銘柄管理!$B$6:$B$305,0),MATCH(TEXT($C139,"0"),銘柄管理!$B$6:$B$305,0))-1,0,1,14)))/SUM(OFFSET(終値!$E$6,IFERROR(MATCH($C139,銘柄管理!$B$6:$B$305,0),MATCH(TEXT($C139,"0"),銘柄管理!$B$6:$B$305,0))-1,0,1,14))*100,"")</f>
      </c>
      <c r="BB139">
        <f>IFERROR((MAX(OFFSET(高値!$E$6,IFERROR(MATCH($C139,銘柄管理!$B$6:$B$305,0),MATCH(TEXT($C139,"0"),銘柄管理!$B$6:$B$305,0))-1,0,1,25))-MIN(OFFSET(安値!$E$6,IFERROR(MATCH($C139,銘柄管理!$B$6:$B$305,0),MATCH(TEXT($C139,"0"),銘柄管理!$B$6:$B$305,0))-1,0,1,25)))/$E139*100,"")</f>
      </c>
      <c r="BC139">
        <f>IFERROR(($F139-$G139)/$G139*100,"")</f>
      </c>
      <c r="BD139">
        <f>IFERROR(($E139-MAX(OFFSET(高値!$E$6,IFERROR(MATCH($C139,銘柄管理!$B$6:$B$305,0),MATCH(TEXT($C139,"0"),銘柄管理!$B$6:$B$305,0))-1,0,1,25)))/MAX(OFFSET(高値!$E$6,IFERROR(MATCH($C139,銘柄管理!$B$6:$B$305,0),MATCH(TEXT($C139,"0"),銘柄管理!$B$6:$B$305,0))-1,0,1,25))*100,"")</f>
      </c>
      <c r="BE139">
        <f>IFERROR(($H139-$I139)/$F139*100,"")</f>
      </c>
      <c r="BF139">
        <f>IFERROR(-(($BA139-AVERAGE($BA$3:$BA$206))/STDEV($BA$3:$BA$206))-(($BE139-AVERAGE($BE$3:$BE$206))/STDEV($BE$3:$BE$206))-(($BB139-AVERAGE($BB$3:$BB$206))/STDEV($BB$3:$BB$206))-(($Z139-AVERAGE($Z$3:$Z$206))/STDEV($Z$3:$Z$206))-(($BC139-AVERAGE($BC$3:$BC$206))/STDEV($BC$3:$BC$206)),"")</f>
      </c>
      <c r="BG139">
        <f>IF(OR($C139="",$C139="TOPX",$BA139="",$BF139=""),0,IF(AND($BK$10=1,$BA139&lt;=$BK$2,$BB139&lt;=$BK$3,$BC139&lt;=$BK$4,$Z139&lt;=$BK$5,$Z139&gt;=$BK$6,$BD139&gt;=$BK$7,$BE139&lt;=$BK$8),1,0))</f>
      </c>
      <c r="BH139">
        <f>IF($C139="","",IF($BG139=1,"○ゲート通過",IF($BK$10&lt;&gt;1,"― この方向は停止中",IF($BA139&gt;$BK$2,"×値動きが荒い",IF($BB139&gt;$BK$3,"×レンジが広い",IF($BC139&gt;$BK$4,"×窓を開けて上昇",IF($Z139&gt;$BK$5,"×前日に急騰",IF($Z139&lt;$BK$6,"×前日に急落",IF($BD139&lt;$BK$7,"×高値から離れすぎ",IF($BE139&gt;$BK$8,"×当日の値幅が大きい","×")))))))))</f>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 t="shared" si="34"/>
        <v>-2.3292369248356608</v>
      </c>
      <c r="M140" s="166">
        <f>IF(C140&lt;&gt;"",IFERROR(AVERAGE(出来高!E46:I46),""),"")</f>
        <v>53198400</v>
      </c>
      <c r="N140" s="166">
        <f>IF(C140&lt;&gt;"",IFERROR(AVERAGE(出来高!E46:AC46),""),"")</f>
        <v>42637258.333333336</v>
      </c>
      <c r="O140" s="168">
        <f t="shared" si="35"/>
        <v>0.99883643117086229</v>
      </c>
      <c r="P140" s="163" t="str">
        <f t="shared" si="36"/>
        <v>減少↓</v>
      </c>
      <c r="Q140" s="163" t="str">
        <f t="shared" si="37"/>
        <v>中立→</v>
      </c>
      <c r="R140" s="166">
        <f t="shared" si="44"/>
        <v>738</v>
      </c>
      <c r="S140" s="166">
        <f t="shared" si="45"/>
        <v>656</v>
      </c>
      <c r="T140" s="163">
        <f>IF(C140="","",IFERROR(IF(O140&gt;=2,3,IF(O140&gt;=1.5,2,IF(O140&gt;=1,1,0)))+IF(E140&gt;G140,1,0)+IF(L140&gt;=-5,1,0)+IF(Q140="買い▲",2,0)+IF(W140&gt;=78,-4,IF(W140&gt;=72,-2,IF(W140&gt;=55,2,IF(W140&gt;=45,1,0))))+IF(X140&gt;0,1,0)+IF(V140="年初来高値更新●",3,IF(V140="高値圏",2,0))+IF(AD140="パーフェクト▲",3,IF(AD140="上昇トレンド▲",2,0))+IF(AE140="25日線押し目●",2,IF(AE140="5日線押し目○",1,0))+IF(P140="急増↑↑",2,IF(P140="増加↑",1,0))+N(AI140),0))</f>
      </c>
      <c r="U140" s="163" t="str">
        <f t="shared" si="46"/>
        <v>要確認</v>
      </c>
      <c r="V140" s="163" t="str">
        <f t="shared" si="39"/>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 t="shared" si="47"/>
        <v>1.7113095238095239</v>
      </c>
      <c r="AA140" s="163" t="str">
        <f t="shared" si="48"/>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 t="shared" si="40"/>
        <v>下降トレンド▼</v>
      </c>
      <c r="AE140" s="404" t="str">
        <f t="shared" si="41"/>
        <v>なし</v>
      </c>
      <c r="AF140" s="365">
        <f t="array" ref="AF140">IF(C140="","",IFERROR((INDEX(終値!$E:$E,MATCH(TEXT(C140,"0"),終値!$A:$A,0))-INDEX(終値!$E:$CZ,MATCH(TEXT(C140,"0"),終値!$A:$A,0),$AL$2))/INDEX(終値!$E:$CZ,MATCH(TEXT(C140,"0"),終値!$A:$A,0),$AL$2)*100,""))</f>
        <v>28.719397363465159</v>
      </c>
      <c r="AG140" s="365">
        <f t="array" ref="AG140">IFERROR((終値!$E$5-INDEX(終値!$E$5:$CZ$5,1,$AL$2))/INDEX(終値!$E$5:$CZ$5,1,$AL$2)*100,"")</f>
        <v>1.0179378228534113</v>
      </c>
      <c r="AH140" s="366">
        <f t="shared" si="42"/>
        <v>27.701459540611747</v>
      </c>
      <c r="AI140" s="364">
        <f t="shared" si="43"/>
        <v>3</v>
      </c>
      <c r="BA140">
        <f>IFERROR((SUM(OFFSET(高値!$E$6,IFERROR(MATCH($C140,銘柄管理!$B$6:$B$305,0),MATCH(TEXT($C140,"0"),銘柄管理!$B$6:$B$305,0))-1,0,1,14))-SUM(OFFSET(安値!$E$6,IFERROR(MATCH($C140,銘柄管理!$B$6:$B$305,0),MATCH(TEXT($C140,"0"),銘柄管理!$B$6:$B$305,0))-1,0,1,14)))/SUM(OFFSET(終値!$E$6,IFERROR(MATCH($C140,銘柄管理!$B$6:$B$305,0),MATCH(TEXT($C140,"0"),銘柄管理!$B$6:$B$305,0))-1,0,1,14))*100,"")</f>
      </c>
      <c r="BB140">
        <f>IFERROR((MAX(OFFSET(高値!$E$6,IFERROR(MATCH($C140,銘柄管理!$B$6:$B$305,0),MATCH(TEXT($C140,"0"),銘柄管理!$B$6:$B$305,0))-1,0,1,25))-MIN(OFFSET(安値!$E$6,IFERROR(MATCH($C140,銘柄管理!$B$6:$B$305,0),MATCH(TEXT($C140,"0"),銘柄管理!$B$6:$B$305,0))-1,0,1,25)))/$E140*100,"")</f>
      </c>
      <c r="BC140">
        <f>IFERROR(($F140-$G140)/$G140*100,"")</f>
      </c>
      <c r="BD140">
        <f>IFERROR(($E140-MAX(OFFSET(高値!$E$6,IFERROR(MATCH($C140,銘柄管理!$B$6:$B$305,0),MATCH(TEXT($C140,"0"),銘柄管理!$B$6:$B$305,0))-1,0,1,25)))/MAX(OFFSET(高値!$E$6,IFERROR(MATCH($C140,銘柄管理!$B$6:$B$305,0),MATCH(TEXT($C140,"0"),銘柄管理!$B$6:$B$305,0))-1,0,1,25))*100,"")</f>
      </c>
      <c r="BE140">
        <f>IFERROR(($H140-$I140)/$F140*100,"")</f>
      </c>
      <c r="BF140">
        <f>IFERROR(-(($BA140-AVERAGE($BA$3:$BA$206))/STDEV($BA$3:$BA$206))-(($BE140-AVERAGE($BE$3:$BE$206))/STDEV($BE$3:$BE$206))-(($BB140-AVERAGE($BB$3:$BB$206))/STDEV($BB$3:$BB$206))-(($Z140-AVERAGE($Z$3:$Z$206))/STDEV($Z$3:$Z$206))-(($BC140-AVERAGE($BC$3:$BC$206))/STDEV($BC$3:$BC$206)),"")</f>
      </c>
      <c r="BG140">
        <f>IF(OR($C140="",$C140="TOPX",$BA140="",$BF140=""),0,IF(AND($BK$10=1,$BA140&lt;=$BK$2,$BB140&lt;=$BK$3,$BC140&lt;=$BK$4,$Z140&lt;=$BK$5,$Z140&gt;=$BK$6,$BD140&gt;=$BK$7,$BE140&lt;=$BK$8),1,0))</f>
      </c>
      <c r="BH140">
        <f>IF($C140="","",IF($BG140=1,"○ゲート通過",IF($BK$10&lt;&gt;1,"― この方向は停止中",IF($BA140&gt;$BK$2,"×値動きが荒い",IF($BB140&gt;$BK$3,"×レンジが広い",IF($BC140&gt;$BK$4,"×窓を開けて上昇",IF($Z140&gt;$BK$5,"×前日に急騰",IF($Z140&lt;$BK$6,"×前日に急落",IF($BD140&lt;$BK$7,"×高値から離れすぎ",IF($BE140&gt;$BK$8,"×当日の値幅が大きい","×")))))))))</f>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 t="shared" si="34"/>
        <v>-26.881175576387129</v>
      </c>
      <c r="M141" s="166">
        <f>IF(C141&lt;&gt;"",IFERROR(AVERAGE(出来高!E17:I17),""),"")</f>
        <v>2227420</v>
      </c>
      <c r="N141" s="166">
        <f>IF(C141&lt;&gt;"",IFERROR(AVERAGE(出来高!E17:AC17),""),"")</f>
        <v>1910688</v>
      </c>
      <c r="O141" s="168">
        <f t="shared" si="35"/>
        <v>0.74301209471047225</v>
      </c>
      <c r="P141" s="163" t="str">
        <f t="shared" si="36"/>
        <v>減少↓</v>
      </c>
      <c r="Q141" s="163" t="str">
        <f t="shared" si="37"/>
        <v>様子見▼</v>
      </c>
      <c r="R141" s="166">
        <f t="shared" si="44"/>
        <v>6234</v>
      </c>
      <c r="S141" s="166">
        <f t="shared" si="45"/>
        <v>5541</v>
      </c>
      <c r="T141" s="163">
        <f>IF(C141="","",IFERROR(IF(O141&gt;=2,3,IF(O141&gt;=1.5,2,IF(O141&gt;=1,1,0)))+IF(E141&gt;G141,1,0)+IF(L141&gt;=-5,1,0)+IF(Q141="買い▲",2,0)+IF(W141&gt;=78,-4,IF(W141&gt;=72,-2,IF(W141&gt;=55,2,IF(W141&gt;=45,1,0))))+IF(X141&gt;0,1,0)+IF(V141="年初来高値更新●",3,IF(V141="高値圏",2,0))+IF(AD141="パーフェクト▲",3,IF(AD141="上昇トレンド▲",2,0))+IF(AE141="25日線押し目●",2,IF(AE141="5日線押し目○",1,0))+IF(P141="急増↑↑",2,IF(P141="増加↑",1,0))+N(AI141),0))</f>
      </c>
      <c r="U141" s="163" t="str">
        <f t="shared" si="46"/>
        <v>除外</v>
      </c>
      <c r="V141" s="163" t="str">
        <f t="shared" si="39"/>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 t="shared" si="47"/>
        <v>-2.6315789473684208</v>
      </c>
      <c r="AA141" s="163" t="str">
        <f t="shared" si="48"/>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 t="shared" si="40"/>
        <v>上昇トレンド▲</v>
      </c>
      <c r="AE141" s="406" t="str">
        <f t="shared" si="41"/>
        <v>なし</v>
      </c>
      <c r="AF141" s="365">
        <f t="array" ref="AF141">IF(C141="","",IFERROR((INDEX(終値!$E:$E,MATCH(TEXT(C141,"0"),終値!$A:$A,0))-INDEX(終値!$E:$CZ,MATCH(TEXT(C141,"0"),終値!$A:$A,0),$AL$2))/INDEX(終値!$E:$CZ,MATCH(TEXT(C141,"0"),終値!$A:$A,0),$AL$2)*100,""))</f>
        <v>-24.64751958224543</v>
      </c>
      <c r="AG141" s="365">
        <f t="array" ref="AG141">IFERROR((終値!$E$5-INDEX(終値!$E$5:$CZ$5,1,$AL$2))/INDEX(終値!$E$5:$CZ$5,1,$AL$2)*100,"")</f>
        <v>1.0179378228534113</v>
      </c>
      <c r="AH141" s="366">
        <f t="shared" si="42"/>
        <v>-25.665457405098842</v>
      </c>
      <c r="AI141" s="364">
        <f t="shared" si="43"/>
        <v>-2</v>
      </c>
      <c r="BA141">
        <f>IFERROR((SUM(OFFSET(高値!$E$6,IFERROR(MATCH($C141,銘柄管理!$B$6:$B$305,0),MATCH(TEXT($C141,"0"),銘柄管理!$B$6:$B$305,0))-1,0,1,14))-SUM(OFFSET(安値!$E$6,IFERROR(MATCH($C141,銘柄管理!$B$6:$B$305,0),MATCH(TEXT($C141,"0"),銘柄管理!$B$6:$B$305,0))-1,0,1,14)))/SUM(OFFSET(終値!$E$6,IFERROR(MATCH($C141,銘柄管理!$B$6:$B$305,0),MATCH(TEXT($C141,"0"),銘柄管理!$B$6:$B$305,0))-1,0,1,14))*100,"")</f>
      </c>
      <c r="BB141">
        <f>IFERROR((MAX(OFFSET(高値!$E$6,IFERROR(MATCH($C141,銘柄管理!$B$6:$B$305,0),MATCH(TEXT($C141,"0"),銘柄管理!$B$6:$B$305,0))-1,0,1,25))-MIN(OFFSET(安値!$E$6,IFERROR(MATCH($C141,銘柄管理!$B$6:$B$305,0),MATCH(TEXT($C141,"0"),銘柄管理!$B$6:$B$305,0))-1,0,1,25)))/$E141*100,"")</f>
      </c>
      <c r="BC141">
        <f>IFERROR(($F141-$G141)/$G141*100,"")</f>
      </c>
      <c r="BD141">
        <f>IFERROR(($E141-MAX(OFFSET(高値!$E$6,IFERROR(MATCH($C141,銘柄管理!$B$6:$B$305,0),MATCH(TEXT($C141,"0"),銘柄管理!$B$6:$B$305,0))-1,0,1,25)))/MAX(OFFSET(高値!$E$6,IFERROR(MATCH($C141,銘柄管理!$B$6:$B$305,0),MATCH(TEXT($C141,"0"),銘柄管理!$B$6:$B$305,0))-1,0,1,25))*100,"")</f>
      </c>
      <c r="BE141">
        <f>IFERROR(($H141-$I141)/$F141*100,"")</f>
      </c>
      <c r="BF141">
        <f>IFERROR(-(($BA141-AVERAGE($BA$3:$BA$206))/STDEV($BA$3:$BA$206))-(($BE141-AVERAGE($BE$3:$BE$206))/STDEV($BE$3:$BE$206))-(($BB141-AVERAGE($BB$3:$BB$206))/STDEV($BB$3:$BB$206))-(($Z141-AVERAGE($Z$3:$Z$206))/STDEV($Z$3:$Z$206))-(($BC141-AVERAGE($BC$3:$BC$206))/STDEV($BC$3:$BC$206)),"")</f>
      </c>
      <c r="BG141">
        <f>IF(OR($C141="",$C141="TOPX",$BA141="",$BF141=""),0,IF(AND($BK$10=1,$BA141&lt;=$BK$2,$BB141&lt;=$BK$3,$BC141&lt;=$BK$4,$Z141&lt;=$BK$5,$Z141&gt;=$BK$6,$BD141&gt;=$BK$7,$BE141&lt;=$BK$8),1,0))</f>
      </c>
      <c r="BH141">
        <f>IF($C141="","",IF($BG141=1,"○ゲート通過",IF($BK$10&lt;&gt;1,"― この方向は停止中",IF($BA141&gt;$BK$2,"×値動きが荒い",IF($BB141&gt;$BK$3,"×レンジが広い",IF($BC141&gt;$BK$4,"×窓を開けて上昇",IF($Z141&gt;$BK$5,"×前日に急騰",IF($Z141&lt;$BK$6,"×前日に急落",IF($BD141&lt;$BK$7,"×高値から離れすぎ",IF($BE141&gt;$BK$8,"×当日の値幅が大きい","×")))))))))</f>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 t="shared" si="34"/>
        <v>-31.284210526315793</v>
      </c>
      <c r="M142" s="166">
        <f>IF(C142&lt;&gt;"",IFERROR(AVERAGE(出来高!E21:I21),""),"")</f>
        <v>2113280</v>
      </c>
      <c r="N142" s="166">
        <f>IF(C142&lt;&gt;"",IFERROR(AVERAGE(出来高!E21:AC21),""),"")</f>
        <v>1391454.1666666667</v>
      </c>
      <c r="O142" s="168">
        <f t="shared" si="35"/>
        <v>0.72148508479709272</v>
      </c>
      <c r="P142" s="163" t="str">
        <f t="shared" si="36"/>
        <v>減少↓</v>
      </c>
      <c r="Q142" s="163" t="str">
        <f t="shared" si="37"/>
        <v>様子見▼</v>
      </c>
      <c r="R142" s="166">
        <f t="shared" si="44"/>
        <v>7050</v>
      </c>
      <c r="S142" s="166">
        <f t="shared" si="45"/>
        <v>6267</v>
      </c>
      <c r="T142" s="163">
        <f>IF(C142="","",IFERROR(IF(O142&gt;=2,3,IF(O142&gt;=1.5,2,IF(O142&gt;=1,1,0)))+IF(E142&gt;G142,1,0)+IF(L142&gt;=-5,1,0)+IF(Q142="買い▲",2,0)+IF(W142&gt;=78,-4,IF(W142&gt;=72,-2,IF(W142&gt;=55,2,IF(W142&gt;=45,1,0))))+IF(X142&gt;0,1,0)+IF(V142="年初来高値更新●",3,IF(V142="高値圏",2,0))+IF(AD142="パーフェクト▲",3,IF(AD142="上昇トレンド▲",2,0))+IF(AE142="25日線押し目●",2,IF(AE142="5日線押し目○",1,0))+IF(P142="急増↑↑",2,IF(P142="増加↑",1,0))+N(AI142),0))</f>
      </c>
      <c r="U142" s="163" t="str">
        <f t="shared" si="46"/>
        <v>除外</v>
      </c>
      <c r="V142" s="163" t="str">
        <f t="shared" si="39"/>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 t="shared" si="47"/>
        <v>-1.7459361830222759</v>
      </c>
      <c r="AA142" s="163" t="str">
        <f t="shared" si="48"/>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 t="shared" si="40"/>
        <v>もみ合い→</v>
      </c>
      <c r="AE142" s="404" t="str">
        <f t="shared" si="41"/>
        <v>なし</v>
      </c>
      <c r="AF142" s="365">
        <f t="array" ref="AF142">IF(C142="","",IFERROR((INDEX(終値!$E:$E,MATCH(TEXT(C142,"0"),終値!$A:$A,0))-INDEX(終値!$E:$CZ,MATCH(TEXT(C142,"0"),終値!$A:$A,0),$AL$2))/INDEX(終値!$E:$CZ,MATCH(TEXT(C142,"0"),終値!$A:$A,0),$AL$2)*100,""))</f>
        <v>-20.997216507321795</v>
      </c>
      <c r="AG142" s="365">
        <f t="array" ref="AG142">IFERROR((終値!$E$5-INDEX(終値!$E$5:$CZ$5,1,$AL$2))/INDEX(終値!$E$5:$CZ$5,1,$AL$2)*100,"")</f>
        <v>1.0179378228534113</v>
      </c>
      <c r="AH142" s="366">
        <f t="shared" si="42"/>
        <v>-22.015154330175207</v>
      </c>
      <c r="AI142" s="364">
        <f t="shared" si="43"/>
        <v>-2</v>
      </c>
      <c r="BA142">
        <f>IFERROR((SUM(OFFSET(高値!$E$6,IFERROR(MATCH($C142,銘柄管理!$B$6:$B$305,0),MATCH(TEXT($C142,"0"),銘柄管理!$B$6:$B$305,0))-1,0,1,14))-SUM(OFFSET(安値!$E$6,IFERROR(MATCH($C142,銘柄管理!$B$6:$B$305,0),MATCH(TEXT($C142,"0"),銘柄管理!$B$6:$B$305,0))-1,0,1,14)))/SUM(OFFSET(終値!$E$6,IFERROR(MATCH($C142,銘柄管理!$B$6:$B$305,0),MATCH(TEXT($C142,"0"),銘柄管理!$B$6:$B$305,0))-1,0,1,14))*100,"")</f>
      </c>
      <c r="BB142">
        <f>IFERROR((MAX(OFFSET(高値!$E$6,IFERROR(MATCH($C142,銘柄管理!$B$6:$B$305,0),MATCH(TEXT($C142,"0"),銘柄管理!$B$6:$B$305,0))-1,0,1,25))-MIN(OFFSET(安値!$E$6,IFERROR(MATCH($C142,銘柄管理!$B$6:$B$305,0),MATCH(TEXT($C142,"0"),銘柄管理!$B$6:$B$305,0))-1,0,1,25)))/$E142*100,"")</f>
      </c>
      <c r="BC142">
        <f>IFERROR(($F142-$G142)/$G142*100,"")</f>
      </c>
      <c r="BD142">
        <f>IFERROR(($E142-MAX(OFFSET(高値!$E$6,IFERROR(MATCH($C142,銘柄管理!$B$6:$B$305,0),MATCH(TEXT($C142,"0"),銘柄管理!$B$6:$B$305,0))-1,0,1,25)))/MAX(OFFSET(高値!$E$6,IFERROR(MATCH($C142,銘柄管理!$B$6:$B$305,0),MATCH(TEXT($C142,"0"),銘柄管理!$B$6:$B$305,0))-1,0,1,25))*100,"")</f>
      </c>
      <c r="BE142">
        <f>IFERROR(($H142-$I142)/$F142*100,"")</f>
      </c>
      <c r="BF142">
        <f>IFERROR(-(($BA142-AVERAGE($BA$3:$BA$206))/STDEV($BA$3:$BA$206))-(($BE142-AVERAGE($BE$3:$BE$206))/STDEV($BE$3:$BE$206))-(($BB142-AVERAGE($BB$3:$BB$206))/STDEV($BB$3:$BB$206))-(($Z142-AVERAGE($Z$3:$Z$206))/STDEV($Z$3:$Z$206))-(($BC142-AVERAGE($BC$3:$BC$206))/STDEV($BC$3:$BC$206)),"")</f>
      </c>
      <c r="BG142">
        <f>IF(OR($C142="",$C142="TOPX",$BA142="",$BF142=""),0,IF(AND($BK$10=1,$BA142&lt;=$BK$2,$BB142&lt;=$BK$3,$BC142&lt;=$BK$4,$Z142&lt;=$BK$5,$Z142&gt;=$BK$6,$BD142&gt;=$BK$7,$BE142&lt;=$BK$8),1,0))</f>
      </c>
      <c r="BH142">
        <f>IF($C142="","",IF($BG142=1,"○ゲート通過",IF($BK$10&lt;&gt;1,"― この方向は停止中",IF($BA142&gt;$BK$2,"×値動きが荒い",IF($BB142&gt;$BK$3,"×レンジが広い",IF($BC142&gt;$BK$4,"×窓を開けて上昇",IF($Z142&gt;$BK$5,"×前日に急騰",IF($Z142&lt;$BK$6,"×前日に急落",IF($BD142&lt;$BK$7,"×高値から離れすぎ",IF($BE142&gt;$BK$8,"×当日の値幅が大きい","×")))))))))</f>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 t="shared" si="34"/>
        <v>-32.041116005873718</v>
      </c>
      <c r="M143" s="166">
        <f>IF(C143&lt;&gt;"",IFERROR(AVERAGE(出来高!E193:I193),""),"")</f>
        <v>418560</v>
      </c>
      <c r="N143" s="166">
        <f>IF(C143&lt;&gt;"",IFERROR(AVERAGE(出来高!E193:AC193),""),"")</f>
        <v>619792</v>
      </c>
      <c r="O143" s="168">
        <f t="shared" si="35"/>
        <v>1.177131116207951</v>
      </c>
      <c r="P143" s="163" t="str">
        <f t="shared" si="36"/>
        <v>普通→</v>
      </c>
      <c r="Q143" s="163" t="str">
        <f t="shared" si="37"/>
        <v>中立→</v>
      </c>
      <c r="R143" s="166">
        <f t="shared" si="44"/>
        <v>2499</v>
      </c>
      <c r="S143" s="166">
        <f t="shared" si="45"/>
        <v>2221</v>
      </c>
      <c r="T143" s="163">
        <f>IF(C143="","",IFERROR(IF(O143&gt;=2,3,IF(O143&gt;=1.5,2,IF(O143&gt;=1,1,0)))+IF(E143&gt;G143,1,0)+IF(L143&gt;=-5,1,0)+IF(Q143="買い▲",2,0)+IF(W143&gt;=78,-4,IF(W143&gt;=72,-2,IF(W143&gt;=55,2,IF(W143&gt;=45,1,0))))+IF(X143&gt;0,1,0)+IF(V143="年初来高値更新●",3,IF(V143="高値圏",2,0))+IF(AD143="パーフェクト▲",3,IF(AD143="上昇トレンド▲",2,0))+IF(AE143="25日線押し目●",2,IF(AE143="5日線押し目○",1,0))+IF(P143="急増↑↑",2,IF(P143="増加↑",1,0))+N(AI143),0))</f>
      </c>
      <c r="U143" s="163" t="str">
        <f t="shared" si="46"/>
        <v>要確認</v>
      </c>
      <c r="V143" s="163" t="str">
        <f t="shared" si="39"/>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 t="shared" si="47"/>
        <v>1.1363636363636365</v>
      </c>
      <c r="AA143" s="163" t="str">
        <f t="shared" si="48"/>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 t="shared" si="40"/>
        <v>下降トレンド▼</v>
      </c>
      <c r="AE143" s="406" t="str">
        <f t="shared" si="41"/>
        <v>なし</v>
      </c>
      <c r="AF143" s="365">
        <f t="array" ref="AF143">IF(C143="","",IFERROR((INDEX(終値!$E:$E,MATCH(TEXT(C143,"0"),終値!$A:$A,0))-INDEX(終値!$E:$CZ,MATCH(TEXT(C143,"0"),終値!$A:$A,0),$AL$2))/INDEX(終値!$E:$CZ,MATCH(TEXT(C143,"0"),終値!$A:$A,0),$AL$2)*100,""))</f>
        <v>20.520833333333332</v>
      </c>
      <c r="AG143" s="365">
        <f t="array" ref="AG143">IFERROR((終値!$E$5-INDEX(終値!$E$5:$CZ$5,1,$AL$2))/INDEX(終値!$E$5:$CZ$5,1,$AL$2)*100,"")</f>
        <v>1.0179378228534113</v>
      </c>
      <c r="AH143" s="366">
        <f t="shared" si="42"/>
        <v>19.50289551047992</v>
      </c>
      <c r="AI143" s="364">
        <f t="shared" si="43"/>
        <v>3</v>
      </c>
      <c r="BA143">
        <f>IFERROR((SUM(OFFSET(高値!$E$6,IFERROR(MATCH($C143,銘柄管理!$B$6:$B$305,0),MATCH(TEXT($C143,"0"),銘柄管理!$B$6:$B$305,0))-1,0,1,14))-SUM(OFFSET(安値!$E$6,IFERROR(MATCH($C143,銘柄管理!$B$6:$B$305,0),MATCH(TEXT($C143,"0"),銘柄管理!$B$6:$B$305,0))-1,0,1,14)))/SUM(OFFSET(終値!$E$6,IFERROR(MATCH($C143,銘柄管理!$B$6:$B$305,0),MATCH(TEXT($C143,"0"),銘柄管理!$B$6:$B$305,0))-1,0,1,14))*100,"")</f>
      </c>
      <c r="BB143">
        <f>IFERROR((MAX(OFFSET(高値!$E$6,IFERROR(MATCH($C143,銘柄管理!$B$6:$B$305,0),MATCH(TEXT($C143,"0"),銘柄管理!$B$6:$B$305,0))-1,0,1,25))-MIN(OFFSET(安値!$E$6,IFERROR(MATCH($C143,銘柄管理!$B$6:$B$305,0),MATCH(TEXT($C143,"0"),銘柄管理!$B$6:$B$305,0))-1,0,1,25)))/$E143*100,"")</f>
      </c>
      <c r="BC143">
        <f>IFERROR(($F143-$G143)/$G143*100,"")</f>
      </c>
      <c r="BD143">
        <f>IFERROR(($E143-MAX(OFFSET(高値!$E$6,IFERROR(MATCH($C143,銘柄管理!$B$6:$B$305,0),MATCH(TEXT($C143,"0"),銘柄管理!$B$6:$B$305,0))-1,0,1,25)))/MAX(OFFSET(高値!$E$6,IFERROR(MATCH($C143,銘柄管理!$B$6:$B$305,0),MATCH(TEXT($C143,"0"),銘柄管理!$B$6:$B$305,0))-1,0,1,25))*100,"")</f>
      </c>
      <c r="BE143">
        <f>IFERROR(($H143-$I143)/$F143*100,"")</f>
      </c>
      <c r="BF143">
        <f>IFERROR(-(($BA143-AVERAGE($BA$3:$BA$206))/STDEV($BA$3:$BA$206))-(($BE143-AVERAGE($BE$3:$BE$206))/STDEV($BE$3:$BE$206))-(($BB143-AVERAGE($BB$3:$BB$206))/STDEV($BB$3:$BB$206))-(($Z143-AVERAGE($Z$3:$Z$206))/STDEV($Z$3:$Z$206))-(($BC143-AVERAGE($BC$3:$BC$206))/STDEV($BC$3:$BC$206)),"")</f>
      </c>
      <c r="BG143">
        <f>IF(OR($C143="",$C143="TOPX",$BA143="",$BF143=""),0,IF(AND($BK$10=1,$BA143&lt;=$BK$2,$BB143&lt;=$BK$3,$BC143&lt;=$BK$4,$Z143&lt;=$BK$5,$Z143&gt;=$BK$6,$BD143&gt;=$BK$7,$BE143&lt;=$BK$8),1,0))</f>
      </c>
      <c r="BH143">
        <f>IF($C143="","",IF($BG143=1,"○ゲート通過",IF($BK$10&lt;&gt;1,"― この方向は停止中",IF($BA143&gt;$BK$2,"×値動きが荒い",IF($BB143&gt;$BK$3,"×レンジが広い",IF($BC143&gt;$BK$4,"×窓を開けて上昇",IF($Z143&gt;$BK$5,"×前日に急騰",IF($Z143&lt;$BK$6,"×前日に急落",IF($BD143&lt;$BK$7,"×高値から離れすぎ",IF($BE143&gt;$BK$8,"×当日の値幅が大きい","×")))))))))</f>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 t="shared" si="34"/>
        <v>-12.78180354267311</v>
      </c>
      <c r="M144" s="166">
        <f>IF(C144&lt;&gt;"",IFERROR(AVERAGE(出来高!E34:I34),""),"")</f>
        <v>705860</v>
      </c>
      <c r="N144" s="166">
        <f>IF(C144&lt;&gt;"",IFERROR(AVERAGE(出来高!E34:AC34),""),"")</f>
        <v>607492</v>
      </c>
      <c r="O144" s="168">
        <f t="shared" si="35"/>
        <v>1.6370101719887797</v>
      </c>
      <c r="P144" s="163" t="str">
        <f t="shared" si="36"/>
        <v>増加↑</v>
      </c>
      <c r="Q144" s="163" t="str">
        <f t="shared" si="37"/>
        <v>買い▲</v>
      </c>
      <c r="R144" s="166">
        <f t="shared" si="44"/>
        <v>4680</v>
      </c>
      <c r="S144" s="166">
        <f t="shared" si="45"/>
        <v>4160</v>
      </c>
      <c r="T144" s="163">
        <f>IF(C144="","",IFERROR(IF(O144&gt;=2,3,IF(O144&gt;=1.5,2,IF(O144&gt;=1,1,0)))+IF(E144&gt;G144,1,0)+IF(L144&gt;=-5,1,0)+IF(Q144="買い▲",2,0)+IF(W144&gt;=78,-4,IF(W144&gt;=72,-2,IF(W144&gt;=55,2,IF(W144&gt;=45,1,0))))+IF(X144&gt;0,1,0)+IF(V144="年初来高値更新●",3,IF(V144="高値圏",2,0))+IF(AD144="パーフェクト▲",3,IF(AD144="上昇トレンド▲",2,0))+IF(AE144="25日線押し目●",2,IF(AE144="5日線押し目○",1,0))+IF(P144="急増↑↑",2,IF(P144="増加↑",1,0))+N(AI144),0))</f>
      </c>
      <c r="U144" s="163" t="str">
        <f t="shared" si="46"/>
        <v>有効</v>
      </c>
      <c r="V144" s="163" t="str">
        <f t="shared" si="39"/>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 t="shared" si="47"/>
        <v>5.9413202933985332</v>
      </c>
      <c r="AA144" s="163" t="str">
        <f t="shared" si="48"/>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 t="shared" si="40"/>
        <v>パーフェクト▲</v>
      </c>
      <c r="AE144" s="404" t="str">
        <f t="shared" si="41"/>
        <v>なし</v>
      </c>
      <c r="AF144" s="365">
        <f t="array" ref="AF144">IF(C144="","",IFERROR((INDEX(終値!$E:$E,MATCH(TEXT(C144,"0"),終値!$A:$A,0))-INDEX(終値!$E:$CZ,MATCH(TEXT(C144,"0"),終値!$A:$A,0),$AL$2))/INDEX(終値!$E:$CZ,MATCH(TEXT(C144,"0"),終値!$A:$A,0),$AL$2)*100,""))</f>
        <v>11.359547674119764</v>
      </c>
      <c r="AG144" s="365">
        <f t="array" ref="AG144">IFERROR((終値!$E$5-INDEX(終値!$E$5:$CZ$5,1,$AL$2))/INDEX(終値!$E$5:$CZ$5,1,$AL$2)*100,"")</f>
        <v>1.0179378228534113</v>
      </c>
      <c r="AH144" s="366">
        <f t="shared" si="42"/>
        <v>10.341609851266352</v>
      </c>
      <c r="AI144" s="364">
        <f t="shared" si="43"/>
        <v>3</v>
      </c>
      <c r="BA144">
        <f>IFERROR((SUM(OFFSET(高値!$E$6,IFERROR(MATCH($C144,銘柄管理!$B$6:$B$305,0),MATCH(TEXT($C144,"0"),銘柄管理!$B$6:$B$305,0))-1,0,1,14))-SUM(OFFSET(安値!$E$6,IFERROR(MATCH($C144,銘柄管理!$B$6:$B$305,0),MATCH(TEXT($C144,"0"),銘柄管理!$B$6:$B$305,0))-1,0,1,14)))/SUM(OFFSET(終値!$E$6,IFERROR(MATCH($C144,銘柄管理!$B$6:$B$305,0),MATCH(TEXT($C144,"0"),銘柄管理!$B$6:$B$305,0))-1,0,1,14))*100,"")</f>
      </c>
      <c r="BB144">
        <f>IFERROR((MAX(OFFSET(高値!$E$6,IFERROR(MATCH($C144,銘柄管理!$B$6:$B$305,0),MATCH(TEXT($C144,"0"),銘柄管理!$B$6:$B$305,0))-1,0,1,25))-MIN(OFFSET(安値!$E$6,IFERROR(MATCH($C144,銘柄管理!$B$6:$B$305,0),MATCH(TEXT($C144,"0"),銘柄管理!$B$6:$B$305,0))-1,0,1,25)))/$E144*100,"")</f>
      </c>
      <c r="BC144">
        <f>IFERROR(($F144-$G144)/$G144*100,"")</f>
      </c>
      <c r="BD144">
        <f>IFERROR(($E144-MAX(OFFSET(高値!$E$6,IFERROR(MATCH($C144,銘柄管理!$B$6:$B$305,0),MATCH(TEXT($C144,"0"),銘柄管理!$B$6:$B$305,0))-1,0,1,25)))/MAX(OFFSET(高値!$E$6,IFERROR(MATCH($C144,銘柄管理!$B$6:$B$305,0),MATCH(TEXT($C144,"0"),銘柄管理!$B$6:$B$305,0))-1,0,1,25))*100,"")</f>
      </c>
      <c r="BE144">
        <f>IFERROR(($H144-$I144)/$F144*100,"")</f>
      </c>
      <c r="BF144">
        <f>IFERROR(-(($BA144-AVERAGE($BA$3:$BA$206))/STDEV($BA$3:$BA$206))-(($BE144-AVERAGE($BE$3:$BE$206))/STDEV($BE$3:$BE$206))-(($BB144-AVERAGE($BB$3:$BB$206))/STDEV($BB$3:$BB$206))-(($Z144-AVERAGE($Z$3:$Z$206))/STDEV($Z$3:$Z$206))-(($BC144-AVERAGE($BC$3:$BC$206))/STDEV($BC$3:$BC$206)),"")</f>
      </c>
      <c r="BG144">
        <f>IF(OR($C144="",$C144="TOPX",$BA144="",$BF144=""),0,IF(AND($BK$10=1,$BA144&lt;=$BK$2,$BB144&lt;=$BK$3,$BC144&lt;=$BK$4,$Z144&lt;=$BK$5,$Z144&gt;=$BK$6,$BD144&gt;=$BK$7,$BE144&lt;=$BK$8),1,0))</f>
      </c>
      <c r="BH144">
        <f>IF($C144="","",IF($BG144=1,"○ゲート通過",IF($BK$10&lt;&gt;1,"― この方向は停止中",IF($BA144&gt;$BK$2,"×値動きが荒い",IF($BB144&gt;$BK$3,"×レンジが広い",IF($BC144&gt;$BK$4,"×窓を開けて上昇",IF($Z144&gt;$BK$5,"×前日に急騰",IF($Z144&lt;$BK$6,"×前日に急落",IF($BD144&lt;$BK$7,"×高値から離れすぎ",IF($BE144&gt;$BK$8,"×当日の値幅が大きい","×")))))))))</f>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 t="shared" si="34"/>
        <v>-30.414912808177991</v>
      </c>
      <c r="M145" s="166">
        <f>IF(C145&lt;&gt;"",IFERROR(AVERAGE(出来高!E53:I53),""),"")</f>
        <v>2739840</v>
      </c>
      <c r="N145" s="166">
        <f>IF(C145&lt;&gt;"",IFERROR(AVERAGE(出来高!E53:AC53),""),"")</f>
        <v>1577064</v>
      </c>
      <c r="O145" s="168">
        <f t="shared" si="35"/>
        <v>0.59350181032469052</v>
      </c>
      <c r="P145" s="163" t="str">
        <f t="shared" si="36"/>
        <v>減少↓</v>
      </c>
      <c r="Q145" s="163" t="str">
        <f t="shared" si="37"/>
        <v>中立→</v>
      </c>
      <c r="R145" s="166">
        <f t="shared" si="44"/>
        <v>6249</v>
      </c>
      <c r="S145" s="166">
        <f t="shared" si="45"/>
        <v>5555</v>
      </c>
      <c r="T145" s="163">
        <f>IF(C145="","",IFERROR(IF(O145&gt;=2,3,IF(O145&gt;=1.5,2,IF(O145&gt;=1,1,0)))+IF(E145&gt;G145,1,0)+IF(L145&gt;=-5,1,0)+IF(Q145="買い▲",2,0)+IF(W145&gt;=78,-4,IF(W145&gt;=72,-2,IF(W145&gt;=55,2,IF(W145&gt;=45,1,0))))+IF(X145&gt;0,1,0)+IF(V145="年初来高値更新●",3,IF(V145="高値圏",2,0))+IF(AD145="パーフェクト▲",3,IF(AD145="上昇トレンド▲",2,0))+IF(AE145="25日線押し目●",2,IF(AE145="5日線押し目○",1,0))+IF(P145="急増↑↑",2,IF(P145="増加↑",1,0))+N(AI145),0))</f>
      </c>
      <c r="U145" s="163" t="str">
        <f t="shared" si="46"/>
        <v>除外</v>
      </c>
      <c r="V145" s="163" t="str">
        <f t="shared" si="39"/>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 t="shared" si="47"/>
        <v>0.36426712922810062</v>
      </c>
      <c r="AA145" s="163" t="str">
        <f t="shared" si="48"/>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 t="shared" si="40"/>
        <v>下降トレンド▼</v>
      </c>
      <c r="AE145" s="406" t="str">
        <f t="shared" si="41"/>
        <v>なし</v>
      </c>
      <c r="AF145" s="365">
        <f t="array" ref="AF145">IF(C145="","",IFERROR((INDEX(終値!$E:$E,MATCH(TEXT(C145,"0"),終値!$A:$A,0))-INDEX(終値!$E:$CZ,MATCH(TEXT(C145,"0"),終値!$A:$A,0),$AL$2))/INDEX(終値!$E:$CZ,MATCH(TEXT(C145,"0"),終値!$A:$A,0),$AL$2)*100,""))</f>
        <v>-16.831967802213597</v>
      </c>
      <c r="AG145" s="365">
        <f t="array" ref="AG145">IFERROR((終値!$E$5-INDEX(終値!$E$5:$CZ$5,1,$AL$2))/INDEX(終値!$E$5:$CZ$5,1,$AL$2)*100,"")</f>
        <v>1.0179378228534113</v>
      </c>
      <c r="AH145" s="366">
        <f t="shared" si="42"/>
        <v>-17.849905625067009</v>
      </c>
      <c r="AI145" s="364">
        <f t="shared" si="43"/>
        <v>-2</v>
      </c>
      <c r="BA145">
        <f>IFERROR((SUM(OFFSET(高値!$E$6,IFERROR(MATCH($C145,銘柄管理!$B$6:$B$305,0),MATCH(TEXT($C145,"0"),銘柄管理!$B$6:$B$305,0))-1,0,1,14))-SUM(OFFSET(安値!$E$6,IFERROR(MATCH($C145,銘柄管理!$B$6:$B$305,0),MATCH(TEXT($C145,"0"),銘柄管理!$B$6:$B$305,0))-1,0,1,14)))/SUM(OFFSET(終値!$E$6,IFERROR(MATCH($C145,銘柄管理!$B$6:$B$305,0),MATCH(TEXT($C145,"0"),銘柄管理!$B$6:$B$305,0))-1,0,1,14))*100,"")</f>
      </c>
      <c r="BB145">
        <f>IFERROR((MAX(OFFSET(高値!$E$6,IFERROR(MATCH($C145,銘柄管理!$B$6:$B$305,0),MATCH(TEXT($C145,"0"),銘柄管理!$B$6:$B$305,0))-1,0,1,25))-MIN(OFFSET(安値!$E$6,IFERROR(MATCH($C145,銘柄管理!$B$6:$B$305,0),MATCH(TEXT($C145,"0"),銘柄管理!$B$6:$B$305,0))-1,0,1,25)))/$E145*100,"")</f>
      </c>
      <c r="BC145">
        <f>IFERROR(($F145-$G145)/$G145*100,"")</f>
      </c>
      <c r="BD145">
        <f>IFERROR(($E145-MAX(OFFSET(高値!$E$6,IFERROR(MATCH($C145,銘柄管理!$B$6:$B$305,0),MATCH(TEXT($C145,"0"),銘柄管理!$B$6:$B$305,0))-1,0,1,25)))/MAX(OFFSET(高値!$E$6,IFERROR(MATCH($C145,銘柄管理!$B$6:$B$305,0),MATCH(TEXT($C145,"0"),銘柄管理!$B$6:$B$305,0))-1,0,1,25))*100,"")</f>
      </c>
      <c r="BE145">
        <f>IFERROR(($H145-$I145)/$F145*100,"")</f>
      </c>
      <c r="BF145">
        <f>IFERROR(-(($BA145-AVERAGE($BA$3:$BA$206))/STDEV($BA$3:$BA$206))-(($BE145-AVERAGE($BE$3:$BE$206))/STDEV($BE$3:$BE$206))-(($BB145-AVERAGE($BB$3:$BB$206))/STDEV($BB$3:$BB$206))-(($Z145-AVERAGE($Z$3:$Z$206))/STDEV($Z$3:$Z$206))-(($BC145-AVERAGE($BC$3:$BC$206))/STDEV($BC$3:$BC$206)),"")</f>
      </c>
      <c r="BG145">
        <f>IF(OR($C145="",$C145="TOPX",$BA145="",$BF145=""),0,IF(AND($BK$10=1,$BA145&lt;=$BK$2,$BB145&lt;=$BK$3,$BC145&lt;=$BK$4,$Z145&lt;=$BK$5,$Z145&gt;=$BK$6,$BD145&gt;=$BK$7,$BE145&lt;=$BK$8),1,0))</f>
      </c>
      <c r="BH145">
        <f>IF($C145="","",IF($BG145=1,"○ゲート通過",IF($BK$10&lt;&gt;1,"― この方向は停止中",IF($BA145&gt;$BK$2,"×値動きが荒い",IF($BB145&gt;$BK$3,"×レンジが広い",IF($BC145&gt;$BK$4,"×窓を開けて上昇",IF($Z145&gt;$BK$5,"×前日に急騰",IF($Z145&lt;$BK$6,"×前日に急落",IF($BD145&lt;$BK$7,"×高値から離れすぎ",IF($BE145&gt;$BK$8,"×当日の値幅が大きい","×")))))))))</f>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 t="shared" si="34"/>
        <v>-24.294795391338894</v>
      </c>
      <c r="M146" s="166">
        <f>IF(C146&lt;&gt;"",IFERROR(AVERAGE(出来高!E15:I15),""),"")</f>
        <v>555480</v>
      </c>
      <c r="N146" s="166">
        <f>IF(C146&lt;&gt;"",IFERROR(AVERAGE(出来高!E15:AC15),""),"")</f>
        <v>581216</v>
      </c>
      <c r="O146" s="168">
        <f t="shared" si="35"/>
        <v>0.76096349103478078</v>
      </c>
      <c r="P146" s="163" t="str">
        <f t="shared" si="36"/>
        <v>減少↓</v>
      </c>
      <c r="Q146" s="163" t="str">
        <f t="shared" si="37"/>
        <v>中立→</v>
      </c>
      <c r="R146" s="166">
        <f t="shared" si="44"/>
        <v>4116</v>
      </c>
      <c r="S146" s="166">
        <f t="shared" si="45"/>
        <v>3659</v>
      </c>
      <c r="T146" s="163">
        <f>IF(C146="","",IFERROR(IF(O146&gt;=2,3,IF(O146&gt;=1.5,2,IF(O146&gt;=1,1,0)))+IF(E146&gt;G146,1,0)+IF(L146&gt;=-5,1,0)+IF(Q146="買い▲",2,0)+IF(W146&gt;=78,-4,IF(W146&gt;=72,-2,IF(W146&gt;=55,2,IF(W146&gt;=45,1,0))))+IF(X146&gt;0,1,0)+IF(V146="年初来高値更新●",3,IF(V146="高値圏",2,0))+IF(AD146="パーフェクト▲",3,IF(AD146="上昇トレンド▲",2,0))+IF(AE146="25日線押し目●",2,IF(AE146="5日線押し目○",1,0))+IF(P146="急増↑↑",2,IF(P146="増加↑",1,0))+N(AI146),0))</f>
      </c>
      <c r="U146" s="163" t="str">
        <f t="shared" si="46"/>
        <v>要確認</v>
      </c>
      <c r="V146" s="163" t="str">
        <f t="shared" si="39"/>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 t="shared" si="47"/>
        <v>1.5454303224087398</v>
      </c>
      <c r="AA146" s="163" t="str">
        <f t="shared" si="48"/>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 t="shared" si="40"/>
        <v>パーフェクト▲</v>
      </c>
      <c r="AE146" s="404" t="str">
        <f t="shared" si="41"/>
        <v>なし</v>
      </c>
      <c r="AF146" s="365">
        <f t="array" ref="AF146">IF(C146="","",IFERROR((INDEX(終値!$E:$E,MATCH(TEXT(C146,"0"),終値!$A:$A,0))-INDEX(終値!$E:$CZ,MATCH(TEXT(C146,"0"),終値!$A:$A,0),$AL$2))/INDEX(終値!$E:$CZ,MATCH(TEXT(C146,"0"),終値!$A:$A,0),$AL$2)*100,""))</f>
        <v>-5.2452137424600052E-2</v>
      </c>
      <c r="AG146" s="365">
        <f t="array" ref="AG146">IFERROR((終値!$E$5-INDEX(終値!$E$5:$CZ$5,1,$AL$2))/INDEX(終値!$E$5:$CZ$5,1,$AL$2)*100,"")</f>
        <v>1.0179378228534113</v>
      </c>
      <c r="AH146" s="366">
        <f t="shared" si="42"/>
        <v>-1.0703899602780114</v>
      </c>
      <c r="AI146" s="364">
        <f t="shared" si="43"/>
        <v>-1</v>
      </c>
      <c r="BA146">
        <f>IFERROR((SUM(OFFSET(高値!$E$6,IFERROR(MATCH($C146,銘柄管理!$B$6:$B$305,0),MATCH(TEXT($C146,"0"),銘柄管理!$B$6:$B$305,0))-1,0,1,14))-SUM(OFFSET(安値!$E$6,IFERROR(MATCH($C146,銘柄管理!$B$6:$B$305,0),MATCH(TEXT($C146,"0"),銘柄管理!$B$6:$B$305,0))-1,0,1,14)))/SUM(OFFSET(終値!$E$6,IFERROR(MATCH($C146,銘柄管理!$B$6:$B$305,0),MATCH(TEXT($C146,"0"),銘柄管理!$B$6:$B$305,0))-1,0,1,14))*100,"")</f>
      </c>
      <c r="BB146">
        <f>IFERROR((MAX(OFFSET(高値!$E$6,IFERROR(MATCH($C146,銘柄管理!$B$6:$B$305,0),MATCH(TEXT($C146,"0"),銘柄管理!$B$6:$B$305,0))-1,0,1,25))-MIN(OFFSET(安値!$E$6,IFERROR(MATCH($C146,銘柄管理!$B$6:$B$305,0),MATCH(TEXT($C146,"0"),銘柄管理!$B$6:$B$305,0))-1,0,1,25)))/$E146*100,"")</f>
      </c>
      <c r="BC146">
        <f>IFERROR(($F146-$G146)/$G146*100,"")</f>
      </c>
      <c r="BD146">
        <f>IFERROR(($E146-MAX(OFFSET(高値!$E$6,IFERROR(MATCH($C146,銘柄管理!$B$6:$B$305,0),MATCH(TEXT($C146,"0"),銘柄管理!$B$6:$B$305,0))-1,0,1,25)))/MAX(OFFSET(高値!$E$6,IFERROR(MATCH($C146,銘柄管理!$B$6:$B$305,0),MATCH(TEXT($C146,"0"),銘柄管理!$B$6:$B$305,0))-1,0,1,25))*100,"")</f>
      </c>
      <c r="BE146">
        <f>IFERROR(($H146-$I146)/$F146*100,"")</f>
      </c>
      <c r="BF146">
        <f>IFERROR(-(($BA146-AVERAGE($BA$3:$BA$206))/STDEV($BA$3:$BA$206))-(($BE146-AVERAGE($BE$3:$BE$206))/STDEV($BE$3:$BE$206))-(($BB146-AVERAGE($BB$3:$BB$206))/STDEV($BB$3:$BB$206))-(($Z146-AVERAGE($Z$3:$Z$206))/STDEV($Z$3:$Z$206))-(($BC146-AVERAGE($BC$3:$BC$206))/STDEV($BC$3:$BC$206)),"")</f>
      </c>
      <c r="BG146">
        <f>IF(OR($C146="",$C146="TOPX",$BA146="",$BF146=""),0,IF(AND($BK$10=1,$BA146&lt;=$BK$2,$BB146&lt;=$BK$3,$BC146&lt;=$BK$4,$Z146&lt;=$BK$5,$Z146&gt;=$BK$6,$BD146&gt;=$BK$7,$BE146&lt;=$BK$8),1,0))</f>
      </c>
      <c r="BH146">
        <f>IF($C146="","",IF($BG146=1,"○ゲート通過",IF($BK$10&lt;&gt;1,"― この方向は停止中",IF($BA146&gt;$BK$2,"×値動きが荒い",IF($BB146&gt;$BK$3,"×レンジが広い",IF($BC146&gt;$BK$4,"×窓を開けて上昇",IF($Z146&gt;$BK$5,"×前日に急騰",IF($Z146&lt;$BK$6,"×前日に急落",IF($BD146&lt;$BK$7,"×高値から離れすぎ",IF($BE146&gt;$BK$8,"×当日の値幅が大きい","×")))))))))</f>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 t="shared" si="34"/>
        <v>-16.264090177133657</v>
      </c>
      <c r="M147" s="166">
        <f>IF(C147&lt;&gt;"",IFERROR(AVERAGE(出来高!E29:I29),""),"")</f>
        <v>7169920</v>
      </c>
      <c r="N147" s="166">
        <f>IF(C147&lt;&gt;"",IFERROR(AVERAGE(出来高!E29:AC29),""),"")</f>
        <v>6764208</v>
      </c>
      <c r="O147" s="168">
        <f t="shared" si="35"/>
        <v>0.90285526198339727</v>
      </c>
      <c r="P147" s="163" t="str">
        <f t="shared" si="36"/>
        <v>減少↓</v>
      </c>
      <c r="Q147" s="163" t="str">
        <f t="shared" si="37"/>
        <v>中立→</v>
      </c>
      <c r="R147" s="166">
        <f t="shared" si="44"/>
        <v>1404</v>
      </c>
      <c r="S147" s="166">
        <f t="shared" si="45"/>
        <v>1248</v>
      </c>
      <c r="T147" s="163">
        <f>IF(C147="","",IFERROR(IF(O147&gt;=2,3,IF(O147&gt;=1.5,2,IF(O147&gt;=1,1,0)))+IF(E147&gt;G147,1,0)+IF(L147&gt;=-5,1,0)+IF(Q147="買い▲",2,0)+IF(W147&gt;=78,-4,IF(W147&gt;=72,-2,IF(W147&gt;=55,2,IF(W147&gt;=45,1,0))))+IF(X147&gt;0,1,0)+IF(V147="年初来高値更新●",3,IF(V147="高値圏",2,0))+IF(AD147="パーフェクト▲",3,IF(AD147="上昇トレンド▲",2,0))+IF(AE147="25日線押し目●",2,IF(AE147="5日線押し目○",1,0))+IF(P147="急増↑↑",2,IF(P147="増加↑",1,0))+N(AI147),0))</f>
      </c>
      <c r="U147" s="163" t="str">
        <f t="shared" si="46"/>
        <v>要確認</v>
      </c>
      <c r="V147" s="163" t="str">
        <f t="shared" si="39"/>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 t="shared" si="47"/>
        <v>1.3250194855806703</v>
      </c>
      <c r="AA147" s="163" t="str">
        <f t="shared" si="48"/>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 t="shared" si="40"/>
        <v>パーフェクト▲</v>
      </c>
      <c r="AE147" s="406" t="str">
        <f t="shared" si="41"/>
        <v>なし</v>
      </c>
      <c r="AF147" s="365">
        <f t="array" ref="AF147">IF(C147="","",IFERROR((INDEX(終値!$E:$E,MATCH(TEXT(C147,"0"),終値!$A:$A,0))-INDEX(終値!$E:$CZ,MATCH(TEXT(C147,"0"),終値!$A:$A,0),$AL$2))/INDEX(終値!$E:$CZ,MATCH(TEXT(C147,"0"),終値!$A:$A,0),$AL$2)*100,""))</f>
        <v>7.839070924927416</v>
      </c>
      <c r="AG147" s="365">
        <f t="array" ref="AG147">IFERROR((終値!$E$5-INDEX(終値!$E$5:$CZ$5,1,$AL$2))/INDEX(終値!$E$5:$CZ$5,1,$AL$2)*100,"")</f>
        <v>1.0179378228534113</v>
      </c>
      <c r="AH147" s="366">
        <f t="shared" si="42"/>
        <v>6.8211331020740049</v>
      </c>
      <c r="AI147" s="364">
        <f t="shared" si="43"/>
        <v>3</v>
      </c>
      <c r="BA147">
        <f>IFERROR((SUM(OFFSET(高値!$E$6,IFERROR(MATCH($C147,銘柄管理!$B$6:$B$305,0),MATCH(TEXT($C147,"0"),銘柄管理!$B$6:$B$305,0))-1,0,1,14))-SUM(OFFSET(安値!$E$6,IFERROR(MATCH($C147,銘柄管理!$B$6:$B$305,0),MATCH(TEXT($C147,"0"),銘柄管理!$B$6:$B$305,0))-1,0,1,14)))/SUM(OFFSET(終値!$E$6,IFERROR(MATCH($C147,銘柄管理!$B$6:$B$305,0),MATCH(TEXT($C147,"0"),銘柄管理!$B$6:$B$305,0))-1,0,1,14))*100,"")</f>
      </c>
      <c r="BB147">
        <f>IFERROR((MAX(OFFSET(高値!$E$6,IFERROR(MATCH($C147,銘柄管理!$B$6:$B$305,0),MATCH(TEXT($C147,"0"),銘柄管理!$B$6:$B$305,0))-1,0,1,25))-MIN(OFFSET(安値!$E$6,IFERROR(MATCH($C147,銘柄管理!$B$6:$B$305,0),MATCH(TEXT($C147,"0"),銘柄管理!$B$6:$B$305,0))-1,0,1,25)))/$E147*100,"")</f>
      </c>
      <c r="BC147">
        <f>IFERROR(($F147-$G147)/$G147*100,"")</f>
      </c>
      <c r="BD147">
        <f>IFERROR(($E147-MAX(OFFSET(高値!$E$6,IFERROR(MATCH($C147,銘柄管理!$B$6:$B$305,0),MATCH(TEXT($C147,"0"),銘柄管理!$B$6:$B$305,0))-1,0,1,25)))/MAX(OFFSET(高値!$E$6,IFERROR(MATCH($C147,銘柄管理!$B$6:$B$305,0),MATCH(TEXT($C147,"0"),銘柄管理!$B$6:$B$305,0))-1,0,1,25))*100,"")</f>
      </c>
      <c r="BE147">
        <f>IFERROR(($H147-$I147)/$F147*100,"")</f>
      </c>
      <c r="BF147">
        <f>IFERROR(-(($BA147-AVERAGE($BA$3:$BA$206))/STDEV($BA$3:$BA$206))-(($BE147-AVERAGE($BE$3:$BE$206))/STDEV($BE$3:$BE$206))-(($BB147-AVERAGE($BB$3:$BB$206))/STDEV($BB$3:$BB$206))-(($Z147-AVERAGE($Z$3:$Z$206))/STDEV($Z$3:$Z$206))-(($BC147-AVERAGE($BC$3:$BC$206))/STDEV($BC$3:$BC$206)),"")</f>
      </c>
      <c r="BG147">
        <f>IF(OR($C147="",$C147="TOPX",$BA147="",$BF147=""),0,IF(AND($BK$10=1,$BA147&lt;=$BK$2,$BB147&lt;=$BK$3,$BC147&lt;=$BK$4,$Z147&lt;=$BK$5,$Z147&gt;=$BK$6,$BD147&gt;=$BK$7,$BE147&lt;=$BK$8),1,0))</f>
      </c>
      <c r="BH147">
        <f>IF($C147="","",IF($BG147=1,"○ゲート通過",IF($BK$10&lt;&gt;1,"― この方向は停止中",IF($BA147&gt;$BK$2,"×値動きが荒い",IF($BB147&gt;$BK$3,"×レンジが広い",IF($BC147&gt;$BK$4,"×窓を開けて上昇",IF($Z147&gt;$BK$5,"×前日に急騰",IF($Z147&lt;$BK$6,"×前日に急落",IF($BD147&lt;$BK$7,"×高値から離れすぎ",IF($BE147&gt;$BK$8,"×当日の値幅が大きい","×")))))))))</f>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 t="shared" si="34"/>
        <v>-24.685816876122082</v>
      </c>
      <c r="M148" s="166">
        <f>IF(C148&lt;&gt;"",IFERROR(AVERAGE(出来高!E24:I24),""),"")</f>
        <v>3579260</v>
      </c>
      <c r="N148" s="166">
        <f>IF(C148&lt;&gt;"",IFERROR(AVERAGE(出来高!E24:AC24),""),"")</f>
        <v>3500392</v>
      </c>
      <c r="O148" s="168">
        <f t="shared" si="35"/>
        <v>0.90135949889083222</v>
      </c>
      <c r="P148" s="163" t="str">
        <f t="shared" si="36"/>
        <v>減少↓</v>
      </c>
      <c r="Q148" s="163" t="str">
        <f t="shared" si="37"/>
        <v>中立→</v>
      </c>
      <c r="R148" s="166">
        <f t="shared" si="44"/>
        <v>1359</v>
      </c>
      <c r="S148" s="166">
        <f t="shared" si="45"/>
        <v>1208</v>
      </c>
      <c r="T148" s="163">
        <f>IF(C148="","",IFERROR(IF(O148&gt;=2,3,IF(O148&gt;=1.5,2,IF(O148&gt;=1,1,0)))+IF(E148&gt;G148,1,0)+IF(L148&gt;=-5,1,0)+IF(Q148="買い▲",2,0)+IF(W148&gt;=78,-4,IF(W148&gt;=72,-2,IF(W148&gt;=55,2,IF(W148&gt;=45,1,0))))+IF(X148&gt;0,1,0)+IF(V148="年初来高値更新●",3,IF(V148="高値圏",2,0))+IF(AD148="パーフェクト▲",3,IF(AD148="上昇トレンド▲",2,0))+IF(AE148="25日線押し目●",2,IF(AE148="5日線押し目○",1,0))+IF(P148="急増↑↑",2,IF(P148="増加↑",1,0))+N(AI148),0))</f>
      </c>
      <c r="U148" s="163" t="str">
        <f t="shared" si="46"/>
        <v>要確認</v>
      </c>
      <c r="V148" s="163" t="str">
        <f t="shared" si="39"/>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 t="shared" si="47"/>
        <v>1.4101531023368252</v>
      </c>
      <c r="AA148" s="163" t="str">
        <f t="shared" si="48"/>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 t="shared" si="40"/>
        <v>下降トレンド▼</v>
      </c>
      <c r="AE148" s="404" t="str">
        <f t="shared" si="41"/>
        <v>なし</v>
      </c>
      <c r="AF148" s="365">
        <f t="array" ref="AF148">IF(C148="","",IFERROR((INDEX(終値!$E:$E,MATCH(TEXT(C148,"0"),終値!$A:$A,0))-INDEX(終値!$E:$CZ,MATCH(TEXT(C148,"0"),終値!$A:$A,0),$AL$2))/INDEX(終値!$E:$CZ,MATCH(TEXT(C148,"0"),終値!$A:$A,0),$AL$2)*100,""))</f>
        <v>6.0682680151706698</v>
      </c>
      <c r="AG148" s="365">
        <f t="array" ref="AG148">IFERROR((終値!$E$5-INDEX(終値!$E$5:$CZ$5,1,$AL$2))/INDEX(終値!$E$5:$CZ$5,1,$AL$2)*100,"")</f>
        <v>1.0179378228534113</v>
      </c>
      <c r="AH148" s="366">
        <f t="shared" si="42"/>
        <v>5.0503301923172588</v>
      </c>
      <c r="AI148" s="364">
        <f t="shared" si="43"/>
        <v>3</v>
      </c>
      <c r="BA148">
        <f>IFERROR((SUM(OFFSET(高値!$E$6,IFERROR(MATCH($C148,銘柄管理!$B$6:$B$305,0),MATCH(TEXT($C148,"0"),銘柄管理!$B$6:$B$305,0))-1,0,1,14))-SUM(OFFSET(安値!$E$6,IFERROR(MATCH($C148,銘柄管理!$B$6:$B$305,0),MATCH(TEXT($C148,"0"),銘柄管理!$B$6:$B$305,0))-1,0,1,14)))/SUM(OFFSET(終値!$E$6,IFERROR(MATCH($C148,銘柄管理!$B$6:$B$305,0),MATCH(TEXT($C148,"0"),銘柄管理!$B$6:$B$305,0))-1,0,1,14))*100,"")</f>
      </c>
      <c r="BB148">
        <f>IFERROR((MAX(OFFSET(高値!$E$6,IFERROR(MATCH($C148,銘柄管理!$B$6:$B$305,0),MATCH(TEXT($C148,"0"),銘柄管理!$B$6:$B$305,0))-1,0,1,25))-MIN(OFFSET(安値!$E$6,IFERROR(MATCH($C148,銘柄管理!$B$6:$B$305,0),MATCH(TEXT($C148,"0"),銘柄管理!$B$6:$B$305,0))-1,0,1,25)))/$E148*100,"")</f>
      </c>
      <c r="BC148">
        <f>IFERROR(($F148-$G148)/$G148*100,"")</f>
      </c>
      <c r="BD148">
        <f>IFERROR(($E148-MAX(OFFSET(高値!$E$6,IFERROR(MATCH($C148,銘柄管理!$B$6:$B$305,0),MATCH(TEXT($C148,"0"),銘柄管理!$B$6:$B$305,0))-1,0,1,25)))/MAX(OFFSET(高値!$E$6,IFERROR(MATCH($C148,銘柄管理!$B$6:$B$305,0),MATCH(TEXT($C148,"0"),銘柄管理!$B$6:$B$305,0))-1,0,1,25))*100,"")</f>
      </c>
      <c r="BE148">
        <f>IFERROR(($H148-$I148)/$F148*100,"")</f>
      </c>
      <c r="BF148">
        <f>IFERROR(-(($BA148-AVERAGE($BA$3:$BA$206))/STDEV($BA$3:$BA$206))-(($BE148-AVERAGE($BE$3:$BE$206))/STDEV($BE$3:$BE$206))-(($BB148-AVERAGE($BB$3:$BB$206))/STDEV($BB$3:$BB$206))-(($Z148-AVERAGE($Z$3:$Z$206))/STDEV($Z$3:$Z$206))-(($BC148-AVERAGE($BC$3:$BC$206))/STDEV($BC$3:$BC$206)),"")</f>
      </c>
      <c r="BG148">
        <f>IF(OR($C148="",$C148="TOPX",$BA148="",$BF148=""),0,IF(AND($BK$10=1,$BA148&lt;=$BK$2,$BB148&lt;=$BK$3,$BC148&lt;=$BK$4,$Z148&lt;=$BK$5,$Z148&gt;=$BK$6,$BD148&gt;=$BK$7,$BE148&lt;=$BK$8),1,0))</f>
      </c>
      <c r="BH148">
        <f>IF($C148="","",IF($BG148=1,"○ゲート通過",IF($BK$10&lt;&gt;1,"― この方向は停止中",IF($BA148&gt;$BK$2,"×値動きが荒い",IF($BB148&gt;$BK$3,"×レンジが広い",IF($BC148&gt;$BK$4,"×窓を開けて上昇",IF($Z148&gt;$BK$5,"×前日に急騰",IF($Z148&lt;$BK$6,"×前日に急落",IF($BD148&lt;$BK$7,"×高値から離れすぎ",IF($BE148&gt;$BK$8,"×当日の値幅が大きい","×")))))))))</f>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 t="shared" si="34"/>
        <v>-40.780413159908186</v>
      </c>
      <c r="M149" s="166">
        <f>IF(C149&lt;&gt;"",IFERROR(AVERAGE(出来高!E69:I69),""),"")</f>
        <v>2912260</v>
      </c>
      <c r="N149" s="166">
        <f>IF(C149&lt;&gt;"",IFERROR(AVERAGE(出来高!E69:AC69),""),"")</f>
        <v>1896376</v>
      </c>
      <c r="O149" s="168">
        <f t="shared" si="35"/>
        <v>1.0803980413836676</v>
      </c>
      <c r="P149" s="163" t="str">
        <f t="shared" si="36"/>
        <v>普通→</v>
      </c>
      <c r="Q149" s="163" t="str">
        <f t="shared" si="37"/>
        <v>様子見▼</v>
      </c>
      <c r="R149" s="166">
        <f t="shared" si="44"/>
        <v>3344</v>
      </c>
      <c r="S149" s="166">
        <f t="shared" si="45"/>
        <v>2972</v>
      </c>
      <c r="T149" s="163">
        <f>IF(C149="","",IFERROR(IF(O149&gt;=2,3,IF(O149&gt;=1.5,2,IF(O149&gt;=1,1,0)))+IF(E149&gt;G149,1,0)+IF(L149&gt;=-5,1,0)+IF(Q149="買い▲",2,0)+IF(W149&gt;=78,-4,IF(W149&gt;=72,-2,IF(W149&gt;=55,2,IF(W149&gt;=45,1,0))))+IF(X149&gt;0,1,0)+IF(V149="年初来高値更新●",3,IF(V149="高値圏",2,0))+IF(AD149="パーフェクト▲",3,IF(AD149="上昇トレンド▲",2,0))+IF(AE149="25日線押し目●",2,IF(AE149="5日線押し目○",1,0))+IF(P149="急増↑↑",2,IF(P149="増加↑",1,0))+N(AI149),0))</f>
      </c>
      <c r="U149" s="163" t="str">
        <f t="shared" si="46"/>
        <v>除外</v>
      </c>
      <c r="V149" s="163" t="str">
        <f t="shared" si="39"/>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 t="shared" si="47"/>
        <v>-5.9252506836827719</v>
      </c>
      <c r="AA149" s="163" t="str">
        <f t="shared" si="48"/>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 t="shared" si="40"/>
        <v>もみ合い→</v>
      </c>
      <c r="AE149" s="406" t="str">
        <f t="shared" si="41"/>
        <v>なし</v>
      </c>
      <c r="AF149" s="365">
        <f t="array" ref="AF149">IF(C149="","",IFERROR((INDEX(終値!$E:$E,MATCH(TEXT(C149,"0"),終値!$A:$A,0))-INDEX(終値!$E:$CZ,MATCH(TEXT(C149,"0"),終値!$A:$A,0),$AL$2))/INDEX(終値!$E:$CZ,MATCH(TEXT(C149,"0"),終値!$A:$A,0),$AL$2)*100,""))</f>
        <v>-26.33832976445396</v>
      </c>
      <c r="AG149" s="365">
        <f t="array" ref="AG149">IFERROR((終値!$E$5-INDEX(終値!$E$5:$CZ$5,1,$AL$2))/INDEX(終値!$E$5:$CZ$5,1,$AL$2)*100,"")</f>
        <v>1.0179378228534113</v>
      </c>
      <c r="AH149" s="366">
        <f t="shared" si="42"/>
        <v>-27.356267587307372</v>
      </c>
      <c r="AI149" s="364">
        <f t="shared" si="43"/>
        <v>-2</v>
      </c>
      <c r="BA149">
        <f>IFERROR((SUM(OFFSET(高値!$E$6,IFERROR(MATCH($C149,銘柄管理!$B$6:$B$305,0),MATCH(TEXT($C149,"0"),銘柄管理!$B$6:$B$305,0))-1,0,1,14))-SUM(OFFSET(安値!$E$6,IFERROR(MATCH($C149,銘柄管理!$B$6:$B$305,0),MATCH(TEXT($C149,"0"),銘柄管理!$B$6:$B$305,0))-1,0,1,14)))/SUM(OFFSET(終値!$E$6,IFERROR(MATCH($C149,銘柄管理!$B$6:$B$305,0),MATCH(TEXT($C149,"0"),銘柄管理!$B$6:$B$305,0))-1,0,1,14))*100,"")</f>
      </c>
      <c r="BB149">
        <f>IFERROR((MAX(OFFSET(高値!$E$6,IFERROR(MATCH($C149,銘柄管理!$B$6:$B$305,0),MATCH(TEXT($C149,"0"),銘柄管理!$B$6:$B$305,0))-1,0,1,25))-MIN(OFFSET(安値!$E$6,IFERROR(MATCH($C149,銘柄管理!$B$6:$B$305,0),MATCH(TEXT($C149,"0"),銘柄管理!$B$6:$B$305,0))-1,0,1,25)))/$E149*100,"")</f>
      </c>
      <c r="BC149">
        <f>IFERROR(($F149-$G149)/$G149*100,"")</f>
      </c>
      <c r="BD149">
        <f>IFERROR(($E149-MAX(OFFSET(高値!$E$6,IFERROR(MATCH($C149,銘柄管理!$B$6:$B$305,0),MATCH(TEXT($C149,"0"),銘柄管理!$B$6:$B$305,0))-1,0,1,25)))/MAX(OFFSET(高値!$E$6,IFERROR(MATCH($C149,銘柄管理!$B$6:$B$305,0),MATCH(TEXT($C149,"0"),銘柄管理!$B$6:$B$305,0))-1,0,1,25))*100,"")</f>
      </c>
      <c r="BE149">
        <f>IFERROR(($H149-$I149)/$F149*100,"")</f>
      </c>
      <c r="BF149">
        <f>IFERROR(-(($BA149-AVERAGE($BA$3:$BA$206))/STDEV($BA$3:$BA$206))-(($BE149-AVERAGE($BE$3:$BE$206))/STDEV($BE$3:$BE$206))-(($BB149-AVERAGE($BB$3:$BB$206))/STDEV($BB$3:$BB$206))-(($Z149-AVERAGE($Z$3:$Z$206))/STDEV($Z$3:$Z$206))-(($BC149-AVERAGE($BC$3:$BC$206))/STDEV($BC$3:$BC$206)),"")</f>
      </c>
      <c r="BG149">
        <f>IF(OR($C149="",$C149="TOPX",$BA149="",$BF149=""),0,IF(AND($BK$10=1,$BA149&lt;=$BK$2,$BB149&lt;=$BK$3,$BC149&lt;=$BK$4,$Z149&lt;=$BK$5,$Z149&gt;=$BK$6,$BD149&gt;=$BK$7,$BE149&lt;=$BK$8),1,0))</f>
      </c>
      <c r="BH149">
        <f>IF($C149="","",IF($BG149=1,"○ゲート通過",IF($BK$10&lt;&gt;1,"― この方向は停止中",IF($BA149&gt;$BK$2,"×値動きが荒い",IF($BB149&gt;$BK$3,"×レンジが広い",IF($BC149&gt;$BK$4,"×窓を開けて上昇",IF($Z149&gt;$BK$5,"×前日に急騰",IF($Z149&lt;$BK$6,"×前日に急落",IF($BD149&lt;$BK$7,"×高値から離れすぎ",IF($BE149&gt;$BK$8,"×当日の値幅が大きい","×")))))))))</f>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 t="shared" si="34"/>
        <v>-14.456559971860711</v>
      </c>
      <c r="M150" s="166">
        <f>IF(C150&lt;&gt;"",IFERROR(AVERAGE(出来高!E196:I196),""),"")</f>
        <v>102540</v>
      </c>
      <c r="N150" s="166">
        <f>IF(C150&lt;&gt;"",IFERROR(AVERAGE(出来高!E196:AC196),""),"")</f>
        <v>85104</v>
      </c>
      <c r="O150" s="168">
        <f t="shared" si="35"/>
        <v>1.0386190754827385</v>
      </c>
      <c r="P150" s="163" t="str">
        <f t="shared" si="36"/>
        <v>普通→</v>
      </c>
      <c r="Q150" s="163" t="str">
        <f t="shared" si="37"/>
        <v>様子見▼</v>
      </c>
      <c r="R150" s="166">
        <f t="shared" si="44"/>
        <v>26266</v>
      </c>
      <c r="S150" s="166">
        <f t="shared" si="45"/>
        <v>23347</v>
      </c>
      <c r="T150" s="163">
        <f>IF(C150="","",IFERROR(IF(O150&gt;=2,3,IF(O150&gt;=1.5,2,IF(O150&gt;=1,1,0)))+IF(E150&gt;G150,1,0)+IF(L150&gt;=-5,1,0)+IF(Q150="買い▲",2,0)+IF(W150&gt;=78,-4,IF(W150&gt;=72,-2,IF(W150&gt;=55,2,IF(W150&gt;=45,1,0))))+IF(X150&gt;0,1,0)+IF(V150="年初来高値更新●",3,IF(V150="高値圏",2,0))+IF(AD150="パーフェクト▲",3,IF(AD150="上昇トレンド▲",2,0))+IF(AE150="25日線押し目●",2,IF(AE150="5日線押し目○",1,0))+IF(P150="急増↑↑",2,IF(P150="増加↑",1,0))+N(AI150),0))</f>
      </c>
      <c r="U150" s="163" t="str">
        <f t="shared" si="46"/>
        <v>要確認</v>
      </c>
      <c r="V150" s="163" t="str">
        <f t="shared" si="39"/>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 t="shared" si="47"/>
        <v>-4.6274509803921564</v>
      </c>
      <c r="AA150" s="163" t="str">
        <f t="shared" si="48"/>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 t="shared" si="40"/>
        <v>パーフェクト▲</v>
      </c>
      <c r="AE150" s="404" t="str">
        <f t="shared" si="41"/>
        <v>なし</v>
      </c>
      <c r="AF150" s="365">
        <f t="array" ref="AF150">IF(C150="","",IFERROR((INDEX(終値!$E:$E,MATCH(TEXT(C150,"0"),終値!$A:$A,0))-INDEX(終値!$E:$CZ,MATCH(TEXT(C150,"0"),終値!$A:$A,0),$AL$2))/INDEX(終値!$E:$CZ,MATCH(TEXT(C150,"0"),終値!$A:$A,0),$AL$2)*100,""))</f>
        <v>-11.915972473741398</v>
      </c>
      <c r="AG150" s="365">
        <f t="array" ref="AG150">IFERROR((終値!$E$5-INDEX(終値!$E$5:$CZ$5,1,$AL$2))/INDEX(終値!$E$5:$CZ$5,1,$AL$2)*100,"")</f>
        <v>1.0179378228534113</v>
      </c>
      <c r="AH150" s="366">
        <f t="shared" si="42"/>
        <v>-12.93391029659481</v>
      </c>
      <c r="AI150" s="364">
        <f t="shared" si="43"/>
        <v>-2</v>
      </c>
      <c r="BA150">
        <f>IFERROR((SUM(OFFSET(高値!$E$6,IFERROR(MATCH($C150,銘柄管理!$B$6:$B$305,0),MATCH(TEXT($C150,"0"),銘柄管理!$B$6:$B$305,0))-1,0,1,14))-SUM(OFFSET(安値!$E$6,IFERROR(MATCH($C150,銘柄管理!$B$6:$B$305,0),MATCH(TEXT($C150,"0"),銘柄管理!$B$6:$B$305,0))-1,0,1,14)))/SUM(OFFSET(終値!$E$6,IFERROR(MATCH($C150,銘柄管理!$B$6:$B$305,0),MATCH(TEXT($C150,"0"),銘柄管理!$B$6:$B$305,0))-1,0,1,14))*100,"")</f>
      </c>
      <c r="BB150">
        <f>IFERROR((MAX(OFFSET(高値!$E$6,IFERROR(MATCH($C150,銘柄管理!$B$6:$B$305,0),MATCH(TEXT($C150,"0"),銘柄管理!$B$6:$B$305,0))-1,0,1,25))-MIN(OFFSET(安値!$E$6,IFERROR(MATCH($C150,銘柄管理!$B$6:$B$305,0),MATCH(TEXT($C150,"0"),銘柄管理!$B$6:$B$305,0))-1,0,1,25)))/$E150*100,"")</f>
      </c>
      <c r="BC150">
        <f>IFERROR(($F150-$G150)/$G150*100,"")</f>
      </c>
      <c r="BD150">
        <f>IFERROR(($E150-MAX(OFFSET(高値!$E$6,IFERROR(MATCH($C150,銘柄管理!$B$6:$B$305,0),MATCH(TEXT($C150,"0"),銘柄管理!$B$6:$B$305,0))-1,0,1,25)))/MAX(OFFSET(高値!$E$6,IFERROR(MATCH($C150,銘柄管理!$B$6:$B$305,0),MATCH(TEXT($C150,"0"),銘柄管理!$B$6:$B$305,0))-1,0,1,25))*100,"")</f>
      </c>
      <c r="BE150">
        <f>IFERROR(($H150-$I150)/$F150*100,"")</f>
      </c>
      <c r="BF150">
        <f>IFERROR(-(($BA150-AVERAGE($BA$3:$BA$206))/STDEV($BA$3:$BA$206))-(($BE150-AVERAGE($BE$3:$BE$206))/STDEV($BE$3:$BE$206))-(($BB150-AVERAGE($BB$3:$BB$206))/STDEV($BB$3:$BB$206))-(($Z150-AVERAGE($Z$3:$Z$206))/STDEV($Z$3:$Z$206))-(($BC150-AVERAGE($BC$3:$BC$206))/STDEV($BC$3:$BC$206)),"")</f>
      </c>
      <c r="BG150">
        <f>IF(OR($C150="",$C150="TOPX",$BA150="",$BF150=""),0,IF(AND($BK$10=1,$BA150&lt;=$BK$2,$BB150&lt;=$BK$3,$BC150&lt;=$BK$4,$Z150&lt;=$BK$5,$Z150&gt;=$BK$6,$BD150&gt;=$BK$7,$BE150&lt;=$BK$8),1,0))</f>
      </c>
      <c r="BH150">
        <f>IF($C150="","",IF($BG150=1,"○ゲート通過",IF($BK$10&lt;&gt;1,"― この方向は停止中",IF($BA150&gt;$BK$2,"×値動きが荒い",IF($BB150&gt;$BK$3,"×レンジが広い",IF($BC150&gt;$BK$4,"×窓を開けて上昇",IF($Z150&gt;$BK$5,"×前日に急騰",IF($Z150&lt;$BK$6,"×前日に急落",IF($BD150&lt;$BK$7,"×高値から離れすぎ",IF($BE150&gt;$BK$8,"×当日の値幅が大きい","×")))))))))</f>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 t="shared" si="34"/>
        <v>-68.542713567839201</v>
      </c>
      <c r="M151" s="166">
        <f>IF(C151&lt;&gt;"",IFERROR(AVERAGE(出来高!E146:I146),""),"")</f>
        <v>162220</v>
      </c>
      <c r="N151" s="166">
        <f>IF(C151&lt;&gt;"",IFERROR(AVERAGE(出来高!E146:AC146),""),"")</f>
        <v>220876</v>
      </c>
      <c r="O151" s="168">
        <f t="shared" si="35"/>
        <v>0.49870546171865365</v>
      </c>
      <c r="P151" s="163" t="str">
        <f t="shared" si="36"/>
        <v>減少↓</v>
      </c>
      <c r="Q151" s="163" t="str">
        <f t="shared" si="37"/>
        <v>様子見▼</v>
      </c>
      <c r="R151" s="166">
        <f t="shared" si="44"/>
        <v>338</v>
      </c>
      <c r="S151" s="166">
        <f t="shared" si="45"/>
        <v>300</v>
      </c>
      <c r="T151" s="163">
        <f>IF(C151="","",IFERROR(IF(O151&gt;=2,3,IF(O151&gt;=1.5,2,IF(O151&gt;=1,1,0)))+IF(E151&gt;G151,1,0)+IF(L151&gt;=-5,1,0)+IF(Q151="買い▲",2,0)+IF(W151&gt;=78,-4,IF(W151&gt;=72,-2,IF(W151&gt;=55,2,IF(W151&gt;=45,1,0))))+IF(X151&gt;0,1,0)+IF(V151="年初来高値更新●",3,IF(V151="高値圏",2,0))+IF(AD151="パーフェクト▲",3,IF(AD151="上昇トレンド▲",2,0))+IF(AE151="25日線押し目●",2,IF(AE151="5日線押し目○",1,0))+IF(P151="急増↑↑",2,IF(P151="増加↑",1,0))+N(AI151),0))</f>
      </c>
      <c r="U151" s="163" t="str">
        <f t="shared" si="46"/>
        <v>要確認</v>
      </c>
      <c r="V151" s="163" t="str">
        <f t="shared" si="39"/>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 t="shared" si="47"/>
        <v>-0.63492063492063489</v>
      </c>
      <c r="AA151" s="163" t="str">
        <f t="shared" si="48"/>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 t="shared" si="40"/>
        <v>もみ合い→</v>
      </c>
      <c r="AE151" s="406" t="str">
        <f t="shared" si="41"/>
        <v>なし</v>
      </c>
      <c r="AF151" s="365">
        <f t="array" ref="AF151">IF(C151="","",IFERROR((INDEX(終値!$E:$E,MATCH(TEXT(C151,"0"),終値!$A:$A,0))-INDEX(終値!$E:$CZ,MATCH(TEXT(C151,"0"),終値!$A:$A,0),$AL$2))/INDEX(終値!$E:$CZ,MATCH(TEXT(C151,"0"),終値!$A:$A,0),$AL$2)*100,""))</f>
        <v>1.9543973941368076</v>
      </c>
      <c r="AG151" s="365">
        <f t="array" ref="AG151">IFERROR((終値!$E$5-INDEX(終値!$E$5:$CZ$5,1,$AL$2))/INDEX(終値!$E$5:$CZ$5,1,$AL$2)*100,"")</f>
        <v>1.0179378228534113</v>
      </c>
      <c r="AH151" s="366">
        <f t="shared" si="42"/>
        <v>0.9364595712833963</v>
      </c>
      <c r="AI151" s="364">
        <f t="shared" si="43"/>
        <v>1</v>
      </c>
      <c r="BA151">
        <f>IFERROR((SUM(OFFSET(高値!$E$6,IFERROR(MATCH($C151,銘柄管理!$B$6:$B$305,0),MATCH(TEXT($C151,"0"),銘柄管理!$B$6:$B$305,0))-1,0,1,14))-SUM(OFFSET(安値!$E$6,IFERROR(MATCH($C151,銘柄管理!$B$6:$B$305,0),MATCH(TEXT($C151,"0"),銘柄管理!$B$6:$B$305,0))-1,0,1,14)))/SUM(OFFSET(終値!$E$6,IFERROR(MATCH($C151,銘柄管理!$B$6:$B$305,0),MATCH(TEXT($C151,"0"),銘柄管理!$B$6:$B$305,0))-1,0,1,14))*100,"")</f>
      </c>
      <c r="BB151">
        <f>IFERROR((MAX(OFFSET(高値!$E$6,IFERROR(MATCH($C151,銘柄管理!$B$6:$B$305,0),MATCH(TEXT($C151,"0"),銘柄管理!$B$6:$B$305,0))-1,0,1,25))-MIN(OFFSET(安値!$E$6,IFERROR(MATCH($C151,銘柄管理!$B$6:$B$305,0),MATCH(TEXT($C151,"0"),銘柄管理!$B$6:$B$305,0))-1,0,1,25)))/$E151*100,"")</f>
      </c>
      <c r="BC151">
        <f>IFERROR(($F151-$G151)/$G151*100,"")</f>
      </c>
      <c r="BD151">
        <f>IFERROR(($E151-MAX(OFFSET(高値!$E$6,IFERROR(MATCH($C151,銘柄管理!$B$6:$B$305,0),MATCH(TEXT($C151,"0"),銘柄管理!$B$6:$B$305,0))-1,0,1,25)))/MAX(OFFSET(高値!$E$6,IFERROR(MATCH($C151,銘柄管理!$B$6:$B$305,0),MATCH(TEXT($C151,"0"),銘柄管理!$B$6:$B$305,0))-1,0,1,25))*100,"")</f>
      </c>
      <c r="BE151">
        <f>IFERROR(($H151-$I151)/$F151*100,"")</f>
      </c>
      <c r="BF151">
        <f>IFERROR(-(($BA151-AVERAGE($BA$3:$BA$206))/STDEV($BA$3:$BA$206))-(($BE151-AVERAGE($BE$3:$BE$206))/STDEV($BE$3:$BE$206))-(($BB151-AVERAGE($BB$3:$BB$206))/STDEV($BB$3:$BB$206))-(($Z151-AVERAGE($Z$3:$Z$206))/STDEV($Z$3:$Z$206))-(($BC151-AVERAGE($BC$3:$BC$206))/STDEV($BC$3:$BC$206)),"")</f>
      </c>
      <c r="BG151">
        <f>IF(OR($C151="",$C151="TOPX",$BA151="",$BF151=""),0,IF(AND($BK$10=1,$BA151&lt;=$BK$2,$BB151&lt;=$BK$3,$BC151&lt;=$BK$4,$Z151&lt;=$BK$5,$Z151&gt;=$BK$6,$BD151&gt;=$BK$7,$BE151&lt;=$BK$8),1,0))</f>
      </c>
      <c r="BH151">
        <f>IF($C151="","",IF($BG151=1,"○ゲート通過",IF($BK$10&lt;&gt;1,"― この方向は停止中",IF($BA151&gt;$BK$2,"×値動きが荒い",IF($BB151&gt;$BK$3,"×レンジが広い",IF($BC151&gt;$BK$4,"×窓を開けて上昇",IF($Z151&gt;$BK$5,"×前日に急騰",IF($Z151&lt;$BK$6,"×前日に急落",IF($BD151&lt;$BK$7,"×高値から離れすぎ",IF($BE151&gt;$BK$8,"×当日の値幅が大きい","×")))))))))</f>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 t="shared" si="34"/>
        <v>-33.633020024519823</v>
      </c>
      <c r="M152" s="166">
        <f>IF(C152&lt;&gt;"",IFERROR(AVERAGE(出来高!E192:I192),""),"")</f>
        <v>483740</v>
      </c>
      <c r="N152" s="166">
        <f>IF(C152&lt;&gt;"",IFERROR(AVERAGE(出来高!E192:AC192),""),"")</f>
        <v>425448</v>
      </c>
      <c r="O152" s="168">
        <f t="shared" si="35"/>
        <v>0.80725182949518337</v>
      </c>
      <c r="P152" s="163" t="str">
        <f t="shared" si="36"/>
        <v>減少↓</v>
      </c>
      <c r="Q152" s="163" t="str">
        <f t="shared" si="37"/>
        <v>中立→</v>
      </c>
      <c r="R152" s="166">
        <f t="shared" si="44"/>
        <v>1754</v>
      </c>
      <c r="S152" s="166">
        <f t="shared" si="45"/>
        <v>1559</v>
      </c>
      <c r="T152" s="163">
        <f>IF(C152="","",IFERROR(IF(O152&gt;=2,3,IF(O152&gt;=1.5,2,IF(O152&gt;=1,1,0)))+IF(E152&gt;G152,1,0)+IF(L152&gt;=-5,1,0)+IF(Q152="買い▲",2,0)+IF(W152&gt;=78,-4,IF(W152&gt;=72,-2,IF(W152&gt;=55,2,IF(W152&gt;=45,1,0))))+IF(X152&gt;0,1,0)+IF(V152="年初来高値更新●",3,IF(V152="高値圏",2,0))+IF(AD152="パーフェクト▲",3,IF(AD152="上昇トレンド▲",2,0))+IF(AE152="25日線押し目●",2,IF(AE152="5日線押し目○",1,0))+IF(P152="急増↑↑",2,IF(P152="増加↑",1,0))+N(AI152),0))</f>
      </c>
      <c r="U152" s="163" t="str">
        <f t="shared" si="46"/>
        <v>除外</v>
      </c>
      <c r="V152" s="163" t="str">
        <f t="shared" si="39"/>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 t="shared" si="47"/>
        <v>1.5634771732332706</v>
      </c>
      <c r="AA152" s="163" t="str">
        <f t="shared" si="48"/>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 t="shared" si="40"/>
        <v>下降トレンド▼</v>
      </c>
      <c r="AE152" s="404" t="str">
        <f t="shared" si="41"/>
        <v>なし</v>
      </c>
      <c r="AF152" s="365">
        <f t="array" ref="AF152">IF(C152="","",IFERROR((INDEX(終値!$E:$E,MATCH(TEXT(C152,"0"),終値!$A:$A,0))-INDEX(終値!$E:$CZ,MATCH(TEXT(C152,"0"),終値!$A:$A,0),$AL$2))/INDEX(終値!$E:$CZ,MATCH(TEXT(C152,"0"),終値!$A:$A,0),$AL$2)*100,""))</f>
        <v>-3.044776119402985</v>
      </c>
      <c r="AG152" s="365">
        <f t="array" ref="AG152">IFERROR((終値!$E$5-INDEX(終値!$E$5:$CZ$5,1,$AL$2))/INDEX(終値!$E$5:$CZ$5,1,$AL$2)*100,"")</f>
        <v>1.0179378228534113</v>
      </c>
      <c r="AH152" s="366">
        <f t="shared" si="42"/>
        <v>-4.062713942256396</v>
      </c>
      <c r="AI152" s="364">
        <f t="shared" si="43"/>
        <v>-2</v>
      </c>
      <c r="BA152">
        <f>IFERROR((SUM(OFFSET(高値!$E$6,IFERROR(MATCH($C152,銘柄管理!$B$6:$B$305,0),MATCH(TEXT($C152,"0"),銘柄管理!$B$6:$B$305,0))-1,0,1,14))-SUM(OFFSET(安値!$E$6,IFERROR(MATCH($C152,銘柄管理!$B$6:$B$305,0),MATCH(TEXT($C152,"0"),銘柄管理!$B$6:$B$305,0))-1,0,1,14)))/SUM(OFFSET(終値!$E$6,IFERROR(MATCH($C152,銘柄管理!$B$6:$B$305,0),MATCH(TEXT($C152,"0"),銘柄管理!$B$6:$B$305,0))-1,0,1,14))*100,"")</f>
      </c>
      <c r="BB152">
        <f>IFERROR((MAX(OFFSET(高値!$E$6,IFERROR(MATCH($C152,銘柄管理!$B$6:$B$305,0),MATCH(TEXT($C152,"0"),銘柄管理!$B$6:$B$305,0))-1,0,1,25))-MIN(OFFSET(安値!$E$6,IFERROR(MATCH($C152,銘柄管理!$B$6:$B$305,0),MATCH(TEXT($C152,"0"),銘柄管理!$B$6:$B$305,0))-1,0,1,25)))/$E152*100,"")</f>
      </c>
      <c r="BC152">
        <f>IFERROR(($F152-$G152)/$G152*100,"")</f>
      </c>
      <c r="BD152">
        <f>IFERROR(($E152-MAX(OFFSET(高値!$E$6,IFERROR(MATCH($C152,銘柄管理!$B$6:$B$305,0),MATCH(TEXT($C152,"0"),銘柄管理!$B$6:$B$305,0))-1,0,1,25)))/MAX(OFFSET(高値!$E$6,IFERROR(MATCH($C152,銘柄管理!$B$6:$B$305,0),MATCH(TEXT($C152,"0"),銘柄管理!$B$6:$B$305,0))-1,0,1,25))*100,"")</f>
      </c>
      <c r="BE152">
        <f>IFERROR(($H152-$I152)/$F152*100,"")</f>
      </c>
      <c r="BF152">
        <f>IFERROR(-(($BA152-AVERAGE($BA$3:$BA$206))/STDEV($BA$3:$BA$206))-(($BE152-AVERAGE($BE$3:$BE$206))/STDEV($BE$3:$BE$206))-(($BB152-AVERAGE($BB$3:$BB$206))/STDEV($BB$3:$BB$206))-(($Z152-AVERAGE($Z$3:$Z$206))/STDEV($Z$3:$Z$206))-(($BC152-AVERAGE($BC$3:$BC$206))/STDEV($BC$3:$BC$206)),"")</f>
      </c>
      <c r="BG152">
        <f>IF(OR($C152="",$C152="TOPX",$BA152="",$BF152=""),0,IF(AND($BK$10=1,$BA152&lt;=$BK$2,$BB152&lt;=$BK$3,$BC152&lt;=$BK$4,$Z152&lt;=$BK$5,$Z152&gt;=$BK$6,$BD152&gt;=$BK$7,$BE152&lt;=$BK$8),1,0))</f>
      </c>
      <c r="BH152">
        <f>IF($C152="","",IF($BG152=1,"○ゲート通過",IF($BK$10&lt;&gt;1,"― この方向は停止中",IF($BA152&gt;$BK$2,"×値動きが荒い",IF($BB152&gt;$BK$3,"×レンジが広い",IF($BC152&gt;$BK$4,"×窓を開けて上昇",IF($Z152&gt;$BK$5,"×前日に急騰",IF($Z152&lt;$BK$6,"×前日に急落",IF($BD152&lt;$BK$7,"×高値から離れすぎ",IF($BE152&gt;$BK$8,"×当日の値幅が大きい","×")))))))))</f>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 t="shared" si="34"/>
        <v>-8.268493787016606</v>
      </c>
      <c r="M153" s="166">
        <f>IF(C153&lt;&gt;"",IFERROR(AVERAGE(出来高!E165:I165),""),"")</f>
        <v>239600</v>
      </c>
      <c r="N153" s="166">
        <f>IF(C153&lt;&gt;"",IFERROR(AVERAGE(出来高!E165:AC165),""),"")</f>
        <v>338028</v>
      </c>
      <c r="O153" s="168">
        <f t="shared" si="35"/>
        <v>0.70701168614357257</v>
      </c>
      <c r="P153" s="163" t="str">
        <f t="shared" si="36"/>
        <v>減少↓</v>
      </c>
      <c r="Q153" s="163" t="str">
        <f t="shared" si="37"/>
        <v>中立→</v>
      </c>
      <c r="R153" s="166">
        <f t="shared" si="44"/>
        <v>8531</v>
      </c>
      <c r="S153" s="166">
        <f t="shared" si="45"/>
        <v>7583</v>
      </c>
      <c r="T153" s="163">
        <f>IF(C153="","",IFERROR(IF(O153&gt;=2,3,IF(O153&gt;=1.5,2,IF(O153&gt;=1,1,0)))+IF(E153&gt;G153,1,0)+IF(L153&gt;=-5,1,0)+IF(Q153="買い▲",2,0)+IF(W153&gt;=78,-4,IF(W153&gt;=72,-2,IF(W153&gt;=55,2,IF(W153&gt;=45,1,0))))+IF(X153&gt;0,1,0)+IF(V153="年初来高値更新●",3,IF(V153="高値圏",2,0))+IF(AD153="パーフェクト▲",3,IF(AD153="上昇トレンド▲",2,0))+IF(AE153="25日線押し目●",2,IF(AE153="5日線押し目○",1,0))+IF(P153="急増↑↑",2,IF(P153="増加↑",1,0))+N(AI153),0))</f>
      </c>
      <c r="U153" s="163" t="str">
        <f t="shared" si="46"/>
        <v>要確認</v>
      </c>
      <c r="V153" s="163" t="str">
        <f t="shared" si="39"/>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 t="shared" si="47"/>
        <v>1.9752130131680867</v>
      </c>
      <c r="AA153" s="163" t="str">
        <f t="shared" si="48"/>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 t="shared" si="40"/>
        <v>上昇トレンド▲</v>
      </c>
      <c r="AE153" s="406" t="str">
        <f t="shared" si="41"/>
        <v>なし</v>
      </c>
      <c r="AF153" s="365">
        <f t="array" ref="AF153">IF(C153="","",IFERROR((INDEX(終値!$E:$E,MATCH(TEXT(C153,"0"),終値!$A:$A,0))-INDEX(終値!$E:$CZ,MATCH(TEXT(C153,"0"),終値!$A:$A,0),$AL$2))/INDEX(終値!$E:$CZ,MATCH(TEXT(C153,"0"),終値!$A:$A,0),$AL$2)*100,""))</f>
        <v>30.389567514031036</v>
      </c>
      <c r="AG153" s="365">
        <f t="array" ref="AG153">IFERROR((終値!$E$5-INDEX(終値!$E$5:$CZ$5,1,$AL$2))/INDEX(終値!$E$5:$CZ$5,1,$AL$2)*100,"")</f>
        <v>1.0179378228534113</v>
      </c>
      <c r="AH153" s="366">
        <f t="shared" si="42"/>
        <v>29.371629691177624</v>
      </c>
      <c r="AI153" s="364">
        <f t="shared" si="43"/>
        <v>3</v>
      </c>
      <c r="BA153">
        <f>IFERROR((SUM(OFFSET(高値!$E$6,IFERROR(MATCH($C153,銘柄管理!$B$6:$B$305,0),MATCH(TEXT($C153,"0"),銘柄管理!$B$6:$B$305,0))-1,0,1,14))-SUM(OFFSET(安値!$E$6,IFERROR(MATCH($C153,銘柄管理!$B$6:$B$305,0),MATCH(TEXT($C153,"0"),銘柄管理!$B$6:$B$305,0))-1,0,1,14)))/SUM(OFFSET(終値!$E$6,IFERROR(MATCH($C153,銘柄管理!$B$6:$B$305,0),MATCH(TEXT($C153,"0"),銘柄管理!$B$6:$B$305,0))-1,0,1,14))*100,"")</f>
      </c>
      <c r="BB153">
        <f>IFERROR((MAX(OFFSET(高値!$E$6,IFERROR(MATCH($C153,銘柄管理!$B$6:$B$305,0),MATCH(TEXT($C153,"0"),銘柄管理!$B$6:$B$305,0))-1,0,1,25))-MIN(OFFSET(安値!$E$6,IFERROR(MATCH($C153,銘柄管理!$B$6:$B$305,0),MATCH(TEXT($C153,"0"),銘柄管理!$B$6:$B$305,0))-1,0,1,25)))/$E153*100,"")</f>
      </c>
      <c r="BC153">
        <f>IFERROR(($F153-$G153)/$G153*100,"")</f>
      </c>
      <c r="BD153">
        <f>IFERROR(($E153-MAX(OFFSET(高値!$E$6,IFERROR(MATCH($C153,銘柄管理!$B$6:$B$305,0),MATCH(TEXT($C153,"0"),銘柄管理!$B$6:$B$305,0))-1,0,1,25)))/MAX(OFFSET(高値!$E$6,IFERROR(MATCH($C153,銘柄管理!$B$6:$B$305,0),MATCH(TEXT($C153,"0"),銘柄管理!$B$6:$B$305,0))-1,0,1,25))*100,"")</f>
      </c>
      <c r="BE153">
        <f>IFERROR(($H153-$I153)/$F153*100,"")</f>
      </c>
      <c r="BF153">
        <f>IFERROR(-(($BA153-AVERAGE($BA$3:$BA$206))/STDEV($BA$3:$BA$206))-(($BE153-AVERAGE($BE$3:$BE$206))/STDEV($BE$3:$BE$206))-(($BB153-AVERAGE($BB$3:$BB$206))/STDEV($BB$3:$BB$206))-(($Z153-AVERAGE($Z$3:$Z$206))/STDEV($Z$3:$Z$206))-(($BC153-AVERAGE($BC$3:$BC$206))/STDEV($BC$3:$BC$206)),"")</f>
      </c>
      <c r="BG153">
        <f>IF(OR($C153="",$C153="TOPX",$BA153="",$BF153=""),0,IF(AND($BK$10=1,$BA153&lt;=$BK$2,$BB153&lt;=$BK$3,$BC153&lt;=$BK$4,$Z153&lt;=$BK$5,$Z153&gt;=$BK$6,$BD153&gt;=$BK$7,$BE153&lt;=$BK$8),1,0))</f>
      </c>
      <c r="BH153">
        <f>IF($C153="","",IF($BG153=1,"○ゲート通過",IF($BK$10&lt;&gt;1,"― この方向は停止中",IF($BA153&gt;$BK$2,"×値動きが荒い",IF($BB153&gt;$BK$3,"×レンジが広い",IF($BC153&gt;$BK$4,"×窓を開けて上昇",IF($Z153&gt;$BK$5,"×前日に急騰",IF($Z153&lt;$BK$6,"×前日に急落",IF($BD153&lt;$BK$7,"×高値から離れすぎ",IF($BE153&gt;$BK$8,"×当日の値幅が大きい","×")))))))))</f>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 t="shared" si="34"/>
        <v>-12.316968130921619</v>
      </c>
      <c r="M154" s="166">
        <f>IF(C154&lt;&gt;"",IFERROR(AVERAGE(出来高!E170:I170),""),"")</f>
        <v>121420</v>
      </c>
      <c r="N154" s="166">
        <f>IF(C154&lt;&gt;"",IFERROR(AVERAGE(出来高!E170:AC170),""),"")</f>
        <v>69660</v>
      </c>
      <c r="O154" s="168">
        <f t="shared" si="35"/>
        <v>0.38461538461538464</v>
      </c>
      <c r="P154" s="163" t="str">
        <f t="shared" si="36"/>
        <v>減少↓</v>
      </c>
      <c r="Q154" s="163" t="str">
        <f t="shared" si="37"/>
        <v>中立→</v>
      </c>
      <c r="R154" s="166">
        <f t="shared" si="44"/>
        <v>1099</v>
      </c>
      <c r="S154" s="166">
        <f t="shared" si="45"/>
        <v>977</v>
      </c>
      <c r="T154" s="163">
        <f>IF(C154="","",IFERROR(IF(O154&gt;=2,3,IF(O154&gt;=1.5,2,IF(O154&gt;=1,1,0)))+IF(E154&gt;G154,1,0)+IF(L154&gt;=-5,1,0)+IF(Q154="買い▲",2,0)+IF(W154&gt;=78,-4,IF(W154&gt;=72,-2,IF(W154&gt;=55,2,IF(W154&gt;=45,1,0))))+IF(X154&gt;0,1,0)+IF(V154="年初来高値更新●",3,IF(V154="高値圏",2,0))+IF(AD154="パーフェクト▲",3,IF(AD154="上昇トレンド▲",2,0))+IF(AE154="25日線押し目●",2,IF(AE154="5日線押し目○",1,0))+IF(P154="急増↑↑",2,IF(P154="増加↑",1,0))+N(AI154),0))</f>
      </c>
      <c r="U154" s="163" t="str">
        <f t="shared" si="46"/>
        <v>除外</v>
      </c>
      <c r="V154" s="163" t="str">
        <f t="shared" si="39"/>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 t="shared" si="47"/>
        <v>0.6923837784371909</v>
      </c>
      <c r="AA154" s="163" t="str">
        <f t="shared" si="48"/>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 t="shared" si="40"/>
        <v>下降トレンド▼</v>
      </c>
      <c r="AE154" s="404" t="str">
        <f t="shared" si="41"/>
        <v>なし</v>
      </c>
      <c r="AF154" s="365">
        <f t="array" ref="AF154">IF(C154="","",IFERROR((INDEX(終値!$E:$E,MATCH(TEXT(C154,"0"),終値!$A:$A,0))-INDEX(終値!$E:$CZ,MATCH(TEXT(C154,"0"),終値!$A:$A,0),$AL$2))/INDEX(終値!$E:$CZ,MATCH(TEXT(C154,"0"),終値!$A:$A,0),$AL$2)*100,""))</f>
        <v>-3.5071090047393367</v>
      </c>
      <c r="AG154" s="365">
        <f t="array" ref="AG154">IFERROR((終値!$E$5-INDEX(終値!$E$5:$CZ$5,1,$AL$2))/INDEX(終値!$E$5:$CZ$5,1,$AL$2)*100,"")</f>
        <v>1.0179378228534113</v>
      </c>
      <c r="AH154" s="366">
        <f t="shared" si="42"/>
        <v>-4.5250468275927478</v>
      </c>
      <c r="AI154" s="364">
        <f t="shared" si="43"/>
        <v>-2</v>
      </c>
      <c r="BA154">
        <f>IFERROR((SUM(OFFSET(高値!$E$6,IFERROR(MATCH($C154,銘柄管理!$B$6:$B$305,0),MATCH(TEXT($C154,"0"),銘柄管理!$B$6:$B$305,0))-1,0,1,14))-SUM(OFFSET(安値!$E$6,IFERROR(MATCH($C154,銘柄管理!$B$6:$B$305,0),MATCH(TEXT($C154,"0"),銘柄管理!$B$6:$B$305,0))-1,0,1,14)))/SUM(OFFSET(終値!$E$6,IFERROR(MATCH($C154,銘柄管理!$B$6:$B$305,0),MATCH(TEXT($C154,"0"),銘柄管理!$B$6:$B$305,0))-1,0,1,14))*100,"")</f>
      </c>
      <c r="BB154">
        <f>IFERROR((MAX(OFFSET(高値!$E$6,IFERROR(MATCH($C154,銘柄管理!$B$6:$B$305,0),MATCH(TEXT($C154,"0"),銘柄管理!$B$6:$B$305,0))-1,0,1,25))-MIN(OFFSET(安値!$E$6,IFERROR(MATCH($C154,銘柄管理!$B$6:$B$305,0),MATCH(TEXT($C154,"0"),銘柄管理!$B$6:$B$305,0))-1,0,1,25)))/$E154*100,"")</f>
      </c>
      <c r="BC154">
        <f>IFERROR(($F154-$G154)/$G154*100,"")</f>
      </c>
      <c r="BD154">
        <f>IFERROR(($E154-MAX(OFFSET(高値!$E$6,IFERROR(MATCH($C154,銘柄管理!$B$6:$B$305,0),MATCH(TEXT($C154,"0"),銘柄管理!$B$6:$B$305,0))-1,0,1,25)))/MAX(OFFSET(高値!$E$6,IFERROR(MATCH($C154,銘柄管理!$B$6:$B$305,0),MATCH(TEXT($C154,"0"),銘柄管理!$B$6:$B$305,0))-1,0,1,25))*100,"")</f>
      </c>
      <c r="BE154">
        <f>IFERROR(($H154-$I154)/$F154*100,"")</f>
      </c>
      <c r="BF154">
        <f>IFERROR(-(($BA154-AVERAGE($BA$3:$BA$206))/STDEV($BA$3:$BA$206))-(($BE154-AVERAGE($BE$3:$BE$206))/STDEV($BE$3:$BE$206))-(($BB154-AVERAGE($BB$3:$BB$206))/STDEV($BB$3:$BB$206))-(($Z154-AVERAGE($Z$3:$Z$206))/STDEV($Z$3:$Z$206))-(($BC154-AVERAGE($BC$3:$BC$206))/STDEV($BC$3:$BC$206)),"")</f>
      </c>
      <c r="BG154">
        <f>IF(OR($C154="",$C154="TOPX",$BA154="",$BF154=""),0,IF(AND($BK$10=1,$BA154&lt;=$BK$2,$BB154&lt;=$BK$3,$BC154&lt;=$BK$4,$Z154&lt;=$BK$5,$Z154&gt;=$BK$6,$BD154&gt;=$BK$7,$BE154&lt;=$BK$8),1,0))</f>
      </c>
      <c r="BH154">
        <f>IF($C154="","",IF($BG154=1,"○ゲート通過",IF($BK$10&lt;&gt;1,"― この方向は停止中",IF($BA154&gt;$BK$2,"×値動きが荒い",IF($BB154&gt;$BK$3,"×レンジが広い",IF($BC154&gt;$BK$4,"×窓を開けて上昇",IF($Z154&gt;$BK$5,"×前日に急騰",IF($Z154&lt;$BK$6,"×前日に急落",IF($BD154&lt;$BK$7,"×高値から離れすぎ",IF($BE154&gt;$BK$8,"×当日の値幅が大きい","×")))))))))</f>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 t="shared" si="34"/>
        <v>-9.2924317062248107</v>
      </c>
      <c r="M155" s="166">
        <f>IF(C155&lt;&gt;"",IFERROR(AVERAGE(出来高!E58:I58),""),"")</f>
        <v>775400</v>
      </c>
      <c r="N155" s="166">
        <f>IF(C155&lt;&gt;"",IFERROR(AVERAGE(出来高!E58:AC58),""),"")</f>
        <v>580244</v>
      </c>
      <c r="O155" s="168">
        <f t="shared" si="35"/>
        <v>0.7973948929584731</v>
      </c>
      <c r="P155" s="163" t="str">
        <f t="shared" si="36"/>
        <v>減少↓</v>
      </c>
      <c r="Q155" s="163" t="str">
        <f t="shared" si="37"/>
        <v>様子見▼</v>
      </c>
      <c r="R155" s="166">
        <f t="shared" si="44"/>
        <v>4375</v>
      </c>
      <c r="S155" s="166">
        <f t="shared" si="45"/>
        <v>3889</v>
      </c>
      <c r="T155" s="163">
        <f>IF(C155="","",IFERROR(IF(O155&gt;=2,3,IF(O155&gt;=1.5,2,IF(O155&gt;=1,1,0)))+IF(E155&gt;G155,1,0)+IF(L155&gt;=-5,1,0)+IF(Q155="買い▲",2,0)+IF(W155&gt;=78,-4,IF(W155&gt;=72,-2,IF(W155&gt;=55,2,IF(W155&gt;=45,1,0))))+IF(X155&gt;0,1,0)+IF(V155="年初来高値更新●",3,IF(V155="高値圏",2,0))+IF(AD155="パーフェクト▲",3,IF(AD155="上昇トレンド▲",2,0))+IF(AE155="25日線押し目●",2,IF(AE155="5日線押し目○",1,0))+IF(P155="急増↑↑",2,IF(P155="増加↑",1,0))+N(AI155),0))</f>
      </c>
      <c r="U155" s="163" t="str">
        <f t="shared" si="46"/>
        <v>除外</v>
      </c>
      <c r="V155" s="163" t="str">
        <f t="shared" si="39"/>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 t="shared" si="47"/>
        <v>-0.8080313418217433</v>
      </c>
      <c r="AA155" s="163" t="str">
        <f t="shared" si="48"/>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 t="shared" si="40"/>
        <v>下降トレンド▼</v>
      </c>
      <c r="AE155" s="406" t="str">
        <f t="shared" si="41"/>
        <v>なし</v>
      </c>
      <c r="AF155" s="365">
        <f t="array" ref="AF155">IF(C155="","",IFERROR((INDEX(終値!$E:$E,MATCH(TEXT(C155,"0"),終値!$A:$A,0))-INDEX(終値!$E:$CZ,MATCH(TEXT(C155,"0"),終値!$A:$A,0),$AL$2))/INDEX(終値!$E:$CZ,MATCH(TEXT(C155,"0"),終値!$A:$A,0),$AL$2)*100,""))</f>
        <v>3.0002542588354943</v>
      </c>
      <c r="AG155" s="365">
        <f t="array" ref="AG155">IFERROR((終値!$E$5-INDEX(終値!$E$5:$CZ$5,1,$AL$2))/INDEX(終値!$E$5:$CZ$5,1,$AL$2)*100,"")</f>
        <v>1.0179378228534113</v>
      </c>
      <c r="AH155" s="366">
        <f t="shared" si="42"/>
        <v>1.9823164359820831</v>
      </c>
      <c r="AI155" s="364">
        <f t="shared" si="43"/>
        <v>1</v>
      </c>
      <c r="BA155">
        <f>IFERROR((SUM(OFFSET(高値!$E$6,IFERROR(MATCH($C155,銘柄管理!$B$6:$B$305,0),MATCH(TEXT($C155,"0"),銘柄管理!$B$6:$B$305,0))-1,0,1,14))-SUM(OFFSET(安値!$E$6,IFERROR(MATCH($C155,銘柄管理!$B$6:$B$305,0),MATCH(TEXT($C155,"0"),銘柄管理!$B$6:$B$305,0))-1,0,1,14)))/SUM(OFFSET(終値!$E$6,IFERROR(MATCH($C155,銘柄管理!$B$6:$B$305,0),MATCH(TEXT($C155,"0"),銘柄管理!$B$6:$B$305,0))-1,0,1,14))*100,"")</f>
      </c>
      <c r="BB155">
        <f>IFERROR((MAX(OFFSET(高値!$E$6,IFERROR(MATCH($C155,銘柄管理!$B$6:$B$305,0),MATCH(TEXT($C155,"0"),銘柄管理!$B$6:$B$305,0))-1,0,1,25))-MIN(OFFSET(安値!$E$6,IFERROR(MATCH($C155,銘柄管理!$B$6:$B$305,0),MATCH(TEXT($C155,"0"),銘柄管理!$B$6:$B$305,0))-1,0,1,25)))/$E155*100,"")</f>
      </c>
      <c r="BC155">
        <f>IFERROR(($F155-$G155)/$G155*100,"")</f>
      </c>
      <c r="BD155">
        <f>IFERROR(($E155-MAX(OFFSET(高値!$E$6,IFERROR(MATCH($C155,銘柄管理!$B$6:$B$305,0),MATCH(TEXT($C155,"0"),銘柄管理!$B$6:$B$305,0))-1,0,1,25)))/MAX(OFFSET(高値!$E$6,IFERROR(MATCH($C155,銘柄管理!$B$6:$B$305,0),MATCH(TEXT($C155,"0"),銘柄管理!$B$6:$B$305,0))-1,0,1,25))*100,"")</f>
      </c>
      <c r="BE155">
        <f>IFERROR(($H155-$I155)/$F155*100,"")</f>
      </c>
      <c r="BF155">
        <f>IFERROR(-(($BA155-AVERAGE($BA$3:$BA$206))/STDEV($BA$3:$BA$206))-(($BE155-AVERAGE($BE$3:$BE$206))/STDEV($BE$3:$BE$206))-(($BB155-AVERAGE($BB$3:$BB$206))/STDEV($BB$3:$BB$206))-(($Z155-AVERAGE($Z$3:$Z$206))/STDEV($Z$3:$Z$206))-(($BC155-AVERAGE($BC$3:$BC$206))/STDEV($BC$3:$BC$206)),"")</f>
      </c>
      <c r="BG155">
        <f>IF(OR($C155="",$C155="TOPX",$BA155="",$BF155=""),0,IF(AND($BK$10=1,$BA155&lt;=$BK$2,$BB155&lt;=$BK$3,$BC155&lt;=$BK$4,$Z155&lt;=$BK$5,$Z155&gt;=$BK$6,$BD155&gt;=$BK$7,$BE155&lt;=$BK$8),1,0))</f>
      </c>
      <c r="BH155">
        <f>IF($C155="","",IF($BG155=1,"○ゲート通過",IF($BK$10&lt;&gt;1,"― この方向は停止中",IF($BA155&gt;$BK$2,"×値動きが荒い",IF($BB155&gt;$BK$3,"×レンジが広い",IF($BC155&gt;$BK$4,"×窓を開けて上昇",IF($Z155&gt;$BK$5,"×前日に急騰",IF($Z155&lt;$BK$6,"×前日に急落",IF($BD155&lt;$BK$7,"×高値から離れすぎ",IF($BE155&gt;$BK$8,"×当日の値幅が大きい","×")))))))))</f>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 t="shared" si="34"/>
        <v>-6.7256078307546572</v>
      </c>
      <c r="M156" s="166">
        <f>IF(C156&lt;&gt;"",IFERROR(AVERAGE(出来高!E101:I101),""),"")</f>
        <v>10430280</v>
      </c>
      <c r="N156" s="166">
        <f>IF(C156&lt;&gt;"",IFERROR(AVERAGE(出来高!E101:AC101),""),"")</f>
        <v>7507054.166666667</v>
      </c>
      <c r="O156" s="168">
        <f t="shared" si="35"/>
        <v>0.59995513063887063</v>
      </c>
      <c r="P156" s="163" t="str">
        <f t="shared" si="36"/>
        <v>減少↓</v>
      </c>
      <c r="Q156" s="163" t="str">
        <f t="shared" si="37"/>
        <v>中立→</v>
      </c>
      <c r="R156" s="166">
        <f t="shared" si="44"/>
        <v>3190</v>
      </c>
      <c r="S156" s="166">
        <f t="shared" si="45"/>
        <v>2836</v>
      </c>
      <c r="T156" s="163">
        <f>IF(C156="","",IFERROR(IF(O156&gt;=2,3,IF(O156&gt;=1.5,2,IF(O156&gt;=1,1,0)))+IF(E156&gt;G156,1,0)+IF(L156&gt;=-5,1,0)+IF(Q156="買い▲",2,0)+IF(W156&gt;=78,-4,IF(W156&gt;=72,-2,IF(W156&gt;=55,2,IF(W156&gt;=45,1,0))))+IF(X156&gt;0,1,0)+IF(V156="年初来高値更新●",3,IF(V156="高値圏",2,0))+IF(AD156="パーフェクト▲",3,IF(AD156="上昇トレンド▲",2,0))+IF(AE156="25日線押し目●",2,IF(AE156="5日線押し目○",1,0))+IF(P156="急増↑↑",2,IF(P156="増加↑",1,0))+N(AI156),0))</f>
      </c>
      <c r="U156" s="163" t="str">
        <f t="shared" si="46"/>
        <v>要確認</v>
      </c>
      <c r="V156" s="163" t="str">
        <f t="shared" si="39"/>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 t="shared" si="47"/>
        <v>3.2686593252927811</v>
      </c>
      <c r="AA156" s="163" t="str">
        <f t="shared" si="48"/>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 t="shared" si="40"/>
        <v>もみ合い→</v>
      </c>
      <c r="AE156" s="404" t="str">
        <f t="shared" si="41"/>
        <v>なし</v>
      </c>
      <c r="AF156" s="365">
        <f t="array" ref="AF156">IF(C156="","",IFERROR((INDEX(終値!$E:$E,MATCH(TEXT(C156,"0"),終値!$A:$A,0))-INDEX(終値!$E:$CZ,MATCH(TEXT(C156,"0"),終値!$A:$A,0),$AL$2))/INDEX(終値!$E:$CZ,MATCH(TEXT(C156,"0"),終値!$A:$A,0),$AL$2)*100,""))</f>
        <v>22.470978441127695</v>
      </c>
      <c r="AG156" s="365">
        <f t="array" ref="AG156">IFERROR((終値!$E$5-INDEX(終値!$E$5:$CZ$5,1,$AL$2))/INDEX(終値!$E$5:$CZ$5,1,$AL$2)*100,"")</f>
        <v>1.0179378228534113</v>
      </c>
      <c r="AH156" s="366">
        <f t="shared" si="42"/>
        <v>21.453040618274283</v>
      </c>
      <c r="AI156" s="364">
        <f t="shared" si="43"/>
        <v>3</v>
      </c>
      <c r="BA156">
        <f>IFERROR((SUM(OFFSET(高値!$E$6,IFERROR(MATCH($C156,銘柄管理!$B$6:$B$305,0),MATCH(TEXT($C156,"0"),銘柄管理!$B$6:$B$305,0))-1,0,1,14))-SUM(OFFSET(安値!$E$6,IFERROR(MATCH($C156,銘柄管理!$B$6:$B$305,0),MATCH(TEXT($C156,"0"),銘柄管理!$B$6:$B$305,0))-1,0,1,14)))/SUM(OFFSET(終値!$E$6,IFERROR(MATCH($C156,銘柄管理!$B$6:$B$305,0),MATCH(TEXT($C156,"0"),銘柄管理!$B$6:$B$305,0))-1,0,1,14))*100,"")</f>
      </c>
      <c r="BB156">
        <f>IFERROR((MAX(OFFSET(高値!$E$6,IFERROR(MATCH($C156,銘柄管理!$B$6:$B$305,0),MATCH(TEXT($C156,"0"),銘柄管理!$B$6:$B$305,0))-1,0,1,25))-MIN(OFFSET(安値!$E$6,IFERROR(MATCH($C156,銘柄管理!$B$6:$B$305,0),MATCH(TEXT($C156,"0"),銘柄管理!$B$6:$B$305,0))-1,0,1,25)))/$E156*100,"")</f>
      </c>
      <c r="BC156">
        <f>IFERROR(($F156-$G156)/$G156*100,"")</f>
      </c>
      <c r="BD156">
        <f>IFERROR(($E156-MAX(OFFSET(高値!$E$6,IFERROR(MATCH($C156,銘柄管理!$B$6:$B$305,0),MATCH(TEXT($C156,"0"),銘柄管理!$B$6:$B$305,0))-1,0,1,25)))/MAX(OFFSET(高値!$E$6,IFERROR(MATCH($C156,銘柄管理!$B$6:$B$305,0),MATCH(TEXT($C156,"0"),銘柄管理!$B$6:$B$305,0))-1,0,1,25))*100,"")</f>
      </c>
      <c r="BE156">
        <f>IFERROR(($H156-$I156)/$F156*100,"")</f>
      </c>
      <c r="BF156">
        <f>IFERROR(-(($BA156-AVERAGE($BA$3:$BA$206))/STDEV($BA$3:$BA$206))-(($BE156-AVERAGE($BE$3:$BE$206))/STDEV($BE$3:$BE$206))-(($BB156-AVERAGE($BB$3:$BB$206))/STDEV($BB$3:$BB$206))-(($Z156-AVERAGE($Z$3:$Z$206))/STDEV($Z$3:$Z$206))-(($BC156-AVERAGE($BC$3:$BC$206))/STDEV($BC$3:$BC$206)),"")</f>
      </c>
      <c r="BG156">
        <f>IF(OR($C156="",$C156="TOPX",$BA156="",$BF156=""),0,IF(AND($BK$10=1,$BA156&lt;=$BK$2,$BB156&lt;=$BK$3,$BC156&lt;=$BK$4,$Z156&lt;=$BK$5,$Z156&gt;=$BK$6,$BD156&gt;=$BK$7,$BE156&lt;=$BK$8),1,0))</f>
      </c>
      <c r="BH156">
        <f>IF($C156="","",IF($BG156=1,"○ゲート通過",IF($BK$10&lt;&gt;1,"― この方向は停止中",IF($BA156&gt;$BK$2,"×値動きが荒い",IF($BB156&gt;$BK$3,"×レンジが広い",IF($BC156&gt;$BK$4,"×窓を開けて上昇",IF($Z156&gt;$BK$5,"×前日に急騰",IF($Z156&lt;$BK$6,"×前日に急落",IF($BD156&lt;$BK$7,"×高値から離れすぎ",IF($BE156&gt;$BK$8,"×当日の値幅が大きい","×")))))))))</f>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 t="shared" si="34"/>
        <v>-14.535543947308655</v>
      </c>
      <c r="M157" s="166">
        <f>IF(C157&lt;&gt;"",IFERROR(AVERAGE(出来高!E64:I64),""),"")</f>
        <v>437000</v>
      </c>
      <c r="N157" s="166">
        <f>IF(C157&lt;&gt;"",IFERROR(AVERAGE(出来高!E64:AC64),""),"")</f>
        <v>366056</v>
      </c>
      <c r="O157" s="168">
        <f t="shared" si="35"/>
        <v>1.1933638443935928</v>
      </c>
      <c r="P157" s="163" t="str">
        <f t="shared" si="36"/>
        <v>普通→</v>
      </c>
      <c r="Q157" s="163" t="str">
        <f t="shared" si="37"/>
        <v>中立→</v>
      </c>
      <c r="R157" s="166">
        <f t="shared" si="44"/>
        <v>4064</v>
      </c>
      <c r="S157" s="166">
        <f t="shared" si="45"/>
        <v>3612</v>
      </c>
      <c r="T157" s="163">
        <f>IF(C157="","",IFERROR(IF(O157&gt;=2,3,IF(O157&gt;=1.5,2,IF(O157&gt;=1,1,0)))+IF(E157&gt;G157,1,0)+IF(L157&gt;=-5,1,0)+IF(Q157="買い▲",2,0)+IF(W157&gt;=78,-4,IF(W157&gt;=72,-2,IF(W157&gt;=55,2,IF(W157&gt;=45,1,0))))+IF(X157&gt;0,1,0)+IF(V157="年初来高値更新●",3,IF(V157="高値圏",2,0))+IF(AD157="パーフェクト▲",3,IF(AD157="上昇トレンド▲",2,0))+IF(AE157="25日線押し目●",2,IF(AE157="5日線押し目○",1,0))+IF(P157="急増↑↑",2,IF(P157="増加↑",1,0))+N(AI157),0))</f>
      </c>
      <c r="U157" s="163" t="str">
        <f t="shared" si="46"/>
        <v>要確認</v>
      </c>
      <c r="V157" s="163" t="str">
        <f t="shared" si="39"/>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 t="shared" si="47"/>
        <v>1.3193322563274097</v>
      </c>
      <c r="AA157" s="163" t="str">
        <f t="shared" si="48"/>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 t="shared" si="40"/>
        <v>下降トレンド▼</v>
      </c>
      <c r="AE157" s="406" t="str">
        <f t="shared" si="41"/>
        <v>なし</v>
      </c>
      <c r="AF157" s="365">
        <f t="array" ref="AF157">IF(C157="","",IFERROR((INDEX(終値!$E:$E,MATCH(TEXT(C157,"0"),終値!$A:$A,0))-INDEX(終値!$E:$CZ,MATCH(TEXT(C157,"0"),終値!$A:$A,0),$AL$2))/INDEX(終値!$E:$CZ,MATCH(TEXT(C157,"0"),終値!$A:$A,0),$AL$2)*100,""))</f>
        <v>1.7577068685776096</v>
      </c>
      <c r="AG157" s="365">
        <f t="array" ref="AG157">IFERROR((終値!$E$5-INDEX(終値!$E$5:$CZ$5,1,$AL$2))/INDEX(終値!$E$5:$CZ$5,1,$AL$2)*100,"")</f>
        <v>1.0179378228534113</v>
      </c>
      <c r="AH157" s="366">
        <f t="shared" si="42"/>
        <v>0.73976904572419833</v>
      </c>
      <c r="AI157" s="364">
        <f t="shared" si="43"/>
        <v>1</v>
      </c>
      <c r="BA157">
        <f>IFERROR((SUM(OFFSET(高値!$E$6,IFERROR(MATCH($C157,銘柄管理!$B$6:$B$305,0),MATCH(TEXT($C157,"0"),銘柄管理!$B$6:$B$305,0))-1,0,1,14))-SUM(OFFSET(安値!$E$6,IFERROR(MATCH($C157,銘柄管理!$B$6:$B$305,0),MATCH(TEXT($C157,"0"),銘柄管理!$B$6:$B$305,0))-1,0,1,14)))/SUM(OFFSET(終値!$E$6,IFERROR(MATCH($C157,銘柄管理!$B$6:$B$305,0),MATCH(TEXT($C157,"0"),銘柄管理!$B$6:$B$305,0))-1,0,1,14))*100,"")</f>
      </c>
      <c r="BB157">
        <f>IFERROR((MAX(OFFSET(高値!$E$6,IFERROR(MATCH($C157,銘柄管理!$B$6:$B$305,0),MATCH(TEXT($C157,"0"),銘柄管理!$B$6:$B$305,0))-1,0,1,25))-MIN(OFFSET(安値!$E$6,IFERROR(MATCH($C157,銘柄管理!$B$6:$B$305,0),MATCH(TEXT($C157,"0"),銘柄管理!$B$6:$B$305,0))-1,0,1,25)))/$E157*100,"")</f>
      </c>
      <c r="BC157">
        <f>IFERROR(($F157-$G157)/$G157*100,"")</f>
      </c>
      <c r="BD157">
        <f>IFERROR(($E157-MAX(OFFSET(高値!$E$6,IFERROR(MATCH($C157,銘柄管理!$B$6:$B$305,0),MATCH(TEXT($C157,"0"),銘柄管理!$B$6:$B$305,0))-1,0,1,25)))/MAX(OFFSET(高値!$E$6,IFERROR(MATCH($C157,銘柄管理!$B$6:$B$305,0),MATCH(TEXT($C157,"0"),銘柄管理!$B$6:$B$305,0))-1,0,1,25))*100,"")</f>
      </c>
      <c r="BE157">
        <f>IFERROR(($H157-$I157)/$F157*100,"")</f>
      </c>
      <c r="BF157">
        <f>IFERROR(-(($BA157-AVERAGE($BA$3:$BA$206))/STDEV($BA$3:$BA$206))-(($BE157-AVERAGE($BE$3:$BE$206))/STDEV($BE$3:$BE$206))-(($BB157-AVERAGE($BB$3:$BB$206))/STDEV($BB$3:$BB$206))-(($Z157-AVERAGE($Z$3:$Z$206))/STDEV($Z$3:$Z$206))-(($BC157-AVERAGE($BC$3:$BC$206))/STDEV($BC$3:$BC$206)),"")</f>
      </c>
      <c r="BG157">
        <f>IF(OR($C157="",$C157="TOPX",$BA157="",$BF157=""),0,IF(AND($BK$10=1,$BA157&lt;=$BK$2,$BB157&lt;=$BK$3,$BC157&lt;=$BK$4,$Z157&lt;=$BK$5,$Z157&gt;=$BK$6,$BD157&gt;=$BK$7,$BE157&lt;=$BK$8),1,0))</f>
      </c>
      <c r="BH157">
        <f>IF($C157="","",IF($BG157=1,"○ゲート通過",IF($BK$10&lt;&gt;1,"― この方向は停止中",IF($BA157&gt;$BK$2,"×値動きが荒い",IF($BB157&gt;$BK$3,"×レンジが広い",IF($BC157&gt;$BK$4,"×窓を開けて上昇",IF($Z157&gt;$BK$5,"×前日に急騰",IF($Z157&lt;$BK$6,"×前日に急落",IF($BD157&lt;$BK$7,"×高値から離れすぎ",IF($BE157&gt;$BK$8,"×当日の値幅が大きい","×")))))))))</f>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 t="shared" si="34"/>
        <v>-16.770186335403729</v>
      </c>
      <c r="M158" s="166">
        <f>IF(C158&lt;&gt;"",IFERROR(AVERAGE(出来高!E67:I67),""),"")</f>
        <v>1009340</v>
      </c>
      <c r="N158" s="166">
        <f>IF(C158&lt;&gt;"",IFERROR(AVERAGE(出来高!E67:AC67),""),"")</f>
        <v>1166095.8333333333</v>
      </c>
      <c r="O158" s="168">
        <f t="shared" si="35"/>
        <v>0.89513939802247011</v>
      </c>
      <c r="P158" s="163" t="str">
        <f t="shared" si="36"/>
        <v>減少↓</v>
      </c>
      <c r="Q158" s="163" t="str">
        <f t="shared" si="37"/>
        <v>中立→</v>
      </c>
      <c r="R158" s="166">
        <f t="shared" si="44"/>
        <v>2026</v>
      </c>
      <c r="S158" s="166">
        <f t="shared" si="45"/>
        <v>1801</v>
      </c>
      <c r="T158" s="163">
        <f>IF(C158="","",IFERROR(IF(O158&gt;=2,3,IF(O158&gt;=1.5,2,IF(O158&gt;=1,1,0)))+IF(E158&gt;G158,1,0)+IF(L158&gt;=-5,1,0)+IF(Q158="買い▲",2,0)+IF(W158&gt;=78,-4,IF(W158&gt;=72,-2,IF(W158&gt;=55,2,IF(W158&gt;=45,1,0))))+IF(X158&gt;0,1,0)+IF(V158="年初来高値更新●",3,IF(V158="高値圏",2,0))+IF(AD158="パーフェクト▲",3,IF(AD158="上昇トレンド▲",2,0))+IF(AE158="25日線押し目●",2,IF(AE158="5日線押し目○",1,0))+IF(P158="急増↑↑",2,IF(P158="増加↑",1,0))+N(AI158),0))</f>
      </c>
      <c r="U158" s="163" t="str">
        <f t="shared" si="46"/>
        <v>要確認</v>
      </c>
      <c r="V158" s="163" t="str">
        <f t="shared" si="39"/>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 t="shared" si="47"/>
        <v>1.1048234977095122</v>
      </c>
      <c r="AA158" s="163" t="str">
        <f t="shared" si="48"/>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 t="shared" si="40"/>
        <v>パーフェクト▲</v>
      </c>
      <c r="AE158" s="404" t="str">
        <f t="shared" si="41"/>
        <v>なし</v>
      </c>
      <c r="AF158" s="365">
        <f t="array" ref="AF158">IF(C158="","",IFERROR((INDEX(終値!$E:$E,MATCH(TEXT(C158,"0"),終値!$A:$A,0))-INDEX(終値!$E:$CZ,MATCH(TEXT(C158,"0"),終値!$A:$A,0),$AL$2))/INDEX(終値!$E:$CZ,MATCH(TEXT(C158,"0"),終値!$A:$A,0),$AL$2)*100,""))</f>
        <v>-12.110564535019911</v>
      </c>
      <c r="AG158" s="365">
        <f t="array" ref="AG158">IFERROR((終値!$E$5-INDEX(終値!$E$5:$CZ$5,1,$AL$2))/INDEX(終値!$E$5:$CZ$5,1,$AL$2)*100,"")</f>
        <v>1.0179378228534113</v>
      </c>
      <c r="AH158" s="366">
        <f t="shared" si="42"/>
        <v>-13.128502357873323</v>
      </c>
      <c r="AI158" s="364">
        <f t="shared" si="43"/>
        <v>-2</v>
      </c>
      <c r="BA158">
        <f>IFERROR((SUM(OFFSET(高値!$E$6,IFERROR(MATCH($C158,銘柄管理!$B$6:$B$305,0),MATCH(TEXT($C158,"0"),銘柄管理!$B$6:$B$305,0))-1,0,1,14))-SUM(OFFSET(安値!$E$6,IFERROR(MATCH($C158,銘柄管理!$B$6:$B$305,0),MATCH(TEXT($C158,"0"),銘柄管理!$B$6:$B$305,0))-1,0,1,14)))/SUM(OFFSET(終値!$E$6,IFERROR(MATCH($C158,銘柄管理!$B$6:$B$305,0),MATCH(TEXT($C158,"0"),銘柄管理!$B$6:$B$305,0))-1,0,1,14))*100,"")</f>
      </c>
      <c r="BB158">
        <f>IFERROR((MAX(OFFSET(高値!$E$6,IFERROR(MATCH($C158,銘柄管理!$B$6:$B$305,0),MATCH(TEXT($C158,"0"),銘柄管理!$B$6:$B$305,0))-1,0,1,25))-MIN(OFFSET(安値!$E$6,IFERROR(MATCH($C158,銘柄管理!$B$6:$B$305,0),MATCH(TEXT($C158,"0"),銘柄管理!$B$6:$B$305,0))-1,0,1,25)))/$E158*100,"")</f>
      </c>
      <c r="BC158">
        <f>IFERROR(($F158-$G158)/$G158*100,"")</f>
      </c>
      <c r="BD158">
        <f>IFERROR(($E158-MAX(OFFSET(高値!$E$6,IFERROR(MATCH($C158,銘柄管理!$B$6:$B$305,0),MATCH(TEXT($C158,"0"),銘柄管理!$B$6:$B$305,0))-1,0,1,25)))/MAX(OFFSET(高値!$E$6,IFERROR(MATCH($C158,銘柄管理!$B$6:$B$305,0),MATCH(TEXT($C158,"0"),銘柄管理!$B$6:$B$305,0))-1,0,1,25))*100,"")</f>
      </c>
      <c r="BE158">
        <f>IFERROR(($H158-$I158)/$F158*100,"")</f>
      </c>
      <c r="BF158">
        <f>IFERROR(-(($BA158-AVERAGE($BA$3:$BA$206))/STDEV($BA$3:$BA$206))-(($BE158-AVERAGE($BE$3:$BE$206))/STDEV($BE$3:$BE$206))-(($BB158-AVERAGE($BB$3:$BB$206))/STDEV($BB$3:$BB$206))-(($Z158-AVERAGE($Z$3:$Z$206))/STDEV($Z$3:$Z$206))-(($BC158-AVERAGE($BC$3:$BC$206))/STDEV($BC$3:$BC$206)),"")</f>
      </c>
      <c r="BG158">
        <f>IF(OR($C158="",$C158="TOPX",$BA158="",$BF158=""),0,IF(AND($BK$10=1,$BA158&lt;=$BK$2,$BB158&lt;=$BK$3,$BC158&lt;=$BK$4,$Z158&lt;=$BK$5,$Z158&gt;=$BK$6,$BD158&gt;=$BK$7,$BE158&lt;=$BK$8),1,0))</f>
      </c>
      <c r="BH158">
        <f>IF($C158="","",IF($BG158=1,"○ゲート通過",IF($BK$10&lt;&gt;1,"― この方向は停止中",IF($BA158&gt;$BK$2,"×値動きが荒い",IF($BB158&gt;$BK$3,"×レンジが広い",IF($BC158&gt;$BK$4,"×窓を開けて上昇",IF($Z158&gt;$BK$5,"×前日に急騰",IF($Z158&lt;$BK$6,"×前日に急落",IF($BD158&lt;$BK$7,"×高値から離れすぎ",IF($BE158&gt;$BK$8,"×当日の値幅が大きい","×")))))))))</f>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 t="shared" si="34"/>
        <v>-12.581790988969901</v>
      </c>
      <c r="M159" s="166">
        <f>IF(C159&lt;&gt;"",IFERROR(AVERAGE(出来高!E100:I100),""),"")</f>
        <v>2049380</v>
      </c>
      <c r="N159" s="166">
        <f>IF(C159&lt;&gt;"",IFERROR(AVERAGE(出来高!E100:AC100),""),"")</f>
        <v>1574395.8333333333</v>
      </c>
      <c r="O159" s="168">
        <f t="shared" si="35"/>
        <v>0.73836965326098625</v>
      </c>
      <c r="P159" s="163" t="str">
        <f t="shared" si="36"/>
        <v>減少↓</v>
      </c>
      <c r="Q159" s="163" t="str">
        <f t="shared" si="37"/>
        <v>中立→</v>
      </c>
      <c r="R159" s="166">
        <f t="shared" si="44"/>
        <v>2525</v>
      </c>
      <c r="S159" s="166">
        <f t="shared" si="45"/>
        <v>2244</v>
      </c>
      <c r="T159" s="163">
        <f>IF(C159="","",IFERROR(IF(O159&gt;=2,3,IF(O159&gt;=1.5,2,IF(O159&gt;=1,1,0)))+IF(E159&gt;G159,1,0)+IF(L159&gt;=-5,1,0)+IF(Q159="買い▲",2,0)+IF(W159&gt;=78,-4,IF(W159&gt;=72,-2,IF(W159&gt;=55,2,IF(W159&gt;=45,1,0))))+IF(X159&gt;0,1,0)+IF(V159="年初来高値更新●",3,IF(V159="高値圏",2,0))+IF(AD159="パーフェクト▲",3,IF(AD159="上昇トレンド▲",2,0))+IF(AE159="25日線押し目●",2,IF(AE159="5日線押し目○",1,0))+IF(P159="急増↑↑",2,IF(P159="増加↑",1,0))+N(AI159),0))</f>
      </c>
      <c r="U159" s="163" t="str">
        <f t="shared" si="46"/>
        <v>要確認</v>
      </c>
      <c r="V159" s="163" t="str">
        <f t="shared" si="39"/>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 t="shared" si="47"/>
        <v>1.6079965232507605</v>
      </c>
      <c r="AA159" s="163" t="str">
        <f t="shared" si="48"/>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 t="shared" si="40"/>
        <v>パーフェクト▲</v>
      </c>
      <c r="AE159" s="406" t="str">
        <f t="shared" si="41"/>
        <v>なし</v>
      </c>
      <c r="AF159" s="365">
        <f t="array" ref="AF159">IF(C159="","",IFERROR((INDEX(終値!$E:$E,MATCH(TEXT(C159,"0"),終値!$A:$A,0))-INDEX(終値!$E:$CZ,MATCH(TEXT(C159,"0"),終値!$A:$A,0),$AL$2))/INDEX(終値!$E:$CZ,MATCH(TEXT(C159,"0"),終値!$A:$A,0),$AL$2)*100,""))</f>
        <v>-1.2668918918918919</v>
      </c>
      <c r="AG159" s="365">
        <f t="array" ref="AG159">IFERROR((終値!$E$5-INDEX(終値!$E$5:$CZ$5,1,$AL$2))/INDEX(終値!$E$5:$CZ$5,1,$AL$2)*100,"")</f>
        <v>1.0179378228534113</v>
      </c>
      <c r="AH159" s="366">
        <f t="shared" si="42"/>
        <v>-2.2848297147453032</v>
      </c>
      <c r="AI159" s="364">
        <f t="shared" si="43"/>
        <v>-1</v>
      </c>
      <c r="BA159">
        <f>IFERROR((SUM(OFFSET(高値!$E$6,IFERROR(MATCH($C159,銘柄管理!$B$6:$B$305,0),MATCH(TEXT($C159,"0"),銘柄管理!$B$6:$B$305,0))-1,0,1,14))-SUM(OFFSET(安値!$E$6,IFERROR(MATCH($C159,銘柄管理!$B$6:$B$305,0),MATCH(TEXT($C159,"0"),銘柄管理!$B$6:$B$305,0))-1,0,1,14)))/SUM(OFFSET(終値!$E$6,IFERROR(MATCH($C159,銘柄管理!$B$6:$B$305,0),MATCH(TEXT($C159,"0"),銘柄管理!$B$6:$B$305,0))-1,0,1,14))*100,"")</f>
      </c>
      <c r="BB159">
        <f>IFERROR((MAX(OFFSET(高値!$E$6,IFERROR(MATCH($C159,銘柄管理!$B$6:$B$305,0),MATCH(TEXT($C159,"0"),銘柄管理!$B$6:$B$305,0))-1,0,1,25))-MIN(OFFSET(安値!$E$6,IFERROR(MATCH($C159,銘柄管理!$B$6:$B$305,0),MATCH(TEXT($C159,"0"),銘柄管理!$B$6:$B$305,0))-1,0,1,25)))/$E159*100,"")</f>
      </c>
      <c r="BC159">
        <f>IFERROR(($F159-$G159)/$G159*100,"")</f>
      </c>
      <c r="BD159">
        <f>IFERROR(($E159-MAX(OFFSET(高値!$E$6,IFERROR(MATCH($C159,銘柄管理!$B$6:$B$305,0),MATCH(TEXT($C159,"0"),銘柄管理!$B$6:$B$305,0))-1,0,1,25)))/MAX(OFFSET(高値!$E$6,IFERROR(MATCH($C159,銘柄管理!$B$6:$B$305,0),MATCH(TEXT($C159,"0"),銘柄管理!$B$6:$B$305,0))-1,0,1,25))*100,"")</f>
      </c>
      <c r="BE159">
        <f>IFERROR(($H159-$I159)/$F159*100,"")</f>
      </c>
      <c r="BF159">
        <f>IFERROR(-(($BA159-AVERAGE($BA$3:$BA$206))/STDEV($BA$3:$BA$206))-(($BE159-AVERAGE($BE$3:$BE$206))/STDEV($BE$3:$BE$206))-(($BB159-AVERAGE($BB$3:$BB$206))/STDEV($BB$3:$BB$206))-(($Z159-AVERAGE($Z$3:$Z$206))/STDEV($Z$3:$Z$206))-(($BC159-AVERAGE($BC$3:$BC$206))/STDEV($BC$3:$BC$206)),"")</f>
      </c>
      <c r="BG159">
        <f>IF(OR($C159="",$C159="TOPX",$BA159="",$BF159=""),0,IF(AND($BK$10=1,$BA159&lt;=$BK$2,$BB159&lt;=$BK$3,$BC159&lt;=$BK$4,$Z159&lt;=$BK$5,$Z159&gt;=$BK$6,$BD159&gt;=$BK$7,$BE159&lt;=$BK$8),1,0))</f>
      </c>
      <c r="BH159">
        <f>IF($C159="","",IF($BG159=1,"○ゲート通過",IF($BK$10&lt;&gt;1,"― この方向は停止中",IF($BA159&gt;$BK$2,"×値動きが荒い",IF($BB159&gt;$BK$3,"×レンジが広い",IF($BC159&gt;$BK$4,"×窓を開けて上昇",IF($Z159&gt;$BK$5,"×前日に急騰",IF($Z159&lt;$BK$6,"×前日に急落",IF($BD159&lt;$BK$7,"×高値から離れすぎ",IF($BE159&gt;$BK$8,"×当日の値幅が大きい","×")))))))))</f>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 t="shared" si="34"/>
        <v>-10.52832347892428</v>
      </c>
      <c r="M160" s="166">
        <f>IF(C160&lt;&gt;"",IFERROR(AVERAGE(出来高!E99:I99),""),"")</f>
        <v>1949820</v>
      </c>
      <c r="N160" s="166">
        <f>IF(C160&lt;&gt;"",IFERROR(AVERAGE(出来高!E99:AC99),""),"")</f>
        <v>1798724</v>
      </c>
      <c r="O160" s="168">
        <f t="shared" si="35"/>
        <v>0.72909294191258678</v>
      </c>
      <c r="P160" s="163" t="str">
        <f t="shared" si="36"/>
        <v>減少↓</v>
      </c>
      <c r="Q160" s="163" t="str">
        <f t="shared" si="37"/>
        <v>中立→</v>
      </c>
      <c r="R160" s="166">
        <f t="shared" si="44"/>
        <v>5066</v>
      </c>
      <c r="S160" s="166">
        <f t="shared" si="45"/>
        <v>4503</v>
      </c>
      <c r="T160" s="163">
        <f>IF(C160="","",IFERROR(IF(O160&gt;=2,3,IF(O160&gt;=1.5,2,IF(O160&gt;=1,1,0)))+IF(E160&gt;G160,1,0)+IF(L160&gt;=-5,1,0)+IF(Q160="買い▲",2,0)+IF(W160&gt;=78,-4,IF(W160&gt;=72,-2,IF(W160&gt;=55,2,IF(W160&gt;=45,1,0))))+IF(X160&gt;0,1,0)+IF(V160="年初来高値更新●",3,IF(V160="高値圏",2,0))+IF(AD160="パーフェクト▲",3,IF(AD160="上昇トレンド▲",2,0))+IF(AE160="25日線押し目●",2,IF(AE160="5日線押し目○",1,0))+IF(P160="急増↑↑",2,IF(P160="増加↑",1,0))+N(AI160),0))</f>
      </c>
      <c r="U160" s="163" t="str">
        <f t="shared" si="46"/>
        <v>要確認</v>
      </c>
      <c r="V160" s="163" t="str">
        <f t="shared" si="39"/>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 t="shared" si="47"/>
        <v>3.7831858407079642</v>
      </c>
      <c r="AA160" s="163" t="str">
        <f t="shared" si="48"/>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 t="shared" si="40"/>
        <v>パーフェクト▲</v>
      </c>
      <c r="AE160" s="404" t="str">
        <f t="shared" si="41"/>
        <v>なし</v>
      </c>
      <c r="AF160" s="365">
        <f t="array" ref="AF160">IF(C160="","",IFERROR((INDEX(終値!$E:$E,MATCH(TEXT(C160,"0"),終値!$A:$A,0))-INDEX(終値!$E:$CZ,MATCH(TEXT(C160,"0"),終値!$A:$A,0),$AL$2))/INDEX(終値!$E:$CZ,MATCH(TEXT(C160,"0"),終値!$A:$A,0),$AL$2)*100,""))</f>
        <v>14.164030177658798</v>
      </c>
      <c r="AG160" s="365">
        <f t="array" ref="AG160">IFERROR((終値!$E$5-INDEX(終値!$E$5:$CZ$5,1,$AL$2))/INDEX(終値!$E$5:$CZ$5,1,$AL$2)*100,"")</f>
        <v>1.0179378228534113</v>
      </c>
      <c r="AH160" s="366">
        <f t="shared" si="42"/>
        <v>13.146092354805386</v>
      </c>
      <c r="AI160" s="364">
        <f t="shared" si="43"/>
        <v>3</v>
      </c>
      <c r="BA160">
        <f>IFERROR((SUM(OFFSET(高値!$E$6,IFERROR(MATCH($C160,銘柄管理!$B$6:$B$305,0),MATCH(TEXT($C160,"0"),銘柄管理!$B$6:$B$305,0))-1,0,1,14))-SUM(OFFSET(安値!$E$6,IFERROR(MATCH($C160,銘柄管理!$B$6:$B$305,0),MATCH(TEXT($C160,"0"),銘柄管理!$B$6:$B$305,0))-1,0,1,14)))/SUM(OFFSET(終値!$E$6,IFERROR(MATCH($C160,銘柄管理!$B$6:$B$305,0),MATCH(TEXT($C160,"0"),銘柄管理!$B$6:$B$305,0))-1,0,1,14))*100,"")</f>
      </c>
      <c r="BB160">
        <f>IFERROR((MAX(OFFSET(高値!$E$6,IFERROR(MATCH($C160,銘柄管理!$B$6:$B$305,0),MATCH(TEXT($C160,"0"),銘柄管理!$B$6:$B$305,0))-1,0,1,25))-MIN(OFFSET(安値!$E$6,IFERROR(MATCH($C160,銘柄管理!$B$6:$B$305,0),MATCH(TEXT($C160,"0"),銘柄管理!$B$6:$B$305,0))-1,0,1,25)))/$E160*100,"")</f>
      </c>
      <c r="BC160">
        <f>IFERROR(($F160-$G160)/$G160*100,"")</f>
      </c>
      <c r="BD160">
        <f>IFERROR(($E160-MAX(OFFSET(高値!$E$6,IFERROR(MATCH($C160,銘柄管理!$B$6:$B$305,0),MATCH(TEXT($C160,"0"),銘柄管理!$B$6:$B$305,0))-1,0,1,25)))/MAX(OFFSET(高値!$E$6,IFERROR(MATCH($C160,銘柄管理!$B$6:$B$305,0),MATCH(TEXT($C160,"0"),銘柄管理!$B$6:$B$305,0))-1,0,1,25))*100,"")</f>
      </c>
      <c r="BE160">
        <f>IFERROR(($H160-$I160)/$F160*100,"")</f>
      </c>
      <c r="BF160">
        <f>IFERROR(-(($BA160-AVERAGE($BA$3:$BA$206))/STDEV($BA$3:$BA$206))-(($BE160-AVERAGE($BE$3:$BE$206))/STDEV($BE$3:$BE$206))-(($BB160-AVERAGE($BB$3:$BB$206))/STDEV($BB$3:$BB$206))-(($Z160-AVERAGE($Z$3:$Z$206))/STDEV($Z$3:$Z$206))-(($BC160-AVERAGE($BC$3:$BC$206))/STDEV($BC$3:$BC$206)),"")</f>
      </c>
      <c r="BG160">
        <f>IF(OR($C160="",$C160="TOPX",$BA160="",$BF160=""),0,IF(AND($BK$10=1,$BA160&lt;=$BK$2,$BB160&lt;=$BK$3,$BC160&lt;=$BK$4,$Z160&lt;=$BK$5,$Z160&gt;=$BK$6,$BD160&gt;=$BK$7,$BE160&lt;=$BK$8),1,0))</f>
      </c>
      <c r="BH160">
        <f>IF($C160="","",IF($BG160=1,"○ゲート通過",IF($BK$10&lt;&gt;1,"― この方向は停止中",IF($BA160&gt;$BK$2,"×値動きが荒い",IF($BB160&gt;$BK$3,"×レンジが広い",IF($BC160&gt;$BK$4,"×窓を開けて上昇",IF($Z160&gt;$BK$5,"×前日に急騰",IF($Z160&lt;$BK$6,"×前日に急落",IF($BD160&lt;$BK$7,"×高値から離れすぎ",IF($BE160&gt;$BK$8,"×当日の値幅が大きい","×")))))))))</f>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 t="shared" si="34"/>
        <v>-36.785046728971963</v>
      </c>
      <c r="M161" s="166">
        <f>IF(C161&lt;&gt;"",IFERROR(AVERAGE(出来高!E130:I130),""),"")</f>
        <v>3070460</v>
      </c>
      <c r="N161" s="166">
        <f>IF(C161&lt;&gt;"",IFERROR(AVERAGE(出来高!E130:AC130),""),"")</f>
        <v>2849779.1666666665</v>
      </c>
      <c r="O161" s="168">
        <f t="shared" si="35"/>
        <v>1.0250255662018068</v>
      </c>
      <c r="P161" s="163" t="str">
        <f t="shared" si="36"/>
        <v>普通→</v>
      </c>
      <c r="Q161" s="163" t="str">
        <f t="shared" si="37"/>
        <v>中立→</v>
      </c>
      <c r="R161" s="166">
        <f t="shared" si="44"/>
        <v>7305</v>
      </c>
      <c r="S161" s="166">
        <f t="shared" si="45"/>
        <v>6493</v>
      </c>
      <c r="T161" s="163">
        <f>IF(C161="","",IFERROR(IF(O161&gt;=2,3,IF(O161&gt;=1.5,2,IF(O161&gt;=1,1,0)))+IF(E161&gt;G161,1,0)+IF(L161&gt;=-5,1,0)+IF(Q161="買い▲",2,0)+IF(W161&gt;=78,-4,IF(W161&gt;=72,-2,IF(W161&gt;=55,2,IF(W161&gt;=45,1,0))))+IF(X161&gt;0,1,0)+IF(V161="年初来高値更新●",3,IF(V161="高値圏",2,0))+IF(AD161="パーフェクト▲",3,IF(AD161="上昇トレンド▲",2,0))+IF(AE161="25日線押し目●",2,IF(AE161="5日線押し目○",1,0))+IF(P161="急増↑↑",2,IF(P161="増加↑",1,0))+N(AI161),0))</f>
      </c>
      <c r="U161" s="163" t="str">
        <f t="shared" si="46"/>
        <v>要確認</v>
      </c>
      <c r="V161" s="163" t="str">
        <f t="shared" si="39"/>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 t="shared" si="47"/>
        <v>1.1363636363636365</v>
      </c>
      <c r="AA161" s="163" t="str">
        <f t="shared" si="48"/>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 t="shared" si="40"/>
        <v>上昇トレンド▲</v>
      </c>
      <c r="AE161" s="406" t="str">
        <f t="shared" si="41"/>
        <v>なし</v>
      </c>
      <c r="AF161" s="365">
        <f t="array" ref="AF161">IF(C161="","",IFERROR((INDEX(終値!$E:$E,MATCH(TEXT(C161,"0"),終値!$A:$A,0))-INDEX(終値!$E:$CZ,MATCH(TEXT(C161,"0"),終値!$A:$A,0),$AL$2))/INDEX(終値!$E:$CZ,MATCH(TEXT(C161,"0"),終値!$A:$A,0),$AL$2)*100,""))</f>
        <v>-7.1006729844801537</v>
      </c>
      <c r="AG161" s="365">
        <f t="array" ref="AG161">IFERROR((終値!$E$5-INDEX(終値!$E$5:$CZ$5,1,$AL$2))/INDEX(終値!$E$5:$CZ$5,1,$AL$2)*100,"")</f>
        <v>1.0179378228534113</v>
      </c>
      <c r="AH161" s="366">
        <f t="shared" si="42"/>
        <v>-8.1186108073335657</v>
      </c>
      <c r="AI161" s="364">
        <f t="shared" si="43"/>
        <v>-2</v>
      </c>
      <c r="BA161">
        <f>IFERROR((SUM(OFFSET(高値!$E$6,IFERROR(MATCH($C161,銘柄管理!$B$6:$B$305,0),MATCH(TEXT($C161,"0"),銘柄管理!$B$6:$B$305,0))-1,0,1,14))-SUM(OFFSET(安値!$E$6,IFERROR(MATCH($C161,銘柄管理!$B$6:$B$305,0),MATCH(TEXT($C161,"0"),銘柄管理!$B$6:$B$305,0))-1,0,1,14)))/SUM(OFFSET(終値!$E$6,IFERROR(MATCH($C161,銘柄管理!$B$6:$B$305,0),MATCH(TEXT($C161,"0"),銘柄管理!$B$6:$B$305,0))-1,0,1,14))*100,"")</f>
      </c>
      <c r="BB161">
        <f>IFERROR((MAX(OFFSET(高値!$E$6,IFERROR(MATCH($C161,銘柄管理!$B$6:$B$305,0),MATCH(TEXT($C161,"0"),銘柄管理!$B$6:$B$305,0))-1,0,1,25))-MIN(OFFSET(安値!$E$6,IFERROR(MATCH($C161,銘柄管理!$B$6:$B$305,0),MATCH(TEXT($C161,"0"),銘柄管理!$B$6:$B$305,0))-1,0,1,25)))/$E161*100,"")</f>
      </c>
      <c r="BC161">
        <f>IFERROR(($F161-$G161)/$G161*100,"")</f>
      </c>
      <c r="BD161">
        <f>IFERROR(($E161-MAX(OFFSET(高値!$E$6,IFERROR(MATCH($C161,銘柄管理!$B$6:$B$305,0),MATCH(TEXT($C161,"0"),銘柄管理!$B$6:$B$305,0))-1,0,1,25)))/MAX(OFFSET(高値!$E$6,IFERROR(MATCH($C161,銘柄管理!$B$6:$B$305,0),MATCH(TEXT($C161,"0"),銘柄管理!$B$6:$B$305,0))-1,0,1,25))*100,"")</f>
      </c>
      <c r="BE161">
        <f>IFERROR(($H161-$I161)/$F161*100,"")</f>
      </c>
      <c r="BF161">
        <f>IFERROR(-(($BA161-AVERAGE($BA$3:$BA$206))/STDEV($BA$3:$BA$206))-(($BE161-AVERAGE($BE$3:$BE$206))/STDEV($BE$3:$BE$206))-(($BB161-AVERAGE($BB$3:$BB$206))/STDEV($BB$3:$BB$206))-(($Z161-AVERAGE($Z$3:$Z$206))/STDEV($Z$3:$Z$206))-(($BC161-AVERAGE($BC$3:$BC$206))/STDEV($BC$3:$BC$206)),"")</f>
      </c>
      <c r="BG161">
        <f>IF(OR($C161="",$C161="TOPX",$BA161="",$BF161=""),0,IF(AND($BK$10=1,$BA161&lt;=$BK$2,$BB161&lt;=$BK$3,$BC161&lt;=$BK$4,$Z161&lt;=$BK$5,$Z161&gt;=$BK$6,$BD161&gt;=$BK$7,$BE161&lt;=$BK$8),1,0))</f>
      </c>
      <c r="BH161">
        <f>IF($C161="","",IF($BG161=1,"○ゲート通過",IF($BK$10&lt;&gt;1,"― この方向は停止中",IF($BA161&gt;$BK$2,"×値動きが荒い",IF($BB161&gt;$BK$3,"×レンジが広い",IF($BC161&gt;$BK$4,"×窓を開けて上昇",IF($Z161&gt;$BK$5,"×前日に急騰",IF($Z161&lt;$BK$6,"×前日に急落",IF($BD161&lt;$BK$7,"×高値から離れすぎ",IF($BE161&gt;$BK$8,"×当日の値幅が大きい","×")))))))))</f>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 t="shared" si="34"/>
        <v>-66.196319018404907</v>
      </c>
      <c r="M162" s="166">
        <f>IF(C162&lt;&gt;"",IFERROR(AVERAGE(出来高!E139:I139),""),"")</f>
        <v>58120</v>
      </c>
      <c r="N162" s="166">
        <f>IF(C162&lt;&gt;"",IFERROR(AVERAGE(出来高!E139:AC139),""),"")</f>
        <v>67176</v>
      </c>
      <c r="O162" s="168">
        <f t="shared" si="35"/>
        <v>0.35443909153475567</v>
      </c>
      <c r="P162" s="163" t="str">
        <f t="shared" si="36"/>
        <v>減少↓</v>
      </c>
      <c r="Q162" s="163" t="str">
        <f t="shared" si="37"/>
        <v>様子見▼</v>
      </c>
      <c r="R162" s="166">
        <f t="shared" si="44"/>
        <v>595</v>
      </c>
      <c r="S162" s="166">
        <f t="shared" si="45"/>
        <v>529</v>
      </c>
      <c r="T162" s="163">
        <f>IF(C162="","",IFERROR(IF(O162&gt;=2,3,IF(O162&gt;=1.5,2,IF(O162&gt;=1,1,0)))+IF(E162&gt;G162,1,0)+IF(L162&gt;=-5,1,0)+IF(Q162="買い▲",2,0)+IF(W162&gt;=78,-4,IF(W162&gt;=72,-2,IF(W162&gt;=55,2,IF(W162&gt;=45,1,0))))+IF(X162&gt;0,1,0)+IF(V162="年初来高値更新●",3,IF(V162="高値圏",2,0))+IF(AD162="パーフェクト▲",3,IF(AD162="上昇トレンド▲",2,0))+IF(AE162="25日線押し目●",2,IF(AE162="5日線押し目○",1,0))+IF(P162="急増↑↑",2,IF(P162="増加↑",1,0))+N(AI162),0))</f>
      </c>
      <c r="U162" s="163" t="str">
        <f t="shared" si="46"/>
        <v>除外</v>
      </c>
      <c r="V162" s="163" t="str">
        <f t="shared" si="39"/>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 t="shared" si="47"/>
        <v>-0.72072072072072069</v>
      </c>
      <c r="AA162" s="163" t="str">
        <f t="shared" si="48"/>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 t="shared" si="40"/>
        <v>もみ合い→</v>
      </c>
      <c r="AE162" s="404" t="str">
        <f t="shared" si="41"/>
        <v>なし</v>
      </c>
      <c r="AF162" s="365">
        <f t="array" ref="AF162">IF(C162="","",IFERROR((INDEX(終値!$E:$E,MATCH(TEXT(C162,"0"),終値!$A:$A,0))-INDEX(終値!$E:$CZ,MATCH(TEXT(C162,"0"),終値!$A:$A,0),$AL$2))/INDEX(終値!$E:$CZ,MATCH(TEXT(C162,"0"),終値!$A:$A,0),$AL$2)*100,""))</f>
        <v>-0.54151624548736454</v>
      </c>
      <c r="AG162" s="365">
        <f t="array" ref="AG162">IFERROR((終値!$E$5-INDEX(終値!$E$5:$CZ$5,1,$AL$2))/INDEX(終値!$E$5:$CZ$5,1,$AL$2)*100,"")</f>
        <v>1.0179378228534113</v>
      </c>
      <c r="AH162" s="366">
        <f t="shared" si="42"/>
        <v>-1.5594540683407758</v>
      </c>
      <c r="AI162" s="364">
        <f t="shared" si="43"/>
        <v>-1</v>
      </c>
      <c r="BA162">
        <f>IFERROR((SUM(OFFSET(高値!$E$6,IFERROR(MATCH($C162,銘柄管理!$B$6:$B$305,0),MATCH(TEXT($C162,"0"),銘柄管理!$B$6:$B$305,0))-1,0,1,14))-SUM(OFFSET(安値!$E$6,IFERROR(MATCH($C162,銘柄管理!$B$6:$B$305,0),MATCH(TEXT($C162,"0"),銘柄管理!$B$6:$B$305,0))-1,0,1,14)))/SUM(OFFSET(終値!$E$6,IFERROR(MATCH($C162,銘柄管理!$B$6:$B$305,0),MATCH(TEXT($C162,"0"),銘柄管理!$B$6:$B$305,0))-1,0,1,14))*100,"")</f>
      </c>
      <c r="BB162">
        <f>IFERROR((MAX(OFFSET(高値!$E$6,IFERROR(MATCH($C162,銘柄管理!$B$6:$B$305,0),MATCH(TEXT($C162,"0"),銘柄管理!$B$6:$B$305,0))-1,0,1,25))-MIN(OFFSET(安値!$E$6,IFERROR(MATCH($C162,銘柄管理!$B$6:$B$305,0),MATCH(TEXT($C162,"0"),銘柄管理!$B$6:$B$305,0))-1,0,1,25)))/$E162*100,"")</f>
      </c>
      <c r="BC162">
        <f>IFERROR(($F162-$G162)/$G162*100,"")</f>
      </c>
      <c r="BD162">
        <f>IFERROR(($E162-MAX(OFFSET(高値!$E$6,IFERROR(MATCH($C162,銘柄管理!$B$6:$B$305,0),MATCH(TEXT($C162,"0"),銘柄管理!$B$6:$B$305,0))-1,0,1,25)))/MAX(OFFSET(高値!$E$6,IFERROR(MATCH($C162,銘柄管理!$B$6:$B$305,0),MATCH(TEXT($C162,"0"),銘柄管理!$B$6:$B$305,0))-1,0,1,25))*100,"")</f>
      </c>
      <c r="BE162">
        <f>IFERROR(($H162-$I162)/$F162*100,"")</f>
      </c>
      <c r="BF162">
        <f>IFERROR(-(($BA162-AVERAGE($BA$3:$BA$206))/STDEV($BA$3:$BA$206))-(($BE162-AVERAGE($BE$3:$BE$206))/STDEV($BE$3:$BE$206))-(($BB162-AVERAGE($BB$3:$BB$206))/STDEV($BB$3:$BB$206))-(($Z162-AVERAGE($Z$3:$Z$206))/STDEV($Z$3:$Z$206))-(($BC162-AVERAGE($BC$3:$BC$206))/STDEV($BC$3:$BC$206)),"")</f>
      </c>
      <c r="BG162">
        <f>IF(OR($C162="",$C162="TOPX",$BA162="",$BF162=""),0,IF(AND($BK$10=1,$BA162&lt;=$BK$2,$BB162&lt;=$BK$3,$BC162&lt;=$BK$4,$Z162&lt;=$BK$5,$Z162&gt;=$BK$6,$BD162&gt;=$BK$7,$BE162&lt;=$BK$8),1,0))</f>
      </c>
      <c r="BH162">
        <f>IF($C162="","",IF($BG162=1,"○ゲート通過",IF($BK$10&lt;&gt;1,"― この方向は停止中",IF($BA162&gt;$BK$2,"×値動きが荒い",IF($BB162&gt;$BK$3,"×レンジが広い",IF($BC162&gt;$BK$4,"×窓を開けて上昇",IF($Z162&gt;$BK$5,"×前日に急騰",IF($Z162&lt;$BK$6,"×前日に急落",IF($BD162&lt;$BK$7,"×高値から離れすぎ",IF($BE162&gt;$BK$8,"×当日の値幅が大きい","×")))))))))</f>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 t="shared" si="34"/>
        <v>-2.1276595744680851</v>
      </c>
      <c r="M163" s="166">
        <f>IF(C163&lt;&gt;"",IFERROR(AVERAGE(出来高!E153:I153),""),"")</f>
        <v>70000</v>
      </c>
      <c r="N163" s="166">
        <f>IF(C163&lt;&gt;"",IFERROR(AVERAGE(出来高!E153:AC153),""),"")</f>
        <v>70080</v>
      </c>
      <c r="O163" s="168">
        <f t="shared" si="35"/>
        <v>0.81857142857142862</v>
      </c>
      <c r="P163" s="163" t="str">
        <f t="shared" si="36"/>
        <v>減少↓</v>
      </c>
      <c r="Q163" s="163" t="str">
        <f t="shared" si="37"/>
        <v>中立→</v>
      </c>
      <c r="R163" s="166">
        <f t="shared" si="44"/>
        <v>4968</v>
      </c>
      <c r="S163" s="166">
        <f t="shared" si="45"/>
        <v>4416</v>
      </c>
      <c r="T163" s="163">
        <f>IF(C163="","",IFERROR(IF(O163&gt;=2,3,IF(O163&gt;=1.5,2,IF(O163&gt;=1,1,0)))+IF(E163&gt;G163,1,0)+IF(L163&gt;=-5,1,0)+IF(Q163="買い▲",2,0)+IF(W163&gt;=78,-4,IF(W163&gt;=72,-2,IF(W163&gt;=55,2,IF(W163&gt;=45,1,0))))+IF(X163&gt;0,1,0)+IF(V163="年初来高値更新●",3,IF(V163="高値圏",2,0))+IF(AD163="パーフェクト▲",3,IF(AD163="上昇トレンド▲",2,0))+IF(AE163="25日線押し目●",2,IF(AE163="5日線押し目○",1,0))+IF(P163="急増↑↑",2,IF(P163="増加↑",1,0))+N(AI163),0))</f>
      </c>
      <c r="U163" s="163" t="str">
        <f t="shared" si="46"/>
        <v>要確認</v>
      </c>
      <c r="V163" s="163" t="str">
        <f t="shared" si="39"/>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 t="shared" si="47"/>
        <v>5.3837342497136316</v>
      </c>
      <c r="AA163" s="163" t="str">
        <f t="shared" si="48"/>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 t="shared" ref="AD163:AD194" si="49">IF(OR(C163="",AB163="",AC163=""),"",IF(AND(E163&gt;AB163,AB163&gt;AC163),"パーフェクト▲",IF(E163&gt;AC163,"上昇トレンド▲",IF(AND(E163&lt;AB163,AB163&lt;AC163),"下降トレンド▼","もみ合い→"))))</f>
        <v>もみ合い→</v>
      </c>
      <c r="AE163" s="406" t="str">
        <f t="shared" ref="AE163:AE194" si="50">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IFERROR((終値!$E$5-INDEX(終値!$E$5:$CZ$5,1,$AL$2))/INDEX(終値!$E$5:$CZ$5,1,$AL$2)*100,"")</f>
        <v>1.0179378228534113</v>
      </c>
      <c r="AH163" s="366">
        <f t="shared" si="42"/>
        <v>19.716970313629528</v>
      </c>
      <c r="AI163" s="364">
        <f t="shared" si="43"/>
        <v>3</v>
      </c>
      <c r="BA163">
        <f>IFERROR((SUM(OFFSET(高値!$E$6,IFERROR(MATCH($C163,銘柄管理!$B$6:$B$305,0),MATCH(TEXT($C163,"0"),銘柄管理!$B$6:$B$305,0))-1,0,1,14))-SUM(OFFSET(安値!$E$6,IFERROR(MATCH($C163,銘柄管理!$B$6:$B$305,0),MATCH(TEXT($C163,"0"),銘柄管理!$B$6:$B$305,0))-1,0,1,14)))/SUM(OFFSET(終値!$E$6,IFERROR(MATCH($C163,銘柄管理!$B$6:$B$305,0),MATCH(TEXT($C163,"0"),銘柄管理!$B$6:$B$305,0))-1,0,1,14))*100,"")</f>
      </c>
      <c r="BB163">
        <f>IFERROR((MAX(OFFSET(高値!$E$6,IFERROR(MATCH($C163,銘柄管理!$B$6:$B$305,0),MATCH(TEXT($C163,"0"),銘柄管理!$B$6:$B$305,0))-1,0,1,25))-MIN(OFFSET(安値!$E$6,IFERROR(MATCH($C163,銘柄管理!$B$6:$B$305,0),MATCH(TEXT($C163,"0"),銘柄管理!$B$6:$B$305,0))-1,0,1,25)))/$E163*100,"")</f>
      </c>
      <c r="BC163">
        <f>IFERROR(($F163-$G163)/$G163*100,"")</f>
      </c>
      <c r="BD163">
        <f>IFERROR(($E163-MAX(OFFSET(高値!$E$6,IFERROR(MATCH($C163,銘柄管理!$B$6:$B$305,0),MATCH(TEXT($C163,"0"),銘柄管理!$B$6:$B$305,0))-1,0,1,25)))/MAX(OFFSET(高値!$E$6,IFERROR(MATCH($C163,銘柄管理!$B$6:$B$305,0),MATCH(TEXT($C163,"0"),銘柄管理!$B$6:$B$305,0))-1,0,1,25))*100,"")</f>
      </c>
      <c r="BE163">
        <f>IFERROR(($H163-$I163)/$F163*100,"")</f>
      </c>
      <c r="BF163">
        <f>IFERROR(-(($BA163-AVERAGE($BA$3:$BA$206))/STDEV($BA$3:$BA$206))-(($BE163-AVERAGE($BE$3:$BE$206))/STDEV($BE$3:$BE$206))-(($BB163-AVERAGE($BB$3:$BB$206))/STDEV($BB$3:$BB$206))-(($Z163-AVERAGE($Z$3:$Z$206))/STDEV($Z$3:$Z$206))-(($BC163-AVERAGE($BC$3:$BC$206))/STDEV($BC$3:$BC$206)),"")</f>
      </c>
      <c r="BG163">
        <f>IF(OR($C163="",$C163="TOPX",$BA163="",$BF163=""),0,IF(AND($BK$10=1,$BA163&lt;=$BK$2,$BB163&lt;=$BK$3,$BC163&lt;=$BK$4,$Z163&lt;=$BK$5,$Z163&gt;=$BK$6,$BD163&gt;=$BK$7,$BE163&lt;=$BK$8),1,0))</f>
      </c>
      <c r="BH163">
        <f>IF($C163="","",IF($BG163=1,"○ゲート通過",IF($BK$10&lt;&gt;1,"― この方向は停止中",IF($BA163&gt;$BK$2,"×値動きが荒い",IF($BB163&gt;$BK$3,"×レンジが広い",IF($BC163&gt;$BK$4,"×窓を開けて上昇",IF($Z163&gt;$BK$5,"×前日に急騰",IF($Z163&lt;$BK$6,"×前日に急落",IF($BD163&lt;$BK$7,"×高値から離れすぎ",IF($BE163&gt;$BK$8,"×当日の値幅が大きい","×")))))))))</f>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 t="shared" si="34"/>
        <v>-27.236180904522612</v>
      </c>
      <c r="M164" s="166">
        <f>IF(C164&lt;&gt;"",IFERROR(AVERAGE(出来高!E173:I173),""),"")</f>
        <v>37320</v>
      </c>
      <c r="N164" s="166">
        <f>IF(C164&lt;&gt;"",IFERROR(AVERAGE(出来高!E173:AC173),""),"")</f>
        <v>51466.666666666664</v>
      </c>
      <c r="O164" s="168">
        <f t="shared" si="35"/>
        <v>0.969989281886388</v>
      </c>
      <c r="P164" s="163" t="str">
        <f t="shared" si="36"/>
        <v>減少↓</v>
      </c>
      <c r="Q164" s="163" t="str">
        <f t="shared" si="37"/>
        <v>中立→</v>
      </c>
      <c r="R164" s="166">
        <f t="shared" si="44"/>
        <v>782</v>
      </c>
      <c r="S164" s="166">
        <f t="shared" si="45"/>
        <v>695</v>
      </c>
      <c r="T164" s="163">
        <f>IF(C164="","",IFERROR(IF(O164&gt;=2,3,IF(O164&gt;=1.5,2,IF(O164&gt;=1,1,0)))+IF(E164&gt;G164,1,0)+IF(L164&gt;=-5,1,0)+IF(Q164="買い▲",2,0)+IF(W164&gt;=78,-4,IF(W164&gt;=72,-2,IF(W164&gt;=55,2,IF(W164&gt;=45,1,0))))+IF(X164&gt;0,1,0)+IF(V164="年初来高値更新●",3,IF(V164="高値圏",2,0))+IF(AD164="パーフェクト▲",3,IF(AD164="上昇トレンド▲",2,0))+IF(AE164="25日線押し目●",2,IF(AE164="5日線押し目○",1,0))+IF(P164="急増↑↑",2,IF(P164="増加↑",1,0))+N(AI164),0))</f>
      </c>
      <c r="U164" s="163" t="str">
        <f t="shared" si="46"/>
        <v>除外</v>
      </c>
      <c r="V164" s="163" t="str">
        <f t="shared" si="39"/>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 t="shared" si="47"/>
        <v>1.5427769985974753</v>
      </c>
      <c r="AA164" s="163" t="str">
        <f t="shared" si="48"/>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 t="shared" si="49"/>
        <v>下降トレンド▼</v>
      </c>
      <c r="AE164" s="404" t="str">
        <f t="shared" si="50"/>
        <v>なし</v>
      </c>
      <c r="AF164" s="365">
        <f t="array" ref="AF164">IF(C164="","",IFERROR((INDEX(終値!$E:$E,MATCH(TEXT(C164,"0"),終値!$A:$A,0))-INDEX(終値!$E:$CZ,MATCH(TEXT(C164,"0"),終値!$A:$A,0),$AL$2))/INDEX(終値!$E:$CZ,MATCH(TEXT(C164,"0"),終値!$A:$A,0),$AL$2)*100,""))</f>
        <v>0.83565459610027859</v>
      </c>
      <c r="AG164" s="365">
        <f t="array" ref="AG164">IFERROR((終値!$E$5-INDEX(終値!$E$5:$CZ$5,1,$AL$2))/INDEX(終値!$E$5:$CZ$5,1,$AL$2)*100,"")</f>
        <v>1.0179378228534113</v>
      </c>
      <c r="AH164" s="366">
        <f t="shared" si="42"/>
        <v>-0.18228322675313269</v>
      </c>
      <c r="AI164" s="364">
        <f t="shared" si="43"/>
        <v>-1</v>
      </c>
      <c r="BA164">
        <f>IFERROR((SUM(OFFSET(高値!$E$6,IFERROR(MATCH($C164,銘柄管理!$B$6:$B$305,0),MATCH(TEXT($C164,"0"),銘柄管理!$B$6:$B$305,0))-1,0,1,14))-SUM(OFFSET(安値!$E$6,IFERROR(MATCH($C164,銘柄管理!$B$6:$B$305,0),MATCH(TEXT($C164,"0"),銘柄管理!$B$6:$B$305,0))-1,0,1,14)))/SUM(OFFSET(終値!$E$6,IFERROR(MATCH($C164,銘柄管理!$B$6:$B$305,0),MATCH(TEXT($C164,"0"),銘柄管理!$B$6:$B$305,0))-1,0,1,14))*100,"")</f>
      </c>
      <c r="BB164">
        <f>IFERROR((MAX(OFFSET(高値!$E$6,IFERROR(MATCH($C164,銘柄管理!$B$6:$B$305,0),MATCH(TEXT($C164,"0"),銘柄管理!$B$6:$B$305,0))-1,0,1,25))-MIN(OFFSET(安値!$E$6,IFERROR(MATCH($C164,銘柄管理!$B$6:$B$305,0),MATCH(TEXT($C164,"0"),銘柄管理!$B$6:$B$305,0))-1,0,1,25)))/$E164*100,"")</f>
      </c>
      <c r="BC164">
        <f>IFERROR(($F164-$G164)/$G164*100,"")</f>
      </c>
      <c r="BD164">
        <f>IFERROR(($E164-MAX(OFFSET(高値!$E$6,IFERROR(MATCH($C164,銘柄管理!$B$6:$B$305,0),MATCH(TEXT($C164,"0"),銘柄管理!$B$6:$B$305,0))-1,0,1,25)))/MAX(OFFSET(高値!$E$6,IFERROR(MATCH($C164,銘柄管理!$B$6:$B$305,0),MATCH(TEXT($C164,"0"),銘柄管理!$B$6:$B$305,0))-1,0,1,25))*100,"")</f>
      </c>
      <c r="BE164">
        <f>IFERROR(($H164-$I164)/$F164*100,"")</f>
      </c>
      <c r="BF164">
        <f>IFERROR(-(($BA164-AVERAGE($BA$3:$BA$206))/STDEV($BA$3:$BA$206))-(($BE164-AVERAGE($BE$3:$BE$206))/STDEV($BE$3:$BE$206))-(($BB164-AVERAGE($BB$3:$BB$206))/STDEV($BB$3:$BB$206))-(($Z164-AVERAGE($Z$3:$Z$206))/STDEV($Z$3:$Z$206))-(($BC164-AVERAGE($BC$3:$BC$206))/STDEV($BC$3:$BC$206)),"")</f>
      </c>
      <c r="BG164">
        <f>IF(OR($C164="",$C164="TOPX",$BA164="",$BF164=""),0,IF(AND($BK$10=1,$BA164&lt;=$BK$2,$BB164&lt;=$BK$3,$BC164&lt;=$BK$4,$Z164&lt;=$BK$5,$Z164&gt;=$BK$6,$BD164&gt;=$BK$7,$BE164&lt;=$BK$8),1,0))</f>
      </c>
      <c r="BH164">
        <f>IF($C164="","",IF($BG164=1,"○ゲート通過",IF($BK$10&lt;&gt;1,"― この方向は停止中",IF($BA164&gt;$BK$2,"×値動きが荒い",IF($BB164&gt;$BK$3,"×レンジが広い",IF($BC164&gt;$BK$4,"×窓を開けて上昇",IF($Z164&gt;$BK$5,"×前日に急騰",IF($Z164&lt;$BK$6,"×前日に急落",IF($BD164&lt;$BK$7,"×高値から離れすぎ",IF($BE164&gt;$BK$8,"×当日の値幅が大きい","×")))))))))</f>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 t="shared" si="34"/>
        <v>-10.643564356435643</v>
      </c>
      <c r="M165" s="166">
        <f>IF(C165&lt;&gt;"",IFERROR(AVERAGE(出来高!E160:I160),""),"")</f>
        <v>1175520</v>
      </c>
      <c r="N165" s="166">
        <f>IF(C165&lt;&gt;"",IFERROR(AVERAGE(出来高!E160:AC160),""),"")</f>
        <v>1149560</v>
      </c>
      <c r="O165" s="168">
        <f t="shared" si="35"/>
        <v>0.95608751871512176</v>
      </c>
      <c r="P165" s="163" t="str">
        <f t="shared" si="36"/>
        <v>減少↓</v>
      </c>
      <c r="Q165" s="163" t="str">
        <f t="shared" si="37"/>
        <v>中立→</v>
      </c>
      <c r="R165" s="166">
        <f t="shared" si="44"/>
        <v>1170</v>
      </c>
      <c r="S165" s="166">
        <f t="shared" si="45"/>
        <v>1040</v>
      </c>
      <c r="T165" s="163">
        <f>IF(C165="","",IFERROR(IF(O165&gt;=2,3,IF(O165&gt;=1.5,2,IF(O165&gt;=1,1,0)))+IF(E165&gt;G165,1,0)+IF(L165&gt;=-5,1,0)+IF(Q165="買い▲",2,0)+IF(W165&gt;=78,-4,IF(W165&gt;=72,-2,IF(W165&gt;=55,2,IF(W165&gt;=45,1,0))))+IF(X165&gt;0,1,0)+IF(V165="年初来高値更新●",3,IF(V165="高値圏",2,0))+IF(AD165="パーフェクト▲",3,IF(AD165="上昇トレンド▲",2,0))+IF(AE165="25日線押し目●",2,IF(AE165="5日線押し目○",1,0))+IF(P165="急増↑↑",2,IF(P165="増加↑",1,0))+N(AI165),0))</f>
      </c>
      <c r="U165" s="163" t="str">
        <f t="shared" si="46"/>
        <v>要確認</v>
      </c>
      <c r="V165" s="163" t="str">
        <f t="shared" si="39"/>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 t="shared" si="47"/>
        <v>1.3096351730589337</v>
      </c>
      <c r="AA165" s="163" t="str">
        <f t="shared" si="48"/>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 t="shared" si="49"/>
        <v>もみ合い→</v>
      </c>
      <c r="AE165" s="406" t="str">
        <f t="shared" si="50"/>
        <v>なし</v>
      </c>
      <c r="AF165" s="365">
        <f t="array" ref="AF165">IF(C165="","",IFERROR((INDEX(終値!$E:$E,MATCH(TEXT(C165,"0"),終値!$A:$A,0))-INDEX(終値!$E:$CZ,MATCH(TEXT(C165,"0"),終値!$A:$A,0),$AL$2))/INDEX(終値!$E:$CZ,MATCH(TEXT(C165,"0"),終値!$A:$A,0),$AL$2)*100,""))</f>
        <v>14.603174603174605</v>
      </c>
      <c r="AG165" s="365">
        <f t="array" ref="AG165">IFERROR((終値!$E$5-INDEX(終値!$E$5:$CZ$5,1,$AL$2))/INDEX(終値!$E$5:$CZ$5,1,$AL$2)*100,"")</f>
        <v>1.0179378228534113</v>
      </c>
      <c r="AH165" s="366">
        <f t="shared" si="42"/>
        <v>13.585236780321193</v>
      </c>
      <c r="AI165" s="364">
        <f t="shared" si="43"/>
        <v>3</v>
      </c>
      <c r="BA165">
        <f>IFERROR((SUM(OFFSET(高値!$E$6,IFERROR(MATCH($C165,銘柄管理!$B$6:$B$305,0),MATCH(TEXT($C165,"0"),銘柄管理!$B$6:$B$305,0))-1,0,1,14))-SUM(OFFSET(安値!$E$6,IFERROR(MATCH($C165,銘柄管理!$B$6:$B$305,0),MATCH(TEXT($C165,"0"),銘柄管理!$B$6:$B$305,0))-1,0,1,14)))/SUM(OFFSET(終値!$E$6,IFERROR(MATCH($C165,銘柄管理!$B$6:$B$305,0),MATCH(TEXT($C165,"0"),銘柄管理!$B$6:$B$305,0))-1,0,1,14))*100,"")</f>
      </c>
      <c r="BB165">
        <f>IFERROR((MAX(OFFSET(高値!$E$6,IFERROR(MATCH($C165,銘柄管理!$B$6:$B$305,0),MATCH(TEXT($C165,"0"),銘柄管理!$B$6:$B$305,0))-1,0,1,25))-MIN(OFFSET(安値!$E$6,IFERROR(MATCH($C165,銘柄管理!$B$6:$B$305,0),MATCH(TEXT($C165,"0"),銘柄管理!$B$6:$B$305,0))-1,0,1,25)))/$E165*100,"")</f>
      </c>
      <c r="BC165">
        <f>IFERROR(($F165-$G165)/$G165*100,"")</f>
      </c>
      <c r="BD165">
        <f>IFERROR(($E165-MAX(OFFSET(高値!$E$6,IFERROR(MATCH($C165,銘柄管理!$B$6:$B$305,0),MATCH(TEXT($C165,"0"),銘柄管理!$B$6:$B$305,0))-1,0,1,25)))/MAX(OFFSET(高値!$E$6,IFERROR(MATCH($C165,銘柄管理!$B$6:$B$305,0),MATCH(TEXT($C165,"0"),銘柄管理!$B$6:$B$305,0))-1,0,1,25))*100,"")</f>
      </c>
      <c r="BE165">
        <f>IFERROR(($H165-$I165)/$F165*100,"")</f>
      </c>
      <c r="BF165">
        <f>IFERROR(-(($BA165-AVERAGE($BA$3:$BA$206))/STDEV($BA$3:$BA$206))-(($BE165-AVERAGE($BE$3:$BE$206))/STDEV($BE$3:$BE$206))-(($BB165-AVERAGE($BB$3:$BB$206))/STDEV($BB$3:$BB$206))-(($Z165-AVERAGE($Z$3:$Z$206))/STDEV($Z$3:$Z$206))-(($BC165-AVERAGE($BC$3:$BC$206))/STDEV($BC$3:$BC$206)),"")</f>
      </c>
      <c r="BG165">
        <f>IF(OR($C165="",$C165="TOPX",$BA165="",$BF165=""),0,IF(AND($BK$10=1,$BA165&lt;=$BK$2,$BB165&lt;=$BK$3,$BC165&lt;=$BK$4,$Z165&lt;=$BK$5,$Z165&gt;=$BK$6,$BD165&gt;=$BK$7,$BE165&lt;=$BK$8),1,0))</f>
      </c>
      <c r="BH165">
        <f>IF($C165="","",IF($BG165=1,"○ゲート通過",IF($BK$10&lt;&gt;1,"― この方向は停止中",IF($BA165&gt;$BK$2,"×値動きが荒い",IF($BB165&gt;$BK$3,"×レンジが広い",IF($BC165&gt;$BK$4,"×窓を開けて上昇",IF($Z165&gt;$BK$5,"×前日に急騰",IF($Z165&lt;$BK$6,"×前日に急落",IF($BD165&lt;$BK$7,"×高値から離れすぎ",IF($BE165&gt;$BK$8,"×当日の値幅が大きい","×")))))))))</f>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 t="shared" si="34"/>
        <v>-24.793650793650794</v>
      </c>
      <c r="M166" s="166">
        <f>IF(C166&lt;&gt;"",IFERROR(AVERAGE(出来高!E150:I150),""),"")</f>
        <v>4527780</v>
      </c>
      <c r="N166" s="166">
        <f>IF(C166&lt;&gt;"",IFERROR(AVERAGE(出来高!E150:AC150),""),"")</f>
        <v>3053824</v>
      </c>
      <c r="O166" s="168">
        <f t="shared" si="35"/>
        <v>0.69064751379263123</v>
      </c>
      <c r="P166" s="163" t="str">
        <f t="shared" si="36"/>
        <v>減少↓</v>
      </c>
      <c r="Q166" s="163" t="str">
        <f t="shared" si="37"/>
        <v>中立→</v>
      </c>
      <c r="R166" s="166">
        <f t="shared" si="44"/>
        <v>5117</v>
      </c>
      <c r="S166" s="166">
        <f t="shared" si="45"/>
        <v>4548</v>
      </c>
      <c r="T166" s="163">
        <f>IF(C166="","",IFERROR(IF(O166&gt;=2,3,IF(O166&gt;=1.5,2,IF(O166&gt;=1,1,0)))+IF(E166&gt;G166,1,0)+IF(L166&gt;=-5,1,0)+IF(Q166="買い▲",2,0)+IF(W166&gt;=78,-4,IF(W166&gt;=72,-2,IF(W166&gt;=55,2,IF(W166&gt;=45,1,0))))+IF(X166&gt;0,1,0)+IF(V166="年初来高値更新●",3,IF(V166="高値圏",2,0))+IF(AD166="パーフェクト▲",3,IF(AD166="上昇トレンド▲",2,0))+IF(AE166="25日線押し目●",2,IF(AE166="5日線押し目○",1,0))+IF(P166="急増↑↑",2,IF(P166="増加↑",1,0))+N(AI166),0))</f>
      </c>
      <c r="U166" s="163" t="str">
        <f t="shared" si="46"/>
        <v>要確認</v>
      </c>
      <c r="V166" s="163" t="str">
        <f t="shared" si="39"/>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 t="shared" si="47"/>
        <v>3.6761487964989055</v>
      </c>
      <c r="AA166" s="163" t="str">
        <f t="shared" si="48"/>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 t="shared" si="49"/>
        <v>パーフェクト▲</v>
      </c>
      <c r="AE166" s="404" t="str">
        <f t="shared" si="50"/>
        <v>なし</v>
      </c>
      <c r="AF166" s="365">
        <f t="array" ref="AF166">IF(C166="","",IFERROR((INDEX(終値!$E:$E,MATCH(TEXT(C166,"0"),終値!$A:$A,0))-INDEX(終値!$E:$CZ,MATCH(TEXT(C166,"0"),終値!$A:$A,0),$AL$2))/INDEX(終値!$E:$CZ,MATCH(TEXT(C166,"0"),終値!$A:$A,0),$AL$2)*100,""))</f>
        <v>4.1089870358163045</v>
      </c>
      <c r="AG166" s="365">
        <f t="array" ref="AG166">IFERROR((終値!$E$5-INDEX(終値!$E$5:$CZ$5,1,$AL$2))/INDEX(終値!$E$5:$CZ$5,1,$AL$2)*100,"")</f>
        <v>1.0179378228534113</v>
      </c>
      <c r="AH166" s="366">
        <f t="shared" si="42"/>
        <v>3.0910492129628935</v>
      </c>
      <c r="AI166" s="364">
        <f t="shared" si="43"/>
        <v>1</v>
      </c>
      <c r="BA166">
        <f>IFERROR((SUM(OFFSET(高値!$E$6,IFERROR(MATCH($C166,銘柄管理!$B$6:$B$305,0),MATCH(TEXT($C166,"0"),銘柄管理!$B$6:$B$305,0))-1,0,1,14))-SUM(OFFSET(安値!$E$6,IFERROR(MATCH($C166,銘柄管理!$B$6:$B$305,0),MATCH(TEXT($C166,"0"),銘柄管理!$B$6:$B$305,0))-1,0,1,14)))/SUM(OFFSET(終値!$E$6,IFERROR(MATCH($C166,銘柄管理!$B$6:$B$305,0),MATCH(TEXT($C166,"0"),銘柄管理!$B$6:$B$305,0))-1,0,1,14))*100,"")</f>
      </c>
      <c r="BB166">
        <f>IFERROR((MAX(OFFSET(高値!$E$6,IFERROR(MATCH($C166,銘柄管理!$B$6:$B$305,0),MATCH(TEXT($C166,"0"),銘柄管理!$B$6:$B$305,0))-1,0,1,25))-MIN(OFFSET(安値!$E$6,IFERROR(MATCH($C166,銘柄管理!$B$6:$B$305,0),MATCH(TEXT($C166,"0"),銘柄管理!$B$6:$B$305,0))-1,0,1,25)))/$E166*100,"")</f>
      </c>
      <c r="BC166">
        <f>IFERROR(($F166-$G166)/$G166*100,"")</f>
      </c>
      <c r="BD166">
        <f>IFERROR(($E166-MAX(OFFSET(高値!$E$6,IFERROR(MATCH($C166,銘柄管理!$B$6:$B$305,0),MATCH(TEXT($C166,"0"),銘柄管理!$B$6:$B$305,0))-1,0,1,25)))/MAX(OFFSET(高値!$E$6,IFERROR(MATCH($C166,銘柄管理!$B$6:$B$305,0),MATCH(TEXT($C166,"0"),銘柄管理!$B$6:$B$305,0))-1,0,1,25))*100,"")</f>
      </c>
      <c r="BE166">
        <f>IFERROR(($H166-$I166)/$F166*100,"")</f>
      </c>
      <c r="BF166">
        <f>IFERROR(-(($BA166-AVERAGE($BA$3:$BA$206))/STDEV($BA$3:$BA$206))-(($BE166-AVERAGE($BE$3:$BE$206))/STDEV($BE$3:$BE$206))-(($BB166-AVERAGE($BB$3:$BB$206))/STDEV($BB$3:$BB$206))-(($Z166-AVERAGE($Z$3:$Z$206))/STDEV($Z$3:$Z$206))-(($BC166-AVERAGE($BC$3:$BC$206))/STDEV($BC$3:$BC$206)),"")</f>
      </c>
      <c r="BG166">
        <f>IF(OR($C166="",$C166="TOPX",$BA166="",$BF166=""),0,IF(AND($BK$10=1,$BA166&lt;=$BK$2,$BB166&lt;=$BK$3,$BC166&lt;=$BK$4,$Z166&lt;=$BK$5,$Z166&gt;=$BK$6,$BD166&gt;=$BK$7,$BE166&lt;=$BK$8),1,0))</f>
      </c>
      <c r="BH166">
        <f>IF($C166="","",IF($BG166=1,"○ゲート通過",IF($BK$10&lt;&gt;1,"― この方向は停止中",IF($BA166&gt;$BK$2,"×値動きが荒い",IF($BB166&gt;$BK$3,"×レンジが広い",IF($BC166&gt;$BK$4,"×窓を開けて上昇",IF($Z166&gt;$BK$5,"×前日に急騰",IF($Z166&lt;$BK$6,"×前日に急落",IF($BD166&lt;$BK$7,"×高値から離れすぎ",IF($BE166&gt;$BK$8,"×当日の値幅が大きい","×")))))))))</f>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 t="shared" si="34"/>
        <v>-3.8945233265720081</v>
      </c>
      <c r="M167" s="166">
        <f>IF(C167&lt;&gt;"",IFERROR(AVERAGE(出来高!E98:I98),""),"")</f>
        <v>8540860</v>
      </c>
      <c r="N167" s="166">
        <f>IF(C167&lt;&gt;"",IFERROR(AVERAGE(出来高!E98:AC98),""),"")</f>
        <v>6489016.666666667</v>
      </c>
      <c r="O167" s="168">
        <f t="shared" si="35"/>
        <v>0.57582023355961809</v>
      </c>
      <c r="P167" s="163" t="str">
        <f t="shared" si="36"/>
        <v>減少↓</v>
      </c>
      <c r="Q167" s="163" t="str">
        <f t="shared" si="37"/>
        <v>中立→</v>
      </c>
      <c r="R167" s="166">
        <f t="shared" si="44"/>
        <v>1279</v>
      </c>
      <c r="S167" s="166">
        <f t="shared" si="45"/>
        <v>1137</v>
      </c>
      <c r="T167" s="163">
        <f>IF(C167="","",IFERROR(IF(O167&gt;=2,3,IF(O167&gt;=1.5,2,IF(O167&gt;=1,1,0)))+IF(E167&gt;G167,1,0)+IF(L167&gt;=-5,1,0)+IF(Q167="買い▲",2,0)+IF(W167&gt;=78,-4,IF(W167&gt;=72,-2,IF(W167&gt;=55,2,IF(W167&gt;=45,1,0))))+IF(X167&gt;0,1,0)+IF(V167="年初来高値更新●",3,IF(V167="高値圏",2,0))+IF(AD167="パーフェクト▲",3,IF(AD167="上昇トレンド▲",2,0))+IF(AE167="25日線押し目●",2,IF(AE167="5日線押し目○",1,0))+IF(P167="急増↑↑",2,IF(P167="増加↑",1,0))+N(AI167),0))</f>
      </c>
      <c r="U167" s="163" t="str">
        <f t="shared" si="46"/>
        <v>要確認</v>
      </c>
      <c r="V167" s="163" t="str">
        <f t="shared" si="39"/>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 t="shared" si="47"/>
        <v>2.59852750108272</v>
      </c>
      <c r="AA167" s="163" t="str">
        <f t="shared" si="48"/>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 t="shared" si="49"/>
        <v>上昇トレンド▲</v>
      </c>
      <c r="AE167" s="406" t="str">
        <f t="shared" si="50"/>
        <v>なし</v>
      </c>
      <c r="AF167" s="365">
        <f t="array" ref="AF167">IF(C167="","",IFERROR((INDEX(終値!$E:$E,MATCH(TEXT(C167,"0"),終値!$A:$A,0))-INDEX(終値!$E:$CZ,MATCH(TEXT(C167,"0"),終値!$A:$A,0),$AL$2))/INDEX(終値!$E:$CZ,MATCH(TEXT(C167,"0"),終値!$A:$A,0),$AL$2)*100,""))</f>
        <v>6.2331838565022419</v>
      </c>
      <c r="AG167" s="365">
        <f t="array" ref="AG167">IFERROR((終値!$E$5-INDEX(終値!$E$5:$CZ$5,1,$AL$2))/INDEX(終値!$E$5:$CZ$5,1,$AL$2)*100,"")</f>
        <v>1.0179378228534113</v>
      </c>
      <c r="AH167" s="366">
        <f t="shared" si="42"/>
        <v>5.2152460336488309</v>
      </c>
      <c r="AI167" s="364">
        <f t="shared" si="43"/>
        <v>3</v>
      </c>
      <c r="BA167">
        <f>IFERROR((SUM(OFFSET(高値!$E$6,IFERROR(MATCH($C167,銘柄管理!$B$6:$B$305,0),MATCH(TEXT($C167,"0"),銘柄管理!$B$6:$B$305,0))-1,0,1,14))-SUM(OFFSET(安値!$E$6,IFERROR(MATCH($C167,銘柄管理!$B$6:$B$305,0),MATCH(TEXT($C167,"0"),銘柄管理!$B$6:$B$305,0))-1,0,1,14)))/SUM(OFFSET(終値!$E$6,IFERROR(MATCH($C167,銘柄管理!$B$6:$B$305,0),MATCH(TEXT($C167,"0"),銘柄管理!$B$6:$B$305,0))-1,0,1,14))*100,"")</f>
      </c>
      <c r="BB167">
        <f>IFERROR((MAX(OFFSET(高値!$E$6,IFERROR(MATCH($C167,銘柄管理!$B$6:$B$305,0),MATCH(TEXT($C167,"0"),銘柄管理!$B$6:$B$305,0))-1,0,1,25))-MIN(OFFSET(安値!$E$6,IFERROR(MATCH($C167,銘柄管理!$B$6:$B$305,0),MATCH(TEXT($C167,"0"),銘柄管理!$B$6:$B$305,0))-1,0,1,25)))/$E167*100,"")</f>
      </c>
      <c r="BC167">
        <f>IFERROR(($F167-$G167)/$G167*100,"")</f>
      </c>
      <c r="BD167">
        <f>IFERROR(($E167-MAX(OFFSET(高値!$E$6,IFERROR(MATCH($C167,銘柄管理!$B$6:$B$305,0),MATCH(TEXT($C167,"0"),銘柄管理!$B$6:$B$305,0))-1,0,1,25)))/MAX(OFFSET(高値!$E$6,IFERROR(MATCH($C167,銘柄管理!$B$6:$B$305,0),MATCH(TEXT($C167,"0"),銘柄管理!$B$6:$B$305,0))-1,0,1,25))*100,"")</f>
      </c>
      <c r="BE167">
        <f>IFERROR(($H167-$I167)/$F167*100,"")</f>
      </c>
      <c r="BF167">
        <f>IFERROR(-(($BA167-AVERAGE($BA$3:$BA$206))/STDEV($BA$3:$BA$206))-(($BE167-AVERAGE($BE$3:$BE$206))/STDEV($BE$3:$BE$206))-(($BB167-AVERAGE($BB$3:$BB$206))/STDEV($BB$3:$BB$206))-(($Z167-AVERAGE($Z$3:$Z$206))/STDEV($Z$3:$Z$206))-(($BC167-AVERAGE($BC$3:$BC$206))/STDEV($BC$3:$BC$206)),"")</f>
      </c>
      <c r="BG167">
        <f>IF(OR($C167="",$C167="TOPX",$BA167="",$BF167=""),0,IF(AND($BK$10=1,$BA167&lt;=$BK$2,$BB167&lt;=$BK$3,$BC167&lt;=$BK$4,$Z167&lt;=$BK$5,$Z167&gt;=$BK$6,$BD167&gt;=$BK$7,$BE167&lt;=$BK$8),1,0))</f>
      </c>
      <c r="BH167">
        <f>IF($C167="","",IF($BG167=1,"○ゲート通過",IF($BK$10&lt;&gt;1,"― この方向は停止中",IF($BA167&gt;$BK$2,"×値動きが荒い",IF($BB167&gt;$BK$3,"×レンジが広い",IF($BC167&gt;$BK$4,"×窓を開けて上昇",IF($Z167&gt;$BK$5,"×前日に急騰",IF($Z167&lt;$BK$6,"×前日に急落",IF($BD167&lt;$BK$7,"×高値から離れすぎ",IF($BE167&gt;$BK$8,"×当日の値幅が大きい","×")))))))))</f>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 t="shared" si="34"/>
        <v>-21.610317183687698</v>
      </c>
      <c r="M168" s="166">
        <f>IF(C168&lt;&gt;"",IFERROR(AVERAGE(出来高!E97:I97),""),"")</f>
        <v>1463180</v>
      </c>
      <c r="N168" s="166">
        <f>IF(C168&lt;&gt;"",IFERROR(AVERAGE(出来高!E97:AC97),""),"")</f>
        <v>1115108</v>
      </c>
      <c r="O168" s="168">
        <f t="shared" si="35"/>
        <v>0.71788843477904296</v>
      </c>
      <c r="P168" s="163" t="str">
        <f t="shared" si="36"/>
        <v>減少↓</v>
      </c>
      <c r="Q168" s="163" t="str">
        <f t="shared" si="37"/>
        <v>様子見▼</v>
      </c>
      <c r="R168" s="166">
        <f t="shared" si="44"/>
        <v>4858</v>
      </c>
      <c r="S168" s="166">
        <f t="shared" si="45"/>
        <v>4318</v>
      </c>
      <c r="T168" s="163">
        <f>IF(C168="","",IFERROR(IF(O168&gt;=2,3,IF(O168&gt;=1.5,2,IF(O168&gt;=1,1,0)))+IF(E168&gt;G168,1,0)+IF(L168&gt;=-5,1,0)+IF(Q168="買い▲",2,0)+IF(W168&gt;=78,-4,IF(W168&gt;=72,-2,IF(W168&gt;=55,2,IF(W168&gt;=45,1,0))))+IF(X168&gt;0,1,0)+IF(V168="年初来高値更新●",3,IF(V168="高値圏",2,0))+IF(AD168="パーフェクト▲",3,IF(AD168="上昇トレンド▲",2,0))+IF(AE168="25日線押し目●",2,IF(AE168="5日線押し目○",1,0))+IF(P168="急増↑↑",2,IF(P168="増加↑",1,0))+N(AI168),0))</f>
      </c>
      <c r="U168" s="163" t="str">
        <f t="shared" si="46"/>
        <v>除外</v>
      </c>
      <c r="V168" s="163" t="str">
        <f t="shared" si="39"/>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 t="shared" si="47"/>
        <v>-4.1142613515241955</v>
      </c>
      <c r="AA168" s="163" t="str">
        <f t="shared" si="48"/>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 t="shared" si="49"/>
        <v>上昇トレンド▲</v>
      </c>
      <c r="AE168" s="404" t="str">
        <f t="shared" si="50"/>
        <v>なし</v>
      </c>
      <c r="AF168" s="365">
        <f t="array" ref="AF168">IF(C168="","",IFERROR((INDEX(終値!$E:$E,MATCH(TEXT(C168,"0"),終値!$A:$A,0))-INDEX(終値!$E:$CZ,MATCH(TEXT(C168,"0"),終値!$A:$A,0),$AL$2))/INDEX(終値!$E:$CZ,MATCH(TEXT(C168,"0"),終値!$A:$A,0),$AL$2)*100,""))</f>
        <v>-12.795657231485071</v>
      </c>
      <c r="AG168" s="365">
        <f t="array" ref="AG168">IFERROR((終値!$E$5-INDEX(終値!$E$5:$CZ$5,1,$AL$2))/INDEX(終値!$E$5:$CZ$5,1,$AL$2)*100,"")</f>
        <v>1.0179378228534113</v>
      </c>
      <c r="AH168" s="366">
        <f t="shared" si="42"/>
        <v>-13.813595054338483</v>
      </c>
      <c r="AI168" s="364">
        <f t="shared" si="43"/>
        <v>-2</v>
      </c>
      <c r="BA168">
        <f>IFERROR((SUM(OFFSET(高値!$E$6,IFERROR(MATCH($C168,銘柄管理!$B$6:$B$305,0),MATCH(TEXT($C168,"0"),銘柄管理!$B$6:$B$305,0))-1,0,1,14))-SUM(OFFSET(安値!$E$6,IFERROR(MATCH($C168,銘柄管理!$B$6:$B$305,0),MATCH(TEXT($C168,"0"),銘柄管理!$B$6:$B$305,0))-1,0,1,14)))/SUM(OFFSET(終値!$E$6,IFERROR(MATCH($C168,銘柄管理!$B$6:$B$305,0),MATCH(TEXT($C168,"0"),銘柄管理!$B$6:$B$305,0))-1,0,1,14))*100,"")</f>
      </c>
      <c r="BB168">
        <f>IFERROR((MAX(OFFSET(高値!$E$6,IFERROR(MATCH($C168,銘柄管理!$B$6:$B$305,0),MATCH(TEXT($C168,"0"),銘柄管理!$B$6:$B$305,0))-1,0,1,25))-MIN(OFFSET(安値!$E$6,IFERROR(MATCH($C168,銘柄管理!$B$6:$B$305,0),MATCH(TEXT($C168,"0"),銘柄管理!$B$6:$B$305,0))-1,0,1,25)))/$E168*100,"")</f>
      </c>
      <c r="BC168">
        <f>IFERROR(($F168-$G168)/$G168*100,"")</f>
      </c>
      <c r="BD168">
        <f>IFERROR(($E168-MAX(OFFSET(高値!$E$6,IFERROR(MATCH($C168,銘柄管理!$B$6:$B$305,0),MATCH(TEXT($C168,"0"),銘柄管理!$B$6:$B$305,0))-1,0,1,25)))/MAX(OFFSET(高値!$E$6,IFERROR(MATCH($C168,銘柄管理!$B$6:$B$305,0),MATCH(TEXT($C168,"0"),銘柄管理!$B$6:$B$305,0))-1,0,1,25))*100,"")</f>
      </c>
      <c r="BE168">
        <f>IFERROR(($H168-$I168)/$F168*100,"")</f>
      </c>
      <c r="BF168">
        <f>IFERROR(-(($BA168-AVERAGE($BA$3:$BA$206))/STDEV($BA$3:$BA$206))-(($BE168-AVERAGE($BE$3:$BE$206))/STDEV($BE$3:$BE$206))-(($BB168-AVERAGE($BB$3:$BB$206))/STDEV($BB$3:$BB$206))-(($Z168-AVERAGE($Z$3:$Z$206))/STDEV($Z$3:$Z$206))-(($BC168-AVERAGE($BC$3:$BC$206))/STDEV($BC$3:$BC$206)),"")</f>
      </c>
      <c r="BG168">
        <f>IF(OR($C168="",$C168="TOPX",$BA168="",$BF168=""),0,IF(AND($BK$10=1,$BA168&lt;=$BK$2,$BB168&lt;=$BK$3,$BC168&lt;=$BK$4,$Z168&lt;=$BK$5,$Z168&gt;=$BK$6,$BD168&gt;=$BK$7,$BE168&lt;=$BK$8),1,0))</f>
      </c>
      <c r="BH168">
        <f>IF($C168="","",IF($BG168=1,"○ゲート通過",IF($BK$10&lt;&gt;1,"― この方向は停止中",IF($BA168&gt;$BK$2,"×値動きが荒い",IF($BB168&gt;$BK$3,"×レンジが広い",IF($BC168&gt;$BK$4,"×窓を開けて上昇",IF($Z168&gt;$BK$5,"×前日に急騰",IF($Z168&lt;$BK$6,"×前日に急落",IF($BD168&lt;$BK$7,"×高値から離れすぎ",IF($BE168&gt;$BK$8,"×当日の値幅が大きい","×")))))))))</f>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 t="shared" si="34"/>
        <v>-7.2975879551390381</v>
      </c>
      <c r="M169" s="166">
        <f>IF(C169&lt;&gt;"",IFERROR(AVERAGE(出来高!E157:I157),""),"")</f>
        <v>570620</v>
      </c>
      <c r="N169" s="166">
        <f>IF(C169&lt;&gt;"",IFERROR(AVERAGE(出来高!E157:AC157),""),"")</f>
        <v>537636</v>
      </c>
      <c r="O169" s="168">
        <f t="shared" si="35"/>
        <v>0.77249307770495246</v>
      </c>
      <c r="P169" s="163" t="str">
        <f t="shared" si="36"/>
        <v>減少↓</v>
      </c>
      <c r="Q169" s="163" t="str">
        <f t="shared" si="37"/>
        <v>中立→</v>
      </c>
      <c r="R169" s="166">
        <f t="shared" si="44"/>
        <v>6517</v>
      </c>
      <c r="S169" s="166">
        <f t="shared" si="45"/>
        <v>5793</v>
      </c>
      <c r="T169" s="163">
        <f>IF(C169="","",IFERROR(IF(O169&gt;=2,3,IF(O169&gt;=1.5,2,IF(O169&gt;=1,1,0)))+IF(E169&gt;G169,1,0)+IF(L169&gt;=-5,1,0)+IF(Q169="買い▲",2,0)+IF(W169&gt;=78,-4,IF(W169&gt;=72,-2,IF(W169&gt;=55,2,IF(W169&gt;=45,1,0))))+IF(X169&gt;0,1,0)+IF(V169="年初来高値更新●",3,IF(V169="高値圏",2,0))+IF(AD169="パーフェクト▲",3,IF(AD169="上昇トレンド▲",2,0))+IF(AE169="25日線押し目●",2,IF(AE169="5日線押し目○",1,0))+IF(P169="急増↑↑",2,IF(P169="増加↑",1,0))+N(AI169),0))</f>
      </c>
      <c r="U169" s="163" t="str">
        <f t="shared" si="46"/>
        <v>要確認</v>
      </c>
      <c r="V169" s="163" t="str">
        <f t="shared" si="39"/>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 t="shared" si="47"/>
        <v>1.6509433962264151</v>
      </c>
      <c r="AA169" s="163" t="str">
        <f t="shared" si="48"/>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 t="shared" si="49"/>
        <v>上昇トレンド▲</v>
      </c>
      <c r="AE169" s="406" t="str">
        <f t="shared" si="50"/>
        <v>なし</v>
      </c>
      <c r="AF169" s="365">
        <f t="array" ref="AF169">IF(C169="","",IFERROR((INDEX(終値!$E:$E,MATCH(TEXT(C169,"0"),終値!$A:$A,0))-INDEX(終値!$E:$CZ,MATCH(TEXT(C169,"0"),終値!$A:$A,0),$AL$2))/INDEX(終値!$E:$CZ,MATCH(TEXT(C169,"0"),終値!$A:$A,0),$AL$2)*100,""))</f>
        <v>0.23255813953488372</v>
      </c>
      <c r="AG169" s="365">
        <f t="array" ref="AG169">IFERROR((終値!$E$5-INDEX(終値!$E$5:$CZ$5,1,$AL$2))/INDEX(終値!$E$5:$CZ$5,1,$AL$2)*100,"")</f>
        <v>1.0179378228534113</v>
      </c>
      <c r="AH169" s="366">
        <f t="shared" si="42"/>
        <v>-0.78537968331852759</v>
      </c>
      <c r="AI169" s="364">
        <f t="shared" si="43"/>
        <v>-1</v>
      </c>
      <c r="BA169">
        <f>IFERROR((SUM(OFFSET(高値!$E$6,IFERROR(MATCH($C169,銘柄管理!$B$6:$B$305,0),MATCH(TEXT($C169,"0"),銘柄管理!$B$6:$B$305,0))-1,0,1,14))-SUM(OFFSET(安値!$E$6,IFERROR(MATCH($C169,銘柄管理!$B$6:$B$305,0),MATCH(TEXT($C169,"0"),銘柄管理!$B$6:$B$305,0))-1,0,1,14)))/SUM(OFFSET(終値!$E$6,IFERROR(MATCH($C169,銘柄管理!$B$6:$B$305,0),MATCH(TEXT($C169,"0"),銘柄管理!$B$6:$B$305,0))-1,0,1,14))*100,"")</f>
      </c>
      <c r="BB169">
        <f>IFERROR((MAX(OFFSET(高値!$E$6,IFERROR(MATCH($C169,銘柄管理!$B$6:$B$305,0),MATCH(TEXT($C169,"0"),銘柄管理!$B$6:$B$305,0))-1,0,1,25))-MIN(OFFSET(安値!$E$6,IFERROR(MATCH($C169,銘柄管理!$B$6:$B$305,0),MATCH(TEXT($C169,"0"),銘柄管理!$B$6:$B$305,0))-1,0,1,25)))/$E169*100,"")</f>
      </c>
      <c r="BC169">
        <f>IFERROR(($F169-$G169)/$G169*100,"")</f>
      </c>
      <c r="BD169">
        <f>IFERROR(($E169-MAX(OFFSET(高値!$E$6,IFERROR(MATCH($C169,銘柄管理!$B$6:$B$305,0),MATCH(TEXT($C169,"0"),銘柄管理!$B$6:$B$305,0))-1,0,1,25)))/MAX(OFFSET(高値!$E$6,IFERROR(MATCH($C169,銘柄管理!$B$6:$B$305,0),MATCH(TEXT($C169,"0"),銘柄管理!$B$6:$B$305,0))-1,0,1,25))*100,"")</f>
      </c>
      <c r="BE169">
        <f>IFERROR(($H169-$I169)/$F169*100,"")</f>
      </c>
      <c r="BF169">
        <f>IFERROR(-(($BA169-AVERAGE($BA$3:$BA$206))/STDEV($BA$3:$BA$206))-(($BE169-AVERAGE($BE$3:$BE$206))/STDEV($BE$3:$BE$206))-(($BB169-AVERAGE($BB$3:$BB$206))/STDEV($BB$3:$BB$206))-(($Z169-AVERAGE($Z$3:$Z$206))/STDEV($Z$3:$Z$206))-(($BC169-AVERAGE($BC$3:$BC$206))/STDEV($BC$3:$BC$206)),"")</f>
      </c>
      <c r="BG169">
        <f>IF(OR($C169="",$C169="TOPX",$BA169="",$BF169=""),0,IF(AND($BK$10=1,$BA169&lt;=$BK$2,$BB169&lt;=$BK$3,$BC169&lt;=$BK$4,$Z169&lt;=$BK$5,$Z169&gt;=$BK$6,$BD169&gt;=$BK$7,$BE169&lt;=$BK$8),1,0))</f>
      </c>
      <c r="BH169">
        <f>IF($C169="","",IF($BG169=1,"○ゲート通過",IF($BK$10&lt;&gt;1,"― この方向は停止中",IF($BA169&gt;$BK$2,"×値動きが荒い",IF($BB169&gt;$BK$3,"×レンジが広い",IF($BC169&gt;$BK$4,"×窓を開けて上昇",IF($Z169&gt;$BK$5,"×前日に急騰",IF($Z169&lt;$BK$6,"×前日に急落",IF($BD169&lt;$BK$7,"×高値から離れすぎ",IF($BE169&gt;$BK$8,"×当日の値幅が大きい","×")))))))))</f>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 t="shared" si="34"/>
        <v>-11.359782977280435</v>
      </c>
      <c r="M170" s="166">
        <f>IF(C170&lt;&gt;"",IFERROR(AVERAGE(出来高!E156:I156),""),"")</f>
        <v>1458900</v>
      </c>
      <c r="N170" s="166">
        <f>IF(C170&lt;&gt;"",IFERROR(AVERAGE(出来高!E156:AC156),""),"")</f>
        <v>980244</v>
      </c>
      <c r="O170" s="168">
        <f t="shared" si="35"/>
        <v>0.98725066831174169</v>
      </c>
      <c r="P170" s="163" t="str">
        <f t="shared" si="36"/>
        <v>減少↓</v>
      </c>
      <c r="Q170" s="163" t="str">
        <f t="shared" si="37"/>
        <v>中立→</v>
      </c>
      <c r="R170" s="166">
        <f t="shared" si="44"/>
        <v>2823</v>
      </c>
      <c r="S170" s="166">
        <f t="shared" si="45"/>
        <v>2509</v>
      </c>
      <c r="T170" s="163">
        <f>IF(C170="","",IFERROR(IF(O170&gt;=2,3,IF(O170&gt;=1.5,2,IF(O170&gt;=1,1,0)))+IF(E170&gt;G170,1,0)+IF(L170&gt;=-5,1,0)+IF(Q170="買い▲",2,0)+IF(W170&gt;=78,-4,IF(W170&gt;=72,-2,IF(W170&gt;=55,2,IF(W170&gt;=45,1,0))))+IF(X170&gt;0,1,0)+IF(V170="年初来高値更新●",3,IF(V170="高値圏",2,0))+IF(AD170="パーフェクト▲",3,IF(AD170="上昇トレンド▲",2,0))+IF(AE170="25日線押し目●",2,IF(AE170="5日線押し目○",1,0))+IF(P170="急増↑↑",2,IF(P170="増加↑",1,0))+N(AI170),0))</f>
      </c>
      <c r="U170" s="163" t="str">
        <f t="shared" si="46"/>
        <v>要確認</v>
      </c>
      <c r="V170" s="163" t="str">
        <f t="shared" si="39"/>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 t="shared" si="47"/>
        <v>2.5902668759811616</v>
      </c>
      <c r="AA170" s="163" t="str">
        <f t="shared" si="48"/>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 t="shared" si="49"/>
        <v>パーフェクト▲</v>
      </c>
      <c r="AE170" s="404" t="str">
        <f t="shared" si="50"/>
        <v>なし</v>
      </c>
      <c r="AF170" s="365">
        <f t="array" ref="AF170">IF(C170="","",IFERROR((INDEX(終値!$E:$E,MATCH(TEXT(C170,"0"),終値!$A:$A,0))-INDEX(終値!$E:$CZ,MATCH(TEXT(C170,"0"),終値!$A:$A,0),$AL$2))/INDEX(終値!$E:$CZ,MATCH(TEXT(C170,"0"),終値!$A:$A,0),$AL$2)*100,""))</f>
        <v>-5.1523947750362842</v>
      </c>
      <c r="AG170" s="365">
        <f t="array" ref="AG170">IFERROR((終値!$E$5-INDEX(終値!$E$5:$CZ$5,1,$AL$2))/INDEX(終値!$E$5:$CZ$5,1,$AL$2)*100,"")</f>
        <v>1.0179378228534113</v>
      </c>
      <c r="AH170" s="366">
        <f t="shared" si="42"/>
        <v>-6.1703325978896952</v>
      </c>
      <c r="AI170" s="364">
        <f t="shared" si="43"/>
        <v>-2</v>
      </c>
      <c r="BA170">
        <f>IFERROR((SUM(OFFSET(高値!$E$6,IFERROR(MATCH($C170,銘柄管理!$B$6:$B$305,0),MATCH(TEXT($C170,"0"),銘柄管理!$B$6:$B$305,0))-1,0,1,14))-SUM(OFFSET(安値!$E$6,IFERROR(MATCH($C170,銘柄管理!$B$6:$B$305,0),MATCH(TEXT($C170,"0"),銘柄管理!$B$6:$B$305,0))-1,0,1,14)))/SUM(OFFSET(終値!$E$6,IFERROR(MATCH($C170,銘柄管理!$B$6:$B$305,0),MATCH(TEXT($C170,"0"),銘柄管理!$B$6:$B$305,0))-1,0,1,14))*100,"")</f>
      </c>
      <c r="BB170">
        <f>IFERROR((MAX(OFFSET(高値!$E$6,IFERROR(MATCH($C170,銘柄管理!$B$6:$B$305,0),MATCH(TEXT($C170,"0"),銘柄管理!$B$6:$B$305,0))-1,0,1,25))-MIN(OFFSET(安値!$E$6,IFERROR(MATCH($C170,銘柄管理!$B$6:$B$305,0),MATCH(TEXT($C170,"0"),銘柄管理!$B$6:$B$305,0))-1,0,1,25)))/$E170*100,"")</f>
      </c>
      <c r="BC170">
        <f>IFERROR(($F170-$G170)/$G170*100,"")</f>
      </c>
      <c r="BD170">
        <f>IFERROR(($E170-MAX(OFFSET(高値!$E$6,IFERROR(MATCH($C170,銘柄管理!$B$6:$B$305,0),MATCH(TEXT($C170,"0"),銘柄管理!$B$6:$B$305,0))-1,0,1,25)))/MAX(OFFSET(高値!$E$6,IFERROR(MATCH($C170,銘柄管理!$B$6:$B$305,0),MATCH(TEXT($C170,"0"),銘柄管理!$B$6:$B$305,0))-1,0,1,25))*100,"")</f>
      </c>
      <c r="BE170">
        <f>IFERROR(($H170-$I170)/$F170*100,"")</f>
      </c>
      <c r="BF170">
        <f>IFERROR(-(($BA170-AVERAGE($BA$3:$BA$206))/STDEV($BA$3:$BA$206))-(($BE170-AVERAGE($BE$3:$BE$206))/STDEV($BE$3:$BE$206))-(($BB170-AVERAGE($BB$3:$BB$206))/STDEV($BB$3:$BB$206))-(($Z170-AVERAGE($Z$3:$Z$206))/STDEV($Z$3:$Z$206))-(($BC170-AVERAGE($BC$3:$BC$206))/STDEV($BC$3:$BC$206)),"")</f>
      </c>
      <c r="BG170">
        <f>IF(OR($C170="",$C170="TOPX",$BA170="",$BF170=""),0,IF(AND($BK$10=1,$BA170&lt;=$BK$2,$BB170&lt;=$BK$3,$BC170&lt;=$BK$4,$Z170&lt;=$BK$5,$Z170&gt;=$BK$6,$BD170&gt;=$BK$7,$BE170&lt;=$BK$8),1,0))</f>
      </c>
      <c r="BH170">
        <f>IF($C170="","",IF($BG170=1,"○ゲート通過",IF($BK$10&lt;&gt;1,"― この方向は停止中",IF($BA170&gt;$BK$2,"×値動きが荒い",IF($BB170&gt;$BK$3,"×レンジが広い",IF($BC170&gt;$BK$4,"×窓を開けて上昇",IF($Z170&gt;$BK$5,"×前日に急騰",IF($Z170&lt;$BK$6,"×前日に急落",IF($BD170&lt;$BK$7,"×高値から離れすぎ",IF($BE170&gt;$BK$8,"×当日の値幅が大きい","×")))))))))</f>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 t="shared" si="34"/>
        <v>-56.340909090909086</v>
      </c>
      <c r="M171" s="166">
        <f>IF(C171&lt;&gt;"",IFERROR(AVERAGE(出来高!E129:I129),""),"")</f>
        <v>202440</v>
      </c>
      <c r="N171" s="166">
        <f>IF(C171&lt;&gt;"",IFERROR(AVERAGE(出来高!E129:AC129),""),"")</f>
        <v>179728</v>
      </c>
      <c r="O171" s="168">
        <f t="shared" si="35"/>
        <v>0.80073108081406841</v>
      </c>
      <c r="P171" s="163" t="str">
        <f t="shared" si="36"/>
        <v>減少↓</v>
      </c>
      <c r="Q171" s="163" t="str">
        <f t="shared" si="37"/>
        <v>様子見▼</v>
      </c>
      <c r="R171" s="166">
        <f t="shared" si="44"/>
        <v>2075</v>
      </c>
      <c r="S171" s="166">
        <f t="shared" si="45"/>
        <v>1844</v>
      </c>
      <c r="T171" s="163">
        <f>IF(C171="","",IFERROR(IF(O171&gt;=2,3,IF(O171&gt;=1.5,2,IF(O171&gt;=1,1,0)))+IF(E171&gt;G171,1,0)+IF(L171&gt;=-5,1,0)+IF(Q171="買い▲",2,0)+IF(W171&gt;=78,-4,IF(W171&gt;=72,-2,IF(W171&gt;=55,2,IF(W171&gt;=45,1,0))))+IF(X171&gt;0,1,0)+IF(V171="年初来高値更新●",3,IF(V171="高値圏",2,0))+IF(AD171="パーフェクト▲",3,IF(AD171="上昇トレンド▲",2,0))+IF(AE171="25日線押し目●",2,IF(AE171="5日線押し目○",1,0))+IF(P171="急増↑↑",2,IF(P171="増加↑",1,0))+N(AI171),0))</f>
      </c>
      <c r="U171" s="163" t="str">
        <f t="shared" si="46"/>
        <v>除外</v>
      </c>
      <c r="V171" s="163" t="str">
        <f t="shared" si="39"/>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 t="shared" si="47"/>
        <v>-1.4366341713699333</v>
      </c>
      <c r="AA171" s="163" t="str">
        <f t="shared" si="48"/>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 t="shared" si="49"/>
        <v>パーフェクト▲</v>
      </c>
      <c r="AE171" s="406" t="str">
        <f t="shared" si="50"/>
        <v>なし</v>
      </c>
      <c r="AF171" s="365">
        <f t="array" ref="AF171">IF(C171="","",IFERROR((INDEX(終値!$E:$E,MATCH(TEXT(C171,"0"),終値!$A:$A,0))-INDEX(終値!$E:$CZ,MATCH(TEXT(C171,"0"),終値!$A:$A,0),$AL$2))/INDEX(終値!$E:$CZ,MATCH(TEXT(C171,"0"),終値!$A:$A,0),$AL$2)*100,""))</f>
        <v>-5.0889328063241104</v>
      </c>
      <c r="AG171" s="365">
        <f t="array" ref="AG171">IFERROR((終値!$E$5-INDEX(終値!$E$5:$CZ$5,1,$AL$2))/INDEX(終値!$E$5:$CZ$5,1,$AL$2)*100,"")</f>
        <v>1.0179378228534113</v>
      </c>
      <c r="AH171" s="366">
        <f t="shared" si="42"/>
        <v>-6.1068706291775214</v>
      </c>
      <c r="AI171" s="364">
        <f t="shared" si="43"/>
        <v>-2</v>
      </c>
      <c r="BA171">
        <f>IFERROR((SUM(OFFSET(高値!$E$6,IFERROR(MATCH($C171,銘柄管理!$B$6:$B$305,0),MATCH(TEXT($C171,"0"),銘柄管理!$B$6:$B$305,0))-1,0,1,14))-SUM(OFFSET(安値!$E$6,IFERROR(MATCH($C171,銘柄管理!$B$6:$B$305,0),MATCH(TEXT($C171,"0"),銘柄管理!$B$6:$B$305,0))-1,0,1,14)))/SUM(OFFSET(終値!$E$6,IFERROR(MATCH($C171,銘柄管理!$B$6:$B$305,0),MATCH(TEXT($C171,"0"),銘柄管理!$B$6:$B$305,0))-1,0,1,14))*100,"")</f>
      </c>
      <c r="BB171">
        <f>IFERROR((MAX(OFFSET(高値!$E$6,IFERROR(MATCH($C171,銘柄管理!$B$6:$B$305,0),MATCH(TEXT($C171,"0"),銘柄管理!$B$6:$B$305,0))-1,0,1,25))-MIN(OFFSET(安値!$E$6,IFERROR(MATCH($C171,銘柄管理!$B$6:$B$305,0),MATCH(TEXT($C171,"0"),銘柄管理!$B$6:$B$305,0))-1,0,1,25)))/$E171*100,"")</f>
      </c>
      <c r="BC171">
        <f>IFERROR(($F171-$G171)/$G171*100,"")</f>
      </c>
      <c r="BD171">
        <f>IFERROR(($E171-MAX(OFFSET(高値!$E$6,IFERROR(MATCH($C171,銘柄管理!$B$6:$B$305,0),MATCH(TEXT($C171,"0"),銘柄管理!$B$6:$B$305,0))-1,0,1,25)))/MAX(OFFSET(高値!$E$6,IFERROR(MATCH($C171,銘柄管理!$B$6:$B$305,0),MATCH(TEXT($C171,"0"),銘柄管理!$B$6:$B$305,0))-1,0,1,25))*100,"")</f>
      </c>
      <c r="BE171">
        <f>IFERROR(($H171-$I171)/$F171*100,"")</f>
      </c>
      <c r="BF171">
        <f>IFERROR(-(($BA171-AVERAGE($BA$3:$BA$206))/STDEV($BA$3:$BA$206))-(($BE171-AVERAGE($BE$3:$BE$206))/STDEV($BE$3:$BE$206))-(($BB171-AVERAGE($BB$3:$BB$206))/STDEV($BB$3:$BB$206))-(($Z171-AVERAGE($Z$3:$Z$206))/STDEV($Z$3:$Z$206))-(($BC171-AVERAGE($BC$3:$BC$206))/STDEV($BC$3:$BC$206)),"")</f>
      </c>
      <c r="BG171">
        <f>IF(OR($C171="",$C171="TOPX",$BA171="",$BF171=""),0,IF(AND($BK$10=1,$BA171&lt;=$BK$2,$BB171&lt;=$BK$3,$BC171&lt;=$BK$4,$Z171&lt;=$BK$5,$Z171&gt;=$BK$6,$BD171&gt;=$BK$7,$BE171&lt;=$BK$8),1,0))</f>
      </c>
      <c r="BH171">
        <f>IF($C171="","",IF($BG171=1,"○ゲート通過",IF($BK$10&lt;&gt;1,"― この方向は停止中",IF($BA171&gt;$BK$2,"×値動きが荒い",IF($BB171&gt;$BK$3,"×レンジが広い",IF($BC171&gt;$BK$4,"×窓を開けて上昇",IF($Z171&gt;$BK$5,"×前日に急騰",IF($Z171&lt;$BK$6,"×前日に急落",IF($BD171&lt;$BK$7,"×高値から離れすぎ",IF($BE171&gt;$BK$8,"×当日の値幅が大きい","×")))))))))</f>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 t="shared" si="34"/>
        <v>-22.232030264817151</v>
      </c>
      <c r="M172" s="166">
        <f>IF(C172&lt;&gt;"",IFERROR(AVERAGE(出来高!E66:I66),""),"")</f>
        <v>10086480</v>
      </c>
      <c r="N172" s="166">
        <f>IF(C172&lt;&gt;"",IFERROR(AVERAGE(出来高!E66:AC66),""),"")</f>
        <v>8889956</v>
      </c>
      <c r="O172" s="168">
        <f t="shared" si="35"/>
        <v>0.67193907091472937</v>
      </c>
      <c r="P172" s="163" t="str">
        <f t="shared" si="36"/>
        <v>減少↓</v>
      </c>
      <c r="Q172" s="163" t="str">
        <f t="shared" si="37"/>
        <v>中立→</v>
      </c>
      <c r="R172" s="166">
        <f t="shared" si="44"/>
        <v>6660</v>
      </c>
      <c r="S172" s="166">
        <f t="shared" si="45"/>
        <v>5920</v>
      </c>
      <c r="T172" s="163">
        <f>IF(C172="","",IFERROR(IF(O172&gt;=2,3,IF(O172&gt;=1.5,2,IF(O172&gt;=1,1,0)))+IF(E172&gt;G172,1,0)+IF(L172&gt;=-5,1,0)+IF(Q172="買い▲",2,0)+IF(W172&gt;=78,-4,IF(W172&gt;=72,-2,IF(W172&gt;=55,2,IF(W172&gt;=45,1,0))))+IF(X172&gt;0,1,0)+IF(V172="年初来高値更新●",3,IF(V172="高値圏",2,0))+IF(AD172="パーフェクト▲",3,IF(AD172="上昇トレンド▲",2,0))+IF(AE172="25日線押し目●",2,IF(AE172="5日線押し目○",1,0))+IF(P172="急増↑↑",2,IF(P172="増加↑",1,0))+N(AI172),0))</f>
      </c>
      <c r="U172" s="163" t="str">
        <f t="shared" si="46"/>
        <v>要確認</v>
      </c>
      <c r="V172" s="163" t="str">
        <f t="shared" si="39"/>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 t="shared" si="47"/>
        <v>6.4903456109037805E-2</v>
      </c>
      <c r="AA172" s="163" t="str">
        <f t="shared" si="48"/>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 t="shared" si="49"/>
        <v>上昇トレンド▲</v>
      </c>
      <c r="AE172" s="404" t="str">
        <f t="shared" si="50"/>
        <v>なし</v>
      </c>
      <c r="AF172" s="365">
        <f t="array" ref="AF172">IF(C172="","",IFERROR((INDEX(終値!$E:$E,MATCH(TEXT(C172,"0"),終値!$A:$A,0))-INDEX(終値!$E:$CZ,MATCH(TEXT(C172,"0"),終値!$A:$A,0),$AL$2))/INDEX(終値!$E:$CZ,MATCH(TEXT(C172,"0"),終値!$A:$A,0),$AL$2)*100,""))</f>
        <v>-15.043394406943106</v>
      </c>
      <c r="AG172" s="365">
        <f t="array" ref="AG172">IFERROR((終値!$E$5-INDEX(終値!$E$5:$CZ$5,1,$AL$2))/INDEX(終値!$E$5:$CZ$5,1,$AL$2)*100,"")</f>
        <v>1.0179378228534113</v>
      </c>
      <c r="AH172" s="366">
        <f t="shared" si="42"/>
        <v>-16.061332229796516</v>
      </c>
      <c r="AI172" s="364">
        <f t="shared" si="43"/>
        <v>-2</v>
      </c>
      <c r="BA172">
        <f>IFERROR((SUM(OFFSET(高値!$E$6,IFERROR(MATCH($C172,銘柄管理!$B$6:$B$305,0),MATCH(TEXT($C172,"0"),銘柄管理!$B$6:$B$305,0))-1,0,1,14))-SUM(OFFSET(安値!$E$6,IFERROR(MATCH($C172,銘柄管理!$B$6:$B$305,0),MATCH(TEXT($C172,"0"),銘柄管理!$B$6:$B$305,0))-1,0,1,14)))/SUM(OFFSET(終値!$E$6,IFERROR(MATCH($C172,銘柄管理!$B$6:$B$305,0),MATCH(TEXT($C172,"0"),銘柄管理!$B$6:$B$305,0))-1,0,1,14))*100,"")</f>
      </c>
      <c r="BB172">
        <f>IFERROR((MAX(OFFSET(高値!$E$6,IFERROR(MATCH($C172,銘柄管理!$B$6:$B$305,0),MATCH(TEXT($C172,"0"),銘柄管理!$B$6:$B$305,0))-1,0,1,25))-MIN(OFFSET(安値!$E$6,IFERROR(MATCH($C172,銘柄管理!$B$6:$B$305,0),MATCH(TEXT($C172,"0"),銘柄管理!$B$6:$B$305,0))-1,0,1,25)))/$E172*100,"")</f>
      </c>
      <c r="BC172">
        <f>IFERROR(($F172-$G172)/$G172*100,"")</f>
      </c>
      <c r="BD172">
        <f>IFERROR(($E172-MAX(OFFSET(高値!$E$6,IFERROR(MATCH($C172,銘柄管理!$B$6:$B$305,0),MATCH(TEXT($C172,"0"),銘柄管理!$B$6:$B$305,0))-1,0,1,25)))/MAX(OFFSET(高値!$E$6,IFERROR(MATCH($C172,銘柄管理!$B$6:$B$305,0),MATCH(TEXT($C172,"0"),銘柄管理!$B$6:$B$305,0))-1,0,1,25))*100,"")</f>
      </c>
      <c r="BE172">
        <f>IFERROR(($H172-$I172)/$F172*100,"")</f>
      </c>
      <c r="BF172">
        <f>IFERROR(-(($BA172-AVERAGE($BA$3:$BA$206))/STDEV($BA$3:$BA$206))-(($BE172-AVERAGE($BE$3:$BE$206))/STDEV($BE$3:$BE$206))-(($BB172-AVERAGE($BB$3:$BB$206))/STDEV($BB$3:$BB$206))-(($Z172-AVERAGE($Z$3:$Z$206))/STDEV($Z$3:$Z$206))-(($BC172-AVERAGE($BC$3:$BC$206))/STDEV($BC$3:$BC$206)),"")</f>
      </c>
      <c r="BG172">
        <f>IF(OR($C172="",$C172="TOPX",$BA172="",$BF172=""),0,IF(AND($BK$10=1,$BA172&lt;=$BK$2,$BB172&lt;=$BK$3,$BC172&lt;=$BK$4,$Z172&lt;=$BK$5,$Z172&gt;=$BK$6,$BD172&gt;=$BK$7,$BE172&lt;=$BK$8),1,0))</f>
      </c>
      <c r="BH172">
        <f>IF($C172="","",IF($BG172=1,"○ゲート通過",IF($BK$10&lt;&gt;1,"― この方向は停止中",IF($BA172&gt;$BK$2,"×値動きが荒い",IF($BB172&gt;$BK$3,"×レンジが広い",IF($BC172&gt;$BK$4,"×窓を開けて上昇",IF($Z172&gt;$BK$5,"×前日に急騰",IF($Z172&lt;$BK$6,"×前日に急落",IF($BD172&lt;$BK$7,"×高値から離れすぎ",IF($BE172&gt;$BK$8,"×当日の値幅が大きい","×")))))))))</f>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 t="shared" si="34"/>
        <v>-30.822416302765649</v>
      </c>
      <c r="M173" s="166">
        <f>IF(C173&lt;&gt;"",IFERROR(AVERAGE(出来高!E96:I96),""),"")</f>
        <v>8193800</v>
      </c>
      <c r="N173" s="166">
        <f>IF(C173&lt;&gt;"",IFERROR(AVERAGE(出来高!E96:AC96),""),"")</f>
        <v>8632500</v>
      </c>
      <c r="O173" s="168">
        <f t="shared" si="35"/>
        <v>1.5480973418926505</v>
      </c>
      <c r="P173" s="163" t="str">
        <f t="shared" si="36"/>
        <v>増加↑</v>
      </c>
      <c r="Q173" s="163" t="str">
        <f t="shared" si="37"/>
        <v>様子見▼</v>
      </c>
      <c r="R173" s="166">
        <f t="shared" si="44"/>
        <v>20531</v>
      </c>
      <c r="S173" s="166">
        <f t="shared" si="45"/>
        <v>18250</v>
      </c>
      <c r="T173" s="163">
        <f>IF(C173="","",IFERROR(IF(O173&gt;=2,3,IF(O173&gt;=1.5,2,IF(O173&gt;=1,1,0)))+IF(E173&gt;G173,1,0)+IF(L173&gt;=-5,1,0)+IF(Q173="買い▲",2,0)+IF(W173&gt;=78,-4,IF(W173&gt;=72,-2,IF(W173&gt;=55,2,IF(W173&gt;=45,1,0))))+IF(X173&gt;0,1,0)+IF(V173="年初来高値更新●",3,IF(V173="高値圏",2,0))+IF(AD173="パーフェクト▲",3,IF(AD173="上昇トレンド▲",2,0))+IF(AE173="25日線押し目●",2,IF(AE173="5日線押し目○",1,0))+IF(P173="急増↑↑",2,IF(P173="増加↑",1,0))+N(AI173),0))</f>
      </c>
      <c r="U173" s="163" t="str">
        <f t="shared" si="46"/>
        <v>有効</v>
      </c>
      <c r="V173" s="163" t="str">
        <f t="shared" si="39"/>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 t="shared" si="47"/>
        <v>-6.4928676832267582</v>
      </c>
      <c r="AA173" s="163" t="str">
        <f t="shared" si="48"/>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 t="shared" si="49"/>
        <v>上昇トレンド▲</v>
      </c>
      <c r="AE173" s="406" t="str">
        <f t="shared" si="50"/>
        <v>なし</v>
      </c>
      <c r="AF173" s="365">
        <f t="array" ref="AF173">IF(C173="","",IFERROR((INDEX(終値!$E:$E,MATCH(TEXT(C173,"0"),終値!$A:$A,0))-INDEX(終値!$E:$CZ,MATCH(TEXT(C173,"0"),終値!$A:$A,0),$AL$2))/INDEX(終値!$E:$CZ,MATCH(TEXT(C173,"0"),終値!$A:$A,0),$AL$2)*100,""))</f>
        <v>-26.274966065541982</v>
      </c>
      <c r="AG173" s="365">
        <f t="array" ref="AG173">IFERROR((終値!$E$5-INDEX(終値!$E$5:$CZ$5,1,$AL$2))/INDEX(終値!$E$5:$CZ$5,1,$AL$2)*100,"")</f>
        <v>1.0179378228534113</v>
      </c>
      <c r="AH173" s="366">
        <f t="shared" si="42"/>
        <v>-27.292903888395394</v>
      </c>
      <c r="AI173" s="364">
        <f t="shared" si="43"/>
        <v>-2</v>
      </c>
      <c r="BA173">
        <f>IFERROR((SUM(OFFSET(高値!$E$6,IFERROR(MATCH($C173,銘柄管理!$B$6:$B$305,0),MATCH(TEXT($C173,"0"),銘柄管理!$B$6:$B$305,0))-1,0,1,14))-SUM(OFFSET(安値!$E$6,IFERROR(MATCH($C173,銘柄管理!$B$6:$B$305,0),MATCH(TEXT($C173,"0"),銘柄管理!$B$6:$B$305,0))-1,0,1,14)))/SUM(OFFSET(終値!$E$6,IFERROR(MATCH($C173,銘柄管理!$B$6:$B$305,0),MATCH(TEXT($C173,"0"),銘柄管理!$B$6:$B$305,0))-1,0,1,14))*100,"")</f>
      </c>
      <c r="BB173">
        <f>IFERROR((MAX(OFFSET(高値!$E$6,IFERROR(MATCH($C173,銘柄管理!$B$6:$B$305,0),MATCH(TEXT($C173,"0"),銘柄管理!$B$6:$B$305,0))-1,0,1,25))-MIN(OFFSET(安値!$E$6,IFERROR(MATCH($C173,銘柄管理!$B$6:$B$305,0),MATCH(TEXT($C173,"0"),銘柄管理!$B$6:$B$305,0))-1,0,1,25)))/$E173*100,"")</f>
      </c>
      <c r="BC173">
        <f>IFERROR(($F173-$G173)/$G173*100,"")</f>
      </c>
      <c r="BD173">
        <f>IFERROR(($E173-MAX(OFFSET(高値!$E$6,IFERROR(MATCH($C173,銘柄管理!$B$6:$B$305,0),MATCH(TEXT($C173,"0"),銘柄管理!$B$6:$B$305,0))-1,0,1,25)))/MAX(OFFSET(高値!$E$6,IFERROR(MATCH($C173,銘柄管理!$B$6:$B$305,0),MATCH(TEXT($C173,"0"),銘柄管理!$B$6:$B$305,0))-1,0,1,25))*100,"")</f>
      </c>
      <c r="BE173">
        <f>IFERROR(($H173-$I173)/$F173*100,"")</f>
      </c>
      <c r="BF173">
        <f>IFERROR(-(($BA173-AVERAGE($BA$3:$BA$206))/STDEV($BA$3:$BA$206))-(($BE173-AVERAGE($BE$3:$BE$206))/STDEV($BE$3:$BE$206))-(($BB173-AVERAGE($BB$3:$BB$206))/STDEV($BB$3:$BB$206))-(($Z173-AVERAGE($Z$3:$Z$206))/STDEV($Z$3:$Z$206))-(($BC173-AVERAGE($BC$3:$BC$206))/STDEV($BC$3:$BC$206)),"")</f>
      </c>
      <c r="BG173">
        <f>IF(OR($C173="",$C173="TOPX",$BA173="",$BF173=""),0,IF(AND($BK$10=1,$BA173&lt;=$BK$2,$BB173&lt;=$BK$3,$BC173&lt;=$BK$4,$Z173&lt;=$BK$5,$Z173&gt;=$BK$6,$BD173&gt;=$BK$7,$BE173&lt;=$BK$8),1,0))</f>
      </c>
      <c r="BH173">
        <f>IF($C173="","",IF($BG173=1,"○ゲート通過",IF($BK$10&lt;&gt;1,"― この方向は停止中",IF($BA173&gt;$BK$2,"×値動きが荒い",IF($BB173&gt;$BK$3,"×レンジが広い",IF($BC173&gt;$BK$4,"×窓を開けて上昇",IF($Z173&gt;$BK$5,"×前日に急騰",IF($Z173&lt;$BK$6,"×前日に急落",IF($BD173&lt;$BK$7,"×高値から離れすぎ",IF($BE173&gt;$BK$8,"×当日の値幅が大きい","×")))))))))</f>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 t="shared" si="34"/>
        <v>-3.8751625487646297</v>
      </c>
      <c r="M174" s="166">
        <f>IF(C174&lt;&gt;"",IFERROR(AVERAGE(出来高!E61:I61),""),"")</f>
        <v>362800</v>
      </c>
      <c r="N174" s="166">
        <f>IF(C174&lt;&gt;"",IFERROR(AVERAGE(出来高!E61:AC61),""),"")</f>
        <v>316412</v>
      </c>
      <c r="O174" s="168">
        <f t="shared" si="35"/>
        <v>0.87183020948180812</v>
      </c>
      <c r="P174" s="163" t="str">
        <f t="shared" si="36"/>
        <v>減少↓</v>
      </c>
      <c r="Q174" s="163" t="str">
        <f t="shared" si="37"/>
        <v>中立→</v>
      </c>
      <c r="R174" s="166">
        <f t="shared" si="44"/>
        <v>1996</v>
      </c>
      <c r="S174" s="166">
        <f t="shared" si="45"/>
        <v>1774</v>
      </c>
      <c r="T174" s="163">
        <f>IF(C174="","",IFERROR(IF(O174&gt;=2,3,IF(O174&gt;=1.5,2,IF(O174&gt;=1,1,0)))+IF(E174&gt;G174,1,0)+IF(L174&gt;=-5,1,0)+IF(Q174="買い▲",2,0)+IF(W174&gt;=78,-4,IF(W174&gt;=72,-2,IF(W174&gt;=55,2,IF(W174&gt;=45,1,0))))+IF(X174&gt;0,1,0)+IF(V174="年初来高値更新●",3,IF(V174="高値圏",2,0))+IF(AD174="パーフェクト▲",3,IF(AD174="上昇トレンド▲",2,0))+IF(AE174="25日線押し目●",2,IF(AE174="5日線押し目○",1,0))+IF(P174="急増↑↑",2,IF(P174="増加↑",1,0))+N(AI174),0))</f>
      </c>
      <c r="U174" s="163" t="str">
        <f t="shared" si="46"/>
        <v>要確認</v>
      </c>
      <c r="V174" s="163" t="str">
        <f t="shared" si="39"/>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 t="shared" si="47"/>
        <v>0.38022813688212925</v>
      </c>
      <c r="AA174" s="163" t="str">
        <f t="shared" si="48"/>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 t="shared" si="49"/>
        <v>下降トレンド▼</v>
      </c>
      <c r="AE174" s="404" t="str">
        <f t="shared" si="50"/>
        <v>なし</v>
      </c>
      <c r="AF174" s="365">
        <f t="array" ref="AF174">IF(C174="","",IFERROR((INDEX(終値!$E:$E,MATCH(TEXT(C174,"0"),終値!$A:$A,0))-INDEX(終値!$E:$CZ,MATCH(TEXT(C174,"0"),終値!$A:$A,0),$AL$2))/INDEX(終値!$E:$CZ,MATCH(TEXT(C174,"0"),終値!$A:$A,0),$AL$2)*100,""))</f>
        <v>6.5436725281060832</v>
      </c>
      <c r="AG174" s="365">
        <f t="array" ref="AG174">IFERROR((終値!$E$5-INDEX(終値!$E$5:$CZ$5,1,$AL$2))/INDEX(終値!$E$5:$CZ$5,1,$AL$2)*100,"")</f>
        <v>1.0179378228534113</v>
      </c>
      <c r="AH174" s="366">
        <f t="shared" si="42"/>
        <v>5.5257347052526722</v>
      </c>
      <c r="AI174" s="364">
        <f t="shared" si="43"/>
        <v>3</v>
      </c>
      <c r="BA174">
        <f>IFERROR((SUM(OFFSET(高値!$E$6,IFERROR(MATCH($C174,銘柄管理!$B$6:$B$305,0),MATCH(TEXT($C174,"0"),銘柄管理!$B$6:$B$305,0))-1,0,1,14))-SUM(OFFSET(安値!$E$6,IFERROR(MATCH($C174,銘柄管理!$B$6:$B$305,0),MATCH(TEXT($C174,"0"),銘柄管理!$B$6:$B$305,0))-1,0,1,14)))/SUM(OFFSET(終値!$E$6,IFERROR(MATCH($C174,銘柄管理!$B$6:$B$305,0),MATCH(TEXT($C174,"0"),銘柄管理!$B$6:$B$305,0))-1,0,1,14))*100,"")</f>
      </c>
      <c r="BB174">
        <f>IFERROR((MAX(OFFSET(高値!$E$6,IFERROR(MATCH($C174,銘柄管理!$B$6:$B$305,0),MATCH(TEXT($C174,"0"),銘柄管理!$B$6:$B$305,0))-1,0,1,25))-MIN(OFFSET(安値!$E$6,IFERROR(MATCH($C174,銘柄管理!$B$6:$B$305,0),MATCH(TEXT($C174,"0"),銘柄管理!$B$6:$B$305,0))-1,0,1,25)))/$E174*100,"")</f>
      </c>
      <c r="BC174">
        <f>IFERROR(($F174-$G174)/$G174*100,"")</f>
      </c>
      <c r="BD174">
        <f>IFERROR(($E174-MAX(OFFSET(高値!$E$6,IFERROR(MATCH($C174,銘柄管理!$B$6:$B$305,0),MATCH(TEXT($C174,"0"),銘柄管理!$B$6:$B$305,0))-1,0,1,25)))/MAX(OFFSET(高値!$E$6,IFERROR(MATCH($C174,銘柄管理!$B$6:$B$305,0),MATCH(TEXT($C174,"0"),銘柄管理!$B$6:$B$305,0))-1,0,1,25))*100,"")</f>
      </c>
      <c r="BE174">
        <f>IFERROR(($H174-$I174)/$F174*100,"")</f>
      </c>
      <c r="BF174">
        <f>IFERROR(-(($BA174-AVERAGE($BA$3:$BA$206))/STDEV($BA$3:$BA$206))-(($BE174-AVERAGE($BE$3:$BE$206))/STDEV($BE$3:$BE$206))-(($BB174-AVERAGE($BB$3:$BB$206))/STDEV($BB$3:$BB$206))-(($Z174-AVERAGE($Z$3:$Z$206))/STDEV($Z$3:$Z$206))-(($BC174-AVERAGE($BC$3:$BC$206))/STDEV($BC$3:$BC$206)),"")</f>
      </c>
      <c r="BG174">
        <f>IF(OR($C174="",$C174="TOPX",$BA174="",$BF174=""),0,IF(AND($BK$10=1,$BA174&lt;=$BK$2,$BB174&lt;=$BK$3,$BC174&lt;=$BK$4,$Z174&lt;=$BK$5,$Z174&gt;=$BK$6,$BD174&gt;=$BK$7,$BE174&lt;=$BK$8),1,0))</f>
      </c>
      <c r="BH174">
        <f>IF($C174="","",IF($BG174=1,"○ゲート通過",IF($BK$10&lt;&gt;1,"― この方向は停止中",IF($BA174&gt;$BK$2,"×値動きが荒い",IF($BB174&gt;$BK$3,"×レンジが広い",IF($BC174&gt;$BK$4,"×窓を開けて上昇",IF($Z174&gt;$BK$5,"×前日に急騰",IF($Z174&lt;$BK$6,"×前日に急落",IF($BD174&lt;$BK$7,"×高値から離れすぎ",IF($BE174&gt;$BK$8,"×当日の値幅が大きい","×")))))))))</f>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 t="shared" si="34"/>
        <v>3.4334763948497855</v>
      </c>
      <c r="M175" s="166">
        <f>IF(C175&lt;&gt;"",IFERROR(AVERAGE(出来高!E95:I95),""),"")</f>
        <v>377220</v>
      </c>
      <c r="N175" s="166">
        <f>IF(C175&lt;&gt;"",IFERROR(AVERAGE(出来高!E95:AC95),""),"")</f>
        <v>212554.16666666666</v>
      </c>
      <c r="O175" s="168">
        <f t="shared" si="35"/>
        <v>3.1973384232013147</v>
      </c>
      <c r="P175" s="163" t="str">
        <f t="shared" si="36"/>
        <v>急増↑↑</v>
      </c>
      <c r="Q175" s="163" t="str">
        <f t="shared" si="37"/>
        <v>買い▲</v>
      </c>
      <c r="R175" s="166">
        <f t="shared" si="44"/>
        <v>1562</v>
      </c>
      <c r="S175" s="166">
        <f t="shared" si="45"/>
        <v>1388</v>
      </c>
      <c r="T175" s="163">
        <f>IF(C175="","",IFERROR(IF(O175&gt;=2,3,IF(O175&gt;=1.5,2,IF(O175&gt;=1,1,0)))+IF(E175&gt;G175,1,0)+IF(L175&gt;=-5,1,0)+IF(Q175="買い▲",2,0)+IF(W175&gt;=78,-4,IF(W175&gt;=72,-2,IF(W175&gt;=55,2,IF(W175&gt;=45,1,0))))+IF(X175&gt;0,1,0)+IF(V175="年初来高値更新●",3,IF(V175="高値圏",2,0))+IF(AD175="パーフェクト▲",3,IF(AD175="上昇トレンド▲",2,0))+IF(AE175="25日線押し目●",2,IF(AE175="5日線押し目○",1,0))+IF(P175="急増↑↑",2,IF(P175="増加↑",1,0))+N(AI175),0))</f>
      </c>
      <c r="U175" s="163" t="str">
        <f t="shared" si="46"/>
        <v>有効</v>
      </c>
      <c r="V175" s="163" t="str">
        <f t="shared" si="39"/>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 t="shared" si="47"/>
        <v>14.853057982525813</v>
      </c>
      <c r="AA175" s="163" t="str">
        <f t="shared" si="48"/>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 t="shared" si="49"/>
        <v>パーフェクト▲</v>
      </c>
      <c r="AE175" s="406" t="str">
        <f t="shared" si="50"/>
        <v>なし</v>
      </c>
      <c r="AF175" s="365">
        <f t="array" ref="AF175">IF(C175="","",IFERROR((INDEX(終値!$E:$E,MATCH(TEXT(C175,"0"),終値!$A:$A,0))-INDEX(終値!$E:$CZ,MATCH(TEXT(C175,"0"),終値!$A:$A,0),$AL$2))/INDEX(終値!$E:$CZ,MATCH(TEXT(C175,"0"),終値!$A:$A,0),$AL$2)*100,""))</f>
        <v>12.441679626749611</v>
      </c>
      <c r="AG175" s="365">
        <f t="array" ref="AG175">IFERROR((終値!$E$5-INDEX(終値!$E$5:$CZ$5,1,$AL$2))/INDEX(終値!$E$5:$CZ$5,1,$AL$2)*100,"")</f>
        <v>1.0179378228534113</v>
      </c>
      <c r="AH175" s="366">
        <f t="shared" si="42"/>
        <v>11.423741803896199</v>
      </c>
      <c r="AI175" s="364">
        <f t="shared" si="43"/>
        <v>3</v>
      </c>
      <c r="BA175">
        <f>IFERROR((SUM(OFFSET(高値!$E$6,IFERROR(MATCH($C175,銘柄管理!$B$6:$B$305,0),MATCH(TEXT($C175,"0"),銘柄管理!$B$6:$B$305,0))-1,0,1,14))-SUM(OFFSET(安値!$E$6,IFERROR(MATCH($C175,銘柄管理!$B$6:$B$305,0),MATCH(TEXT($C175,"0"),銘柄管理!$B$6:$B$305,0))-1,0,1,14)))/SUM(OFFSET(終値!$E$6,IFERROR(MATCH($C175,銘柄管理!$B$6:$B$305,0),MATCH(TEXT($C175,"0"),銘柄管理!$B$6:$B$305,0))-1,0,1,14))*100,"")</f>
      </c>
      <c r="BB175">
        <f>IFERROR((MAX(OFFSET(高値!$E$6,IFERROR(MATCH($C175,銘柄管理!$B$6:$B$305,0),MATCH(TEXT($C175,"0"),銘柄管理!$B$6:$B$305,0))-1,0,1,25))-MIN(OFFSET(安値!$E$6,IFERROR(MATCH($C175,銘柄管理!$B$6:$B$305,0),MATCH(TEXT($C175,"0"),銘柄管理!$B$6:$B$305,0))-1,0,1,25)))/$E175*100,"")</f>
      </c>
      <c r="BC175">
        <f>IFERROR(($F175-$G175)/$G175*100,"")</f>
      </c>
      <c r="BD175">
        <f>IFERROR(($E175-MAX(OFFSET(高値!$E$6,IFERROR(MATCH($C175,銘柄管理!$B$6:$B$305,0),MATCH(TEXT($C175,"0"),銘柄管理!$B$6:$B$305,0))-1,0,1,25)))/MAX(OFFSET(高値!$E$6,IFERROR(MATCH($C175,銘柄管理!$B$6:$B$305,0),MATCH(TEXT($C175,"0"),銘柄管理!$B$6:$B$305,0))-1,0,1,25))*100,"")</f>
      </c>
      <c r="BE175">
        <f>IFERROR(($H175-$I175)/$F175*100,"")</f>
      </c>
      <c r="BF175">
        <f>IFERROR(-(($BA175-AVERAGE($BA$3:$BA$206))/STDEV($BA$3:$BA$206))-(($BE175-AVERAGE($BE$3:$BE$206))/STDEV($BE$3:$BE$206))-(($BB175-AVERAGE($BB$3:$BB$206))/STDEV($BB$3:$BB$206))-(($Z175-AVERAGE($Z$3:$Z$206))/STDEV($Z$3:$Z$206))-(($BC175-AVERAGE($BC$3:$BC$206))/STDEV($BC$3:$BC$206)),"")</f>
      </c>
      <c r="BG175">
        <f>IF(OR($C175="",$C175="TOPX",$BA175="",$BF175=""),0,IF(AND($BK$10=1,$BA175&lt;=$BK$2,$BB175&lt;=$BK$3,$BC175&lt;=$BK$4,$Z175&lt;=$BK$5,$Z175&gt;=$BK$6,$BD175&gt;=$BK$7,$BE175&lt;=$BK$8),1,0))</f>
      </c>
      <c r="BH175">
        <f>IF($C175="","",IF($BG175=1,"○ゲート通過",IF($BK$10&lt;&gt;1,"― この方向は停止中",IF($BA175&gt;$BK$2,"×値動きが荒い",IF($BB175&gt;$BK$3,"×レンジが広い",IF($BC175&gt;$BK$4,"×窓を開けて上昇",IF($Z175&gt;$BK$5,"×前日に急騰",IF($Z175&lt;$BK$6,"×前日に急落",IF($BD175&lt;$BK$7,"×高値から離れすぎ",IF($BE175&gt;$BK$8,"×当日の値幅が大きい","×")))))))))</f>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 t="shared" si="34"/>
        <v>-1.1768349334159183</v>
      </c>
      <c r="M176" s="166">
        <f>IF(C176&lt;&gt;"",IFERROR(AVERAGE(出来高!E48:I48),""),"")</f>
        <v>1423000</v>
      </c>
      <c r="N176" s="166">
        <f>IF(C176&lt;&gt;"",IFERROR(AVERAGE(出来高!E48:AC48),""),"")</f>
        <v>1069400</v>
      </c>
      <c r="O176" s="168">
        <f t="shared" si="35"/>
        <v>1.2791286015460295</v>
      </c>
      <c r="P176" s="163" t="str">
        <f t="shared" si="36"/>
        <v>普通→</v>
      </c>
      <c r="Q176" s="163" t="str">
        <f t="shared" si="37"/>
        <v>様子見▼</v>
      </c>
      <c r="R176" s="166">
        <f t="shared" si="44"/>
        <v>1723</v>
      </c>
      <c r="S176" s="166">
        <f t="shared" si="45"/>
        <v>1532</v>
      </c>
      <c r="T176" s="163">
        <f>IF(C176="","",IFERROR(IF(O176&gt;=2,3,IF(O176&gt;=1.5,2,IF(O176&gt;=1,1,0)))+IF(E176&gt;G176,1,0)+IF(L176&gt;=-5,1,0)+IF(Q176="買い▲",2,0)+IF(W176&gt;=78,-4,IF(W176&gt;=72,-2,IF(W176&gt;=55,2,IF(W176&gt;=45,1,0))))+IF(X176&gt;0,1,0)+IF(V176="年初来高値更新●",3,IF(V176="高値圏",2,0))+IF(AD176="パーフェクト▲",3,IF(AD176="上昇トレンド▲",2,0))+IF(AE176="25日線押し目●",2,IF(AE176="5日線押し目○",1,0))+IF(P176="急増↑↑",2,IF(P176="増加↑",1,0))+N(AI176),0))</f>
      </c>
      <c r="U176" s="163" t="str">
        <f t="shared" si="46"/>
        <v>要確認</v>
      </c>
      <c r="V176" s="163" t="str">
        <f t="shared" si="39"/>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 t="shared" si="47"/>
        <v>-1.1768349334159183</v>
      </c>
      <c r="AA176" s="163" t="str">
        <f t="shared" si="48"/>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 t="shared" si="49"/>
        <v>もみ合い→</v>
      </c>
      <c r="AE176" s="404" t="str">
        <f t="shared" si="50"/>
        <v>なし</v>
      </c>
      <c r="AF176" s="365">
        <f t="array" ref="AF176">IF(C176="","",IFERROR((INDEX(終値!$E:$E,MATCH(TEXT(C176,"0"),終値!$A:$A,0))-INDEX(終値!$E:$CZ,MATCH(TEXT(C176,"0"),終値!$A:$A,0),$AL$2))/INDEX(終値!$E:$CZ,MATCH(TEXT(C176,"0"),終値!$A:$A,0),$AL$2)*100,""))</f>
        <v>12.716354645001765</v>
      </c>
      <c r="AG176" s="365">
        <f t="array" ref="AG176">IFERROR((終値!$E$5-INDEX(終値!$E$5:$CZ$5,1,$AL$2))/INDEX(終値!$E$5:$CZ$5,1,$AL$2)*100,"")</f>
        <v>1.0179378228534113</v>
      </c>
      <c r="AH176" s="366">
        <f t="shared" si="42"/>
        <v>11.698416822148353</v>
      </c>
      <c r="AI176" s="364">
        <f t="shared" si="43"/>
        <v>3</v>
      </c>
      <c r="BA176">
        <f>IFERROR((SUM(OFFSET(高値!$E$6,IFERROR(MATCH($C176,銘柄管理!$B$6:$B$305,0),MATCH(TEXT($C176,"0"),銘柄管理!$B$6:$B$305,0))-1,0,1,14))-SUM(OFFSET(安値!$E$6,IFERROR(MATCH($C176,銘柄管理!$B$6:$B$305,0),MATCH(TEXT($C176,"0"),銘柄管理!$B$6:$B$305,0))-1,0,1,14)))/SUM(OFFSET(終値!$E$6,IFERROR(MATCH($C176,銘柄管理!$B$6:$B$305,0),MATCH(TEXT($C176,"0"),銘柄管理!$B$6:$B$305,0))-1,0,1,14))*100,"")</f>
      </c>
      <c r="BB176">
        <f>IFERROR((MAX(OFFSET(高値!$E$6,IFERROR(MATCH($C176,銘柄管理!$B$6:$B$305,0),MATCH(TEXT($C176,"0"),銘柄管理!$B$6:$B$305,0))-1,0,1,25))-MIN(OFFSET(安値!$E$6,IFERROR(MATCH($C176,銘柄管理!$B$6:$B$305,0),MATCH(TEXT($C176,"0"),銘柄管理!$B$6:$B$305,0))-1,0,1,25)))/$E176*100,"")</f>
      </c>
      <c r="BC176">
        <f>IFERROR(($F176-$G176)/$G176*100,"")</f>
      </c>
      <c r="BD176">
        <f>IFERROR(($E176-MAX(OFFSET(高値!$E$6,IFERROR(MATCH($C176,銘柄管理!$B$6:$B$305,0),MATCH(TEXT($C176,"0"),銘柄管理!$B$6:$B$305,0))-1,0,1,25)))/MAX(OFFSET(高値!$E$6,IFERROR(MATCH($C176,銘柄管理!$B$6:$B$305,0),MATCH(TEXT($C176,"0"),銘柄管理!$B$6:$B$305,0))-1,0,1,25))*100,"")</f>
      </c>
      <c r="BE176">
        <f>IFERROR(($H176-$I176)/$F176*100,"")</f>
      </c>
      <c r="BF176">
        <f>IFERROR(-(($BA176-AVERAGE($BA$3:$BA$206))/STDEV($BA$3:$BA$206))-(($BE176-AVERAGE($BE$3:$BE$206))/STDEV($BE$3:$BE$206))-(($BB176-AVERAGE($BB$3:$BB$206))/STDEV($BB$3:$BB$206))-(($Z176-AVERAGE($Z$3:$Z$206))/STDEV($Z$3:$Z$206))-(($BC176-AVERAGE($BC$3:$BC$206))/STDEV($BC$3:$BC$206)),"")</f>
      </c>
      <c r="BG176">
        <f>IF(OR($C176="",$C176="TOPX",$BA176="",$BF176=""),0,IF(AND($BK$10=1,$BA176&lt;=$BK$2,$BB176&lt;=$BK$3,$BC176&lt;=$BK$4,$Z176&lt;=$BK$5,$Z176&gt;=$BK$6,$BD176&gt;=$BK$7,$BE176&lt;=$BK$8),1,0))</f>
      </c>
      <c r="BH176">
        <f>IF($C176="","",IF($BG176=1,"○ゲート通過",IF($BK$10&lt;&gt;1,"― この方向は停止中",IF($BA176&gt;$BK$2,"×値動きが荒い",IF($BB176&gt;$BK$3,"×レンジが広い",IF($BC176&gt;$BK$4,"×窓を開けて上昇",IF($Z176&gt;$BK$5,"×前日に急騰",IF($Z176&lt;$BK$6,"×前日に急落",IF($BD176&lt;$BK$7,"×高値から離れすぎ",IF($BE176&gt;$BK$8,"×当日の値幅が大きい","×")))))))))</f>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 t="shared" si="34"/>
        <v>-35.373537353735372</v>
      </c>
      <c r="M177" s="166">
        <f>IF(C177&lt;&gt;"",IFERROR(AVERAGE(出来高!E159:I159),""),"")</f>
        <v>385740</v>
      </c>
      <c r="N177" s="166">
        <f>IF(C177&lt;&gt;"",IFERROR(AVERAGE(出来高!E159:AC159),""),"")</f>
        <v>221476</v>
      </c>
      <c r="O177" s="168">
        <f t="shared" si="35"/>
        <v>0.54440815056773995</v>
      </c>
      <c r="P177" s="163" t="str">
        <f t="shared" si="36"/>
        <v>減少↓</v>
      </c>
      <c r="Q177" s="163" t="str">
        <f t="shared" si="37"/>
        <v>様子見▼</v>
      </c>
      <c r="R177" s="166">
        <f t="shared" si="44"/>
        <v>7754</v>
      </c>
      <c r="S177" s="166">
        <f t="shared" si="45"/>
        <v>6893</v>
      </c>
      <c r="T177" s="163">
        <f>IF(C177="","",IFERROR(IF(O177&gt;=2,3,IF(O177&gt;=1.5,2,IF(O177&gt;=1,1,0)))+IF(E177&gt;G177,1,0)+IF(L177&gt;=-5,1,0)+IF(Q177="買い▲",2,0)+IF(W177&gt;=78,-4,IF(W177&gt;=72,-2,IF(W177&gt;=55,2,IF(W177&gt;=45,1,0))))+IF(X177&gt;0,1,0)+IF(V177="年初来高値更新●",3,IF(V177="高値圏",2,0))+IF(AD177="パーフェクト▲",3,IF(AD177="上昇トレンド▲",2,0))+IF(AE177="25日線押し目●",2,IF(AE177="5日線押し目○",1,0))+IF(P177="急増↑↑",2,IF(P177="増加↑",1,0))+N(AI177),0))</f>
      </c>
      <c r="U177" s="163" t="str">
        <f t="shared" si="46"/>
        <v>除外</v>
      </c>
      <c r="V177" s="163" t="str">
        <f t="shared" si="39"/>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 t="shared" si="47"/>
        <v>-1.7783857729138166</v>
      </c>
      <c r="AA177" s="163" t="str">
        <f t="shared" si="48"/>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 t="shared" si="49"/>
        <v>パーフェクト▲</v>
      </c>
      <c r="AE177" s="406" t="str">
        <f t="shared" si="50"/>
        <v>なし</v>
      </c>
      <c r="AF177" s="365">
        <f t="array" ref="AF177">IF(C177="","",IFERROR((INDEX(終値!$E:$E,MATCH(TEXT(C177,"0"),終値!$A:$A,0))-INDEX(終値!$E:$CZ,MATCH(TEXT(C177,"0"),終値!$A:$A,0),$AL$2))/INDEX(終値!$E:$CZ,MATCH(TEXT(C177,"0"),終値!$A:$A,0),$AL$2)*100,""))</f>
        <v>-30.291262135922331</v>
      </c>
      <c r="AG177" s="365">
        <f t="array" ref="AG177">IFERROR((終値!$E$5-INDEX(終値!$E$5:$CZ$5,1,$AL$2))/INDEX(終値!$E$5:$CZ$5,1,$AL$2)*100,"")</f>
        <v>1.0179378228534113</v>
      </c>
      <c r="AH177" s="366">
        <f t="shared" si="42"/>
        <v>-31.309199958775743</v>
      </c>
      <c r="AI177" s="364">
        <f t="shared" si="43"/>
        <v>-2</v>
      </c>
      <c r="BA177">
        <f>IFERROR((SUM(OFFSET(高値!$E$6,IFERROR(MATCH($C177,銘柄管理!$B$6:$B$305,0),MATCH(TEXT($C177,"0"),銘柄管理!$B$6:$B$305,0))-1,0,1,14))-SUM(OFFSET(安値!$E$6,IFERROR(MATCH($C177,銘柄管理!$B$6:$B$305,0),MATCH(TEXT($C177,"0"),銘柄管理!$B$6:$B$305,0))-1,0,1,14)))/SUM(OFFSET(終値!$E$6,IFERROR(MATCH($C177,銘柄管理!$B$6:$B$305,0),MATCH(TEXT($C177,"0"),銘柄管理!$B$6:$B$305,0))-1,0,1,14))*100,"")</f>
      </c>
      <c r="BB177">
        <f>IFERROR((MAX(OFFSET(高値!$E$6,IFERROR(MATCH($C177,銘柄管理!$B$6:$B$305,0),MATCH(TEXT($C177,"0"),銘柄管理!$B$6:$B$305,0))-1,0,1,25))-MIN(OFFSET(安値!$E$6,IFERROR(MATCH($C177,銘柄管理!$B$6:$B$305,0),MATCH(TEXT($C177,"0"),銘柄管理!$B$6:$B$305,0))-1,0,1,25)))/$E177*100,"")</f>
      </c>
      <c r="BC177">
        <f>IFERROR(($F177-$G177)/$G177*100,"")</f>
      </c>
      <c r="BD177">
        <f>IFERROR(($E177-MAX(OFFSET(高値!$E$6,IFERROR(MATCH($C177,銘柄管理!$B$6:$B$305,0),MATCH(TEXT($C177,"0"),銘柄管理!$B$6:$B$305,0))-1,0,1,25)))/MAX(OFFSET(高値!$E$6,IFERROR(MATCH($C177,銘柄管理!$B$6:$B$305,0),MATCH(TEXT($C177,"0"),銘柄管理!$B$6:$B$305,0))-1,0,1,25))*100,"")</f>
      </c>
      <c r="BE177">
        <f>IFERROR(($H177-$I177)/$F177*100,"")</f>
      </c>
      <c r="BF177">
        <f>IFERROR(-(($BA177-AVERAGE($BA$3:$BA$206))/STDEV($BA$3:$BA$206))-(($BE177-AVERAGE($BE$3:$BE$206))/STDEV($BE$3:$BE$206))-(($BB177-AVERAGE($BB$3:$BB$206))/STDEV($BB$3:$BB$206))-(($Z177-AVERAGE($Z$3:$Z$206))/STDEV($Z$3:$Z$206))-(($BC177-AVERAGE($BC$3:$BC$206))/STDEV($BC$3:$BC$206)),"")</f>
      </c>
      <c r="BG177">
        <f>IF(OR($C177="",$C177="TOPX",$BA177="",$BF177=""),0,IF(AND($BK$10=1,$BA177&lt;=$BK$2,$BB177&lt;=$BK$3,$BC177&lt;=$BK$4,$Z177&lt;=$BK$5,$Z177&gt;=$BK$6,$BD177&gt;=$BK$7,$BE177&lt;=$BK$8),1,0))</f>
      </c>
      <c r="BH177">
        <f>IF($C177="","",IF($BG177=1,"○ゲート通過",IF($BK$10&lt;&gt;1,"― この方向は停止中",IF($BA177&gt;$BK$2,"×値動きが荒い",IF($BB177&gt;$BK$3,"×レンジが広い",IF($BC177&gt;$BK$4,"×窓を開けて上昇",IF($Z177&gt;$BK$5,"×前日に急騰",IF($Z177&lt;$BK$6,"×前日に急落",IF($BD177&lt;$BK$7,"×高値から離れすぎ",IF($BE177&gt;$BK$8,"×当日の値幅が大きい","×")))))))))</f>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 t="shared" si="34"/>
        <v>-15.32258064516129</v>
      </c>
      <c r="M178" s="166">
        <f>IF(C178&lt;&gt;"",IFERROR(AVERAGE(出来高!E32:I32),""),"")</f>
        <v>1277760</v>
      </c>
      <c r="N178" s="166">
        <f>IF(C178&lt;&gt;"",IFERROR(AVERAGE(出来高!E32:AC32),""),"")</f>
        <v>928488</v>
      </c>
      <c r="O178" s="168">
        <f t="shared" si="35"/>
        <v>1.25313047833709</v>
      </c>
      <c r="P178" s="163" t="str">
        <f t="shared" si="36"/>
        <v>普通→</v>
      </c>
      <c r="Q178" s="163" t="str">
        <f t="shared" si="37"/>
        <v>中立→</v>
      </c>
      <c r="R178" s="166">
        <f t="shared" si="44"/>
        <v>1474</v>
      </c>
      <c r="S178" s="166">
        <f t="shared" si="45"/>
        <v>1310</v>
      </c>
      <c r="T178" s="163">
        <f>IF(C178="","",IFERROR(IF(O178&gt;=2,3,IF(O178&gt;=1.5,2,IF(O178&gt;=1,1,0)))+IF(E178&gt;G178,1,0)+IF(L178&gt;=-5,1,0)+IF(Q178="買い▲",2,0)+IF(W178&gt;=78,-4,IF(W178&gt;=72,-2,IF(W178&gt;=55,2,IF(W178&gt;=45,1,0))))+IF(X178&gt;0,1,0)+IF(V178="年初来高値更新●",3,IF(V178="高値圏",2,0))+IF(AD178="パーフェクト▲",3,IF(AD178="上昇トレンド▲",2,0))+IF(AE178="25日線押し目●",2,IF(AE178="5日線押し目○",1,0))+IF(P178="急増↑↑",2,IF(P178="増加↑",1,0))+N(AI178),0))</f>
      </c>
      <c r="U178" s="163" t="str">
        <f t="shared" si="46"/>
        <v>要確認</v>
      </c>
      <c r="V178" s="163" t="str">
        <f t="shared" si="39"/>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 t="shared" si="47"/>
        <v>4.7582501918649278</v>
      </c>
      <c r="AA178" s="163" t="str">
        <f t="shared" si="48"/>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 t="shared" si="49"/>
        <v>もみ合い→</v>
      </c>
      <c r="AE178" s="404" t="str">
        <f t="shared" si="50"/>
        <v>なし</v>
      </c>
      <c r="AF178" s="365">
        <f t="array" ref="AF178">IF(C178="","",IFERROR((INDEX(終値!$E:$E,MATCH(TEXT(C178,"0"),終値!$A:$A,0))-INDEX(終値!$E:$CZ,MATCH(TEXT(C178,"0"),終値!$A:$A,0),$AL$2))/INDEX(終値!$E:$CZ,MATCH(TEXT(C178,"0"),終値!$A:$A,0),$AL$2)*100,""))</f>
        <v>5.2428681572860443</v>
      </c>
      <c r="AG178" s="365">
        <f t="array" ref="AG178">IFERROR((終値!$E$5-INDEX(終値!$E$5:$CZ$5,1,$AL$2))/INDEX(終値!$E$5:$CZ$5,1,$AL$2)*100,"")</f>
        <v>1.0179378228534113</v>
      </c>
      <c r="AH178" s="366">
        <f t="shared" si="42"/>
        <v>4.2249303344326332</v>
      </c>
      <c r="AI178" s="364">
        <f t="shared" si="43"/>
        <v>1</v>
      </c>
      <c r="BA178">
        <f>IFERROR((SUM(OFFSET(高値!$E$6,IFERROR(MATCH($C178,銘柄管理!$B$6:$B$305,0),MATCH(TEXT($C178,"0"),銘柄管理!$B$6:$B$305,0))-1,0,1,14))-SUM(OFFSET(安値!$E$6,IFERROR(MATCH($C178,銘柄管理!$B$6:$B$305,0),MATCH(TEXT($C178,"0"),銘柄管理!$B$6:$B$305,0))-1,0,1,14)))/SUM(OFFSET(終値!$E$6,IFERROR(MATCH($C178,銘柄管理!$B$6:$B$305,0),MATCH(TEXT($C178,"0"),銘柄管理!$B$6:$B$305,0))-1,0,1,14))*100,"")</f>
      </c>
      <c r="BB178">
        <f>IFERROR((MAX(OFFSET(高値!$E$6,IFERROR(MATCH($C178,銘柄管理!$B$6:$B$305,0),MATCH(TEXT($C178,"0"),銘柄管理!$B$6:$B$305,0))-1,0,1,25))-MIN(OFFSET(安値!$E$6,IFERROR(MATCH($C178,銘柄管理!$B$6:$B$305,0),MATCH(TEXT($C178,"0"),銘柄管理!$B$6:$B$305,0))-1,0,1,25)))/$E178*100,"")</f>
      </c>
      <c r="BC178">
        <f>IFERROR(($F178-$G178)/$G178*100,"")</f>
      </c>
      <c r="BD178">
        <f>IFERROR(($E178-MAX(OFFSET(高値!$E$6,IFERROR(MATCH($C178,銘柄管理!$B$6:$B$305,0),MATCH(TEXT($C178,"0"),銘柄管理!$B$6:$B$305,0))-1,0,1,25)))/MAX(OFFSET(高値!$E$6,IFERROR(MATCH($C178,銘柄管理!$B$6:$B$305,0),MATCH(TEXT($C178,"0"),銘柄管理!$B$6:$B$305,0))-1,0,1,25))*100,"")</f>
      </c>
      <c r="BE178">
        <f>IFERROR(($H178-$I178)/$F178*100,"")</f>
      </c>
      <c r="BF178">
        <f>IFERROR(-(($BA178-AVERAGE($BA$3:$BA$206))/STDEV($BA$3:$BA$206))-(($BE178-AVERAGE($BE$3:$BE$206))/STDEV($BE$3:$BE$206))-(($BB178-AVERAGE($BB$3:$BB$206))/STDEV($BB$3:$BB$206))-(($Z178-AVERAGE($Z$3:$Z$206))/STDEV($Z$3:$Z$206))-(($BC178-AVERAGE($BC$3:$BC$206))/STDEV($BC$3:$BC$206)),"")</f>
      </c>
      <c r="BG178">
        <f>IF(OR($C178="",$C178="TOPX",$BA178="",$BF178=""),0,IF(AND($BK$10=1,$BA178&lt;=$BK$2,$BB178&lt;=$BK$3,$BC178&lt;=$BK$4,$Z178&lt;=$BK$5,$Z178&gt;=$BK$6,$BD178&gt;=$BK$7,$BE178&lt;=$BK$8),1,0))</f>
      </c>
      <c r="BH178">
        <f>IF($C178="","",IF($BG178=1,"○ゲート通過",IF($BK$10&lt;&gt;1,"― この方向は停止中",IF($BA178&gt;$BK$2,"×値動きが荒い",IF($BB178&gt;$BK$3,"×レンジが広い",IF($BC178&gt;$BK$4,"×窓を開けて上昇",IF($Z178&gt;$BK$5,"×前日に急騰",IF($Z178&lt;$BK$6,"×前日に急落",IF($BD178&lt;$BK$7,"×高値から離れすぎ",IF($BE178&gt;$BK$8,"×当日の値幅が大きい","×")))))))))</f>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 t="shared" si="34"/>
        <v>-11.799737559301512</v>
      </c>
      <c r="M179" s="166">
        <f>IF(C179&lt;&gt;"",IFERROR(AVERAGE(出来高!E41:I41),""),"")</f>
        <v>5639660</v>
      </c>
      <c r="N179" s="166">
        <f>IF(C179&lt;&gt;"",IFERROR(AVERAGE(出来高!E41:AC41),""),"")</f>
        <v>3777408</v>
      </c>
      <c r="O179" s="168">
        <f t="shared" si="35"/>
        <v>0.80162633917647519</v>
      </c>
      <c r="P179" s="163" t="str">
        <f t="shared" si="36"/>
        <v>減少↓</v>
      </c>
      <c r="Q179" s="163" t="str">
        <f t="shared" si="37"/>
        <v>中立→</v>
      </c>
      <c r="R179" s="166">
        <f t="shared" si="44"/>
        <v>944</v>
      </c>
      <c r="S179" s="166">
        <f t="shared" si="45"/>
        <v>839</v>
      </c>
      <c r="T179" s="163">
        <f>IF(C179="","",IFERROR(IF(O179&gt;=2,3,IF(O179&gt;=1.5,2,IF(O179&gt;=1,1,0)))+IF(E179&gt;G179,1,0)+IF(L179&gt;=-5,1,0)+IF(Q179="買い▲",2,0)+IF(W179&gt;=78,-4,IF(W179&gt;=72,-2,IF(W179&gt;=55,2,IF(W179&gt;=45,1,0))))+IF(X179&gt;0,1,0)+IF(V179="年初来高値更新●",3,IF(V179="高値圏",2,0))+IF(AD179="パーフェクト▲",3,IF(AD179="上昇トレンド▲",2,0))+IF(AE179="25日線押し目●",2,IF(AE179="5日線押し目○",1,0))+IF(P179="急増↑↑",2,IF(P179="増加↑",1,0))+N(AI179),0))</f>
      </c>
      <c r="U179" s="163" t="str">
        <f t="shared" si="46"/>
        <v>要確認</v>
      </c>
      <c r="V179" s="163" t="str">
        <f t="shared" si="39"/>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 t="shared" si="47"/>
        <v>2.5225859439164613</v>
      </c>
      <c r="AA179" s="163" t="str">
        <f t="shared" si="48"/>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 t="shared" si="49"/>
        <v>下降トレンド▼</v>
      </c>
      <c r="AE179" s="406" t="str">
        <f t="shared" si="50"/>
        <v>なし</v>
      </c>
      <c r="AF179" s="365">
        <f t="array" ref="AF179">IF(C179="","",IFERROR((INDEX(終値!$E:$E,MATCH(TEXT(C179,"0"),終値!$A:$A,0))-INDEX(終値!$E:$CZ,MATCH(TEXT(C179,"0"),終値!$A:$A,0),$AL$2))/INDEX(終値!$E:$CZ,MATCH(TEXT(C179,"0"),終値!$A:$A,0),$AL$2)*100,""))</f>
        <v>9.9672791341555413</v>
      </c>
      <c r="AG179" s="365">
        <f t="array" ref="AG179">IFERROR((終値!$E$5-INDEX(終値!$E$5:$CZ$5,1,$AL$2))/INDEX(終値!$E$5:$CZ$5,1,$AL$2)*100,"")</f>
        <v>1.0179378228534113</v>
      </c>
      <c r="AH179" s="366">
        <f t="shared" si="42"/>
        <v>8.9493413113021294</v>
      </c>
      <c r="AI179" s="364">
        <f t="shared" si="43"/>
        <v>3</v>
      </c>
      <c r="BA179">
        <f>IFERROR((SUM(OFFSET(高値!$E$6,IFERROR(MATCH($C179,銘柄管理!$B$6:$B$305,0),MATCH(TEXT($C179,"0"),銘柄管理!$B$6:$B$305,0))-1,0,1,14))-SUM(OFFSET(安値!$E$6,IFERROR(MATCH($C179,銘柄管理!$B$6:$B$305,0),MATCH(TEXT($C179,"0"),銘柄管理!$B$6:$B$305,0))-1,0,1,14)))/SUM(OFFSET(終値!$E$6,IFERROR(MATCH($C179,銘柄管理!$B$6:$B$305,0),MATCH(TEXT($C179,"0"),銘柄管理!$B$6:$B$305,0))-1,0,1,14))*100,"")</f>
      </c>
      <c r="BB179">
        <f>IFERROR((MAX(OFFSET(高値!$E$6,IFERROR(MATCH($C179,銘柄管理!$B$6:$B$305,0),MATCH(TEXT($C179,"0"),銘柄管理!$B$6:$B$305,0))-1,0,1,25))-MIN(OFFSET(安値!$E$6,IFERROR(MATCH($C179,銘柄管理!$B$6:$B$305,0),MATCH(TEXT($C179,"0"),銘柄管理!$B$6:$B$305,0))-1,0,1,25)))/$E179*100,"")</f>
      </c>
      <c r="BC179">
        <f>IFERROR(($F179-$G179)/$G179*100,"")</f>
      </c>
      <c r="BD179">
        <f>IFERROR(($E179-MAX(OFFSET(高値!$E$6,IFERROR(MATCH($C179,銘柄管理!$B$6:$B$305,0),MATCH(TEXT($C179,"0"),銘柄管理!$B$6:$B$305,0))-1,0,1,25)))/MAX(OFFSET(高値!$E$6,IFERROR(MATCH($C179,銘柄管理!$B$6:$B$305,0),MATCH(TEXT($C179,"0"),銘柄管理!$B$6:$B$305,0))-1,0,1,25))*100,"")</f>
      </c>
      <c r="BE179">
        <f>IFERROR(($H179-$I179)/$F179*100,"")</f>
      </c>
      <c r="BF179">
        <f>IFERROR(-(($BA179-AVERAGE($BA$3:$BA$206))/STDEV($BA$3:$BA$206))-(($BE179-AVERAGE($BE$3:$BE$206))/STDEV($BE$3:$BE$206))-(($BB179-AVERAGE($BB$3:$BB$206))/STDEV($BB$3:$BB$206))-(($Z179-AVERAGE($Z$3:$Z$206))/STDEV($Z$3:$Z$206))-(($BC179-AVERAGE($BC$3:$BC$206))/STDEV($BC$3:$BC$206)),"")</f>
      </c>
      <c r="BG179">
        <f>IF(OR($C179="",$C179="TOPX",$BA179="",$BF179=""),0,IF(AND($BK$10=1,$BA179&lt;=$BK$2,$BB179&lt;=$BK$3,$BC179&lt;=$BK$4,$Z179&lt;=$BK$5,$Z179&gt;=$BK$6,$BD179&gt;=$BK$7,$BE179&lt;=$BK$8),1,0))</f>
      </c>
      <c r="BH179">
        <f>IF($C179="","",IF($BG179=1,"○ゲート通過",IF($BK$10&lt;&gt;1,"― この方向は停止中",IF($BA179&gt;$BK$2,"×値動きが荒い",IF($BB179&gt;$BK$3,"×レンジが広い",IF($BC179&gt;$BK$4,"×窓を開けて上昇",IF($Z179&gt;$BK$5,"×前日に急騰",IF($Z179&lt;$BK$6,"×前日に急落",IF($BD179&lt;$BK$7,"×高値から離れすぎ",IF($BE179&gt;$BK$8,"×当日の値幅が大きい","×")))))))))</f>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 t="shared" si="34"/>
        <v>-16.50961176027139</v>
      </c>
      <c r="M180" s="166">
        <f>IF(C180&lt;&gt;"",IFERROR(AVERAGE(出来高!E71:I71),""),"")</f>
        <v>78980</v>
      </c>
      <c r="N180" s="166">
        <f>IF(C180&lt;&gt;"",IFERROR(AVERAGE(出来高!E71:AC71),""),"")</f>
        <v>92764</v>
      </c>
      <c r="O180" s="168">
        <f t="shared" si="35"/>
        <v>0.8166624461889086</v>
      </c>
      <c r="P180" s="163" t="str">
        <f t="shared" si="36"/>
        <v>減少↓</v>
      </c>
      <c r="Q180" s="163" t="str">
        <f t="shared" si="37"/>
        <v>中立→</v>
      </c>
      <c r="R180" s="166">
        <f t="shared" si="44"/>
        <v>2392</v>
      </c>
      <c r="S180" s="166">
        <f t="shared" si="45"/>
        <v>2126</v>
      </c>
      <c r="T180" s="163">
        <f>IF(C180="","",IFERROR(IF(O180&gt;=2,3,IF(O180&gt;=1.5,2,IF(O180&gt;=1,1,0)))+IF(E180&gt;G180,1,0)+IF(L180&gt;=-5,1,0)+IF(Q180="買い▲",2,0)+IF(W180&gt;=78,-4,IF(W180&gt;=72,-2,IF(W180&gt;=55,2,IF(W180&gt;=45,1,0))))+IF(X180&gt;0,1,0)+IF(V180="年初来高値更新●",3,IF(V180="高値圏",2,0))+IF(AD180="パーフェクト▲",3,IF(AD180="上昇トレンド▲",2,0))+IF(AE180="25日線押し目●",2,IF(AE180="5日線押し目○",1,0))+IF(P180="急増↑↑",2,IF(P180="増加↑",1,0))+N(AI180),0))</f>
      </c>
      <c r="U180" s="163" t="str">
        <f t="shared" si="46"/>
        <v>要確認</v>
      </c>
      <c r="V180" s="163" t="str">
        <f t="shared" si="39"/>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 t="shared" si="47"/>
        <v>0.77343039126478619</v>
      </c>
      <c r="AA180" s="163" t="str">
        <f t="shared" si="48"/>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 t="shared" si="49"/>
        <v>もみ合い→</v>
      </c>
      <c r="AE180" s="404" t="str">
        <f t="shared" si="50"/>
        <v>なし</v>
      </c>
      <c r="AF180" s="365">
        <f t="array" ref="AF180">IF(C180="","",IFERROR((INDEX(終値!$E:$E,MATCH(TEXT(C180,"0"),終値!$A:$A,0))-INDEX(終値!$E:$CZ,MATCH(TEXT(C180,"0"),終値!$A:$A,0),$AL$2))/INDEX(終値!$E:$CZ,MATCH(TEXT(C180,"0"),終値!$A:$A,0),$AL$2)*100,""))</f>
        <v>-0.44943820224719105</v>
      </c>
      <c r="AG180" s="365">
        <f t="array" ref="AG180">IFERROR((終値!$E$5-INDEX(終値!$E$5:$CZ$5,1,$AL$2))/INDEX(終値!$E$5:$CZ$5,1,$AL$2)*100,"")</f>
        <v>1.0179378228534113</v>
      </c>
      <c r="AH180" s="366">
        <f t="shared" si="42"/>
        <v>-1.4673760251006023</v>
      </c>
      <c r="AI180" s="364">
        <f t="shared" si="43"/>
        <v>-1</v>
      </c>
      <c r="BA180">
        <f>IFERROR((SUM(OFFSET(高値!$E$6,IFERROR(MATCH($C180,銘柄管理!$B$6:$B$305,0),MATCH(TEXT($C180,"0"),銘柄管理!$B$6:$B$305,0))-1,0,1,14))-SUM(OFFSET(安値!$E$6,IFERROR(MATCH($C180,銘柄管理!$B$6:$B$305,0),MATCH(TEXT($C180,"0"),銘柄管理!$B$6:$B$305,0))-1,0,1,14)))/SUM(OFFSET(終値!$E$6,IFERROR(MATCH($C180,銘柄管理!$B$6:$B$305,0),MATCH(TEXT($C180,"0"),銘柄管理!$B$6:$B$305,0))-1,0,1,14))*100,"")</f>
      </c>
      <c r="BB180">
        <f>IFERROR((MAX(OFFSET(高値!$E$6,IFERROR(MATCH($C180,銘柄管理!$B$6:$B$305,0),MATCH(TEXT($C180,"0"),銘柄管理!$B$6:$B$305,0))-1,0,1,25))-MIN(OFFSET(安値!$E$6,IFERROR(MATCH($C180,銘柄管理!$B$6:$B$305,0),MATCH(TEXT($C180,"0"),銘柄管理!$B$6:$B$305,0))-1,0,1,25)))/$E180*100,"")</f>
      </c>
      <c r="BC180">
        <f>IFERROR(($F180-$G180)/$G180*100,"")</f>
      </c>
      <c r="BD180">
        <f>IFERROR(($E180-MAX(OFFSET(高値!$E$6,IFERROR(MATCH($C180,銘柄管理!$B$6:$B$305,0),MATCH(TEXT($C180,"0"),銘柄管理!$B$6:$B$305,0))-1,0,1,25)))/MAX(OFFSET(高値!$E$6,IFERROR(MATCH($C180,銘柄管理!$B$6:$B$305,0),MATCH(TEXT($C180,"0"),銘柄管理!$B$6:$B$305,0))-1,0,1,25))*100,"")</f>
      </c>
      <c r="BE180">
        <f>IFERROR(($H180-$I180)/$F180*100,"")</f>
      </c>
      <c r="BF180">
        <f>IFERROR(-(($BA180-AVERAGE($BA$3:$BA$206))/STDEV($BA$3:$BA$206))-(($BE180-AVERAGE($BE$3:$BE$206))/STDEV($BE$3:$BE$206))-(($BB180-AVERAGE($BB$3:$BB$206))/STDEV($BB$3:$BB$206))-(($Z180-AVERAGE($Z$3:$Z$206))/STDEV($Z$3:$Z$206))-(($BC180-AVERAGE($BC$3:$BC$206))/STDEV($BC$3:$BC$206)),"")</f>
      </c>
      <c r="BG180">
        <f>IF(OR($C180="",$C180="TOPX",$BA180="",$BF180=""),0,IF(AND($BK$10=1,$BA180&lt;=$BK$2,$BB180&lt;=$BK$3,$BC180&lt;=$BK$4,$Z180&lt;=$BK$5,$Z180&gt;=$BK$6,$BD180&gt;=$BK$7,$BE180&lt;=$BK$8),1,0))</f>
      </c>
      <c r="BH180">
        <f>IF($C180="","",IF($BG180=1,"○ゲート通過",IF($BK$10&lt;&gt;1,"― この方向は停止中",IF($BA180&gt;$BK$2,"×値動きが荒い",IF($BB180&gt;$BK$3,"×レンジが広い",IF($BC180&gt;$BK$4,"×窓を開けて上昇",IF($Z180&gt;$BK$5,"×前日に急騰",IF($Z180&lt;$BK$6,"×前日に急落",IF($BD180&lt;$BK$7,"×高値から離れすぎ",IF($BE180&gt;$BK$8,"×当日の値幅が大きい","×")))))))))</f>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 t="shared" si="34"/>
        <v>-40.326654318908908</v>
      </c>
      <c r="M181" s="166">
        <f>IF(C181&lt;&gt;"",IFERROR(AVERAGE(出来高!E28:I28),""),"")</f>
        <v>7844320</v>
      </c>
      <c r="N181" s="166">
        <f>IF(C181&lt;&gt;"",IFERROR(AVERAGE(出来高!E28:AC28),""),"")</f>
        <v>4646040</v>
      </c>
      <c r="O181" s="168">
        <f t="shared" si="35"/>
        <v>1.9713499704244599</v>
      </c>
      <c r="P181" s="163" t="str">
        <f t="shared" si="36"/>
        <v>増加↑</v>
      </c>
      <c r="Q181" s="163" t="str">
        <f t="shared" si="37"/>
        <v>様子見▼</v>
      </c>
      <c r="R181" s="166">
        <f t="shared" si="44"/>
        <v>3828</v>
      </c>
      <c r="S181" s="166">
        <f t="shared" si="45"/>
        <v>3402</v>
      </c>
      <c r="T181" s="163">
        <f>IF(C181="","",IFERROR(IF(O181&gt;=2,3,IF(O181&gt;=1.5,2,IF(O181&gt;=1,1,0)))+IF(E181&gt;G181,1,0)+IF(L181&gt;=-5,1,0)+IF(Q181="買い▲",2,0)+IF(W181&gt;=78,-4,IF(W181&gt;=72,-2,IF(W181&gt;=55,2,IF(W181&gt;=45,1,0))))+IF(X181&gt;0,1,0)+IF(V181="年初来高値更新●",3,IF(V181="高値圏",2,0))+IF(AD181="パーフェクト▲",3,IF(AD181="上昇トレンド▲",2,0))+IF(AE181="25日線押し目●",2,IF(AE181="5日線押し目○",1,0))+IF(P181="急増↑↑",2,IF(P181="増加↑",1,0))+N(AI181),0))</f>
      </c>
      <c r="U181" s="163" t="str">
        <f t="shared" si="46"/>
        <v>有効</v>
      </c>
      <c r="V181" s="163" t="str">
        <f t="shared" si="39"/>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 t="shared" si="47"/>
        <v>-5.6443024494142708</v>
      </c>
      <c r="AA181" s="163" t="str">
        <f t="shared" si="48"/>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 t="shared" si="49"/>
        <v>もみ合い→</v>
      </c>
      <c r="AE181" s="406" t="str">
        <f t="shared" si="50"/>
        <v>なし</v>
      </c>
      <c r="AF181" s="365">
        <f t="array" ref="AF181">IF(C181="","",IFERROR((INDEX(終値!$E:$E,MATCH(TEXT(C181,"0"),終値!$A:$A,0))-INDEX(終値!$E:$CZ,MATCH(TEXT(C181,"0"),終値!$A:$A,0),$AL$2))/INDEX(終値!$E:$CZ,MATCH(TEXT(C181,"0"),終値!$A:$A,0),$AL$2)*100,""))</f>
        <v>-42.829488627197939</v>
      </c>
      <c r="AG181" s="365">
        <f t="array" ref="AG181">IFERROR((終値!$E$5-INDEX(終値!$E$5:$CZ$5,1,$AL$2))/INDEX(終値!$E$5:$CZ$5,1,$AL$2)*100,"")</f>
        <v>1.0179378228534113</v>
      </c>
      <c r="AH181" s="366">
        <f t="shared" si="42"/>
        <v>-43.847426450051351</v>
      </c>
      <c r="AI181" s="364">
        <f t="shared" si="43"/>
        <v>-2</v>
      </c>
      <c r="BA181">
        <f>IFERROR((SUM(OFFSET(高値!$E$6,IFERROR(MATCH($C181,銘柄管理!$B$6:$B$305,0),MATCH(TEXT($C181,"0"),銘柄管理!$B$6:$B$305,0))-1,0,1,14))-SUM(OFFSET(安値!$E$6,IFERROR(MATCH($C181,銘柄管理!$B$6:$B$305,0),MATCH(TEXT($C181,"0"),銘柄管理!$B$6:$B$305,0))-1,0,1,14)))/SUM(OFFSET(終値!$E$6,IFERROR(MATCH($C181,銘柄管理!$B$6:$B$305,0),MATCH(TEXT($C181,"0"),銘柄管理!$B$6:$B$305,0))-1,0,1,14))*100,"")</f>
      </c>
      <c r="BB181">
        <f>IFERROR((MAX(OFFSET(高値!$E$6,IFERROR(MATCH($C181,銘柄管理!$B$6:$B$305,0),MATCH(TEXT($C181,"0"),銘柄管理!$B$6:$B$305,0))-1,0,1,25))-MIN(OFFSET(安値!$E$6,IFERROR(MATCH($C181,銘柄管理!$B$6:$B$305,0),MATCH(TEXT($C181,"0"),銘柄管理!$B$6:$B$305,0))-1,0,1,25)))/$E181*100,"")</f>
      </c>
      <c r="BC181">
        <f>IFERROR(($F181-$G181)/$G181*100,"")</f>
      </c>
      <c r="BD181">
        <f>IFERROR(($E181-MAX(OFFSET(高値!$E$6,IFERROR(MATCH($C181,銘柄管理!$B$6:$B$305,0),MATCH(TEXT($C181,"0"),銘柄管理!$B$6:$B$305,0))-1,0,1,25)))/MAX(OFFSET(高値!$E$6,IFERROR(MATCH($C181,銘柄管理!$B$6:$B$305,0),MATCH(TEXT($C181,"0"),銘柄管理!$B$6:$B$305,0))-1,0,1,25))*100,"")</f>
      </c>
      <c r="BE181">
        <f>IFERROR(($H181-$I181)/$F181*100,"")</f>
      </c>
      <c r="BF181">
        <f>IFERROR(-(($BA181-AVERAGE($BA$3:$BA$206))/STDEV($BA$3:$BA$206))-(($BE181-AVERAGE($BE$3:$BE$206))/STDEV($BE$3:$BE$206))-(($BB181-AVERAGE($BB$3:$BB$206))/STDEV($BB$3:$BB$206))-(($Z181-AVERAGE($Z$3:$Z$206))/STDEV($Z$3:$Z$206))-(($BC181-AVERAGE($BC$3:$BC$206))/STDEV($BC$3:$BC$206)),"")</f>
      </c>
      <c r="BG181">
        <f>IF(OR($C181="",$C181="TOPX",$BA181="",$BF181=""),0,IF(AND($BK$10=1,$BA181&lt;=$BK$2,$BB181&lt;=$BK$3,$BC181&lt;=$BK$4,$Z181&lt;=$BK$5,$Z181&gt;=$BK$6,$BD181&gt;=$BK$7,$BE181&lt;=$BK$8),1,0))</f>
      </c>
      <c r="BH181">
        <f>IF($C181="","",IF($BG181=1,"○ゲート通過",IF($BK$10&lt;&gt;1,"― この方向は停止中",IF($BA181&gt;$BK$2,"×値動きが荒い",IF($BB181&gt;$BK$3,"×レンジが広い",IF($BC181&gt;$BK$4,"×窓を開けて上昇",IF($Z181&gt;$BK$5,"×前日に急騰",IF($Z181&lt;$BK$6,"×前日に急落",IF($BD181&lt;$BK$7,"×高値から離れすぎ",IF($BE181&gt;$BK$8,"×当日の値幅が大きい","×")))))))))</f>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 t="shared" si="34"/>
        <v>-12.591815320041972</v>
      </c>
      <c r="M182" s="166">
        <f>IF(C182&lt;&gt;"",IFERROR(AVERAGE(出来高!E94:I94),""),"")</f>
        <v>10733700</v>
      </c>
      <c r="N182" s="166">
        <f>IF(C182&lt;&gt;"",IFERROR(AVERAGE(出来高!E94:AC94),""),"")</f>
        <v>5775072</v>
      </c>
      <c r="O182" s="168">
        <f t="shared" si="35"/>
        <v>0.60344522392092192</v>
      </c>
      <c r="P182" s="163" t="str">
        <f t="shared" si="36"/>
        <v>減少↓</v>
      </c>
      <c r="Q182" s="163" t="str">
        <f t="shared" si="37"/>
        <v>中立→</v>
      </c>
      <c r="R182" s="166">
        <f t="shared" si="44"/>
        <v>1799</v>
      </c>
      <c r="S182" s="166">
        <f t="shared" si="45"/>
        <v>1599</v>
      </c>
      <c r="T182" s="163">
        <f>IF(C182="","",IFERROR(IF(O182&gt;=2,3,IF(O182&gt;=1.5,2,IF(O182&gt;=1,1,0)))+IF(E182&gt;G182,1,0)+IF(L182&gt;=-5,1,0)+IF(Q182="買い▲",2,0)+IF(W182&gt;=78,-4,IF(W182&gt;=72,-2,IF(W182&gt;=55,2,IF(W182&gt;=45,1,0))))+IF(X182&gt;0,1,0)+IF(V182="年初来高値更新●",3,IF(V182="高値圏",2,0))+IF(AD182="パーフェクト▲",3,IF(AD182="上昇トレンド▲",2,0))+IF(AE182="25日線押し目●",2,IF(AE182="5日線押し目○",1,0))+IF(P182="急増↑↑",2,IF(P182="増加↑",1,0))+N(AI182),0))</f>
      </c>
      <c r="U182" s="163" t="str">
        <f t="shared" si="46"/>
        <v>除外</v>
      </c>
      <c r="V182" s="163" t="str">
        <f t="shared" si="39"/>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 t="shared" si="47"/>
        <v>1.8960244648318043</v>
      </c>
      <c r="AA182" s="163" t="str">
        <f t="shared" si="48"/>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 t="shared" si="49"/>
        <v>もみ合い→</v>
      </c>
      <c r="AE182" s="404" t="str">
        <f t="shared" si="50"/>
        <v>なし</v>
      </c>
      <c r="AF182" s="365">
        <f t="array" ref="AF182">IF(C182="","",IFERROR((INDEX(終値!$E:$E,MATCH(TEXT(C182,"0"),終値!$A:$A,0))-INDEX(終値!$E:$CZ,MATCH(TEXT(C182,"0"),終値!$A:$A,0),$AL$2))/INDEX(終値!$E:$CZ,MATCH(TEXT(C182,"0"),終値!$A:$A,0),$AL$2)*100,""))</f>
        <v>-6.5357643758765782</v>
      </c>
      <c r="AG182" s="365">
        <f t="array" ref="AG182">IFERROR((終値!$E$5-INDEX(終値!$E$5:$CZ$5,1,$AL$2))/INDEX(終値!$E$5:$CZ$5,1,$AL$2)*100,"")</f>
        <v>1.0179378228534113</v>
      </c>
      <c r="AH182" s="366">
        <f t="shared" si="42"/>
        <v>-7.5537021987299893</v>
      </c>
      <c r="AI182" s="364">
        <f t="shared" si="43"/>
        <v>-2</v>
      </c>
      <c r="BA182">
        <f>IFERROR((SUM(OFFSET(高値!$E$6,IFERROR(MATCH($C182,銘柄管理!$B$6:$B$305,0),MATCH(TEXT($C182,"0"),銘柄管理!$B$6:$B$305,0))-1,0,1,14))-SUM(OFFSET(安値!$E$6,IFERROR(MATCH($C182,銘柄管理!$B$6:$B$305,0),MATCH(TEXT($C182,"0"),銘柄管理!$B$6:$B$305,0))-1,0,1,14)))/SUM(OFFSET(終値!$E$6,IFERROR(MATCH($C182,銘柄管理!$B$6:$B$305,0),MATCH(TEXT($C182,"0"),銘柄管理!$B$6:$B$305,0))-1,0,1,14))*100,"")</f>
      </c>
      <c r="BB182">
        <f>IFERROR((MAX(OFFSET(高値!$E$6,IFERROR(MATCH($C182,銘柄管理!$B$6:$B$305,0),MATCH(TEXT($C182,"0"),銘柄管理!$B$6:$B$305,0))-1,0,1,25))-MIN(OFFSET(安値!$E$6,IFERROR(MATCH($C182,銘柄管理!$B$6:$B$305,0),MATCH(TEXT($C182,"0"),銘柄管理!$B$6:$B$305,0))-1,0,1,25)))/$E182*100,"")</f>
      </c>
      <c r="BC182">
        <f>IFERROR(($F182-$G182)/$G182*100,"")</f>
      </c>
      <c r="BD182">
        <f>IFERROR(($E182-MAX(OFFSET(高値!$E$6,IFERROR(MATCH($C182,銘柄管理!$B$6:$B$305,0),MATCH(TEXT($C182,"0"),銘柄管理!$B$6:$B$305,0))-1,0,1,25)))/MAX(OFFSET(高値!$E$6,IFERROR(MATCH($C182,銘柄管理!$B$6:$B$305,0),MATCH(TEXT($C182,"0"),銘柄管理!$B$6:$B$305,0))-1,0,1,25))*100,"")</f>
      </c>
      <c r="BE182">
        <f>IFERROR(($H182-$I182)/$F182*100,"")</f>
      </c>
      <c r="BF182">
        <f>IFERROR(-(($BA182-AVERAGE($BA$3:$BA$206))/STDEV($BA$3:$BA$206))-(($BE182-AVERAGE($BE$3:$BE$206))/STDEV($BE$3:$BE$206))-(($BB182-AVERAGE($BB$3:$BB$206))/STDEV($BB$3:$BB$206))-(($Z182-AVERAGE($Z$3:$Z$206))/STDEV($Z$3:$Z$206))-(($BC182-AVERAGE($BC$3:$BC$206))/STDEV($BC$3:$BC$206)),"")</f>
      </c>
      <c r="BG182">
        <f>IF(OR($C182="",$C182="TOPX",$BA182="",$BF182=""),0,IF(AND($BK$10=1,$BA182&lt;=$BK$2,$BB182&lt;=$BK$3,$BC182&lt;=$BK$4,$Z182&lt;=$BK$5,$Z182&gt;=$BK$6,$BD182&gt;=$BK$7,$BE182&lt;=$BK$8),1,0))</f>
      </c>
      <c r="BH182">
        <f>IF($C182="","",IF($BG182=1,"○ゲート通過",IF($BK$10&lt;&gt;1,"― この方向は停止中",IF($BA182&gt;$BK$2,"×値動きが荒い",IF($BB182&gt;$BK$3,"×レンジが広い",IF($BC182&gt;$BK$4,"×窓を開けて上昇",IF($Z182&gt;$BK$5,"×前日に急騰",IF($Z182&lt;$BK$6,"×前日に急落",IF($BD182&lt;$BK$7,"×高値から離れすぎ",IF($BE182&gt;$BK$8,"×当日の値幅が大きい","×")))))))))</f>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 t="shared" si="34"/>
        <v>-3.989656446250462</v>
      </c>
      <c r="M183" s="166">
        <f>IF(C183&lt;&gt;"",IFERROR(AVERAGE(出来高!E44:I44),""),"")</f>
        <v>7492260</v>
      </c>
      <c r="N183" s="166">
        <f>IF(C183&lt;&gt;"",IFERROR(AVERAGE(出来高!E44:AC44),""),"")</f>
        <v>4926844</v>
      </c>
      <c r="O183" s="168">
        <f t="shared" si="35"/>
        <v>2.4110482017442001</v>
      </c>
      <c r="P183" s="163" t="str">
        <f t="shared" si="36"/>
        <v>急増↑↑</v>
      </c>
      <c r="Q183" s="163" t="str">
        <f t="shared" si="37"/>
        <v>買い▲</v>
      </c>
      <c r="R183" s="166">
        <f t="shared" si="44"/>
        <v>1403</v>
      </c>
      <c r="S183" s="166">
        <f t="shared" si="45"/>
        <v>1248</v>
      </c>
      <c r="T183" s="163">
        <f>IF(C183="","",IFERROR(IF(O183&gt;=2,3,IF(O183&gt;=1.5,2,IF(O183&gt;=1,1,0)))+IF(E183&gt;G183,1,0)+IF(L183&gt;=-5,1,0)+IF(Q183="買い▲",2,0)+IF(W183&gt;=78,-4,IF(W183&gt;=72,-2,IF(W183&gt;=55,2,IF(W183&gt;=45,1,0))))+IF(X183&gt;0,1,0)+IF(V183="年初来高値更新●",3,IF(V183="高値圏",2,0))+IF(AD183="パーフェクト▲",3,IF(AD183="上昇トレンド▲",2,0))+IF(AE183="25日線押し目●",2,IF(AE183="5日線押し目○",1,0))+IF(P183="急増↑↑",2,IF(P183="増加↑",1,0))+N(AI183),0))</f>
      </c>
      <c r="U183" s="163" t="str">
        <f t="shared" si="46"/>
        <v>有効</v>
      </c>
      <c r="V183" s="163" t="str">
        <f t="shared" si="39"/>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 t="shared" si="47"/>
        <v>9.3395035759360532</v>
      </c>
      <c r="AA183" s="163" t="str">
        <f t="shared" si="48"/>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 t="shared" si="49"/>
        <v>もみ合い→</v>
      </c>
      <c r="AE183" s="406" t="str">
        <f t="shared" si="50"/>
        <v>なし</v>
      </c>
      <c r="AF183" s="365">
        <f t="array" ref="AF183">IF(C183="","",IFERROR((INDEX(終値!$E:$E,MATCH(TEXT(C183,"0"),終値!$A:$A,0))-INDEX(終値!$E:$CZ,MATCH(TEXT(C183,"0"),終値!$A:$A,0),$AL$2))/INDEX(終値!$E:$CZ,MATCH(TEXT(C183,"0"),終値!$A:$A,0),$AL$2)*100,""))</f>
        <v>15.511111111111111</v>
      </c>
      <c r="AG183" s="365">
        <f t="array" ref="AG183">IFERROR((終値!$E$5-INDEX(終値!$E$5:$CZ$5,1,$AL$2))/INDEX(終値!$E$5:$CZ$5,1,$AL$2)*100,"")</f>
        <v>1.0179378228534113</v>
      </c>
      <c r="AH183" s="366">
        <f t="shared" si="42"/>
        <v>14.493173288257699</v>
      </c>
      <c r="AI183" s="364">
        <f t="shared" si="43"/>
        <v>3</v>
      </c>
      <c r="BA183">
        <f>IFERROR((SUM(OFFSET(高値!$E$6,IFERROR(MATCH($C183,銘柄管理!$B$6:$B$305,0),MATCH(TEXT($C183,"0"),銘柄管理!$B$6:$B$305,0))-1,0,1,14))-SUM(OFFSET(安値!$E$6,IFERROR(MATCH($C183,銘柄管理!$B$6:$B$305,0),MATCH(TEXT($C183,"0"),銘柄管理!$B$6:$B$305,0))-1,0,1,14)))/SUM(OFFSET(終値!$E$6,IFERROR(MATCH($C183,銘柄管理!$B$6:$B$305,0),MATCH(TEXT($C183,"0"),銘柄管理!$B$6:$B$305,0))-1,0,1,14))*100,"")</f>
      </c>
      <c r="BB183">
        <f>IFERROR((MAX(OFFSET(高値!$E$6,IFERROR(MATCH($C183,銘柄管理!$B$6:$B$305,0),MATCH(TEXT($C183,"0"),銘柄管理!$B$6:$B$305,0))-1,0,1,25))-MIN(OFFSET(安値!$E$6,IFERROR(MATCH($C183,銘柄管理!$B$6:$B$305,0),MATCH(TEXT($C183,"0"),銘柄管理!$B$6:$B$305,0))-1,0,1,25)))/$E183*100,"")</f>
      </c>
      <c r="BC183">
        <f>IFERROR(($F183-$G183)/$G183*100,"")</f>
      </c>
      <c r="BD183">
        <f>IFERROR(($E183-MAX(OFFSET(高値!$E$6,IFERROR(MATCH($C183,銘柄管理!$B$6:$B$305,0),MATCH(TEXT($C183,"0"),銘柄管理!$B$6:$B$305,0))-1,0,1,25)))/MAX(OFFSET(高値!$E$6,IFERROR(MATCH($C183,銘柄管理!$B$6:$B$305,0),MATCH(TEXT($C183,"0"),銘柄管理!$B$6:$B$305,0))-1,0,1,25))*100,"")</f>
      </c>
      <c r="BE183">
        <f>IFERROR(($H183-$I183)/$F183*100,"")</f>
      </c>
      <c r="BF183">
        <f>IFERROR(-(($BA183-AVERAGE($BA$3:$BA$206))/STDEV($BA$3:$BA$206))-(($BE183-AVERAGE($BE$3:$BE$206))/STDEV($BE$3:$BE$206))-(($BB183-AVERAGE($BB$3:$BB$206))/STDEV($BB$3:$BB$206))-(($Z183-AVERAGE($Z$3:$Z$206))/STDEV($Z$3:$Z$206))-(($BC183-AVERAGE($BC$3:$BC$206))/STDEV($BC$3:$BC$206)),"")</f>
      </c>
      <c r="BG183">
        <f>IF(OR($C183="",$C183="TOPX",$BA183="",$BF183=""),0,IF(AND($BK$10=1,$BA183&lt;=$BK$2,$BB183&lt;=$BK$3,$BC183&lt;=$BK$4,$Z183&lt;=$BK$5,$Z183&gt;=$BK$6,$BD183&gt;=$BK$7,$BE183&lt;=$BK$8),1,0))</f>
      </c>
      <c r="BH183">
        <f>IF($C183="","",IF($BG183=1,"○ゲート通過",IF($BK$10&lt;&gt;1,"― この方向は停止中",IF($BA183&gt;$BK$2,"×値動きが荒い",IF($BB183&gt;$BK$3,"×レンジが広い",IF($BC183&gt;$BK$4,"×窓を開けて上昇",IF($Z183&gt;$BK$5,"×前日に急騰",IF($Z183&lt;$BK$6,"×前日に急落",IF($BD183&lt;$BK$7,"×高値から離れすぎ",IF($BE183&gt;$BK$8,"×当日の値幅が大きい","×")))))))))</f>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 t="shared" si="34"/>
        <v>-5.1043429216018055</v>
      </c>
      <c r="M184" s="166">
        <f>IF(C184&lt;&gt;"",IFERROR(AVERAGE(出来高!E27:I27),""),"")</f>
        <v>1261260</v>
      </c>
      <c r="N184" s="166">
        <f>IF(C184&lt;&gt;"",IFERROR(AVERAGE(出来高!E27:AC27),""),"")</f>
        <v>848964</v>
      </c>
      <c r="O184" s="168">
        <f t="shared" si="35"/>
        <v>0.95816881531167242</v>
      </c>
      <c r="P184" s="163" t="str">
        <f t="shared" si="36"/>
        <v>減少↓</v>
      </c>
      <c r="Q184" s="163" t="str">
        <f t="shared" si="37"/>
        <v>中立→</v>
      </c>
      <c r="R184" s="166">
        <f t="shared" si="44"/>
        <v>1817</v>
      </c>
      <c r="S184" s="166">
        <f t="shared" si="45"/>
        <v>1615</v>
      </c>
      <c r="T184" s="163">
        <f>IF(C184="","",IFERROR(IF(O184&gt;=2,3,IF(O184&gt;=1.5,2,IF(O184&gt;=1,1,0)))+IF(E184&gt;G184,1,0)+IF(L184&gt;=-5,1,0)+IF(Q184="買い▲",2,0)+IF(W184&gt;=78,-4,IF(W184&gt;=72,-2,IF(W184&gt;=55,2,IF(W184&gt;=45,1,0))))+IF(X184&gt;0,1,0)+IF(V184="年初来高値更新●",3,IF(V184="高値圏",2,0))+IF(AD184="パーフェクト▲",3,IF(AD184="上昇トレンド▲",2,0))+IF(AE184="25日線押し目●",2,IF(AE184="5日線押し目○",1,0))+IF(P184="急増↑↑",2,IF(P184="増加↑",1,0))+N(AI184),0))</f>
      </c>
      <c r="U184" s="163" t="str">
        <f t="shared" si="46"/>
        <v>要確認</v>
      </c>
      <c r="V184" s="163" t="str">
        <f t="shared" si="39"/>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 t="shared" si="47"/>
        <v>3.1575720416922128</v>
      </c>
      <c r="AA184" s="163" t="str">
        <f t="shared" si="48"/>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 t="shared" si="49"/>
        <v>パーフェクト▲</v>
      </c>
      <c r="AE184" s="404" t="str">
        <f t="shared" si="50"/>
        <v>なし</v>
      </c>
      <c r="AF184" s="365">
        <f t="array" ref="AF184">IF(C184="","",IFERROR((INDEX(終値!$E:$E,MATCH(TEXT(C184,"0"),終値!$A:$A,0))-INDEX(終値!$E:$CZ,MATCH(TEXT(C184,"0"),終値!$A:$A,0),$AL$2))/INDEX(終値!$E:$CZ,MATCH(TEXT(C184,"0"),終値!$A:$A,0),$AL$2)*100,""))</f>
        <v>3.6979969183359018</v>
      </c>
      <c r="AG184" s="365">
        <f t="array" ref="AG184">IFERROR((終値!$E$5-INDEX(終値!$E$5:$CZ$5,1,$AL$2))/INDEX(終値!$E$5:$CZ$5,1,$AL$2)*100,"")</f>
        <v>1.0179378228534113</v>
      </c>
      <c r="AH184" s="366">
        <f t="shared" si="42"/>
        <v>2.6800590954824903</v>
      </c>
      <c r="AI184" s="364">
        <f t="shared" si="43"/>
        <v>1</v>
      </c>
      <c r="BA184">
        <f>IFERROR((SUM(OFFSET(高値!$E$6,IFERROR(MATCH($C184,銘柄管理!$B$6:$B$305,0),MATCH(TEXT($C184,"0"),銘柄管理!$B$6:$B$305,0))-1,0,1,14))-SUM(OFFSET(安値!$E$6,IFERROR(MATCH($C184,銘柄管理!$B$6:$B$305,0),MATCH(TEXT($C184,"0"),銘柄管理!$B$6:$B$305,0))-1,0,1,14)))/SUM(OFFSET(終値!$E$6,IFERROR(MATCH($C184,銘柄管理!$B$6:$B$305,0),MATCH(TEXT($C184,"0"),銘柄管理!$B$6:$B$305,0))-1,0,1,14))*100,"")</f>
      </c>
      <c r="BB184">
        <f>IFERROR((MAX(OFFSET(高値!$E$6,IFERROR(MATCH($C184,銘柄管理!$B$6:$B$305,0),MATCH(TEXT($C184,"0"),銘柄管理!$B$6:$B$305,0))-1,0,1,25))-MIN(OFFSET(安値!$E$6,IFERROR(MATCH($C184,銘柄管理!$B$6:$B$305,0),MATCH(TEXT($C184,"0"),銘柄管理!$B$6:$B$305,0))-1,0,1,25)))/$E184*100,"")</f>
      </c>
      <c r="BC184">
        <f>IFERROR(($F184-$G184)/$G184*100,"")</f>
      </c>
      <c r="BD184">
        <f>IFERROR(($E184-MAX(OFFSET(高値!$E$6,IFERROR(MATCH($C184,銘柄管理!$B$6:$B$305,0),MATCH(TEXT($C184,"0"),銘柄管理!$B$6:$B$305,0))-1,0,1,25)))/MAX(OFFSET(高値!$E$6,IFERROR(MATCH($C184,銘柄管理!$B$6:$B$305,0),MATCH(TEXT($C184,"0"),銘柄管理!$B$6:$B$305,0))-1,0,1,25))*100,"")</f>
      </c>
      <c r="BE184">
        <f>IFERROR(($H184-$I184)/$F184*100,"")</f>
      </c>
      <c r="BF184">
        <f>IFERROR(-(($BA184-AVERAGE($BA$3:$BA$206))/STDEV($BA$3:$BA$206))-(($BE184-AVERAGE($BE$3:$BE$206))/STDEV($BE$3:$BE$206))-(($BB184-AVERAGE($BB$3:$BB$206))/STDEV($BB$3:$BB$206))-(($Z184-AVERAGE($Z$3:$Z$206))/STDEV($Z$3:$Z$206))-(($BC184-AVERAGE($BC$3:$BC$206))/STDEV($BC$3:$BC$206)),"")</f>
      </c>
      <c r="BG184">
        <f>IF(OR($C184="",$C184="TOPX",$BA184="",$BF184=""),0,IF(AND($BK$10=1,$BA184&lt;=$BK$2,$BB184&lt;=$BK$3,$BC184&lt;=$BK$4,$Z184&lt;=$BK$5,$Z184&gt;=$BK$6,$BD184&gt;=$BK$7,$BE184&lt;=$BK$8),1,0))</f>
      </c>
      <c r="BH184">
        <f>IF($C184="","",IF($BG184=1,"○ゲート通過",IF($BK$10&lt;&gt;1,"― この方向は停止中",IF($BA184&gt;$BK$2,"×値動きが荒い",IF($BB184&gt;$BK$3,"×レンジが広い",IF($BC184&gt;$BK$4,"×窓を開けて上昇",IF($Z184&gt;$BK$5,"×前日に急騰",IF($Z184&lt;$BK$6,"×前日に急落",IF($BD184&lt;$BK$7,"×高値から離れすぎ",IF($BE184&gt;$BK$8,"×当日の値幅が大きい","×")))))))))</f>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 t="shared" si="34"/>
        <v>-36.288209606986896</v>
      </c>
      <c r="M185" s="166">
        <f>IF(C185&lt;&gt;"",IFERROR(AVERAGE(出来高!E134:I134),""),"")</f>
        <v>16221650</v>
      </c>
      <c r="N185" s="166">
        <f>IF(C185&lt;&gt;"",IFERROR(AVERAGE(出来高!E134:AC134),""),"")</f>
        <v>16221650</v>
      </c>
      <c r="O185" s="168">
        <f t="shared" si="35"/>
        <v>1.3110626847453866</v>
      </c>
      <c r="P185" s="163" t="str">
        <f t="shared" si="36"/>
        <v>普通→</v>
      </c>
      <c r="Q185" s="163" t="str">
        <f t="shared" si="37"/>
        <v>様子見▼</v>
      </c>
      <c r="R185" s="166">
        <f t="shared" si="44"/>
        <v>3151</v>
      </c>
      <c r="S185" s="166">
        <f t="shared" si="45"/>
        <v>2801</v>
      </c>
      <c r="T185" s="163">
        <f>IF(C185="","",IFERROR(IF(O185&gt;=2,3,IF(O185&gt;=1.5,2,IF(O185&gt;=1,1,0)))+IF(E185&gt;G185,1,0)+IF(L185&gt;=-5,1,0)+IF(Q185="買い▲",2,0)+IF(W185&gt;=78,-4,IF(W185&gt;=72,-2,IF(W185&gt;=55,2,IF(W185&gt;=45,1,0))))+IF(X185&gt;0,1,0)+IF(V185="年初来高値更新●",3,IF(V185="高値圏",2,0))+IF(AD185="パーフェクト▲",3,IF(AD185="上昇トレンド▲",2,0))+IF(AE185="25日線押し目●",2,IF(AE185="5日線押し目○",1,0))+IF(P185="急増↑↑",2,IF(P185="増加↑",1,0))+N(AI185),0))</f>
      </c>
      <c r="U185" s="163" t="str">
        <f t="shared" si="46"/>
        <v>要確認</v>
      </c>
      <c r="V185" s="163" t="str">
        <f t="shared" si="39"/>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 t="shared" si="47"/>
        <v>-17.918424753867793</v>
      </c>
      <c r="AA185" s="163" t="str">
        <f t="shared" si="48"/>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 t="shared" si="49"/>
        <v>上昇トレンド▲</v>
      </c>
      <c r="AE185" s="406" t="str">
        <f t="shared" si="50"/>
        <v>なし</v>
      </c>
      <c r="AF185" s="365" t="str">
        <f t="array" ref="AF185">IF(C185="","",IFERROR((INDEX(終値!$E:$E,MATCH(TEXT(C185,"0"),終値!$A:$A,0))-INDEX(終値!$E:$CZ,MATCH(TEXT(C185,"0"),終値!$A:$A,0),$AL$2))/INDEX(終値!$E:$CZ,MATCH(TEXT(C185,"0"),終値!$A:$A,0),$AL$2)*100,""))</f>
        <v/>
      </c>
      <c r="AG185" s="365">
        <f t="array" ref="AG185">IFERROR((終値!$E$5-INDEX(終値!$E$5:$CZ$5,1,$AL$2))/INDEX(終値!$E$5:$CZ$5,1,$AL$2)*100,"")</f>
        <v>1.0179378228534113</v>
      </c>
      <c r="AH185" s="366" t="str">
        <f t="shared" si="42"/>
        <v/>
      </c>
      <c r="AI185" s="364" t="str">
        <f t="shared" si="43"/>
        <v/>
      </c>
      <c r="BA185">
        <f>IFERROR((SUM(OFFSET(高値!$E$6,IFERROR(MATCH($C185,銘柄管理!$B$6:$B$305,0),MATCH(TEXT($C185,"0"),銘柄管理!$B$6:$B$305,0))-1,0,1,14))-SUM(OFFSET(安値!$E$6,IFERROR(MATCH($C185,銘柄管理!$B$6:$B$305,0),MATCH(TEXT($C185,"0"),銘柄管理!$B$6:$B$305,0))-1,0,1,14)))/SUM(OFFSET(終値!$E$6,IFERROR(MATCH($C185,銘柄管理!$B$6:$B$305,0),MATCH(TEXT($C185,"0"),銘柄管理!$B$6:$B$305,0))-1,0,1,14))*100,"")</f>
      </c>
      <c r="BB185">
        <f>IFERROR((MAX(OFFSET(高値!$E$6,IFERROR(MATCH($C185,銘柄管理!$B$6:$B$305,0),MATCH(TEXT($C185,"0"),銘柄管理!$B$6:$B$305,0))-1,0,1,25))-MIN(OFFSET(安値!$E$6,IFERROR(MATCH($C185,銘柄管理!$B$6:$B$305,0),MATCH(TEXT($C185,"0"),銘柄管理!$B$6:$B$305,0))-1,0,1,25)))/$E185*100,"")</f>
      </c>
      <c r="BC185">
        <f>IFERROR(($F185-$G185)/$G185*100,"")</f>
      </c>
      <c r="BD185">
        <f>IFERROR(($E185-MAX(OFFSET(高値!$E$6,IFERROR(MATCH($C185,銘柄管理!$B$6:$B$305,0),MATCH(TEXT($C185,"0"),銘柄管理!$B$6:$B$305,0))-1,0,1,25)))/MAX(OFFSET(高値!$E$6,IFERROR(MATCH($C185,銘柄管理!$B$6:$B$305,0),MATCH(TEXT($C185,"0"),銘柄管理!$B$6:$B$305,0))-1,0,1,25))*100,"")</f>
      </c>
      <c r="BE185">
        <f>IFERROR(($H185-$I185)/$F185*100,"")</f>
      </c>
      <c r="BF185">
        <f>IFERROR(-(($BA185-AVERAGE($BA$3:$BA$206))/STDEV($BA$3:$BA$206))-(($BE185-AVERAGE($BE$3:$BE$206))/STDEV($BE$3:$BE$206))-(($BB185-AVERAGE($BB$3:$BB$206))/STDEV($BB$3:$BB$206))-(($Z185-AVERAGE($Z$3:$Z$206))/STDEV($Z$3:$Z$206))-(($BC185-AVERAGE($BC$3:$BC$206))/STDEV($BC$3:$BC$206)),"")</f>
      </c>
      <c r="BG185">
        <f>IF(OR($C185="",$C185="TOPX",$BA185="",$BF185=""),0,IF(AND($BK$10=1,$BA185&lt;=$BK$2,$BB185&lt;=$BK$3,$BC185&lt;=$BK$4,$Z185&lt;=$BK$5,$Z185&gt;=$BK$6,$BD185&gt;=$BK$7,$BE185&lt;=$BK$8),1,0))</f>
      </c>
      <c r="BH185">
        <f>IF($C185="","",IF($BG185=1,"○ゲート通過",IF($BK$10&lt;&gt;1,"― この方向は停止中",IF($BA185&gt;$BK$2,"×値動きが荒い",IF($BB185&gt;$BK$3,"×レンジが広い",IF($BC185&gt;$BK$4,"×窓を開けて上昇",IF($Z185&gt;$BK$5,"×前日に急騰",IF($Z185&lt;$BK$6,"×前日に急落",IF($BD185&lt;$BK$7,"×高値から離れすぎ",IF($BE185&gt;$BK$8,"×当日の値幅が大きい","×")))))))))</f>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 t="shared" si="34"/>
        <v>-0.61202767429483762</v>
      </c>
      <c r="M186" s="166">
        <f>IF(C186&lt;&gt;"",IFERROR(AVERAGE(出来高!E60:I60),""),"")</f>
        <v>310860</v>
      </c>
      <c r="N186" s="166">
        <f>IF(C186&lt;&gt;"",IFERROR(AVERAGE(出来高!E60:AC60),""),"")</f>
        <v>296464</v>
      </c>
      <c r="O186" s="168">
        <f t="shared" si="35"/>
        <v>1.0419481438589719</v>
      </c>
      <c r="P186" s="163" t="str">
        <f t="shared" si="36"/>
        <v>普通→</v>
      </c>
      <c r="Q186" s="163" t="str">
        <f t="shared" si="37"/>
        <v>様子見▼</v>
      </c>
      <c r="R186" s="166">
        <f t="shared" si="44"/>
        <v>4034</v>
      </c>
      <c r="S186" s="166">
        <f t="shared" si="45"/>
        <v>3586</v>
      </c>
      <c r="T186" s="163">
        <f>IF(C186="","",IFERROR(IF(O186&gt;=2,3,IF(O186&gt;=1.5,2,IF(O186&gt;=1,1,0)))+IF(E186&gt;G186,1,0)+IF(L186&gt;=-5,1,0)+IF(Q186="買い▲",2,0)+IF(W186&gt;=78,-4,IF(W186&gt;=72,-2,IF(W186&gt;=55,2,IF(W186&gt;=45,1,0))))+IF(X186&gt;0,1,0)+IF(V186="年初来高値更新●",3,IF(V186="高値圏",2,0))+IF(AD186="パーフェクト▲",3,IF(AD186="上昇トレンド▲",2,0))+IF(AE186="25日線押し目●",2,IF(AE186="5日線押し目○",1,0))+IF(P186="急増↑↑",2,IF(P186="増加↑",1,0))+N(AI186),0))</f>
      </c>
      <c r="U186" s="163" t="str">
        <f t="shared" si="46"/>
        <v>要確認</v>
      </c>
      <c r="V186" s="163" t="str">
        <f t="shared" si="39"/>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 t="shared" si="47"/>
        <v>-0.34685165421558162</v>
      </c>
      <c r="AA186" s="163" t="str">
        <f t="shared" si="48"/>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 t="shared" si="49"/>
        <v>パーフェクト▲</v>
      </c>
      <c r="AE186" s="404" t="str">
        <f t="shared" si="50"/>
        <v>なし</v>
      </c>
      <c r="AF186" s="365">
        <f t="array" ref="AF186">IF(C186="","",IFERROR((INDEX(終値!$E:$E,MATCH(TEXT(C186,"0"),終値!$A:$A,0))-INDEX(終値!$E:$CZ,MATCH(TEXT(C186,"0"),終値!$A:$A,0),$AL$2))/INDEX(終値!$E:$CZ,MATCH(TEXT(C186,"0"),終値!$A:$A,0),$AL$2)*100,""))</f>
        <v>9.3384074941451995</v>
      </c>
      <c r="AG186" s="365">
        <f t="array" ref="AG186">IFERROR((終値!$E$5-INDEX(終値!$E$5:$CZ$5,1,$AL$2))/INDEX(終値!$E$5:$CZ$5,1,$AL$2)*100,"")</f>
        <v>1.0179378228534113</v>
      </c>
      <c r="AH186" s="366">
        <f t="shared" si="42"/>
        <v>8.3204696712917876</v>
      </c>
      <c r="AI186" s="364">
        <f t="shared" si="43"/>
        <v>3</v>
      </c>
      <c r="BA186">
        <f>IFERROR((SUM(OFFSET(高値!$E$6,IFERROR(MATCH($C186,銘柄管理!$B$6:$B$305,0),MATCH(TEXT($C186,"0"),銘柄管理!$B$6:$B$305,0))-1,0,1,14))-SUM(OFFSET(安値!$E$6,IFERROR(MATCH($C186,銘柄管理!$B$6:$B$305,0),MATCH(TEXT($C186,"0"),銘柄管理!$B$6:$B$305,0))-1,0,1,14)))/SUM(OFFSET(終値!$E$6,IFERROR(MATCH($C186,銘柄管理!$B$6:$B$305,0),MATCH(TEXT($C186,"0"),銘柄管理!$B$6:$B$305,0))-1,0,1,14))*100,"")</f>
      </c>
      <c r="BB186">
        <f>IFERROR((MAX(OFFSET(高値!$E$6,IFERROR(MATCH($C186,銘柄管理!$B$6:$B$305,0),MATCH(TEXT($C186,"0"),銘柄管理!$B$6:$B$305,0))-1,0,1,25))-MIN(OFFSET(安値!$E$6,IFERROR(MATCH($C186,銘柄管理!$B$6:$B$305,0),MATCH(TEXT($C186,"0"),銘柄管理!$B$6:$B$305,0))-1,0,1,25)))/$E186*100,"")</f>
      </c>
      <c r="BC186">
        <f>IFERROR(($F186-$G186)/$G186*100,"")</f>
      </c>
      <c r="BD186">
        <f>IFERROR(($E186-MAX(OFFSET(高値!$E$6,IFERROR(MATCH($C186,銘柄管理!$B$6:$B$305,0),MATCH(TEXT($C186,"0"),銘柄管理!$B$6:$B$305,0))-1,0,1,25)))/MAX(OFFSET(高値!$E$6,IFERROR(MATCH($C186,銘柄管理!$B$6:$B$305,0),MATCH(TEXT($C186,"0"),銘柄管理!$B$6:$B$305,0))-1,0,1,25))*100,"")</f>
      </c>
      <c r="BE186">
        <f>IFERROR(($H186-$I186)/$F186*100,"")</f>
      </c>
      <c r="BF186">
        <f>IFERROR(-(($BA186-AVERAGE($BA$3:$BA$206))/STDEV($BA$3:$BA$206))-(($BE186-AVERAGE($BE$3:$BE$206))/STDEV($BE$3:$BE$206))-(($BB186-AVERAGE($BB$3:$BB$206))/STDEV($BB$3:$BB$206))-(($Z186-AVERAGE($Z$3:$Z$206))/STDEV($Z$3:$Z$206))-(($BC186-AVERAGE($BC$3:$BC$206))/STDEV($BC$3:$BC$206)),"")</f>
      </c>
      <c r="BG186">
        <f>IF(OR($C186="",$C186="TOPX",$BA186="",$BF186=""),0,IF(AND($BK$10=1,$BA186&lt;=$BK$2,$BB186&lt;=$BK$3,$BC186&lt;=$BK$4,$Z186&lt;=$BK$5,$Z186&gt;=$BK$6,$BD186&gt;=$BK$7,$BE186&lt;=$BK$8),1,0))</f>
      </c>
      <c r="BH186">
        <f>IF($C186="","",IF($BG186=1,"○ゲート通過",IF($BK$10&lt;&gt;1,"― この方向は停止中",IF($BA186&gt;$BK$2,"×値動きが荒い",IF($BB186&gt;$BK$3,"×レンジが広い",IF($BC186&gt;$BK$4,"×窓を開けて上昇",IF($Z186&gt;$BK$5,"×前日に急騰",IF($Z186&lt;$BK$6,"×前日に急落",IF($BD186&lt;$BK$7,"×高値から離れすぎ",IF($BE186&gt;$BK$8,"×当日の値幅が大きい","×")))))))))</f>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 t="shared" si="34"/>
        <v>-71.278538812785385</v>
      </c>
      <c r="M187" s="166">
        <f>IF(C187&lt;&gt;"",IFERROR(AVERAGE(出来高!E138:I138),""),"")</f>
        <v>8521560</v>
      </c>
      <c r="N187" s="166">
        <f>IF(C187&lt;&gt;"",IFERROR(AVERAGE(出来高!E138:AC138),""),"")</f>
        <v>3725828</v>
      </c>
      <c r="O187" s="168">
        <f t="shared" si="35"/>
        <v>3.4863217532939976</v>
      </c>
      <c r="P187" s="163" t="str">
        <f t="shared" si="36"/>
        <v>急増↑↑</v>
      </c>
      <c r="Q187" s="163" t="str">
        <f t="shared" si="37"/>
        <v>買い▲</v>
      </c>
      <c r="R187" s="166">
        <f t="shared" si="44"/>
        <v>1359</v>
      </c>
      <c r="S187" s="166">
        <f t="shared" si="45"/>
        <v>1208</v>
      </c>
      <c r="T187" s="163">
        <f>IF(C187="","",IFERROR(IF(O187&gt;=2,3,IF(O187&gt;=1.5,2,IF(O187&gt;=1,1,0)))+IF(E187&gt;G187,1,0)+IF(L187&gt;=-5,1,0)+IF(Q187="買い▲",2,0)+IF(W187&gt;=78,-4,IF(W187&gt;=72,-2,IF(W187&gt;=55,2,IF(W187&gt;=45,1,0))))+IF(X187&gt;0,1,0)+IF(V187="年初来高値更新●",3,IF(V187="高値圏",2,0))+IF(AD187="パーフェクト▲",3,IF(AD187="上昇トレンド▲",2,0))+IF(AE187="25日線押し目●",2,IF(AE187="5日線押し目○",1,0))+IF(P187="急増↑↑",2,IF(P187="増加↑",1,0))+N(AI187),0))</f>
      </c>
      <c r="U187" s="163" t="str">
        <f t="shared" si="46"/>
        <v>有効</v>
      </c>
      <c r="V187" s="163" t="str">
        <f t="shared" si="39"/>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 t="shared" si="47"/>
        <v>24.677898909811695</v>
      </c>
      <c r="AA187" s="163" t="str">
        <f t="shared" si="48"/>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 t="shared" si="49"/>
        <v>下降トレンド▼</v>
      </c>
      <c r="AE187" s="406" t="str">
        <f t="shared" si="50"/>
        <v>なし</v>
      </c>
      <c r="AF187" s="365">
        <f t="array" ref="AF187">IF(C187="","",IFERROR((INDEX(終値!$E:$E,MATCH(TEXT(C187,"0"),終値!$A:$A,0))-INDEX(終値!$E:$CZ,MATCH(TEXT(C187,"0"),終値!$A:$A,0),$AL$2))/INDEX(終値!$E:$CZ,MATCH(TEXT(C187,"0"),終値!$A:$A,0),$AL$2)*100,""))</f>
        <v>25.049701789264411</v>
      </c>
      <c r="AG187" s="365">
        <f t="array" ref="AG187">IFERROR((終値!$E$5-INDEX(終値!$E$5:$CZ$5,1,$AL$2))/INDEX(終値!$E$5:$CZ$5,1,$AL$2)*100,"")</f>
        <v>1.0179378228534113</v>
      </c>
      <c r="AH187" s="366">
        <f t="shared" si="42"/>
        <v>24.031763966410999</v>
      </c>
      <c r="AI187" s="364">
        <f t="shared" si="43"/>
        <v>3</v>
      </c>
      <c r="BA187">
        <f>IFERROR((SUM(OFFSET(高値!$E$6,IFERROR(MATCH($C187,銘柄管理!$B$6:$B$305,0),MATCH(TEXT($C187,"0"),銘柄管理!$B$6:$B$305,0))-1,0,1,14))-SUM(OFFSET(安値!$E$6,IFERROR(MATCH($C187,銘柄管理!$B$6:$B$305,0),MATCH(TEXT($C187,"0"),銘柄管理!$B$6:$B$305,0))-1,0,1,14)))/SUM(OFFSET(終値!$E$6,IFERROR(MATCH($C187,銘柄管理!$B$6:$B$305,0),MATCH(TEXT($C187,"0"),銘柄管理!$B$6:$B$305,0))-1,0,1,14))*100,"")</f>
      </c>
      <c r="BB187">
        <f>IFERROR((MAX(OFFSET(高値!$E$6,IFERROR(MATCH($C187,銘柄管理!$B$6:$B$305,0),MATCH(TEXT($C187,"0"),銘柄管理!$B$6:$B$305,0))-1,0,1,25))-MIN(OFFSET(安値!$E$6,IFERROR(MATCH($C187,銘柄管理!$B$6:$B$305,0),MATCH(TEXT($C187,"0"),銘柄管理!$B$6:$B$305,0))-1,0,1,25)))/$E187*100,"")</f>
      </c>
      <c r="BC187">
        <f>IFERROR(($F187-$G187)/$G187*100,"")</f>
      </c>
      <c r="BD187">
        <f>IFERROR(($E187-MAX(OFFSET(高値!$E$6,IFERROR(MATCH($C187,銘柄管理!$B$6:$B$305,0),MATCH(TEXT($C187,"0"),銘柄管理!$B$6:$B$305,0))-1,0,1,25)))/MAX(OFFSET(高値!$E$6,IFERROR(MATCH($C187,銘柄管理!$B$6:$B$305,0),MATCH(TEXT($C187,"0"),銘柄管理!$B$6:$B$305,0))-1,0,1,25))*100,"")</f>
      </c>
      <c r="BE187">
        <f>IFERROR(($H187-$I187)/$F187*100,"")</f>
      </c>
      <c r="BF187">
        <f>IFERROR(-(($BA187-AVERAGE($BA$3:$BA$206))/STDEV($BA$3:$BA$206))-(($BE187-AVERAGE($BE$3:$BE$206))/STDEV($BE$3:$BE$206))-(($BB187-AVERAGE($BB$3:$BB$206))/STDEV($BB$3:$BB$206))-(($Z187-AVERAGE($Z$3:$Z$206))/STDEV($Z$3:$Z$206))-(($BC187-AVERAGE($BC$3:$BC$206))/STDEV($BC$3:$BC$206)),"")</f>
      </c>
      <c r="BG187">
        <f>IF(OR($C187="",$C187="TOPX",$BA187="",$BF187=""),0,IF(AND($BK$10=1,$BA187&lt;=$BK$2,$BB187&lt;=$BK$3,$BC187&lt;=$BK$4,$Z187&lt;=$BK$5,$Z187&gt;=$BK$6,$BD187&gt;=$BK$7,$BE187&lt;=$BK$8),1,0))</f>
      </c>
      <c r="BH187">
        <f>IF($C187="","",IF($BG187=1,"○ゲート通過",IF($BK$10&lt;&gt;1,"― この方向は停止中",IF($BA187&gt;$BK$2,"×値動きが荒い",IF($BB187&gt;$BK$3,"×レンジが広い",IF($BC187&gt;$BK$4,"×窓を開けて上昇",IF($Z187&gt;$BK$5,"×前日に急騰",IF($Z187&lt;$BK$6,"×前日に急落",IF($BD187&lt;$BK$7,"×高値から離れすぎ",IF($BE187&gt;$BK$8,"×当日の値幅が大きい","×")))))))))</f>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 t="shared" si="34"/>
        <v>-17.741165234001912</v>
      </c>
      <c r="M188" s="166">
        <f>IF(C188&lt;&gt;"",IFERROR(AVERAGE(出来高!E88:I88),""),"")</f>
        <v>3053580</v>
      </c>
      <c r="N188" s="166">
        <f>IF(C188&lt;&gt;"",IFERROR(AVERAGE(出来高!E88:AC88),""),"")</f>
        <v>2849512</v>
      </c>
      <c r="O188" s="168">
        <f t="shared" si="35"/>
        <v>0.74561662049135768</v>
      </c>
      <c r="P188" s="163" t="str">
        <f t="shared" si="36"/>
        <v>減少↓</v>
      </c>
      <c r="Q188" s="163" t="str">
        <f t="shared" si="37"/>
        <v>中立→</v>
      </c>
      <c r="R188" s="166">
        <f t="shared" si="44"/>
        <v>1860</v>
      </c>
      <c r="S188" s="166">
        <f t="shared" si="45"/>
        <v>1654</v>
      </c>
      <c r="T188" s="163">
        <f>IF(C188="","",IFERROR(IF(O188&gt;=2,3,IF(O188&gt;=1.5,2,IF(O188&gt;=1,1,0)))+IF(E188&gt;G188,1,0)+IF(L188&gt;=-5,1,0)+IF(Q188="買い▲",2,0)+IF(W188&gt;=78,-4,IF(W188&gt;=72,-2,IF(W188&gt;=55,2,IF(W188&gt;=45,1,0))))+IF(X188&gt;0,1,0)+IF(V188="年初来高値更新●",3,IF(V188="高値圏",2,0))+IF(AD188="パーフェクト▲",3,IF(AD188="上昇トレンド▲",2,0))+IF(AE188="25日線押し目●",2,IF(AE188="5日線押し目○",1,0))+IF(P188="急増↑↑",2,IF(P188="増加↑",1,0))+N(AI188),0))</f>
      </c>
      <c r="U188" s="163" t="str">
        <f t="shared" si="46"/>
        <v>要確認</v>
      </c>
      <c r="V188" s="163" t="str">
        <f t="shared" si="39"/>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 t="shared" si="47"/>
        <v>0.58394160583941601</v>
      </c>
      <c r="AA188" s="163" t="str">
        <f t="shared" si="48"/>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 t="shared" si="49"/>
        <v>上昇トレンド▲</v>
      </c>
      <c r="AE188" s="404" t="str">
        <f t="shared" si="50"/>
        <v>25日押し目★</v>
      </c>
      <c r="AF188" s="365">
        <f t="array" ref="AF188">IF(C188="","",IFERROR((INDEX(終値!$E:$E,MATCH(TEXT(C188,"0"),終値!$A:$A,0))-INDEX(終値!$E:$CZ,MATCH(TEXT(C188,"0"),終値!$A:$A,0),$AL$2))/INDEX(終値!$E:$CZ,MATCH(TEXT(C188,"0"),終値!$A:$A,0),$AL$2)*100,""))</f>
        <v>3.4845298888555121</v>
      </c>
      <c r="AG188" s="365">
        <f t="array" ref="AG188">IFERROR((終値!$E$5-INDEX(終値!$E$5:$CZ$5,1,$AL$2))/INDEX(終値!$E$5:$CZ$5,1,$AL$2)*100,"")</f>
        <v>1.0179378228534113</v>
      </c>
      <c r="AH188" s="366">
        <f t="shared" si="42"/>
        <v>2.466592066002101</v>
      </c>
      <c r="AI188" s="364">
        <f t="shared" si="43"/>
        <v>1</v>
      </c>
      <c r="BA188">
        <f>IFERROR((SUM(OFFSET(高値!$E$6,IFERROR(MATCH($C188,銘柄管理!$B$6:$B$305,0),MATCH(TEXT($C188,"0"),銘柄管理!$B$6:$B$305,0))-1,0,1,14))-SUM(OFFSET(安値!$E$6,IFERROR(MATCH($C188,銘柄管理!$B$6:$B$305,0),MATCH(TEXT($C188,"0"),銘柄管理!$B$6:$B$305,0))-1,0,1,14)))/SUM(OFFSET(終値!$E$6,IFERROR(MATCH($C188,銘柄管理!$B$6:$B$305,0),MATCH(TEXT($C188,"0"),銘柄管理!$B$6:$B$305,0))-1,0,1,14))*100,"")</f>
      </c>
      <c r="BB188">
        <f>IFERROR((MAX(OFFSET(高値!$E$6,IFERROR(MATCH($C188,銘柄管理!$B$6:$B$305,0),MATCH(TEXT($C188,"0"),銘柄管理!$B$6:$B$305,0))-1,0,1,25))-MIN(OFFSET(安値!$E$6,IFERROR(MATCH($C188,銘柄管理!$B$6:$B$305,0),MATCH(TEXT($C188,"0"),銘柄管理!$B$6:$B$305,0))-1,0,1,25)))/$E188*100,"")</f>
      </c>
      <c r="BC188">
        <f>IFERROR(($F188-$G188)/$G188*100,"")</f>
      </c>
      <c r="BD188">
        <f>IFERROR(($E188-MAX(OFFSET(高値!$E$6,IFERROR(MATCH($C188,銘柄管理!$B$6:$B$305,0),MATCH(TEXT($C188,"0"),銘柄管理!$B$6:$B$305,0))-1,0,1,25)))/MAX(OFFSET(高値!$E$6,IFERROR(MATCH($C188,銘柄管理!$B$6:$B$305,0),MATCH(TEXT($C188,"0"),銘柄管理!$B$6:$B$305,0))-1,0,1,25))*100,"")</f>
      </c>
      <c r="BE188">
        <f>IFERROR(($H188-$I188)/$F188*100,"")</f>
      </c>
      <c r="BF188">
        <f>IFERROR(-(($BA188-AVERAGE($BA$3:$BA$206))/STDEV($BA$3:$BA$206))-(($BE188-AVERAGE($BE$3:$BE$206))/STDEV($BE$3:$BE$206))-(($BB188-AVERAGE($BB$3:$BB$206))/STDEV($BB$3:$BB$206))-(($Z188-AVERAGE($Z$3:$Z$206))/STDEV($Z$3:$Z$206))-(($BC188-AVERAGE($BC$3:$BC$206))/STDEV($BC$3:$BC$206)),"")</f>
      </c>
      <c r="BG188">
        <f>IF(OR($C188="",$C188="TOPX",$BA188="",$BF188=""),0,IF(AND($BK$10=1,$BA188&lt;=$BK$2,$BB188&lt;=$BK$3,$BC188&lt;=$BK$4,$Z188&lt;=$BK$5,$Z188&gt;=$BK$6,$BD188&gt;=$BK$7,$BE188&lt;=$BK$8),1,0))</f>
      </c>
      <c r="BH188">
        <f>IF($C188="","",IF($BG188=1,"○ゲート通過",IF($BK$10&lt;&gt;1,"― この方向は停止中",IF($BA188&gt;$BK$2,"×値動きが荒い",IF($BB188&gt;$BK$3,"×レンジが広い",IF($BC188&gt;$BK$4,"×窓を開けて上昇",IF($Z188&gt;$BK$5,"×前日に急騰",IF($Z188&lt;$BK$6,"×前日に急落",IF($BD188&lt;$BK$7,"×高値から離れすぎ",IF($BE188&gt;$BK$8,"×当日の値幅が大きい","×")))))))))</f>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 t="shared" si="34"/>
        <v>-2.6045996120809085</v>
      </c>
      <c r="M189" s="166">
        <f>IF(C189&lt;&gt;"",IFERROR(AVERAGE(出来高!E87:I87),""),"")</f>
        <v>6446200</v>
      </c>
      <c r="N189" s="166">
        <f>IF(C189&lt;&gt;"",IFERROR(AVERAGE(出来高!E87:AC87),""),"")</f>
        <v>5011324</v>
      </c>
      <c r="O189" s="168">
        <f t="shared" si="35"/>
        <v>0.75365331513139522</v>
      </c>
      <c r="P189" s="163" t="str">
        <f t="shared" si="36"/>
        <v>減少↓</v>
      </c>
      <c r="Q189" s="163" t="str">
        <f t="shared" si="37"/>
        <v>中立→</v>
      </c>
      <c r="R189" s="166">
        <f t="shared" si="44"/>
        <v>7592</v>
      </c>
      <c r="S189" s="166">
        <f t="shared" si="45"/>
        <v>6749</v>
      </c>
      <c r="T189" s="163">
        <f>IF(C189="","",IFERROR(IF(O189&gt;=2,3,IF(O189&gt;=1.5,2,IF(O189&gt;=1,1,0)))+IF(E189&gt;G189,1,0)+IF(L189&gt;=-5,1,0)+IF(Q189="買い▲",2,0)+IF(W189&gt;=78,-4,IF(W189&gt;=72,-2,IF(W189&gt;=55,2,IF(W189&gt;=45,1,0))))+IF(X189&gt;0,1,0)+IF(V189="年初来高値更新●",3,IF(V189="高値圏",2,0))+IF(AD189="パーフェクト▲",3,IF(AD189="上昇トレンド▲",2,0))+IF(AE189="25日線押し目●",2,IF(AE189="5日線押し目○",1,0))+IF(P189="急増↑↑",2,IF(P189="増加↑",1,0))+N(AI189),0))</f>
      </c>
      <c r="U189" s="163" t="str">
        <f t="shared" si="46"/>
        <v>要確認</v>
      </c>
      <c r="V189" s="163" t="str">
        <f t="shared" si="39"/>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 t="shared" si="47"/>
        <v>3.0036630036630036</v>
      </c>
      <c r="AA189" s="163" t="str">
        <f t="shared" si="48"/>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 t="shared" si="49"/>
        <v>パーフェクト▲</v>
      </c>
      <c r="AE189" s="406" t="str">
        <f t="shared" si="50"/>
        <v>なし</v>
      </c>
      <c r="AF189" s="365">
        <f t="array" ref="AF189">IF(C189="","",IFERROR((INDEX(終値!$E:$E,MATCH(TEXT(C189,"0"),終値!$A:$A,0))-INDEX(終値!$E:$CZ,MATCH(TEXT(C189,"0"),終値!$A:$A,0),$AL$2))/INDEX(終値!$E:$CZ,MATCH(TEXT(C189,"0"),終値!$A:$A,0),$AL$2)*100,""))</f>
        <v>17.656903765690377</v>
      </c>
      <c r="AG189" s="365">
        <f t="array" ref="AG189">IFERROR((終値!$E$5-INDEX(終値!$E$5:$CZ$5,1,$AL$2))/INDEX(終値!$E$5:$CZ$5,1,$AL$2)*100,"")</f>
        <v>1.0179378228534113</v>
      </c>
      <c r="AH189" s="366">
        <f t="shared" si="42"/>
        <v>16.638965942836965</v>
      </c>
      <c r="AI189" s="364">
        <f t="shared" si="43"/>
        <v>3</v>
      </c>
      <c r="BA189">
        <f>IFERROR((SUM(OFFSET(高値!$E$6,IFERROR(MATCH($C189,銘柄管理!$B$6:$B$305,0),MATCH(TEXT($C189,"0"),銘柄管理!$B$6:$B$305,0))-1,0,1,14))-SUM(OFFSET(安値!$E$6,IFERROR(MATCH($C189,銘柄管理!$B$6:$B$305,0),MATCH(TEXT($C189,"0"),銘柄管理!$B$6:$B$305,0))-1,0,1,14)))/SUM(OFFSET(終値!$E$6,IFERROR(MATCH($C189,銘柄管理!$B$6:$B$305,0),MATCH(TEXT($C189,"0"),銘柄管理!$B$6:$B$305,0))-1,0,1,14))*100,"")</f>
      </c>
      <c r="BB189">
        <f>IFERROR((MAX(OFFSET(高値!$E$6,IFERROR(MATCH($C189,銘柄管理!$B$6:$B$305,0),MATCH(TEXT($C189,"0"),銘柄管理!$B$6:$B$305,0))-1,0,1,25))-MIN(OFFSET(安値!$E$6,IFERROR(MATCH($C189,銘柄管理!$B$6:$B$305,0),MATCH(TEXT($C189,"0"),銘柄管理!$B$6:$B$305,0))-1,0,1,25)))/$E189*100,"")</f>
      </c>
      <c r="BC189">
        <f>IFERROR(($F189-$G189)/$G189*100,"")</f>
      </c>
      <c r="BD189">
        <f>IFERROR(($E189-MAX(OFFSET(高値!$E$6,IFERROR(MATCH($C189,銘柄管理!$B$6:$B$305,0),MATCH(TEXT($C189,"0"),銘柄管理!$B$6:$B$305,0))-1,0,1,25)))/MAX(OFFSET(高値!$E$6,IFERROR(MATCH($C189,銘柄管理!$B$6:$B$305,0),MATCH(TEXT($C189,"0"),銘柄管理!$B$6:$B$305,0))-1,0,1,25))*100,"")</f>
      </c>
      <c r="BE189">
        <f>IFERROR(($H189-$I189)/$F189*100,"")</f>
      </c>
      <c r="BF189">
        <f>IFERROR(-(($BA189-AVERAGE($BA$3:$BA$206))/STDEV($BA$3:$BA$206))-(($BE189-AVERAGE($BE$3:$BE$206))/STDEV($BE$3:$BE$206))-(($BB189-AVERAGE($BB$3:$BB$206))/STDEV($BB$3:$BB$206))-(($Z189-AVERAGE($Z$3:$Z$206))/STDEV($Z$3:$Z$206))-(($BC189-AVERAGE($BC$3:$BC$206))/STDEV($BC$3:$BC$206)),"")</f>
      </c>
      <c r="BG189">
        <f>IF(OR($C189="",$C189="TOPX",$BA189="",$BF189=""),0,IF(AND($BK$10=1,$BA189&lt;=$BK$2,$BB189&lt;=$BK$3,$BC189&lt;=$BK$4,$Z189&lt;=$BK$5,$Z189&gt;=$BK$6,$BD189&gt;=$BK$7,$BE189&lt;=$BK$8),1,0))</f>
      </c>
      <c r="BH189">
        <f>IF($C189="","",IF($BG189=1,"○ゲート通過",IF($BK$10&lt;&gt;1,"― この方向は停止中",IF($BA189&gt;$BK$2,"×値動きが荒い",IF($BB189&gt;$BK$3,"×レンジが広い",IF($BC189&gt;$BK$4,"×窓を開けて上昇",IF($Z189&gt;$BK$5,"×前日に急騰",IF($Z189&lt;$BK$6,"×前日に急落",IF($BD189&lt;$BK$7,"×高値から離れすぎ",IF($BE189&gt;$BK$8,"×当日の値幅が大きい","×")))))))))</f>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 t="shared" si="34"/>
        <v>-18.044164037854891</v>
      </c>
      <c r="M190" s="166">
        <f>IF(C190&lt;&gt;"",IFERROR(AVERAGE(出来高!E76:I76),""),"")</f>
        <v>5056460</v>
      </c>
      <c r="N190" s="166">
        <f>IF(C190&lt;&gt;"",IFERROR(AVERAGE(出来高!E76:AC76),""),"")</f>
        <v>4228524</v>
      </c>
      <c r="O190" s="168">
        <f t="shared" si="35"/>
        <v>1.0875988339668463</v>
      </c>
      <c r="P190" s="163" t="str">
        <f t="shared" si="36"/>
        <v>普通→</v>
      </c>
      <c r="Q190" s="163" t="str">
        <f t="shared" si="37"/>
        <v>様子見▼</v>
      </c>
      <c r="R190" s="166">
        <f t="shared" si="44"/>
        <v>5612</v>
      </c>
      <c r="S190" s="166">
        <f t="shared" si="45"/>
        <v>4988</v>
      </c>
      <c r="T190" s="163">
        <f>IF(C190="","",IFERROR(IF(O190&gt;=2,3,IF(O190&gt;=1.5,2,IF(O190&gt;=1,1,0)))+IF(E190&gt;G190,1,0)+IF(L190&gt;=-5,1,0)+IF(Q190="買い▲",2,0)+IF(W190&gt;=78,-4,IF(W190&gt;=72,-2,IF(W190&gt;=55,2,IF(W190&gt;=45,1,0))))+IF(X190&gt;0,1,0)+IF(V190="年初来高値更新●",3,IF(V190="高値圏",2,0))+IF(AD190="パーフェクト▲",3,IF(AD190="上昇トレンド▲",2,0))+IF(AE190="25日線押し目●",2,IF(AE190="5日線押し目○",1,0))+IF(P190="急増↑↑",2,IF(P190="増加↑",1,0))+N(AI190),0))</f>
      </c>
      <c r="U190" s="163" t="str">
        <f t="shared" si="46"/>
        <v>除外</v>
      </c>
      <c r="V190" s="163" t="str">
        <f t="shared" si="39"/>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 t="shared" si="47"/>
        <v>-2.568910556909807</v>
      </c>
      <c r="AA190" s="163" t="str">
        <f t="shared" si="48"/>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 t="shared" si="49"/>
        <v>上昇トレンド▲</v>
      </c>
      <c r="AE190" s="404" t="str">
        <f t="shared" si="50"/>
        <v>なし</v>
      </c>
      <c r="AF190" s="365">
        <f t="array" ref="AF190">IF(C190="","",IFERROR((INDEX(終値!$E:$E,MATCH(TEXT(C190,"0"),終値!$A:$A,0))-INDEX(終値!$E:$CZ,MATCH(TEXT(C190,"0"),終値!$A:$A,0),$AL$2))/INDEX(終値!$E:$CZ,MATCH(TEXT(C190,"0"),終値!$A:$A,0),$AL$2)*100,""))</f>
        <v>-15.854251012145749</v>
      </c>
      <c r="AG190" s="365">
        <f t="array" ref="AG190">IFERROR((終値!$E$5-INDEX(終値!$E$5:$CZ$5,1,$AL$2))/INDEX(終値!$E$5:$CZ$5,1,$AL$2)*100,"")</f>
        <v>1.0179378228534113</v>
      </c>
      <c r="AH190" s="366">
        <f t="shared" si="42"/>
        <v>-16.872188834999161</v>
      </c>
      <c r="AI190" s="364">
        <f t="shared" si="43"/>
        <v>-2</v>
      </c>
      <c r="BA190">
        <f>IFERROR((SUM(OFFSET(高値!$E$6,IFERROR(MATCH($C190,銘柄管理!$B$6:$B$305,0),MATCH(TEXT($C190,"0"),銘柄管理!$B$6:$B$305,0))-1,0,1,14))-SUM(OFFSET(安値!$E$6,IFERROR(MATCH($C190,銘柄管理!$B$6:$B$305,0),MATCH(TEXT($C190,"0"),銘柄管理!$B$6:$B$305,0))-1,0,1,14)))/SUM(OFFSET(終値!$E$6,IFERROR(MATCH($C190,銘柄管理!$B$6:$B$305,0),MATCH(TEXT($C190,"0"),銘柄管理!$B$6:$B$305,0))-1,0,1,14))*100,"")</f>
      </c>
      <c r="BB190">
        <f>IFERROR((MAX(OFFSET(高値!$E$6,IFERROR(MATCH($C190,銘柄管理!$B$6:$B$305,0),MATCH(TEXT($C190,"0"),銘柄管理!$B$6:$B$305,0))-1,0,1,25))-MIN(OFFSET(安値!$E$6,IFERROR(MATCH($C190,銘柄管理!$B$6:$B$305,0),MATCH(TEXT($C190,"0"),銘柄管理!$B$6:$B$305,0))-1,0,1,25)))/$E190*100,"")</f>
      </c>
      <c r="BC190">
        <f>IFERROR(($F190-$G190)/$G190*100,"")</f>
      </c>
      <c r="BD190">
        <f>IFERROR(($E190-MAX(OFFSET(高値!$E$6,IFERROR(MATCH($C190,銘柄管理!$B$6:$B$305,0),MATCH(TEXT($C190,"0"),銘柄管理!$B$6:$B$305,0))-1,0,1,25)))/MAX(OFFSET(高値!$E$6,IFERROR(MATCH($C190,銘柄管理!$B$6:$B$305,0),MATCH(TEXT($C190,"0"),銘柄管理!$B$6:$B$305,0))-1,0,1,25))*100,"")</f>
      </c>
      <c r="BE190">
        <f>IFERROR(($H190-$I190)/$F190*100,"")</f>
      </c>
      <c r="BF190">
        <f>IFERROR(-(($BA190-AVERAGE($BA$3:$BA$206))/STDEV($BA$3:$BA$206))-(($BE190-AVERAGE($BE$3:$BE$206))/STDEV($BE$3:$BE$206))-(($BB190-AVERAGE($BB$3:$BB$206))/STDEV($BB$3:$BB$206))-(($Z190-AVERAGE($Z$3:$Z$206))/STDEV($Z$3:$Z$206))-(($BC190-AVERAGE($BC$3:$BC$206))/STDEV($BC$3:$BC$206)),"")</f>
      </c>
      <c r="BG190">
        <f>IF(OR($C190="",$C190="TOPX",$BA190="",$BF190=""),0,IF(AND($BK$10=1,$BA190&lt;=$BK$2,$BB190&lt;=$BK$3,$BC190&lt;=$BK$4,$Z190&lt;=$BK$5,$Z190&gt;=$BK$6,$BD190&gt;=$BK$7,$BE190&lt;=$BK$8),1,0))</f>
      </c>
      <c r="BH190">
        <f>IF($C190="","",IF($BG190=1,"○ゲート通過",IF($BK$10&lt;&gt;1,"― この方向は停止中",IF($BA190&gt;$BK$2,"×値動きが荒い",IF($BB190&gt;$BK$3,"×レンジが広い",IF($BC190&gt;$BK$4,"×窓を開けて上昇",IF($Z190&gt;$BK$5,"×前日に急騰",IF($Z190&lt;$BK$6,"×前日に急落",IF($BD190&lt;$BK$7,"×高値から離れすぎ",IF($BE190&gt;$BK$8,"×当日の値幅が大きい","×")))))))))</f>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 t="shared" si="34"/>
        <v>-23.659914565247348</v>
      </c>
      <c r="M191" s="166">
        <f>IF(C191&lt;&gt;"",IFERROR(AVERAGE(出来高!E202:I202),""),"")</f>
        <v>1659760</v>
      </c>
      <c r="N191" s="166">
        <f>IF(C191&lt;&gt;"",IFERROR(AVERAGE(出来高!E202:AC202),""),"")</f>
        <v>1258908</v>
      </c>
      <c r="O191" s="168">
        <f t="shared" si="35"/>
        <v>0.86922205620089654</v>
      </c>
      <c r="P191" s="163" t="str">
        <f t="shared" si="36"/>
        <v>減少↓</v>
      </c>
      <c r="Q191" s="163" t="str">
        <f t="shared" si="37"/>
        <v>中立→</v>
      </c>
      <c r="R191" s="166">
        <f t="shared" si="44"/>
        <v>5983</v>
      </c>
      <c r="S191" s="166">
        <f t="shared" si="45"/>
        <v>5318</v>
      </c>
      <c r="T191" s="163">
        <f>IF(C191="","",IFERROR(IF(O191&gt;=2,3,IF(O191&gt;=1.5,2,IF(O191&gt;=1,1,0)))+IF(E191&gt;G191,1,0)+IF(L191&gt;=-5,1,0)+IF(Q191="買い▲",2,0)+IF(W191&gt;=78,-4,IF(W191&gt;=72,-2,IF(W191&gt;=55,2,IF(W191&gt;=45,1,0))))+IF(X191&gt;0,1,0)+IF(V191="年初来高値更新●",3,IF(V191="高値圏",2,0))+IF(AD191="パーフェクト▲",3,IF(AD191="上昇トレンド▲",2,0))+IF(AE191="25日線押し目●",2,IF(AE191="5日線押し目○",1,0))+IF(P191="急増↑↑",2,IF(P191="増加↑",1,0))+N(AI191),0))</f>
      </c>
      <c r="U191" s="163" t="str">
        <f t="shared" si="46"/>
        <v>要確認</v>
      </c>
      <c r="V191" s="163" t="str">
        <f t="shared" si="39"/>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 t="shared" si="47"/>
        <v>2.8401707815110449</v>
      </c>
      <c r="AA191" s="163" t="str">
        <f t="shared" si="48"/>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 t="shared" si="49"/>
        <v>パーフェクト▲</v>
      </c>
      <c r="AE191" s="406" t="str">
        <f t="shared" si="50"/>
        <v>なし</v>
      </c>
      <c r="AF191" s="365">
        <f t="array" ref="AF191">IF(C191="","",IFERROR((INDEX(終値!$E:$E,MATCH(TEXT(C191,"0"),終値!$A:$A,0))-INDEX(終値!$E:$CZ,MATCH(TEXT(C191,"0"),終値!$A:$A,0),$AL$2))/INDEX(終値!$E:$CZ,MATCH(TEXT(C191,"0"),終値!$A:$A,0),$AL$2)*100,""))</f>
        <v>7.3851521612715647</v>
      </c>
      <c r="AG191" s="365">
        <f t="array" ref="AG191">IFERROR((終値!$E$5-INDEX(終値!$E$5:$CZ$5,1,$AL$2))/INDEX(終値!$E$5:$CZ$5,1,$AL$2)*100,"")</f>
        <v>1.0179378228534113</v>
      </c>
      <c r="AH191" s="366">
        <f t="shared" si="42"/>
        <v>6.3672143384181537</v>
      </c>
      <c r="AI191" s="364">
        <f t="shared" si="43"/>
        <v>3</v>
      </c>
      <c r="BA191">
        <f>IFERROR((SUM(OFFSET(高値!$E$6,IFERROR(MATCH($C191,銘柄管理!$B$6:$B$305,0),MATCH(TEXT($C191,"0"),銘柄管理!$B$6:$B$305,0))-1,0,1,14))-SUM(OFFSET(安値!$E$6,IFERROR(MATCH($C191,銘柄管理!$B$6:$B$305,0),MATCH(TEXT($C191,"0"),銘柄管理!$B$6:$B$305,0))-1,0,1,14)))/SUM(OFFSET(終値!$E$6,IFERROR(MATCH($C191,銘柄管理!$B$6:$B$305,0),MATCH(TEXT($C191,"0"),銘柄管理!$B$6:$B$305,0))-1,0,1,14))*100,"")</f>
      </c>
      <c r="BB191">
        <f>IFERROR((MAX(OFFSET(高値!$E$6,IFERROR(MATCH($C191,銘柄管理!$B$6:$B$305,0),MATCH(TEXT($C191,"0"),銘柄管理!$B$6:$B$305,0))-1,0,1,25))-MIN(OFFSET(安値!$E$6,IFERROR(MATCH($C191,銘柄管理!$B$6:$B$305,0),MATCH(TEXT($C191,"0"),銘柄管理!$B$6:$B$305,0))-1,0,1,25)))/$E191*100,"")</f>
      </c>
      <c r="BC191">
        <f>IFERROR(($F191-$G191)/$G191*100,"")</f>
      </c>
      <c r="BD191">
        <f>IFERROR(($E191-MAX(OFFSET(高値!$E$6,IFERROR(MATCH($C191,銘柄管理!$B$6:$B$305,0),MATCH(TEXT($C191,"0"),銘柄管理!$B$6:$B$305,0))-1,0,1,25)))/MAX(OFFSET(高値!$E$6,IFERROR(MATCH($C191,銘柄管理!$B$6:$B$305,0),MATCH(TEXT($C191,"0"),銘柄管理!$B$6:$B$305,0))-1,0,1,25))*100,"")</f>
      </c>
      <c r="BE191">
        <f>IFERROR(($H191-$I191)/$F191*100,"")</f>
      </c>
      <c r="BF191">
        <f>IFERROR(-(($BA191-AVERAGE($BA$3:$BA$206))/STDEV($BA$3:$BA$206))-(($BE191-AVERAGE($BE$3:$BE$206))/STDEV($BE$3:$BE$206))-(($BB191-AVERAGE($BB$3:$BB$206))/STDEV($BB$3:$BB$206))-(($Z191-AVERAGE($Z$3:$Z$206))/STDEV($Z$3:$Z$206))-(($BC191-AVERAGE($BC$3:$BC$206))/STDEV($BC$3:$BC$206)),"")</f>
      </c>
      <c r="BG191">
        <f>IF(OR($C191="",$C191="TOPX",$BA191="",$BF191=""),0,IF(AND($BK$10=1,$BA191&lt;=$BK$2,$BB191&lt;=$BK$3,$BC191&lt;=$BK$4,$Z191&lt;=$BK$5,$Z191&gt;=$BK$6,$BD191&gt;=$BK$7,$BE191&lt;=$BK$8),1,0))</f>
      </c>
      <c r="BH191">
        <f>IF($C191="","",IF($BG191=1,"○ゲート通過",IF($BK$10&lt;&gt;1,"― この方向は停止中",IF($BA191&gt;$BK$2,"×値動きが荒い",IF($BB191&gt;$BK$3,"×レンジが広い",IF($BC191&gt;$BK$4,"×窓を開けて上昇",IF($Z191&gt;$BK$5,"×前日に急騰",IF($Z191&lt;$BK$6,"×前日に急落",IF($BD191&lt;$BK$7,"×高値から離れすぎ",IF($BE191&gt;$BK$8,"×当日の値幅が大きい","×")))))))))</f>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 t="shared" si="34"/>
        <v>-8.3143507972665152</v>
      </c>
      <c r="M192" s="166">
        <f>IF(C192&lt;&gt;"",IFERROR(AVERAGE(出来高!E194:I194),""),"")</f>
        <v>620160</v>
      </c>
      <c r="N192" s="166">
        <f>IF(C192&lt;&gt;"",IFERROR(AVERAGE(出来高!E194:AC194),""),"")</f>
        <v>589525</v>
      </c>
      <c r="O192" s="168">
        <f t="shared" si="35"/>
        <v>0.98942208462332304</v>
      </c>
      <c r="P192" s="163" t="str">
        <f t="shared" si="36"/>
        <v>減少↓</v>
      </c>
      <c r="Q192" s="163" t="str">
        <f t="shared" si="37"/>
        <v>中立→</v>
      </c>
      <c r="R192" s="166">
        <f t="shared" si="44"/>
        <v>8694</v>
      </c>
      <c r="S192" s="166">
        <f t="shared" si="45"/>
        <v>7728</v>
      </c>
      <c r="T192" s="163">
        <f>IF(C192="","",IFERROR(IF(O192&gt;=2,3,IF(O192&gt;=1.5,2,IF(O192&gt;=1,1,0)))+IF(E192&gt;G192,1,0)+IF(L192&gt;=-5,1,0)+IF(Q192="買い▲",2,0)+IF(W192&gt;=78,-4,IF(W192&gt;=72,-2,IF(W192&gt;=55,2,IF(W192&gt;=45,1,0))))+IF(X192&gt;0,1,0)+IF(V192="年初来高値更新●",3,IF(V192="高値圏",2,0))+IF(AD192="パーフェクト▲",3,IF(AD192="上昇トレンド▲",2,0))+IF(AE192="25日線押し目●",2,IF(AE192="5日線押し目○",1,0))+IF(P192="急増↑↑",2,IF(P192="増加↑",1,0))+N(AI192),0))</f>
      </c>
      <c r="U192" s="163" t="str">
        <f t="shared" si="46"/>
        <v>要確認</v>
      </c>
      <c r="V192" s="163" t="str">
        <f t="shared" si="39"/>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 t="shared" si="47"/>
        <v>0.75093867334167708</v>
      </c>
      <c r="AA192" s="163" t="str">
        <f t="shared" si="48"/>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 t="shared" si="49"/>
        <v>パーフェクト▲</v>
      </c>
      <c r="AE192" s="404" t="str">
        <f t="shared" si="50"/>
        <v>5日押し目○</v>
      </c>
      <c r="AF192" s="365">
        <f t="array" ref="AF192">IF(C192="","",IFERROR((INDEX(終値!$E:$E,MATCH(TEXT(C192,"0"),終値!$A:$A,0))-INDEX(終値!$E:$CZ,MATCH(TEXT(C192,"0"),終値!$A:$A,0),$AL$2))/INDEX(終値!$E:$CZ,MATCH(TEXT(C192,"0"),終値!$A:$A,0),$AL$2)*100,""))</f>
        <v>9.6730245231607626</v>
      </c>
      <c r="AG192" s="365">
        <f t="array" ref="AG192">IFERROR((終値!$E$5-INDEX(終値!$E$5:$CZ$5,1,$AL$2))/INDEX(終値!$E$5:$CZ$5,1,$AL$2)*100,"")</f>
        <v>1.0179378228534113</v>
      </c>
      <c r="AH192" s="366">
        <f t="shared" si="42"/>
        <v>8.6550867003073506</v>
      </c>
      <c r="AI192" s="364">
        <f t="shared" si="43"/>
        <v>3</v>
      </c>
      <c r="BA192">
        <f>IFERROR((SUM(OFFSET(高値!$E$6,IFERROR(MATCH($C192,銘柄管理!$B$6:$B$305,0),MATCH(TEXT($C192,"0"),銘柄管理!$B$6:$B$305,0))-1,0,1,14))-SUM(OFFSET(安値!$E$6,IFERROR(MATCH($C192,銘柄管理!$B$6:$B$305,0),MATCH(TEXT($C192,"0"),銘柄管理!$B$6:$B$305,0))-1,0,1,14)))/SUM(OFFSET(終値!$E$6,IFERROR(MATCH($C192,銘柄管理!$B$6:$B$305,0),MATCH(TEXT($C192,"0"),銘柄管理!$B$6:$B$305,0))-1,0,1,14))*100,"")</f>
      </c>
      <c r="BB192">
        <f>IFERROR((MAX(OFFSET(高値!$E$6,IFERROR(MATCH($C192,銘柄管理!$B$6:$B$305,0),MATCH(TEXT($C192,"0"),銘柄管理!$B$6:$B$305,0))-1,0,1,25))-MIN(OFFSET(安値!$E$6,IFERROR(MATCH($C192,銘柄管理!$B$6:$B$305,0),MATCH(TEXT($C192,"0"),銘柄管理!$B$6:$B$305,0))-1,0,1,25)))/$E192*100,"")</f>
      </c>
      <c r="BC192">
        <f>IFERROR(($F192-$G192)/$G192*100,"")</f>
      </c>
      <c r="BD192">
        <f>IFERROR(($E192-MAX(OFFSET(高値!$E$6,IFERROR(MATCH($C192,銘柄管理!$B$6:$B$305,0),MATCH(TEXT($C192,"0"),銘柄管理!$B$6:$B$305,0))-1,0,1,25)))/MAX(OFFSET(高値!$E$6,IFERROR(MATCH($C192,銘柄管理!$B$6:$B$305,0),MATCH(TEXT($C192,"0"),銘柄管理!$B$6:$B$305,0))-1,0,1,25))*100,"")</f>
      </c>
      <c r="BE192">
        <f>IFERROR(($H192-$I192)/$F192*100,"")</f>
      </c>
      <c r="BF192">
        <f>IFERROR(-(($BA192-AVERAGE($BA$3:$BA$206))/STDEV($BA$3:$BA$206))-(($BE192-AVERAGE($BE$3:$BE$206))/STDEV($BE$3:$BE$206))-(($BB192-AVERAGE($BB$3:$BB$206))/STDEV($BB$3:$BB$206))-(($Z192-AVERAGE($Z$3:$Z$206))/STDEV($Z$3:$Z$206))-(($BC192-AVERAGE($BC$3:$BC$206))/STDEV($BC$3:$BC$206)),"")</f>
      </c>
      <c r="BG192">
        <f>IF(OR($C192="",$C192="TOPX",$BA192="",$BF192=""),0,IF(AND($BK$10=1,$BA192&lt;=$BK$2,$BB192&lt;=$BK$3,$BC192&lt;=$BK$4,$Z192&lt;=$BK$5,$Z192&gt;=$BK$6,$BD192&gt;=$BK$7,$BE192&lt;=$BK$8),1,0))</f>
      </c>
      <c r="BH192">
        <f>IF($C192="","",IF($BG192=1,"○ゲート通過",IF($BK$10&lt;&gt;1,"― この方向は停止中",IF($BA192&gt;$BK$2,"×値動きが荒い",IF($BB192&gt;$BK$3,"×レンジが広い",IF($BC192&gt;$BK$4,"×窓を開けて上昇",IF($Z192&gt;$BK$5,"×前日に急騰",IF($Z192&lt;$BK$6,"×前日に急落",IF($BD192&lt;$BK$7,"×高値から離れすぎ",IF($BE192&gt;$BK$8,"×当日の値幅が大きい","×")))))))))</f>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 t="shared" si="34"/>
        <v>-13.543441226575808</v>
      </c>
      <c r="M193" s="166">
        <f>IF(C193&lt;&gt;"",IFERROR(AVERAGE(出来高!E168:I168),""),"")</f>
        <v>24980</v>
      </c>
      <c r="N193" s="166">
        <f>IF(C193&lt;&gt;"",IFERROR(AVERAGE(出来高!E168:AC168),""),"")</f>
        <v>24295.833333333332</v>
      </c>
      <c r="O193" s="168">
        <f t="shared" si="35"/>
        <v>0.89671737389911932</v>
      </c>
      <c r="P193" s="163" t="str">
        <f t="shared" si="36"/>
        <v>減少↓</v>
      </c>
      <c r="Q193" s="163" t="str">
        <f t="shared" si="37"/>
        <v>様子見▼</v>
      </c>
      <c r="R193" s="166">
        <f t="shared" si="44"/>
        <v>2192</v>
      </c>
      <c r="S193" s="166">
        <f t="shared" si="45"/>
        <v>1949</v>
      </c>
      <c r="T193" s="163">
        <f>IF(C193="","",IFERROR(IF(O193&gt;=2,3,IF(O193&gt;=1.5,2,IF(O193&gt;=1,1,0)))+IF(E193&gt;G193,1,0)+IF(L193&gt;=-5,1,0)+IF(Q193="買い▲",2,0)+IF(W193&gt;=78,-4,IF(W193&gt;=72,-2,IF(W193&gt;=55,2,IF(W193&gt;=45,1,0))))+IF(X193&gt;0,1,0)+IF(V193="年初来高値更新●",3,IF(V193="高値圏",2,0))+IF(AD193="パーフェクト▲",3,IF(AD193="上昇トレンド▲",2,0))+IF(AE193="25日線押し目●",2,IF(AE193="5日線押し目○",1,0))+IF(P193="急増↑↑",2,IF(P193="増加↑",1,0))+N(AI193),0))</f>
      </c>
      <c r="U193" s="163" t="str">
        <f t="shared" si="46"/>
        <v>除外</v>
      </c>
      <c r="V193" s="163" t="str">
        <f t="shared" si="39"/>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 t="shared" si="47"/>
        <v>-0.14756517461878996</v>
      </c>
      <c r="AA193" s="163" t="str">
        <f t="shared" si="48"/>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 t="shared" si="49"/>
        <v>もみ合い→</v>
      </c>
      <c r="AE193" s="406" t="str">
        <f t="shared" si="50"/>
        <v>なし</v>
      </c>
      <c r="AF193" s="365">
        <f t="array" ref="AF193">IF(C193="","",IFERROR((INDEX(終値!$E:$E,MATCH(TEXT(C193,"0"),終値!$A:$A,0))-INDEX(終値!$E:$CZ,MATCH(TEXT(C193,"0"),終値!$A:$A,0),$AL$2))/INDEX(終値!$E:$CZ,MATCH(TEXT(C193,"0"),終値!$A:$A,0),$AL$2)*100,""))</f>
        <v>5.3997923156801662</v>
      </c>
      <c r="AG193" s="365">
        <f t="array" ref="AG193">IFERROR((終値!$E$5-INDEX(終値!$E$5:$CZ$5,1,$AL$2))/INDEX(終値!$E$5:$CZ$5,1,$AL$2)*100,"")</f>
        <v>1.0179378228534113</v>
      </c>
      <c r="AH193" s="366">
        <f t="shared" si="42"/>
        <v>4.3818544928267551</v>
      </c>
      <c r="AI193" s="364">
        <f t="shared" si="43"/>
        <v>1</v>
      </c>
      <c r="BA193">
        <f>IFERROR((SUM(OFFSET(高値!$E$6,IFERROR(MATCH($C193,銘柄管理!$B$6:$B$305,0),MATCH(TEXT($C193,"0"),銘柄管理!$B$6:$B$305,0))-1,0,1,14))-SUM(OFFSET(安値!$E$6,IFERROR(MATCH($C193,銘柄管理!$B$6:$B$305,0),MATCH(TEXT($C193,"0"),銘柄管理!$B$6:$B$305,0))-1,0,1,14)))/SUM(OFFSET(終値!$E$6,IFERROR(MATCH($C193,銘柄管理!$B$6:$B$305,0),MATCH(TEXT($C193,"0"),銘柄管理!$B$6:$B$305,0))-1,0,1,14))*100,"")</f>
      </c>
      <c r="BB193">
        <f>IFERROR((MAX(OFFSET(高値!$E$6,IFERROR(MATCH($C193,銘柄管理!$B$6:$B$305,0),MATCH(TEXT($C193,"0"),銘柄管理!$B$6:$B$305,0))-1,0,1,25))-MIN(OFFSET(安値!$E$6,IFERROR(MATCH($C193,銘柄管理!$B$6:$B$305,0),MATCH(TEXT($C193,"0"),銘柄管理!$B$6:$B$305,0))-1,0,1,25)))/$E193*100,"")</f>
      </c>
      <c r="BC193">
        <f>IFERROR(($F193-$G193)/$G193*100,"")</f>
      </c>
      <c r="BD193">
        <f>IFERROR(($E193-MAX(OFFSET(高値!$E$6,IFERROR(MATCH($C193,銘柄管理!$B$6:$B$305,0),MATCH(TEXT($C193,"0"),銘柄管理!$B$6:$B$305,0))-1,0,1,25)))/MAX(OFFSET(高値!$E$6,IFERROR(MATCH($C193,銘柄管理!$B$6:$B$305,0),MATCH(TEXT($C193,"0"),銘柄管理!$B$6:$B$305,0))-1,0,1,25))*100,"")</f>
      </c>
      <c r="BE193">
        <f>IFERROR(($H193-$I193)/$F193*100,"")</f>
      </c>
      <c r="BF193">
        <f>IFERROR(-(($BA193-AVERAGE($BA$3:$BA$206))/STDEV($BA$3:$BA$206))-(($BE193-AVERAGE($BE$3:$BE$206))/STDEV($BE$3:$BE$206))-(($BB193-AVERAGE($BB$3:$BB$206))/STDEV($BB$3:$BB$206))-(($Z193-AVERAGE($Z$3:$Z$206))/STDEV($Z$3:$Z$206))-(($BC193-AVERAGE($BC$3:$BC$206))/STDEV($BC$3:$BC$206)),"")</f>
      </c>
      <c r="BG193">
        <f>IF(OR($C193="",$C193="TOPX",$BA193="",$BF193=""),0,IF(AND($BK$10=1,$BA193&lt;=$BK$2,$BB193&lt;=$BK$3,$BC193&lt;=$BK$4,$Z193&lt;=$BK$5,$Z193&gt;=$BK$6,$BD193&gt;=$BK$7,$BE193&lt;=$BK$8),1,0))</f>
      </c>
      <c r="BH193">
        <f>IF($C193="","",IF($BG193=1,"○ゲート通過",IF($BK$10&lt;&gt;1,"― この方向は停止中",IF($BA193&gt;$BK$2,"×値動きが荒い",IF($BB193&gt;$BK$3,"×レンジが広い",IF($BC193&gt;$BK$4,"×窓を開けて上昇",IF($Z193&gt;$BK$5,"×前日に急騰",IF($Z193&lt;$BK$6,"×前日に急落",IF($BD193&lt;$BK$7,"×高値から離れすぎ",IF($BE193&gt;$BK$8,"×当日の値幅が大きい","×")))))))))</f>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 t="shared" si="34"/>
        <v>-19.377013963480131</v>
      </c>
      <c r="M194" s="166">
        <f>IF(C194&lt;&gt;"",IFERROR(AVERAGE(出来高!E174:I174),""),"")</f>
        <v>326140</v>
      </c>
      <c r="N194" s="166">
        <f>IF(C194&lt;&gt;"",IFERROR(AVERAGE(出来高!E174:AC174),""),"")</f>
        <v>291716</v>
      </c>
      <c r="O194" s="168">
        <f t="shared" si="35"/>
        <v>0.60188875942846631</v>
      </c>
      <c r="P194" s="163" t="str">
        <f t="shared" si="36"/>
        <v>減少↓</v>
      </c>
      <c r="Q194" s="163" t="str">
        <f t="shared" si="37"/>
        <v>中立→</v>
      </c>
      <c r="R194" s="166">
        <f t="shared" si="44"/>
        <v>4053</v>
      </c>
      <c r="S194" s="166">
        <f t="shared" si="45"/>
        <v>3603</v>
      </c>
      <c r="T194" s="163">
        <f>IF(C194="","",IFERROR(IF(O194&gt;=2,3,IF(O194&gt;=1.5,2,IF(O194&gt;=1,1,0)))+IF(E194&gt;G194,1,0)+IF(L194&gt;=-5,1,0)+IF(Q194="買い▲",2,0)+IF(W194&gt;=78,-4,IF(W194&gt;=72,-2,IF(W194&gt;=55,2,IF(W194&gt;=45,1,0))))+IF(X194&gt;0,1,0)+IF(V194="年初来高値更新●",3,IF(V194="高値圏",2,0))+IF(AD194="パーフェクト▲",3,IF(AD194="上昇トレンド▲",2,0))+IF(AE194="25日線押し目●",2,IF(AE194="5日線押し目○",1,0))+IF(P194="急増↑↑",2,IF(P194="増加↑",1,0))+N(AI194),0))</f>
      </c>
      <c r="U194" s="163" t="str">
        <f t="shared" si="46"/>
        <v>要確認</v>
      </c>
      <c r="V194" s="163" t="str">
        <f t="shared" si="39"/>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 t="shared" si="47"/>
        <v>2.4849808847624248</v>
      </c>
      <c r="AA194" s="163" t="str">
        <f t="shared" si="48"/>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 t="shared" si="49"/>
        <v>もみ合い→</v>
      </c>
      <c r="AE194" s="404" t="str">
        <f t="shared" si="50"/>
        <v>なし</v>
      </c>
      <c r="AF194" s="365">
        <f t="array" ref="AF194">IF(C194="","",IFERROR((INDEX(終値!$E:$E,MATCH(TEXT(C194,"0"),終値!$A:$A,0))-INDEX(終値!$E:$CZ,MATCH(TEXT(C194,"0"),終値!$A:$A,0),$AL$2))/INDEX(終値!$E:$CZ,MATCH(TEXT(C194,"0"),終値!$A:$A,0),$AL$2)*100,""))</f>
        <v>13.07622777945164</v>
      </c>
      <c r="AG194" s="365">
        <f t="array" ref="AG194">IFERROR((終値!$E$5-INDEX(終値!$E$5:$CZ$5,1,$AL$2))/INDEX(終値!$E$5:$CZ$5,1,$AL$2)*100,"")</f>
        <v>1.0179378228534113</v>
      </c>
      <c r="AH194" s="366">
        <f t="shared" si="42"/>
        <v>12.058289956598228</v>
      </c>
      <c r="AI194" s="364">
        <f t="shared" si="43"/>
        <v>3</v>
      </c>
      <c r="BA194">
        <f>IFERROR((SUM(OFFSET(高値!$E$6,IFERROR(MATCH($C194,銘柄管理!$B$6:$B$305,0),MATCH(TEXT($C194,"0"),銘柄管理!$B$6:$B$305,0))-1,0,1,14))-SUM(OFFSET(安値!$E$6,IFERROR(MATCH($C194,銘柄管理!$B$6:$B$305,0),MATCH(TEXT($C194,"0"),銘柄管理!$B$6:$B$305,0))-1,0,1,14)))/SUM(OFFSET(終値!$E$6,IFERROR(MATCH($C194,銘柄管理!$B$6:$B$305,0),MATCH(TEXT($C194,"0"),銘柄管理!$B$6:$B$305,0))-1,0,1,14))*100,"")</f>
      </c>
      <c r="BB194">
        <f>IFERROR((MAX(OFFSET(高値!$E$6,IFERROR(MATCH($C194,銘柄管理!$B$6:$B$305,0),MATCH(TEXT($C194,"0"),銘柄管理!$B$6:$B$305,0))-1,0,1,25))-MIN(OFFSET(安値!$E$6,IFERROR(MATCH($C194,銘柄管理!$B$6:$B$305,0),MATCH(TEXT($C194,"0"),銘柄管理!$B$6:$B$305,0))-1,0,1,25)))/$E194*100,"")</f>
      </c>
      <c r="BC194">
        <f>IFERROR(($F194-$G194)/$G194*100,"")</f>
      </c>
      <c r="BD194">
        <f>IFERROR(($E194-MAX(OFFSET(高値!$E$6,IFERROR(MATCH($C194,銘柄管理!$B$6:$B$305,0),MATCH(TEXT($C194,"0"),銘柄管理!$B$6:$B$305,0))-1,0,1,25)))/MAX(OFFSET(高値!$E$6,IFERROR(MATCH($C194,銘柄管理!$B$6:$B$305,0),MATCH(TEXT($C194,"0"),銘柄管理!$B$6:$B$305,0))-1,0,1,25))*100,"")</f>
      </c>
      <c r="BE194">
        <f>IFERROR(($H194-$I194)/$F194*100,"")</f>
      </c>
      <c r="BF194">
        <f>IFERROR(-(($BA194-AVERAGE($BA$3:$BA$206))/STDEV($BA$3:$BA$206))-(($BE194-AVERAGE($BE$3:$BE$206))/STDEV($BE$3:$BE$206))-(($BB194-AVERAGE($BB$3:$BB$206))/STDEV($BB$3:$BB$206))-(($Z194-AVERAGE($Z$3:$Z$206))/STDEV($Z$3:$Z$206))-(($BC194-AVERAGE($BC$3:$BC$206))/STDEV($BC$3:$BC$206)),"")</f>
      </c>
      <c r="BG194">
        <f>IF(OR($C194="",$C194="TOPX",$BA194="",$BF194=""),0,IF(AND($BK$10=1,$BA194&lt;=$BK$2,$BB194&lt;=$BK$3,$BC194&lt;=$BK$4,$Z194&lt;=$BK$5,$Z194&gt;=$BK$6,$BD194&gt;=$BK$7,$BE194&lt;=$BK$8),1,0))</f>
      </c>
      <c r="BH194">
        <f>IF($C194="","",IF($BG194=1,"○ゲート通過",IF($BK$10&lt;&gt;1,"― この方向は停止中",IF($BA194&gt;$BK$2,"×値動きが荒い",IF($BB194&gt;$BK$3,"×レンジが広い",IF($BC194&gt;$BK$4,"×窓を開けて上昇",IF($Z194&gt;$BK$5,"×前日に急騰",IF($Z194&lt;$BK$6,"×前日に急落",IF($BD194&lt;$BK$7,"×高値から離れすぎ",IF($BE194&gt;$BK$8,"×当日の値幅が大きい","×")))))))))</f>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 t="shared" ref="L195:L206" si="51">IF(AND(E195&lt;&gt;"",K195&lt;&gt;"",K195&lt;&gt;0),(E195-K195)/K195*100,"")</f>
        <v>-27.299465240641712</v>
      </c>
      <c r="M195" s="166">
        <f>IF(C195&lt;&gt;"",IFERROR(AVERAGE(出来高!E131:I131),""),"")</f>
        <v>832400</v>
      </c>
      <c r="N195" s="166">
        <f>IF(C195&lt;&gt;"",IFERROR(AVERAGE(出来高!E131:AC131),""),"")</f>
        <v>860668</v>
      </c>
      <c r="O195" s="168">
        <f t="shared" ref="O195:O206" si="52">IF(AND(J195&lt;&gt;"",M195&lt;&gt;"",M195&lt;&gt;0),J195/M195,"")</f>
        <v>1.3565593464680441</v>
      </c>
      <c r="P195" s="163" t="str">
        <f t="shared" ref="P195:P206" si="53">IF(O195="","",IF(O195&gt;=2,"急増↑↑",IF(O195&gt;=1.5,"増加↑",IF(O195&gt;=1,"普通→","減少↓"))))</f>
        <v>普通→</v>
      </c>
      <c r="Q195" s="163" t="str">
        <f t="shared" ref="Q195:Q206" si="54">IF(E195="","",IF(AND(E195&gt;G195,O195&gt;=1.5),"買い▲",IF(E195&lt;G195,"様子見▼","中立→")))</f>
        <v>中立→</v>
      </c>
      <c r="R195" s="166">
        <f t="shared" si="44"/>
        <v>2937</v>
      </c>
      <c r="S195" s="166">
        <f t="shared" si="45"/>
        <v>2610</v>
      </c>
      <c r="T195" s="163">
        <f>IF(C195="","",IFERROR(IF(O195&gt;=2,3,IF(O195&gt;=1.5,2,IF(O195&gt;=1,1,0)))+IF(E195&gt;G195,1,0)+IF(L195&gt;=-5,1,0)+IF(Q195="買い▲",2,0)+IF(W195&gt;=78,-4,IF(W195&gt;=72,-2,IF(W195&gt;=55,2,IF(W195&gt;=45,1,0))))+IF(X195&gt;0,1,0)+IF(V195="年初来高値更新●",3,IF(V195="高値圏",2,0))+IF(AD195="パーフェクト▲",3,IF(AD195="上昇トレンド▲",2,0))+IF(AE195="25日線押し目●",2,IF(AE195="5日線押し目○",1,0))+IF(P195="急増↑↑",2,IF(P195="増加↑",1,0))+N(AI195),0))</f>
      </c>
      <c r="U195" s="163" t="str">
        <f t="shared" si="46"/>
        <v>除外</v>
      </c>
      <c r="V195" s="163" t="str">
        <f t="shared" ref="V195:V206" si="56">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 t="shared" si="47"/>
        <v>3.2662362324344856</v>
      </c>
      <c r="AA195" s="163" t="str">
        <f t="shared" si="48"/>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 t="shared" ref="AD195:AD202" si="57">IF(OR(C195="",AB195="",AC195=""),"",IF(AND(E195&gt;AB195,AB195&gt;AC195),"パーフェクト▲",IF(E195&gt;AC195,"上昇トレンド▲",IF(AND(E195&lt;AB195,AB195&lt;AC195),"下降トレンド▼","もみ合い→"))))</f>
        <v>下降トレンド▼</v>
      </c>
      <c r="AE195" s="406" t="str">
        <f t="shared" ref="AE195:AE202" si="58">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IFERROR((終値!$E$5-INDEX(終値!$E$5:$CZ$5,1,$AL$2))/INDEX(終値!$E$5:$CZ$5,1,$AL$2)*100,"")</f>
        <v>1.0179378228534113</v>
      </c>
      <c r="AH195" s="366">
        <f t="shared" ref="AH195:AH206" si="59">IF(OR(AF195="",AG195=""),"",AF195-AG195)</f>
        <v>-3.5976583531292983</v>
      </c>
      <c r="AI195" s="364">
        <f t="shared" ref="AI195:AI206" si="60">IF(AH195="","",IF(AH195&gt;5,3,IF(AH195&gt;0,1,IF(AH195&gt;-3,-1,-2))))</f>
        <v>-2</v>
      </c>
      <c r="BA195">
        <f>IFERROR((SUM(OFFSET(高値!$E$6,IFERROR(MATCH($C195,銘柄管理!$B$6:$B$305,0),MATCH(TEXT($C195,"0"),銘柄管理!$B$6:$B$305,0))-1,0,1,14))-SUM(OFFSET(安値!$E$6,IFERROR(MATCH($C195,銘柄管理!$B$6:$B$305,0),MATCH(TEXT($C195,"0"),銘柄管理!$B$6:$B$305,0))-1,0,1,14)))/SUM(OFFSET(終値!$E$6,IFERROR(MATCH($C195,銘柄管理!$B$6:$B$305,0),MATCH(TEXT($C195,"0"),銘柄管理!$B$6:$B$305,0))-1,0,1,14))*100,"")</f>
      </c>
      <c r="BB195">
        <f>IFERROR((MAX(OFFSET(高値!$E$6,IFERROR(MATCH($C195,銘柄管理!$B$6:$B$305,0),MATCH(TEXT($C195,"0"),銘柄管理!$B$6:$B$305,0))-1,0,1,25))-MIN(OFFSET(安値!$E$6,IFERROR(MATCH($C195,銘柄管理!$B$6:$B$305,0),MATCH(TEXT($C195,"0"),銘柄管理!$B$6:$B$305,0))-1,0,1,25)))/$E195*100,"")</f>
      </c>
      <c r="BC195">
        <f>IFERROR(($F195-$G195)/$G195*100,"")</f>
      </c>
      <c r="BD195">
        <f>IFERROR(($E195-MAX(OFFSET(高値!$E$6,IFERROR(MATCH($C195,銘柄管理!$B$6:$B$305,0),MATCH(TEXT($C195,"0"),銘柄管理!$B$6:$B$305,0))-1,0,1,25)))/MAX(OFFSET(高値!$E$6,IFERROR(MATCH($C195,銘柄管理!$B$6:$B$305,0),MATCH(TEXT($C195,"0"),銘柄管理!$B$6:$B$305,0))-1,0,1,25))*100,"")</f>
      </c>
      <c r="BE195">
        <f>IFERROR(($H195-$I195)/$F195*100,"")</f>
      </c>
      <c r="BF195">
        <f>IFERROR(-(($BA195-AVERAGE($BA$3:$BA$206))/STDEV($BA$3:$BA$206))-(($BE195-AVERAGE($BE$3:$BE$206))/STDEV($BE$3:$BE$206))-(($BB195-AVERAGE($BB$3:$BB$206))/STDEV($BB$3:$BB$206))-(($Z195-AVERAGE($Z$3:$Z$206))/STDEV($Z$3:$Z$206))-(($BC195-AVERAGE($BC$3:$BC$206))/STDEV($BC$3:$BC$206)),"")</f>
      </c>
      <c r="BG195">
        <f>IF(OR($C195="",$C195="TOPX",$BA195="",$BF195=""),0,IF(AND($BK$10=1,$BA195&lt;=$BK$2,$BB195&lt;=$BK$3,$BC195&lt;=$BK$4,$Z195&lt;=$BK$5,$Z195&gt;=$BK$6,$BD195&gt;=$BK$7,$BE195&lt;=$BK$8),1,0))</f>
      </c>
      <c r="BH195">
        <f>IF($C195="","",IF($BG195=1,"○ゲート通過",IF($BK$10&lt;&gt;1,"― この方向は停止中",IF($BA195&gt;$BK$2,"×値動きが荒い",IF($BB195&gt;$BK$3,"×レンジが広い",IF($BC195&gt;$BK$4,"×窓を開けて上昇",IF($Z195&gt;$BK$5,"×前日に急騰",IF($Z195&lt;$BK$6,"×前日に急落",IF($BD195&lt;$BK$7,"×高値から離れすぎ",IF($BE195&gt;$BK$8,"×当日の値幅が大きい","×")))))))))</f>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 t="shared" si="51"/>
        <v>-16.328401204661521</v>
      </c>
      <c r="M196" s="166">
        <f>IF(C196&lt;&gt;"",IFERROR(AVERAGE(出来高!E187:I187),""),"")</f>
        <v>3836180</v>
      </c>
      <c r="N196" s="166">
        <f>IF(C196&lt;&gt;"",IFERROR(AVERAGE(出来高!E187:AC187),""),"")</f>
        <v>2134460</v>
      </c>
      <c r="O196" s="168">
        <f t="shared" si="52"/>
        <v>0.38321976549588394</v>
      </c>
      <c r="P196" s="163" t="str">
        <f t="shared" si="53"/>
        <v>減少↓</v>
      </c>
      <c r="Q196" s="163" t="str">
        <f t="shared" si="54"/>
        <v>中立→</v>
      </c>
      <c r="R196" s="166">
        <f t="shared" ref="R196:R206" si="61">IF(E196&lt;&gt;"",ROUND(E196*1.08,0),"")</f>
        <v>690</v>
      </c>
      <c r="S196" s="166">
        <f t="shared" ref="S196:S206" si="62">IF(E196&lt;&gt;"",ROUND(E196*0.96,0),"")</f>
        <v>613</v>
      </c>
      <c r="T196" s="163">
        <f>IF(C196="","",IFERROR(IF(O196&gt;=2,3,IF(O196&gt;=1.5,2,IF(O196&gt;=1,1,0)))+IF(E196&gt;G196,1,0)+IF(L196&gt;=-5,1,0)+IF(Q196="買い▲",2,0)+IF(W196&gt;=78,-4,IF(W196&gt;=72,-2,IF(W196&gt;=55,2,IF(W196&gt;=45,1,0))))+IF(X196&gt;0,1,0)+IF(V196="年初来高値更新●",3,IF(V196="高値圏",2,0))+IF(AD196="パーフェクト▲",3,IF(AD196="上昇トレンド▲",2,0))+IF(AE196="25日線押し目●",2,IF(AE196="5日線押し目○",1,0))+IF(P196="急増↑↑",2,IF(P196="増加↑",1,0))+N(AI196),0))</f>
      </c>
      <c r="U196" s="163" t="str">
        <f t="shared" ref="U196:U206" si="63">IF(T196="","",IF(AND(T196&gt;=3,O196&gt;=1.5),"有効",IF(T196&gt;=3,"要確認","除外")))</f>
        <v>除外</v>
      </c>
      <c r="V196" s="163" t="str">
        <f t="shared" si="56"/>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 t="shared" ref="Z196:Z206" si="64">IF(AND(E196&lt;&gt;"",G196&lt;&gt;"",G196&lt;&gt;0),(E196-G196)/G196*100,"")</f>
        <v>0.55074744295830058</v>
      </c>
      <c r="AA196" s="163" t="str">
        <f t="shared" ref="AA196:AA206" si="65">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 t="shared" si="57"/>
        <v>下降トレンド▼</v>
      </c>
      <c r="AE196" s="404" t="str">
        <f t="shared" si="58"/>
        <v>なし</v>
      </c>
      <c r="AF196" s="365">
        <f t="array" ref="AF196">IF(C196="","",IFERROR((INDEX(終値!$E:$E,MATCH(TEXT(C196,"0"),終値!$A:$A,0))-INDEX(終値!$E:$CZ,MATCH(TEXT(C196,"0"),終値!$A:$A,0),$AL$2))/INDEX(終値!$E:$CZ,MATCH(TEXT(C196,"0"),終値!$A:$A,0),$AL$2)*100,""))</f>
        <v>0.58240201479616649</v>
      </c>
      <c r="AG196" s="365">
        <f t="array" ref="AG196">IFERROR((終値!$E$5-INDEX(終値!$E$5:$CZ$5,1,$AL$2))/INDEX(終値!$E$5:$CZ$5,1,$AL$2)*100,"")</f>
        <v>1.0179378228534113</v>
      </c>
      <c r="AH196" s="366">
        <f t="shared" si="59"/>
        <v>-0.43553580805724479</v>
      </c>
      <c r="AI196" s="364">
        <f t="shared" si="60"/>
        <v>-1</v>
      </c>
      <c r="BA196">
        <f>IFERROR((SUM(OFFSET(高値!$E$6,IFERROR(MATCH($C196,銘柄管理!$B$6:$B$305,0),MATCH(TEXT($C196,"0"),銘柄管理!$B$6:$B$305,0))-1,0,1,14))-SUM(OFFSET(安値!$E$6,IFERROR(MATCH($C196,銘柄管理!$B$6:$B$305,0),MATCH(TEXT($C196,"0"),銘柄管理!$B$6:$B$305,0))-1,0,1,14)))/SUM(OFFSET(終値!$E$6,IFERROR(MATCH($C196,銘柄管理!$B$6:$B$305,0),MATCH(TEXT($C196,"0"),銘柄管理!$B$6:$B$305,0))-1,0,1,14))*100,"")</f>
      </c>
      <c r="BB196">
        <f>IFERROR((MAX(OFFSET(高値!$E$6,IFERROR(MATCH($C196,銘柄管理!$B$6:$B$305,0),MATCH(TEXT($C196,"0"),銘柄管理!$B$6:$B$305,0))-1,0,1,25))-MIN(OFFSET(安値!$E$6,IFERROR(MATCH($C196,銘柄管理!$B$6:$B$305,0),MATCH(TEXT($C196,"0"),銘柄管理!$B$6:$B$305,0))-1,0,1,25)))/$E196*100,"")</f>
      </c>
      <c r="BC196">
        <f>IFERROR(($F196-$G196)/$G196*100,"")</f>
      </c>
      <c r="BD196">
        <f>IFERROR(($E196-MAX(OFFSET(高値!$E$6,IFERROR(MATCH($C196,銘柄管理!$B$6:$B$305,0),MATCH(TEXT($C196,"0"),銘柄管理!$B$6:$B$305,0))-1,0,1,25)))/MAX(OFFSET(高値!$E$6,IFERROR(MATCH($C196,銘柄管理!$B$6:$B$305,0),MATCH(TEXT($C196,"0"),銘柄管理!$B$6:$B$305,0))-1,0,1,25))*100,"")</f>
      </c>
      <c r="BE196">
        <f>IFERROR(($H196-$I196)/$F196*100,"")</f>
      </c>
      <c r="BF196">
        <f>IFERROR(-(($BA196-AVERAGE($BA$3:$BA$206))/STDEV($BA$3:$BA$206))-(($BE196-AVERAGE($BE$3:$BE$206))/STDEV($BE$3:$BE$206))-(($BB196-AVERAGE($BB$3:$BB$206))/STDEV($BB$3:$BB$206))-(($Z196-AVERAGE($Z$3:$Z$206))/STDEV($Z$3:$Z$206))-(($BC196-AVERAGE($BC$3:$BC$206))/STDEV($BC$3:$BC$206)),"")</f>
      </c>
      <c r="BG196">
        <f>IF(OR($C196="",$C196="TOPX",$BA196="",$BF196=""),0,IF(AND($BK$10=1,$BA196&lt;=$BK$2,$BB196&lt;=$BK$3,$BC196&lt;=$BK$4,$Z196&lt;=$BK$5,$Z196&gt;=$BK$6,$BD196&gt;=$BK$7,$BE196&lt;=$BK$8),1,0))</f>
      </c>
      <c r="BH196">
        <f>IF($C196="","",IF($BG196=1,"○ゲート通過",IF($BK$10&lt;&gt;1,"― この方向は停止中",IF($BA196&gt;$BK$2,"×値動きが荒い",IF($BB196&gt;$BK$3,"×レンジが広い",IF($BC196&gt;$BK$4,"×窓を開けて上昇",IF($Z196&gt;$BK$5,"×前日に急騰",IF($Z196&lt;$BK$6,"×前日に急落",IF($BD196&lt;$BK$7,"×高値から離れすぎ",IF($BE196&gt;$BK$8,"×当日の値幅が大きい","×")))))))))</f>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 t="shared" si="51"/>
        <v>-21.229718189581554</v>
      </c>
      <c r="M197" s="166">
        <f>IF(C197&lt;&gt;"",IFERROR(AVERAGE(出来高!E86:I86),""),"")</f>
        <v>1332820</v>
      </c>
      <c r="N197" s="166">
        <f>IF(C197&lt;&gt;"",IFERROR(AVERAGE(出来高!E86:AC86),""),"")</f>
        <v>1629862.5</v>
      </c>
      <c r="O197" s="168">
        <f t="shared" si="52"/>
        <v>0.73198181299800424</v>
      </c>
      <c r="P197" s="163" t="str">
        <f t="shared" si="53"/>
        <v>減少↓</v>
      </c>
      <c r="Q197" s="163" t="str">
        <f t="shared" si="54"/>
        <v>様子見▼</v>
      </c>
      <c r="R197" s="166">
        <f t="shared" si="61"/>
        <v>2490</v>
      </c>
      <c r="S197" s="166">
        <f t="shared" si="62"/>
        <v>2214</v>
      </c>
      <c r="T197" s="163">
        <f>IF(C197="","",IFERROR(IF(O197&gt;=2,3,IF(O197&gt;=1.5,2,IF(O197&gt;=1,1,0)))+IF(E197&gt;G197,1,0)+IF(L197&gt;=-5,1,0)+IF(Q197="買い▲",2,0)+IF(W197&gt;=78,-4,IF(W197&gt;=72,-2,IF(W197&gt;=55,2,IF(W197&gt;=45,1,0))))+IF(X197&gt;0,1,0)+IF(V197="年初来高値更新●",3,IF(V197="高値圏",2,0))+IF(AD197="パーフェクト▲",3,IF(AD197="上昇トレンド▲",2,0))+IF(AE197="25日線押し目●",2,IF(AE197="5日線押し目○",1,0))+IF(P197="急増↑↑",2,IF(P197="増加↑",1,0))+N(AI197),0))</f>
      </c>
      <c r="U197" s="163" t="str">
        <f t="shared" si="63"/>
        <v>除外</v>
      </c>
      <c r="V197" s="163" t="str">
        <f t="shared" si="56"/>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 t="shared" si="64"/>
        <v>-0.9024495058014611</v>
      </c>
      <c r="AA197" s="163" t="str">
        <f t="shared" si="65"/>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 t="shared" si="57"/>
        <v>もみ合い→</v>
      </c>
      <c r="AE197" s="406" t="str">
        <f t="shared" si="58"/>
        <v>なし</v>
      </c>
      <c r="AF197" s="365">
        <f t="array" ref="AF197">IF(C197="","",IFERROR((INDEX(終値!$E:$E,MATCH(TEXT(C197,"0"),終値!$A:$A,0))-INDEX(終値!$E:$CZ,MATCH(TEXT(C197,"0"),終値!$A:$A,0),$AL$2))/INDEX(終値!$E:$CZ,MATCH(TEXT(C197,"0"),終値!$A:$A,0),$AL$2)*100,""))</f>
        <v>-7.1097683786505534</v>
      </c>
      <c r="AG197" s="365">
        <f t="array" ref="AG197">IFERROR((終値!$E$5-INDEX(終値!$E$5:$CZ$5,1,$AL$2))/INDEX(終値!$E$5:$CZ$5,1,$AL$2)*100,"")</f>
        <v>1.0179378228534113</v>
      </c>
      <c r="AH197" s="366">
        <f t="shared" si="59"/>
        <v>-8.1277062015039654</v>
      </c>
      <c r="AI197" s="364">
        <f t="shared" si="60"/>
        <v>-2</v>
      </c>
      <c r="BA197">
        <f>IFERROR((SUM(OFFSET(高値!$E$6,IFERROR(MATCH($C197,銘柄管理!$B$6:$B$305,0),MATCH(TEXT($C197,"0"),銘柄管理!$B$6:$B$305,0))-1,0,1,14))-SUM(OFFSET(安値!$E$6,IFERROR(MATCH($C197,銘柄管理!$B$6:$B$305,0),MATCH(TEXT($C197,"0"),銘柄管理!$B$6:$B$305,0))-1,0,1,14)))/SUM(OFFSET(終値!$E$6,IFERROR(MATCH($C197,銘柄管理!$B$6:$B$305,0),MATCH(TEXT($C197,"0"),銘柄管理!$B$6:$B$305,0))-1,0,1,14))*100,"")</f>
      </c>
      <c r="BB197">
        <f>IFERROR((MAX(OFFSET(高値!$E$6,IFERROR(MATCH($C197,銘柄管理!$B$6:$B$305,0),MATCH(TEXT($C197,"0"),銘柄管理!$B$6:$B$305,0))-1,0,1,25))-MIN(OFFSET(安値!$E$6,IFERROR(MATCH($C197,銘柄管理!$B$6:$B$305,0),MATCH(TEXT($C197,"0"),銘柄管理!$B$6:$B$305,0))-1,0,1,25)))/$E197*100,"")</f>
      </c>
      <c r="BC197">
        <f>IFERROR(($F197-$G197)/$G197*100,"")</f>
      </c>
      <c r="BD197">
        <f>IFERROR(($E197-MAX(OFFSET(高値!$E$6,IFERROR(MATCH($C197,銘柄管理!$B$6:$B$305,0),MATCH(TEXT($C197,"0"),銘柄管理!$B$6:$B$305,0))-1,0,1,25)))/MAX(OFFSET(高値!$E$6,IFERROR(MATCH($C197,銘柄管理!$B$6:$B$305,0),MATCH(TEXT($C197,"0"),銘柄管理!$B$6:$B$305,0))-1,0,1,25))*100,"")</f>
      </c>
      <c r="BE197">
        <f>IFERROR(($H197-$I197)/$F197*100,"")</f>
      </c>
      <c r="BF197">
        <f>IFERROR(-(($BA197-AVERAGE($BA$3:$BA$206))/STDEV($BA$3:$BA$206))-(($BE197-AVERAGE($BE$3:$BE$206))/STDEV($BE$3:$BE$206))-(($BB197-AVERAGE($BB$3:$BB$206))/STDEV($BB$3:$BB$206))-(($Z197-AVERAGE($Z$3:$Z$206))/STDEV($Z$3:$Z$206))-(($BC197-AVERAGE($BC$3:$BC$206))/STDEV($BC$3:$BC$206)),"")</f>
      </c>
      <c r="BG197">
        <f>IF(OR($C197="",$C197="TOPX",$BA197="",$BF197=""),0,IF(AND($BK$10=1,$BA197&lt;=$BK$2,$BB197&lt;=$BK$3,$BC197&lt;=$BK$4,$Z197&lt;=$BK$5,$Z197&gt;=$BK$6,$BD197&gt;=$BK$7,$BE197&lt;=$BK$8),1,0))</f>
      </c>
      <c r="BH197">
        <f>IF($C197="","",IF($BG197=1,"○ゲート通過",IF($BK$10&lt;&gt;1,"― この方向は停止中",IF($BA197&gt;$BK$2,"×値動きが荒い",IF($BB197&gt;$BK$3,"×レンジが広い",IF($BC197&gt;$BK$4,"×窓を開けて上昇",IF($Z197&gt;$BK$5,"×前日に急騰",IF($Z197&lt;$BK$6,"×前日に急落",IF($BD197&lt;$BK$7,"×高値から離れすぎ",IF($BE197&gt;$BK$8,"×当日の値幅が大きい","×")))))))))</f>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 t="shared" si="51"/>
        <v>-26.900763358778622</v>
      </c>
      <c r="M198" s="166">
        <f>IF(C198&lt;&gt;"",IFERROR(AVERAGE(出来高!E59:I59),""),"")</f>
        <v>1046000</v>
      </c>
      <c r="N198" s="166">
        <f>IF(C198&lt;&gt;"",IFERROR(AVERAGE(出来高!E59:AC59),""),"")</f>
        <v>780276</v>
      </c>
      <c r="O198" s="168">
        <f t="shared" si="52"/>
        <v>0.9140535372848948</v>
      </c>
      <c r="P198" s="163" t="str">
        <f t="shared" si="53"/>
        <v>減少↓</v>
      </c>
      <c r="Q198" s="163" t="str">
        <f t="shared" si="54"/>
        <v>様子見▼</v>
      </c>
      <c r="R198" s="166">
        <f t="shared" si="61"/>
        <v>2586</v>
      </c>
      <c r="S198" s="166">
        <f t="shared" si="62"/>
        <v>2298</v>
      </c>
      <c r="T198" s="163">
        <f>IF(C198="","",IFERROR(IF(O198&gt;=2,3,IF(O198&gt;=1.5,2,IF(O198&gt;=1,1,0)))+IF(E198&gt;G198,1,0)+IF(L198&gt;=-5,1,0)+IF(Q198="買い▲",2,0)+IF(W198&gt;=78,-4,IF(W198&gt;=72,-2,IF(W198&gt;=55,2,IF(W198&gt;=45,1,0))))+IF(X198&gt;0,1,0)+IF(V198="年初来高値更新●",3,IF(V198="高値圏",2,0))+IF(AD198="パーフェクト▲",3,IF(AD198="上昇トレンド▲",2,0))+IF(AE198="25日線押し目●",2,IF(AE198="5日線押し目○",1,0))+IF(P198="急増↑↑",2,IF(P198="増加↑",1,0))+N(AI198),0))</f>
      </c>
      <c r="U198" s="163" t="str">
        <f t="shared" si="63"/>
        <v>除外</v>
      </c>
      <c r="V198" s="163" t="str">
        <f t="shared" si="56"/>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 t="shared" si="64"/>
        <v>-2.5244299674267103</v>
      </c>
      <c r="AA198" s="163" t="str">
        <f t="shared" si="65"/>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 t="shared" si="57"/>
        <v>もみ合い→</v>
      </c>
      <c r="AE198" s="404" t="str">
        <f t="shared" si="58"/>
        <v>なし</v>
      </c>
      <c r="AF198" s="365">
        <f t="array" ref="AF198">IF(C198="","",IFERROR((INDEX(終値!$E:$E,MATCH(TEXT(C198,"0"),終値!$A:$A,0))-INDEX(終値!$E:$CZ,MATCH(TEXT(C198,"0"),終値!$A:$A,0),$AL$2))/INDEX(終値!$E:$CZ,MATCH(TEXT(C198,"0"),終値!$A:$A,0),$AL$2)*100,""))</f>
        <v>-16.498081618416464</v>
      </c>
      <c r="AG198" s="365">
        <f t="array" ref="AG198">IFERROR((終値!$E$5-INDEX(終値!$E$5:$CZ$5,1,$AL$2))/INDEX(終値!$E$5:$CZ$5,1,$AL$2)*100,"")</f>
        <v>1.0179378228534113</v>
      </c>
      <c r="AH198" s="366">
        <f t="shared" si="59"/>
        <v>-17.516019441269876</v>
      </c>
      <c r="AI198" s="364">
        <f t="shared" si="60"/>
        <v>-2</v>
      </c>
      <c r="BA198">
        <f>IFERROR((SUM(OFFSET(高値!$E$6,IFERROR(MATCH($C198,銘柄管理!$B$6:$B$305,0),MATCH(TEXT($C198,"0"),銘柄管理!$B$6:$B$305,0))-1,0,1,14))-SUM(OFFSET(安値!$E$6,IFERROR(MATCH($C198,銘柄管理!$B$6:$B$305,0),MATCH(TEXT($C198,"0"),銘柄管理!$B$6:$B$305,0))-1,0,1,14)))/SUM(OFFSET(終値!$E$6,IFERROR(MATCH($C198,銘柄管理!$B$6:$B$305,0),MATCH(TEXT($C198,"0"),銘柄管理!$B$6:$B$305,0))-1,0,1,14))*100,"")</f>
      </c>
      <c r="BB198">
        <f>IFERROR((MAX(OFFSET(高値!$E$6,IFERROR(MATCH($C198,銘柄管理!$B$6:$B$305,0),MATCH(TEXT($C198,"0"),銘柄管理!$B$6:$B$305,0))-1,0,1,25))-MIN(OFFSET(安値!$E$6,IFERROR(MATCH($C198,銘柄管理!$B$6:$B$305,0),MATCH(TEXT($C198,"0"),銘柄管理!$B$6:$B$305,0))-1,0,1,25)))/$E198*100,"")</f>
      </c>
      <c r="BC198">
        <f>IFERROR(($F198-$G198)/$G198*100,"")</f>
      </c>
      <c r="BD198">
        <f>IFERROR(($E198-MAX(OFFSET(高値!$E$6,IFERROR(MATCH($C198,銘柄管理!$B$6:$B$305,0),MATCH(TEXT($C198,"0"),銘柄管理!$B$6:$B$305,0))-1,0,1,25)))/MAX(OFFSET(高値!$E$6,IFERROR(MATCH($C198,銘柄管理!$B$6:$B$305,0),MATCH(TEXT($C198,"0"),銘柄管理!$B$6:$B$305,0))-1,0,1,25))*100,"")</f>
      </c>
      <c r="BE198">
        <f>IFERROR(($H198-$I198)/$F198*100,"")</f>
      </c>
      <c r="BF198">
        <f>IFERROR(-(($BA198-AVERAGE($BA$3:$BA$206))/STDEV($BA$3:$BA$206))-(($BE198-AVERAGE($BE$3:$BE$206))/STDEV($BE$3:$BE$206))-(($BB198-AVERAGE($BB$3:$BB$206))/STDEV($BB$3:$BB$206))-(($Z198-AVERAGE($Z$3:$Z$206))/STDEV($Z$3:$Z$206))-(($BC198-AVERAGE($BC$3:$BC$206))/STDEV($BC$3:$BC$206)),"")</f>
      </c>
      <c r="BG198">
        <f>IF(OR($C198="",$C198="TOPX",$BA198="",$BF198=""),0,IF(AND($BK$10=1,$BA198&lt;=$BK$2,$BB198&lt;=$BK$3,$BC198&lt;=$BK$4,$Z198&lt;=$BK$5,$Z198&gt;=$BK$6,$BD198&gt;=$BK$7,$BE198&lt;=$BK$8),1,0))</f>
      </c>
      <c r="BH198">
        <f>IF($C198="","",IF($BG198=1,"○ゲート通過",IF($BK$10&lt;&gt;1,"― この方向は停止中",IF($BA198&gt;$BK$2,"×値動きが荒い",IF($BB198&gt;$BK$3,"×レンジが広い",IF($BC198&gt;$BK$4,"×窓を開けて上昇",IF($Z198&gt;$BK$5,"×前日に急騰",IF($Z198&lt;$BK$6,"×前日に急落",IF($BD198&lt;$BK$7,"×高値から離れすぎ",IF($BE198&gt;$BK$8,"×当日の値幅が大きい","×")))))))))</f>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 t="shared" si="51"/>
        <v>-24.369973190348524</v>
      </c>
      <c r="M199" s="166">
        <f>IF(C199&lt;&gt;"",IFERROR(AVERAGE(出来高!E175:I175),""),"")</f>
        <v>2491540</v>
      </c>
      <c r="N199" s="166">
        <f>IF(C199&lt;&gt;"",IFERROR(AVERAGE(出来高!E175:AC175),""),"")</f>
        <v>1277292</v>
      </c>
      <c r="O199" s="168">
        <f t="shared" si="52"/>
        <v>0.59826452715990919</v>
      </c>
      <c r="P199" s="163" t="str">
        <f t="shared" si="53"/>
        <v>減少↓</v>
      </c>
      <c r="Q199" s="163" t="str">
        <f t="shared" si="54"/>
        <v>様子見▼</v>
      </c>
      <c r="R199" s="166">
        <f t="shared" si="61"/>
        <v>6093</v>
      </c>
      <c r="S199" s="166">
        <f t="shared" si="62"/>
        <v>5416</v>
      </c>
      <c r="T199" s="163">
        <f>IF(C199="","",IFERROR(IF(O199&gt;=2,3,IF(O199&gt;=1.5,2,IF(O199&gt;=1,1,0)))+IF(E199&gt;G199,1,0)+IF(L199&gt;=-5,1,0)+IF(Q199="買い▲",2,0)+IF(W199&gt;=78,-4,IF(W199&gt;=72,-2,IF(W199&gt;=55,2,IF(W199&gt;=45,1,0))))+IF(X199&gt;0,1,0)+IF(V199="年初来高値更新●",3,IF(V199="高値圏",2,0))+IF(AD199="パーフェクト▲",3,IF(AD199="上昇トレンド▲",2,0))+IF(AE199="25日線押し目●",2,IF(AE199="5日線押し目○",1,0))+IF(P199="急増↑↑",2,IF(P199="増加↑",1,0))+N(AI199),0))</f>
      </c>
      <c r="U199" s="163" t="str">
        <f t="shared" si="63"/>
        <v>除外</v>
      </c>
      <c r="V199" s="163" t="str">
        <f t="shared" si="56"/>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 t="shared" si="64"/>
        <v>-0.73891625615763545</v>
      </c>
      <c r="AA199" s="163" t="str">
        <f t="shared" si="65"/>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 t="shared" si="57"/>
        <v>上昇トレンド▲</v>
      </c>
      <c r="AE199" s="406" t="str">
        <f t="shared" si="58"/>
        <v>なし</v>
      </c>
      <c r="AF199" s="365">
        <f t="array" ref="AF199">IF(C199="","",IFERROR((INDEX(終値!$E:$E,MATCH(TEXT(C199,"0"),終値!$A:$A,0))-INDEX(終値!$E:$CZ,MATCH(TEXT(C199,"0"),終値!$A:$A,0),$AL$2))/INDEX(終値!$E:$CZ,MATCH(TEXT(C199,"0"),終値!$A:$A,0),$AL$2)*100,""))</f>
        <v>-16.116562592922985</v>
      </c>
      <c r="AG199" s="365">
        <f t="array" ref="AG199">IFERROR((終値!$E$5-INDEX(終値!$E$5:$CZ$5,1,$AL$2))/INDEX(終値!$E$5:$CZ$5,1,$AL$2)*100,"")</f>
        <v>1.0179378228534113</v>
      </c>
      <c r="AH199" s="366">
        <f t="shared" si="59"/>
        <v>-17.134500415776397</v>
      </c>
      <c r="AI199" s="364">
        <f t="shared" si="60"/>
        <v>-2</v>
      </c>
      <c r="BA199">
        <f>IFERROR((SUM(OFFSET(高値!$E$6,IFERROR(MATCH($C199,銘柄管理!$B$6:$B$305,0),MATCH(TEXT($C199,"0"),銘柄管理!$B$6:$B$305,0))-1,0,1,14))-SUM(OFFSET(安値!$E$6,IFERROR(MATCH($C199,銘柄管理!$B$6:$B$305,0),MATCH(TEXT($C199,"0"),銘柄管理!$B$6:$B$305,0))-1,0,1,14)))/SUM(OFFSET(終値!$E$6,IFERROR(MATCH($C199,銘柄管理!$B$6:$B$305,0),MATCH(TEXT($C199,"0"),銘柄管理!$B$6:$B$305,0))-1,0,1,14))*100,"")</f>
      </c>
      <c r="BB199">
        <f>IFERROR((MAX(OFFSET(高値!$E$6,IFERROR(MATCH($C199,銘柄管理!$B$6:$B$305,0),MATCH(TEXT($C199,"0"),銘柄管理!$B$6:$B$305,0))-1,0,1,25))-MIN(OFFSET(安値!$E$6,IFERROR(MATCH($C199,銘柄管理!$B$6:$B$305,0),MATCH(TEXT($C199,"0"),銘柄管理!$B$6:$B$305,0))-1,0,1,25)))/$E199*100,"")</f>
      </c>
      <c r="BC199">
        <f>IFERROR(($F199-$G199)/$G199*100,"")</f>
      </c>
      <c r="BD199">
        <f>IFERROR(($E199-MAX(OFFSET(高値!$E$6,IFERROR(MATCH($C199,銘柄管理!$B$6:$B$305,0),MATCH(TEXT($C199,"0"),銘柄管理!$B$6:$B$305,0))-1,0,1,25)))/MAX(OFFSET(高値!$E$6,IFERROR(MATCH($C199,銘柄管理!$B$6:$B$305,0),MATCH(TEXT($C199,"0"),銘柄管理!$B$6:$B$305,0))-1,0,1,25))*100,"")</f>
      </c>
      <c r="BE199">
        <f>IFERROR(($H199-$I199)/$F199*100,"")</f>
      </c>
      <c r="BF199">
        <f>IFERROR(-(($BA199-AVERAGE($BA$3:$BA$206))/STDEV($BA$3:$BA$206))-(($BE199-AVERAGE($BE$3:$BE$206))/STDEV($BE$3:$BE$206))-(($BB199-AVERAGE($BB$3:$BB$206))/STDEV($BB$3:$BB$206))-(($Z199-AVERAGE($Z$3:$Z$206))/STDEV($Z$3:$Z$206))-(($BC199-AVERAGE($BC$3:$BC$206))/STDEV($BC$3:$BC$206)),"")</f>
      </c>
      <c r="BG199">
        <f>IF(OR($C199="",$C199="TOPX",$BA199="",$BF199=""),0,IF(AND($BK$10=1,$BA199&lt;=$BK$2,$BB199&lt;=$BK$3,$BC199&lt;=$BK$4,$Z199&lt;=$BK$5,$Z199&gt;=$BK$6,$BD199&gt;=$BK$7,$BE199&lt;=$BK$8),1,0))</f>
      </c>
      <c r="BH199">
        <f>IF($C199="","",IF($BG199=1,"○ゲート通過",IF($BK$10&lt;&gt;1,"― この方向は停止中",IF($BA199&gt;$BK$2,"×値動きが荒い",IF($BB199&gt;$BK$3,"×レンジが広い",IF($BC199&gt;$BK$4,"×窓を開けて上昇",IF($Z199&gt;$BK$5,"×前日に急騰",IF($Z199&lt;$BK$6,"×前日に急落",IF($BD199&lt;$BK$7,"×高値から離れすぎ",IF($BE199&gt;$BK$8,"×当日の値幅が大きい","×")))))))))</f>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 t="shared" si="51"/>
        <v>-22.711864406779661</v>
      </c>
      <c r="M200" s="166">
        <f>IF(C200&lt;&gt;"",IFERROR(AVERAGE(出来高!E176:I176),""),"")</f>
        <v>143400</v>
      </c>
      <c r="N200" s="166">
        <f>IF(C200&lt;&gt;"",IFERROR(AVERAGE(出来高!E176:AC176),""),"")</f>
        <v>93760</v>
      </c>
      <c r="O200" s="168">
        <f t="shared" si="52"/>
        <v>1.6792189679218967</v>
      </c>
      <c r="P200" s="163" t="str">
        <f t="shared" si="53"/>
        <v>増加↑</v>
      </c>
      <c r="Q200" s="163" t="str">
        <f t="shared" si="54"/>
        <v>買い▲</v>
      </c>
      <c r="R200" s="166">
        <f t="shared" si="61"/>
        <v>2709</v>
      </c>
      <c r="S200" s="166">
        <f t="shared" si="62"/>
        <v>2408</v>
      </c>
      <c r="T200" s="163">
        <f>IF(C200="","",IFERROR(IF(O200&gt;=2,3,IF(O200&gt;=1.5,2,IF(O200&gt;=1,1,0)))+IF(E200&gt;G200,1,0)+IF(L200&gt;=-5,1,0)+IF(Q200="買い▲",2,0)+IF(W200&gt;=78,-4,IF(W200&gt;=72,-2,IF(W200&gt;=55,2,IF(W200&gt;=45,1,0))))+IF(X200&gt;0,1,0)+IF(V200="年初来高値更新●",3,IF(V200="高値圏",2,0))+IF(AD200="パーフェクト▲",3,IF(AD200="上昇トレンド▲",2,0))+IF(AE200="25日線押し目●",2,IF(AE200="5日線押し目○",1,0))+IF(P200="急増↑↑",2,IF(P200="増加↑",1,0))+N(AI200),0))</f>
      </c>
      <c r="U200" s="163" t="str">
        <f t="shared" si="63"/>
        <v>有効</v>
      </c>
      <c r="V200" s="163" t="str">
        <f t="shared" si="56"/>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 t="shared" si="64"/>
        <v>0.15974440894568689</v>
      </c>
      <c r="AA200" s="163" t="str">
        <f t="shared" si="65"/>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 t="shared" si="57"/>
        <v>もみ合い→</v>
      </c>
      <c r="AE200" s="404" t="str">
        <f t="shared" si="58"/>
        <v>なし</v>
      </c>
      <c r="AF200" s="365">
        <f t="array" ref="AF200">IF(C200="","",IFERROR((INDEX(終値!$E:$E,MATCH(TEXT(C200,"0"),終値!$A:$A,0))-INDEX(終値!$E:$CZ,MATCH(TEXT(C200,"0"),終値!$A:$A,0),$AL$2))/INDEX(終値!$E:$CZ,MATCH(TEXT(C200,"0"),終値!$A:$A,0),$AL$2)*100,""))</f>
        <v>-5.9970014992503744</v>
      </c>
      <c r="AG200" s="365">
        <f t="array" ref="AG200">IFERROR((終値!$E$5-INDEX(終値!$E$5:$CZ$5,1,$AL$2))/INDEX(終値!$E$5:$CZ$5,1,$AL$2)*100,"")</f>
        <v>1.0179378228534113</v>
      </c>
      <c r="AH200" s="366">
        <f t="shared" si="59"/>
        <v>-7.0149393221037855</v>
      </c>
      <c r="AI200" s="364">
        <f t="shared" si="60"/>
        <v>-2</v>
      </c>
      <c r="BA200">
        <f>IFERROR((SUM(OFFSET(高値!$E$6,IFERROR(MATCH($C200,銘柄管理!$B$6:$B$305,0),MATCH(TEXT($C200,"0"),銘柄管理!$B$6:$B$305,0))-1,0,1,14))-SUM(OFFSET(安値!$E$6,IFERROR(MATCH($C200,銘柄管理!$B$6:$B$305,0),MATCH(TEXT($C200,"0"),銘柄管理!$B$6:$B$305,0))-1,0,1,14)))/SUM(OFFSET(終値!$E$6,IFERROR(MATCH($C200,銘柄管理!$B$6:$B$305,0),MATCH(TEXT($C200,"0"),銘柄管理!$B$6:$B$305,0))-1,0,1,14))*100,"")</f>
      </c>
      <c r="BB200">
        <f>IFERROR((MAX(OFFSET(高値!$E$6,IFERROR(MATCH($C200,銘柄管理!$B$6:$B$305,0),MATCH(TEXT($C200,"0"),銘柄管理!$B$6:$B$305,0))-1,0,1,25))-MIN(OFFSET(安値!$E$6,IFERROR(MATCH($C200,銘柄管理!$B$6:$B$305,0),MATCH(TEXT($C200,"0"),銘柄管理!$B$6:$B$305,0))-1,0,1,25)))/$E200*100,"")</f>
      </c>
      <c r="BC200">
        <f>IFERROR(($F200-$G200)/$G200*100,"")</f>
      </c>
      <c r="BD200">
        <f>IFERROR(($E200-MAX(OFFSET(高値!$E$6,IFERROR(MATCH($C200,銘柄管理!$B$6:$B$305,0),MATCH(TEXT($C200,"0"),銘柄管理!$B$6:$B$305,0))-1,0,1,25)))/MAX(OFFSET(高値!$E$6,IFERROR(MATCH($C200,銘柄管理!$B$6:$B$305,0),MATCH(TEXT($C200,"0"),銘柄管理!$B$6:$B$305,0))-1,0,1,25))*100,"")</f>
      </c>
      <c r="BE200">
        <f>IFERROR(($H200-$I200)/$F200*100,"")</f>
      </c>
      <c r="BF200">
        <f>IFERROR(-(($BA200-AVERAGE($BA$3:$BA$206))/STDEV($BA$3:$BA$206))-(($BE200-AVERAGE($BE$3:$BE$206))/STDEV($BE$3:$BE$206))-(($BB200-AVERAGE($BB$3:$BB$206))/STDEV($BB$3:$BB$206))-(($Z200-AVERAGE($Z$3:$Z$206))/STDEV($Z$3:$Z$206))-(($BC200-AVERAGE($BC$3:$BC$206))/STDEV($BC$3:$BC$206)),"")</f>
      </c>
      <c r="BG200">
        <f>IF(OR($C200="",$C200="TOPX",$BA200="",$BF200=""),0,IF(AND($BK$10=1,$BA200&lt;=$BK$2,$BB200&lt;=$BK$3,$BC200&lt;=$BK$4,$Z200&lt;=$BK$5,$Z200&gt;=$BK$6,$BD200&gt;=$BK$7,$BE200&lt;=$BK$8),1,0))</f>
      </c>
      <c r="BH200">
        <f>IF($C200="","",IF($BG200=1,"○ゲート通過",IF($BK$10&lt;&gt;1,"― この方向は停止中",IF($BA200&gt;$BK$2,"×値動きが荒い",IF($BB200&gt;$BK$3,"×レンジが広い",IF($BC200&gt;$BK$4,"×窓を開けて上昇",IF($Z200&gt;$BK$5,"×前日に急騰",IF($Z200&lt;$BK$6,"×前日に急落",IF($BD200&lt;$BK$7,"×高値から離れすぎ",IF($BE200&gt;$BK$8,"×当日の値幅が大きい","×")))))))))</f>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 t="shared" si="51"/>
        <v>-16.474464579901152</v>
      </c>
      <c r="M201" s="166">
        <f>IF(C201&lt;&gt;"",IFERROR(AVERAGE(出来高!E163:I163),""),"")</f>
        <v>98880</v>
      </c>
      <c r="N201" s="166">
        <f>IF(C201&lt;&gt;"",IFERROR(AVERAGE(出来高!E163:AC163),""),"")</f>
        <v>111920</v>
      </c>
      <c r="O201" s="168">
        <f t="shared" si="52"/>
        <v>0.60578478964401294</v>
      </c>
      <c r="P201" s="163" t="str">
        <f t="shared" si="53"/>
        <v>減少↓</v>
      </c>
      <c r="Q201" s="163" t="str">
        <f t="shared" si="54"/>
        <v>様子見▼</v>
      </c>
      <c r="R201" s="166">
        <f t="shared" si="61"/>
        <v>1643</v>
      </c>
      <c r="S201" s="166">
        <f t="shared" si="62"/>
        <v>1460</v>
      </c>
      <c r="T201" s="163">
        <f>IF(C201="","",IFERROR(IF(O201&gt;=2,3,IF(O201&gt;=1.5,2,IF(O201&gt;=1,1,0)))+IF(E201&gt;G201,1,0)+IF(L201&gt;=-5,1,0)+IF(Q201="買い▲",2,0)+IF(W201&gt;=78,-4,IF(W201&gt;=72,-2,IF(W201&gt;=55,2,IF(W201&gt;=45,1,0))))+IF(X201&gt;0,1,0)+IF(V201="年初来高値更新●",3,IF(V201="高値圏",2,0))+IF(AD201="パーフェクト▲",3,IF(AD201="上昇トレンド▲",2,0))+IF(AE201="25日線押し目●",2,IF(AE201="5日線押し目○",1,0))+IF(P201="急増↑↑",2,IF(P201="増加↑",1,0))+N(AI201),0))</f>
      </c>
      <c r="U201" s="163" t="str">
        <f t="shared" si="63"/>
        <v>除外</v>
      </c>
      <c r="V201" s="163" t="str">
        <f t="shared" si="56"/>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 t="shared" si="64"/>
        <v>-0.58823529411764708</v>
      </c>
      <c r="AA201" s="163" t="str">
        <f t="shared" si="65"/>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 t="shared" si="57"/>
        <v>もみ合い→</v>
      </c>
      <c r="AE201" s="406" t="str">
        <f t="shared" si="58"/>
        <v>なし</v>
      </c>
      <c r="AF201" s="365">
        <f t="array" ref="AF201">IF(C201="","",IFERROR((INDEX(終値!$E:$E,MATCH(TEXT(C201,"0"),終値!$A:$A,0))-INDEX(終値!$E:$CZ,MATCH(TEXT(C201,"0"),終値!$A:$A,0),$AL$2))/INDEX(終値!$E:$CZ,MATCH(TEXT(C201,"0"),終値!$A:$A,0),$AL$2)*100,""))</f>
        <v>-9.3563766388557799</v>
      </c>
      <c r="AG201" s="365">
        <f t="array" ref="AG201">IFERROR((終値!$E$5-INDEX(終値!$E$5:$CZ$5,1,$AL$2))/INDEX(終値!$E$5:$CZ$5,1,$AL$2)*100,"")</f>
        <v>1.0179378228534113</v>
      </c>
      <c r="AH201" s="366">
        <f t="shared" si="59"/>
        <v>-10.374314461709192</v>
      </c>
      <c r="AI201" s="364">
        <f t="shared" si="60"/>
        <v>-2</v>
      </c>
      <c r="BA201">
        <f>IFERROR((SUM(OFFSET(高値!$E$6,IFERROR(MATCH($C201,銘柄管理!$B$6:$B$305,0),MATCH(TEXT($C201,"0"),銘柄管理!$B$6:$B$305,0))-1,0,1,14))-SUM(OFFSET(安値!$E$6,IFERROR(MATCH($C201,銘柄管理!$B$6:$B$305,0),MATCH(TEXT($C201,"0"),銘柄管理!$B$6:$B$305,0))-1,0,1,14)))/SUM(OFFSET(終値!$E$6,IFERROR(MATCH($C201,銘柄管理!$B$6:$B$305,0),MATCH(TEXT($C201,"0"),銘柄管理!$B$6:$B$305,0))-1,0,1,14))*100,"")</f>
      </c>
      <c r="BB201">
        <f>IFERROR((MAX(OFFSET(高値!$E$6,IFERROR(MATCH($C201,銘柄管理!$B$6:$B$305,0),MATCH(TEXT($C201,"0"),銘柄管理!$B$6:$B$305,0))-1,0,1,25))-MIN(OFFSET(安値!$E$6,IFERROR(MATCH($C201,銘柄管理!$B$6:$B$305,0),MATCH(TEXT($C201,"0"),銘柄管理!$B$6:$B$305,0))-1,0,1,25)))/$E201*100,"")</f>
      </c>
      <c r="BC201">
        <f>IFERROR(($F201-$G201)/$G201*100,"")</f>
      </c>
      <c r="BD201">
        <f>IFERROR(($E201-MAX(OFFSET(高値!$E$6,IFERROR(MATCH($C201,銘柄管理!$B$6:$B$305,0),MATCH(TEXT($C201,"0"),銘柄管理!$B$6:$B$305,0))-1,0,1,25)))/MAX(OFFSET(高値!$E$6,IFERROR(MATCH($C201,銘柄管理!$B$6:$B$305,0),MATCH(TEXT($C201,"0"),銘柄管理!$B$6:$B$305,0))-1,0,1,25))*100,"")</f>
      </c>
      <c r="BE201">
        <f>IFERROR(($H201-$I201)/$F201*100,"")</f>
      </c>
      <c r="BF201">
        <f>IFERROR(-(($BA201-AVERAGE($BA$3:$BA$206))/STDEV($BA$3:$BA$206))-(($BE201-AVERAGE($BE$3:$BE$206))/STDEV($BE$3:$BE$206))-(($BB201-AVERAGE($BB$3:$BB$206))/STDEV($BB$3:$BB$206))-(($Z201-AVERAGE($Z$3:$Z$206))/STDEV($Z$3:$Z$206))-(($BC201-AVERAGE($BC$3:$BC$206))/STDEV($BC$3:$BC$206)),"")</f>
      </c>
      <c r="BG201">
        <f>IF(OR($C201="",$C201="TOPX",$BA201="",$BF201=""),0,IF(AND($BK$10=1,$BA201&lt;=$BK$2,$BB201&lt;=$BK$3,$BC201&lt;=$BK$4,$Z201&lt;=$BK$5,$Z201&gt;=$BK$6,$BD201&gt;=$BK$7,$BE201&lt;=$BK$8),1,0))</f>
      </c>
      <c r="BH201">
        <f>IF($C201="","",IF($BG201=1,"○ゲート通過",IF($BK$10&lt;&gt;1,"― この方向は停止中",IF($BA201&gt;$BK$2,"×値動きが荒い",IF($BB201&gt;$BK$3,"×レンジが広い",IF($BC201&gt;$BK$4,"×窓を開けて上昇",IF($Z201&gt;$BK$5,"×前日に急騰",IF($Z201&lt;$BK$6,"×前日に急落",IF($BD201&lt;$BK$7,"×高値から離れすぎ",IF($BE201&gt;$BK$8,"×当日の値幅が大きい","×")))))))))</f>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 t="shared" si="51"/>
        <v>-20.964685615848406</v>
      </c>
      <c r="M202" s="166">
        <f>IF(C202&lt;&gt;"",IFERROR(AVERAGE(出来高!E83:I83),""),"")</f>
        <v>2335540</v>
      </c>
      <c r="N202" s="166">
        <f>IF(C202&lt;&gt;"",IFERROR(AVERAGE(出来高!E83:AC83),""),"")</f>
        <v>2091572</v>
      </c>
      <c r="O202" s="168">
        <f t="shared" si="52"/>
        <v>1.0414293910615959</v>
      </c>
      <c r="P202" s="163" t="str">
        <f t="shared" si="53"/>
        <v>普通→</v>
      </c>
      <c r="Q202" s="163" t="str">
        <f t="shared" si="54"/>
        <v>中立→</v>
      </c>
      <c r="R202" s="166">
        <f t="shared" si="61"/>
        <v>4955</v>
      </c>
      <c r="S202" s="166">
        <f t="shared" si="62"/>
        <v>4404</v>
      </c>
      <c r="T202" s="163">
        <f>IF(C202="","",IFERROR(IF(O202&gt;=2,3,IF(O202&gt;=1.5,2,IF(O202&gt;=1,1,0)))+IF(E202&gt;G202,1,0)+IF(L202&gt;=-5,1,0)+IF(Q202="買い▲",2,0)+IF(W202&gt;=78,-4,IF(W202&gt;=72,-2,IF(W202&gt;=55,2,IF(W202&gt;=45,1,0))))+IF(X202&gt;0,1,0)+IF(V202="年初来高値更新●",3,IF(V202="高値圏",2,0))+IF(AD202="パーフェクト▲",3,IF(AD202="上昇トレンド▲",2,0))+IF(AE202="25日線押し目●",2,IF(AE202="5日線押し目○",1,0))+IF(P202="急増↑↑",2,IF(P202="増加↑",1,0))+N(AI202),0))</f>
      </c>
      <c r="U202" s="163" t="str">
        <f t="shared" si="63"/>
        <v>要確認</v>
      </c>
      <c r="V202" s="163" t="str">
        <f t="shared" si="56"/>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 t="shared" si="64"/>
        <v>1.661865721249723</v>
      </c>
      <c r="AA202" s="163" t="str">
        <f t="shared" si="65"/>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 t="shared" si="57"/>
        <v>もみ合い→</v>
      </c>
      <c r="AE202" s="404" t="str">
        <f t="shared" si="58"/>
        <v>なし</v>
      </c>
      <c r="AF202" s="365">
        <f t="array" ref="AF202">IF(C202="","",IFERROR((INDEX(終値!$E:$E,MATCH(TEXT(C202,"0"),終値!$A:$A,0))-INDEX(終値!$E:$CZ,MATCH(TEXT(C202,"0"),終値!$A:$A,0),$AL$2))/INDEX(終値!$E:$CZ,MATCH(TEXT(C202,"0"),終値!$A:$A,0),$AL$2)*100,""))</f>
        <v>4.4864495559098154</v>
      </c>
      <c r="AG202" s="365">
        <f t="array" ref="AG202">IFERROR((終値!$E$5-INDEX(終値!$E$5:$CZ$5,1,$AL$2))/INDEX(終値!$E$5:$CZ$5,1,$AL$2)*100,"")</f>
        <v>1.0179378228534113</v>
      </c>
      <c r="AH202" s="366">
        <f t="shared" si="59"/>
        <v>3.4685117330564044</v>
      </c>
      <c r="AI202" s="364">
        <f t="shared" si="60"/>
        <v>1</v>
      </c>
      <c r="BA202">
        <f>IFERROR((SUM(OFFSET(高値!$E$6,IFERROR(MATCH($C202,銘柄管理!$B$6:$B$305,0),MATCH(TEXT($C202,"0"),銘柄管理!$B$6:$B$305,0))-1,0,1,14))-SUM(OFFSET(安値!$E$6,IFERROR(MATCH($C202,銘柄管理!$B$6:$B$305,0),MATCH(TEXT($C202,"0"),銘柄管理!$B$6:$B$305,0))-1,0,1,14)))/SUM(OFFSET(終値!$E$6,IFERROR(MATCH($C202,銘柄管理!$B$6:$B$305,0),MATCH(TEXT($C202,"0"),銘柄管理!$B$6:$B$305,0))-1,0,1,14))*100,"")</f>
      </c>
      <c r="BB202">
        <f>IFERROR((MAX(OFFSET(高値!$E$6,IFERROR(MATCH($C202,銘柄管理!$B$6:$B$305,0),MATCH(TEXT($C202,"0"),銘柄管理!$B$6:$B$305,0))-1,0,1,25))-MIN(OFFSET(安値!$E$6,IFERROR(MATCH($C202,銘柄管理!$B$6:$B$305,0),MATCH(TEXT($C202,"0"),銘柄管理!$B$6:$B$305,0))-1,0,1,25)))/$E202*100,"")</f>
      </c>
      <c r="BC202">
        <f>IFERROR(($F202-$G202)/$G202*100,"")</f>
      </c>
      <c r="BD202">
        <f>IFERROR(($E202-MAX(OFFSET(高値!$E$6,IFERROR(MATCH($C202,銘柄管理!$B$6:$B$305,0),MATCH(TEXT($C202,"0"),銘柄管理!$B$6:$B$305,0))-1,0,1,25)))/MAX(OFFSET(高値!$E$6,IFERROR(MATCH($C202,銘柄管理!$B$6:$B$305,0),MATCH(TEXT($C202,"0"),銘柄管理!$B$6:$B$305,0))-1,0,1,25))*100,"")</f>
      </c>
      <c r="BE202">
        <f>IFERROR(($H202-$I202)/$F202*100,"")</f>
      </c>
      <c r="BF202">
        <f>IFERROR(-(($BA202-AVERAGE($BA$3:$BA$206))/STDEV($BA$3:$BA$206))-(($BE202-AVERAGE($BE$3:$BE$206))/STDEV($BE$3:$BE$206))-(($BB202-AVERAGE($BB$3:$BB$206))/STDEV($BB$3:$BB$206))-(($Z202-AVERAGE($Z$3:$Z$206))/STDEV($Z$3:$Z$206))-(($BC202-AVERAGE($BC$3:$BC$206))/STDEV($BC$3:$BC$206)),"")</f>
      </c>
      <c r="BG202">
        <f>IF(OR($C202="",$C202="TOPX",$BA202="",$BF202=""),0,IF(AND($BK$10=1,$BA202&lt;=$BK$2,$BB202&lt;=$BK$3,$BC202&lt;=$BK$4,$Z202&lt;=$BK$5,$Z202&gt;=$BK$6,$BD202&gt;=$BK$7,$BE202&lt;=$BK$8),1,0))</f>
      </c>
      <c r="BH202">
        <f>IF($C202="","",IF($BG202=1,"○ゲート通過",IF($BK$10&lt;&gt;1,"― この方向は停止中",IF($BA202&gt;$BK$2,"×値動きが荒い",IF($BB202&gt;$BK$3,"×レンジが広い",IF($BC202&gt;$BK$4,"×窓を開けて上昇",IF($Z202&gt;$BK$5,"×前日に急騰",IF($Z202&lt;$BK$6,"×前日に急落",IF($BD202&lt;$BK$7,"×高値から離れすぎ",IF($BE202&gt;$BK$8,"×当日の値幅が大きい","×")))))))))</f>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 t="shared" si="51"/>
        <v>-22.696929238985312</v>
      </c>
      <c r="M203" s="166">
        <f>IF(C203&lt;&gt;"",IFERROR(AVERAGE(出来高!E80:I80),""),"")</f>
        <v>101400</v>
      </c>
      <c r="N203" s="166">
        <f>IF(C203&lt;&gt;"",IFERROR(AVERAGE(出来高!E80:AC80),""),"")</f>
        <v>103262.5</v>
      </c>
      <c r="O203" s="168">
        <f t="shared" si="52"/>
        <v>1.1972386587771202</v>
      </c>
      <c r="P203" s="163" t="str">
        <f t="shared" si="53"/>
        <v>普通→</v>
      </c>
      <c r="Q203" s="163" t="str">
        <f t="shared" si="54"/>
        <v>中立→</v>
      </c>
      <c r="R203" s="166">
        <f t="shared" si="61"/>
        <v>6253</v>
      </c>
      <c r="S203" s="166">
        <f t="shared" si="62"/>
        <v>5558</v>
      </c>
      <c r="T203" s="163">
        <f>IF(C203="","",IFERROR(IF(O203&gt;=2,3,IF(O203&gt;=1.5,2,IF(O203&gt;=1,1,0)))+IF(E203&gt;G203,1,0)+IF(L203&gt;=-5,1,0)+IF(Q203="買い▲",2,0)+IF(W203&gt;=78,-4,IF(W203&gt;=72,-2,IF(W203&gt;=55,2,IF(W203&gt;=45,1,0))))+IF(X203&gt;0,1,0)+IF(V203="年初来高値更新●",3,IF(V203="高値圏",2,0))+IF(AD203="パーフェクト▲",3,IF(AD203="上昇トレンド▲",2,0))+IF(AE203="25日線押し目●",2,IF(AE203="5日線押し目○",1,0))+IF(P203="急増↑↑",2,IF(P203="増加↑",1,0))+N(AI203),0))</f>
      </c>
      <c r="U203" s="163" t="str">
        <f t="shared" si="63"/>
        <v>要確認</v>
      </c>
      <c r="V203" s="163" t="str">
        <f t="shared" si="56"/>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 t="shared" si="64"/>
        <v>0.87108013937282225</v>
      </c>
      <c r="AA203" s="163" t="str">
        <f t="shared" si="65"/>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IFERROR((終値!$E$5-INDEX(終値!$E$5:$CZ$5,1,$AL$2))/INDEX(終値!$E$5:$CZ$5,1,$AL$2)*100,"")</f>
        <v>1.0179378228534113</v>
      </c>
      <c r="AH203" s="366">
        <f t="shared" si="59"/>
        <v>1.6416366452316951</v>
      </c>
      <c r="AI203" s="364">
        <f t="shared" si="60"/>
        <v>1</v>
      </c>
      <c r="BA203">
        <f>IFERROR((SUM(OFFSET(高値!$E$6,IFERROR(MATCH($C203,銘柄管理!$B$6:$B$305,0),MATCH(TEXT($C203,"0"),銘柄管理!$B$6:$B$305,0))-1,0,1,14))-SUM(OFFSET(安値!$E$6,IFERROR(MATCH($C203,銘柄管理!$B$6:$B$305,0),MATCH(TEXT($C203,"0"),銘柄管理!$B$6:$B$305,0))-1,0,1,14)))/SUM(OFFSET(終値!$E$6,IFERROR(MATCH($C203,銘柄管理!$B$6:$B$305,0),MATCH(TEXT($C203,"0"),銘柄管理!$B$6:$B$305,0))-1,0,1,14))*100,"")</f>
      </c>
      <c r="BB203">
        <f>IFERROR((MAX(OFFSET(高値!$E$6,IFERROR(MATCH($C203,銘柄管理!$B$6:$B$305,0),MATCH(TEXT($C203,"0"),銘柄管理!$B$6:$B$305,0))-1,0,1,25))-MIN(OFFSET(安値!$E$6,IFERROR(MATCH($C203,銘柄管理!$B$6:$B$305,0),MATCH(TEXT($C203,"0"),銘柄管理!$B$6:$B$305,0))-1,0,1,25)))/$E203*100,"")</f>
      </c>
      <c r="BC203">
        <f>IFERROR(($F203-$G203)/$G203*100,"")</f>
      </c>
      <c r="BD203">
        <f>IFERROR(($E203-MAX(OFFSET(高値!$E$6,IFERROR(MATCH($C203,銘柄管理!$B$6:$B$305,0),MATCH(TEXT($C203,"0"),銘柄管理!$B$6:$B$305,0))-1,0,1,25)))/MAX(OFFSET(高値!$E$6,IFERROR(MATCH($C203,銘柄管理!$B$6:$B$305,0),MATCH(TEXT($C203,"0"),銘柄管理!$B$6:$B$305,0))-1,0,1,25))*100,"")</f>
      </c>
      <c r="BE203">
        <f>IFERROR(($H203-$I203)/$F203*100,"")</f>
      </c>
      <c r="BF203">
        <f>IFERROR(-(($BA203-AVERAGE($BA$3:$BA$206))/STDEV($BA$3:$BA$206))-(($BE203-AVERAGE($BE$3:$BE$206))/STDEV($BE$3:$BE$206))-(($BB203-AVERAGE($BB$3:$BB$206))/STDEV($BB$3:$BB$206))-(($Z203-AVERAGE($Z$3:$Z$206))/STDEV($Z$3:$Z$206))-(($BC203-AVERAGE($BC$3:$BC$206))/STDEV($BC$3:$BC$206)),"")</f>
      </c>
      <c r="BG203">
        <f>IF(OR($C203="",$C203="TOPX",$BA203="",$BF203=""),0,IF(AND($BK$10=1,$BA203&lt;=$BK$2,$BB203&lt;=$BK$3,$BC203&lt;=$BK$4,$Z203&lt;=$BK$5,$Z203&gt;=$BK$6,$BD203&gt;=$BK$7,$BE203&lt;=$BK$8),1,0))</f>
      </c>
      <c r="BH203">
        <f>IF($C203="","",IF($BG203=1,"○ゲート通過",IF($BK$10&lt;&gt;1,"― この方向は停止中",IF($BA203&gt;$BK$2,"×値動きが荒い",IF($BB203&gt;$BK$3,"×レンジが広い",IF($BC203&gt;$BK$4,"×窓を開けて上昇",IF($Z203&gt;$BK$5,"×前日に急騰",IF($Z203&lt;$BK$6,"×前日に急落",IF($BD203&lt;$BK$7,"×高値から離れすぎ",IF($BE203&gt;$BK$8,"×当日の値幅が大きい","×")))))))))</f>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 t="shared" si="51"/>
        <v>-36.131840796019901</v>
      </c>
      <c r="M204" s="166">
        <f>IF(C204&lt;&gt;"",IFERROR(AVERAGE(出来高!E208:I208),""),"")</f>
        <v>2339240</v>
      </c>
      <c r="N204" s="166">
        <f>IF(C204&lt;&gt;"",IFERROR(AVERAGE(出来高!E208:AC208),""),"")</f>
        <v>1761128</v>
      </c>
      <c r="O204" s="168">
        <f t="shared" si="52"/>
        <v>1.1746977650860964</v>
      </c>
      <c r="P204" s="163" t="str">
        <f t="shared" si="53"/>
        <v>普通→</v>
      </c>
      <c r="Q204" s="163" t="str">
        <f t="shared" si="54"/>
        <v>様子見▼</v>
      </c>
      <c r="R204" s="166">
        <f t="shared" si="61"/>
        <v>5546</v>
      </c>
      <c r="S204" s="166">
        <f t="shared" si="62"/>
        <v>4930</v>
      </c>
      <c r="T204" s="163">
        <f>IF(C204="","",IFERROR(IF(O204&gt;=2,3,IF(O204&gt;=1.5,2,IF(O204&gt;=1,1,0)))+IF(E204&gt;G204,1,0)+IF(L204&gt;=-5,1,0)+IF(Q204="買い▲",2,0)+IF(W204&gt;=78,-4,IF(W204&gt;=72,-2,IF(W204&gt;=55,2,IF(W204&gt;=45,1,0))))+IF(X204&gt;0,1,0)+IF(V204="年初来高値更新●",3,IF(V204="高値圏",2,0))+IF(AD204="パーフェクト▲",3,IF(AD204="上昇トレンド▲",2,0))+IF(AE204="25日線押し目●",2,IF(AE204="5日線押し目○",1,0))+IF(P204="急増↑↑",2,IF(P204="増加↑",1,0))+N(AI204),0))</f>
      </c>
      <c r="U204" s="163" t="str">
        <f t="shared" si="63"/>
        <v>要確認</v>
      </c>
      <c r="V204" s="163" t="str">
        <f t="shared" si="56"/>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 t="shared" si="64"/>
        <v>-2.2277227722772275</v>
      </c>
      <c r="AA204" s="163" t="str">
        <f t="shared" si="65"/>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IFERROR((終値!$E$5-INDEX(終値!$E$5:$CZ$5,1,$AL$2))/INDEX(終値!$E$5:$CZ$5,1,$AL$2)*100,"")</f>
        <v>1.0179378228534113</v>
      </c>
      <c r="AH204" s="366">
        <f t="shared" si="59"/>
        <v>-14.831298010835958</v>
      </c>
      <c r="AI204" s="364">
        <f t="shared" si="60"/>
        <v>-2</v>
      </c>
      <c r="BA204">
        <f>IFERROR((SUM(OFFSET(高値!$E$6,IFERROR(MATCH($C204,銘柄管理!$B$6:$B$305,0),MATCH(TEXT($C204,"0"),銘柄管理!$B$6:$B$305,0))-1,0,1,14))-SUM(OFFSET(安値!$E$6,IFERROR(MATCH($C204,銘柄管理!$B$6:$B$305,0),MATCH(TEXT($C204,"0"),銘柄管理!$B$6:$B$305,0))-1,0,1,14)))/SUM(OFFSET(終値!$E$6,IFERROR(MATCH($C204,銘柄管理!$B$6:$B$305,0),MATCH(TEXT($C204,"0"),銘柄管理!$B$6:$B$305,0))-1,0,1,14))*100,"")</f>
      </c>
      <c r="BB204">
        <f>IFERROR((MAX(OFFSET(高値!$E$6,IFERROR(MATCH($C204,銘柄管理!$B$6:$B$305,0),MATCH(TEXT($C204,"0"),銘柄管理!$B$6:$B$305,0))-1,0,1,25))-MIN(OFFSET(安値!$E$6,IFERROR(MATCH($C204,銘柄管理!$B$6:$B$305,0),MATCH(TEXT($C204,"0"),銘柄管理!$B$6:$B$305,0))-1,0,1,25)))/$E204*100,"")</f>
      </c>
      <c r="BC204">
        <f>IFERROR(($F204-$G204)/$G204*100,"")</f>
      </c>
      <c r="BD204">
        <f>IFERROR(($E204-MAX(OFFSET(高値!$E$6,IFERROR(MATCH($C204,銘柄管理!$B$6:$B$305,0),MATCH(TEXT($C204,"0"),銘柄管理!$B$6:$B$305,0))-1,0,1,25)))/MAX(OFFSET(高値!$E$6,IFERROR(MATCH($C204,銘柄管理!$B$6:$B$305,0),MATCH(TEXT($C204,"0"),銘柄管理!$B$6:$B$305,0))-1,0,1,25))*100,"")</f>
      </c>
      <c r="BE204">
        <f>IFERROR(($H204-$I204)/$F204*100,"")</f>
      </c>
      <c r="BF204">
        <f>IFERROR(-(($BA204-AVERAGE($BA$3:$BA$206))/STDEV($BA$3:$BA$206))-(($BE204-AVERAGE($BE$3:$BE$206))/STDEV($BE$3:$BE$206))-(($BB204-AVERAGE($BB$3:$BB$206))/STDEV($BB$3:$BB$206))-(($Z204-AVERAGE($Z$3:$Z$206))/STDEV($Z$3:$Z$206))-(($BC204-AVERAGE($BC$3:$BC$206))/STDEV($BC$3:$BC$206)),"")</f>
      </c>
      <c r="BG204">
        <f>IF(OR($C204="",$C204="TOPX",$BA204="",$BF204=""),0,IF(AND($BK$10=1,$BA204&lt;=$BK$2,$BB204&lt;=$BK$3,$BC204&lt;=$BK$4,$Z204&lt;=$BK$5,$Z204&gt;=$BK$6,$BD204&gt;=$BK$7,$BE204&lt;=$BK$8),1,0))</f>
      </c>
      <c r="BH204">
        <f>IF($C204="","",IF($BG204=1,"○ゲート通過",IF($BK$10&lt;&gt;1,"― この方向は停止中",IF($BA204&gt;$BK$2,"×値動きが荒い",IF($BB204&gt;$BK$3,"×レンジが広い",IF($BC204&gt;$BK$4,"×窓を開けて上昇",IF($Z204&gt;$BK$5,"×前日に急騰",IF($Z204&lt;$BK$6,"×前日に急落",IF($BD204&lt;$BK$7,"×高値から離れすぎ",IF($BE204&gt;$BK$8,"×当日の値幅が大きい","×")))))))))</f>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 t="shared" si="51"/>
        <v>-39.056402979780067</v>
      </c>
      <c r="M205" s="166">
        <f>IF(C205&lt;&gt;"",IFERROR(AVERAGE(出来高!E18:I18),""),"")</f>
        <v>1610880</v>
      </c>
      <c r="N205" s="166">
        <f>IF(C205&lt;&gt;"",IFERROR(AVERAGE(出来高!E18:AC18),""),"")</f>
        <v>1438195.8333333333</v>
      </c>
      <c r="O205" s="168">
        <f t="shared" si="52"/>
        <v>1.6432012316249502</v>
      </c>
      <c r="P205" s="163" t="str">
        <f t="shared" si="53"/>
        <v>増加↑</v>
      </c>
      <c r="Q205" s="163" t="str">
        <f t="shared" si="54"/>
        <v>買い▲</v>
      </c>
      <c r="R205" s="166">
        <f t="shared" si="61"/>
        <v>1855</v>
      </c>
      <c r="S205" s="166">
        <f t="shared" si="62"/>
        <v>1649</v>
      </c>
      <c r="T205" s="163">
        <f>IF(C205="","",IFERROR(IF(O205&gt;=2,3,IF(O205&gt;=1.5,2,IF(O205&gt;=1,1,0)))+IF(E205&gt;G205,1,0)+IF(L205&gt;=-5,1,0)+IF(Q205="買い▲",2,0)+IF(W205&gt;=78,-4,IF(W205&gt;=72,-2,IF(W205&gt;=55,2,IF(W205&gt;=45,1,0))))+IF(X205&gt;0,1,0)+IF(V205="年初来高値更新●",3,IF(V205="高値圏",2,0))+IF(AD205="パーフェクト▲",3,IF(AD205="上昇トレンド▲",2,0))+IF(AE205="25日線押し目●",2,IF(AE205="5日線押し目○",1,0))+IF(P205="急増↑↑",2,IF(P205="増加↑",1,0))+N(AI205),0))</f>
      </c>
      <c r="U205" s="163" t="str">
        <f t="shared" si="63"/>
        <v>有効</v>
      </c>
      <c r="V205" s="163" t="str">
        <f t="shared" si="56"/>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 t="shared" si="64"/>
        <v>1.5966883500887048</v>
      </c>
      <c r="AA205" s="163" t="str">
        <f t="shared" si="65"/>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IFERROR((終値!$E$5-INDEX(終値!$E$5:$CZ$5,1,$AL$2))/INDEX(終値!$E$5:$CZ$5,1,$AL$2)*100,"")</f>
        <v>1.0179378228534113</v>
      </c>
      <c r="AH205" s="366">
        <f t="shared" si="59"/>
        <v>8.4088137695032774</v>
      </c>
      <c r="AI205" s="364">
        <f t="shared" si="60"/>
        <v>3</v>
      </c>
      <c r="BA205">
        <f>IFERROR((SUM(OFFSET(高値!$E$6,IFERROR(MATCH($C205,銘柄管理!$B$6:$B$305,0),MATCH(TEXT($C205,"0"),銘柄管理!$B$6:$B$305,0))-1,0,1,14))-SUM(OFFSET(安値!$E$6,IFERROR(MATCH($C205,銘柄管理!$B$6:$B$305,0),MATCH(TEXT($C205,"0"),銘柄管理!$B$6:$B$305,0))-1,0,1,14)))/SUM(OFFSET(終値!$E$6,IFERROR(MATCH($C205,銘柄管理!$B$6:$B$305,0),MATCH(TEXT($C205,"0"),銘柄管理!$B$6:$B$305,0))-1,0,1,14))*100,"")</f>
      </c>
      <c r="BB205">
        <f>IFERROR((MAX(OFFSET(高値!$E$6,IFERROR(MATCH($C205,銘柄管理!$B$6:$B$305,0),MATCH(TEXT($C205,"0"),銘柄管理!$B$6:$B$305,0))-1,0,1,25))-MIN(OFFSET(安値!$E$6,IFERROR(MATCH($C205,銘柄管理!$B$6:$B$305,0),MATCH(TEXT($C205,"0"),銘柄管理!$B$6:$B$305,0))-1,0,1,25)))/$E205*100,"")</f>
      </c>
      <c r="BC205">
        <f>IFERROR(($F205-$G205)/$G205*100,"")</f>
      </c>
      <c r="BD205">
        <f>IFERROR(($E205-MAX(OFFSET(高値!$E$6,IFERROR(MATCH($C205,銘柄管理!$B$6:$B$305,0),MATCH(TEXT($C205,"0"),銘柄管理!$B$6:$B$305,0))-1,0,1,25)))/MAX(OFFSET(高値!$E$6,IFERROR(MATCH($C205,銘柄管理!$B$6:$B$305,0),MATCH(TEXT($C205,"0"),銘柄管理!$B$6:$B$305,0))-1,0,1,25))*100,"")</f>
      </c>
      <c r="BE205">
        <f>IFERROR(($H205-$I205)/$F205*100,"")</f>
      </c>
      <c r="BF205">
        <f>IFERROR(-(($BA205-AVERAGE($BA$3:$BA$206))/STDEV($BA$3:$BA$206))-(($BE205-AVERAGE($BE$3:$BE$206))/STDEV($BE$3:$BE$206))-(($BB205-AVERAGE($BB$3:$BB$206))/STDEV($BB$3:$BB$206))-(($Z205-AVERAGE($Z$3:$Z$206))/STDEV($Z$3:$Z$206))-(($BC205-AVERAGE($BC$3:$BC$206))/STDEV($BC$3:$BC$206)),"")</f>
      </c>
      <c r="BG205">
        <f>IF(OR($C205="",$C205="TOPX",$BA205="",$BF205=""),0,IF(AND($BK$10=1,$BA205&lt;=$BK$2,$BB205&lt;=$BK$3,$BC205&lt;=$BK$4,$Z205&lt;=$BK$5,$Z205&gt;=$BK$6,$BD205&gt;=$BK$7,$BE205&lt;=$BK$8),1,0))</f>
      </c>
      <c r="BH205">
        <f>IF($C205="","",IF($BG205=1,"○ゲート通過",IF($BK$10&lt;&gt;1,"― この方向は停止中",IF($BA205&gt;$BK$2,"×値動きが荒い",IF($BB205&gt;$BK$3,"×レンジが広い",IF($BC205&gt;$BK$4,"×窓を開けて上昇",IF($Z205&gt;$BK$5,"×前日に急騰",IF($Z205&lt;$BK$6,"×前日に急落",IF($BD205&lt;$BK$7,"×高値から離れすぎ",IF($BE205&gt;$BK$8,"×当日の値幅が大きい","×")))))))))</f>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 t="shared" si="51"/>
        <v>-30.171543895055496</v>
      </c>
      <c r="M206" s="166">
        <f>IF(C206&lt;&gt;"",IFERROR(AVERAGE(出来高!E12:I12),""),"")</f>
        <v>3763060</v>
      </c>
      <c r="N206" s="166">
        <f>IF(C206&lt;&gt;"",IFERROR(AVERAGE(出来高!E12:AC12),""),"")</f>
        <v>4475644</v>
      </c>
      <c r="O206" s="168">
        <f t="shared" si="52"/>
        <v>0.9477659139104877</v>
      </c>
      <c r="P206" s="163" t="str">
        <f t="shared" si="53"/>
        <v>減少↓</v>
      </c>
      <c r="Q206" s="163" t="str">
        <f t="shared" si="54"/>
        <v>中立→</v>
      </c>
      <c r="R206" s="166">
        <f t="shared" si="61"/>
        <v>3737</v>
      </c>
      <c r="S206" s="166">
        <f t="shared" si="62"/>
        <v>3322</v>
      </c>
      <c r="T206" s="163">
        <f>IF(C206="","",IFERROR(IF(O206&gt;=2,3,IF(O206&gt;=1.5,2,IF(O206&gt;=1,1,0)))+IF(E206&gt;G206,1,0)+IF(L206&gt;=-5,1,0)+IF(Q206="買い▲",2,0)+IF(W206&gt;=78,-4,IF(W206&gt;=72,-2,IF(W206&gt;=55,2,IF(W206&gt;=45,1,0))))+IF(X206&gt;0,1,0)+IF(V206="年初来高値更新●",3,IF(V206="高値圏",2,0))+IF(AD206="パーフェクト▲",3,IF(AD206="上昇トレンド▲",2,0))+IF(AE206="25日線押し目●",2,IF(AE206="5日線押し目○",1,0))+IF(P206="急増↑↑",2,IF(P206="増加↑",1,0))+N(AI206),0))</f>
      </c>
      <c r="U206" s="163" t="str">
        <f t="shared" si="63"/>
        <v>要確認</v>
      </c>
      <c r="V206" s="163" t="str">
        <f t="shared" si="56"/>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 t="shared" si="64"/>
        <v>1.9446081319976427</v>
      </c>
      <c r="AA206" s="163" t="str">
        <f t="shared" si="65"/>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IFERROR((終値!$E$5-INDEX(終値!$E$5:$CZ$5,1,$AL$2))/INDEX(終値!$E$5:$CZ$5,1,$AL$2)*100,"")</f>
        <v>1.0179378228534113</v>
      </c>
      <c r="AH206" s="366">
        <f t="shared" si="59"/>
        <v>6.9383804298766973</v>
      </c>
      <c r="AI206" s="364">
        <f t="shared" si="60"/>
        <v>3</v>
      </c>
      <c r="BA206">
        <f>IFERROR((SUM(OFFSET(高値!$E$6,IFERROR(MATCH($C206,銘柄管理!$B$6:$B$305,0),MATCH(TEXT($C206,"0"),銘柄管理!$B$6:$B$305,0))-1,0,1,14))-SUM(OFFSET(安値!$E$6,IFERROR(MATCH($C206,銘柄管理!$B$6:$B$305,0),MATCH(TEXT($C206,"0"),銘柄管理!$B$6:$B$305,0))-1,0,1,14)))/SUM(OFFSET(終値!$E$6,IFERROR(MATCH($C206,銘柄管理!$B$6:$B$305,0),MATCH(TEXT($C206,"0"),銘柄管理!$B$6:$B$305,0))-1,0,1,14))*100,"")</f>
      </c>
      <c r="BB206">
        <f>IFERROR((MAX(OFFSET(高値!$E$6,IFERROR(MATCH($C206,銘柄管理!$B$6:$B$305,0),MATCH(TEXT($C206,"0"),銘柄管理!$B$6:$B$305,0))-1,0,1,25))-MIN(OFFSET(安値!$E$6,IFERROR(MATCH($C206,銘柄管理!$B$6:$B$305,0),MATCH(TEXT($C206,"0"),銘柄管理!$B$6:$B$305,0))-1,0,1,25)))/$E206*100,"")</f>
      </c>
      <c r="BC206">
        <f>IFERROR(($F206-$G206)/$G206*100,"")</f>
      </c>
      <c r="BD206">
        <f>IFERROR(($E206-MAX(OFFSET(高値!$E$6,IFERROR(MATCH($C206,銘柄管理!$B$6:$B$305,0),MATCH(TEXT($C206,"0"),銘柄管理!$B$6:$B$305,0))-1,0,1,25)))/MAX(OFFSET(高値!$E$6,IFERROR(MATCH($C206,銘柄管理!$B$6:$B$305,0),MATCH(TEXT($C206,"0"),銘柄管理!$B$6:$B$305,0))-1,0,1,25))*100,"")</f>
      </c>
      <c r="BE206">
        <f>IFERROR(($H206-$I206)/$F206*100,"")</f>
      </c>
      <c r="BF206">
        <f>IFERROR(-(($BA206-AVERAGE($BA$3:$BA$206))/STDEV($BA$3:$BA$206))-(($BE206-AVERAGE($BE$3:$BE$206))/STDEV($BE$3:$BE$206))-(($BB206-AVERAGE($BB$3:$BB$206))/STDEV($BB$3:$BB$206))-(($Z206-AVERAGE($Z$3:$Z$206))/STDEV($Z$3:$Z$206))-(($BC206-AVERAGE($BC$3:$BC$206))/STDEV($BC$3:$BC$206)),"")</f>
      </c>
      <c r="BG206">
        <f>IF(OR($C206="",$C206="TOPX",$BA206="",$BF206=""),0,IF(AND($BK$10=1,$BA206&lt;=$BK$2,$BB206&lt;=$BK$3,$BC206&lt;=$BK$4,$Z206&lt;=$BK$5,$Z206&gt;=$BK$6,$BD206&gt;=$BK$7,$BE206&lt;=$BK$8),1,0))</f>
      </c>
      <c r="BH206">
        <f>IF($C206="","",IF($BG206=1,"○ゲート通過",IF($BK$10&lt;&gt;1,"― この方向は停止中",IF($BA206&gt;$BK$2,"×値動きが荒い",IF($BB206&gt;$BK$3,"×レンジが広い",IF($BC206&gt;$BK$4,"×窓を開けて上昇",IF($Z206&gt;$BK$5,"×前日に急騰",IF($Z206&lt;$BK$6,"×前日に急落",IF($BD206&lt;$BK$7,"×高値から離れすぎ",IF($BE206&gt;$BK$8,"×当日の値幅が大きい","×")))))))))</f>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c r="BJ1" t="inlineStr">
        <is>
          <t>⚙ V807 抽出ゲート（BK列を変更）</t>
        </is>
      </c>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57</v>
      </c>
      <c r="AN2" s="371">
        <f>MIN(25,AM2)</f>
        <v>25</v>
      </c>
      <c r="AO2" s="370" t="s">
        <v>572</v>
      </c>
      <c r="AP2" s="370" t="s">
        <v>573</v>
      </c>
      <c r="AQ2" s="370" t="s">
        <v>574</v>
      </c>
      <c r="AR2" s="370" t="s">
        <v>575</v>
      </c>
      <c r="AS2" s="370" t="s">
        <v>576</v>
      </c>
      <c r="AT2" s="370" t="s">
        <v>577</v>
      </c>
      <c r="AU2" s="370" t="s">
        <v>578</v>
      </c>
      <c r="BA2" t="inlineStr">
        <is>
          <t>14日平均レンジ率(%)</t>
        </is>
      </c>
      <c r="BB2" t="inlineStr">
        <is>
          <t>25日レンジ幅(%)</t>
        </is>
      </c>
      <c r="BC2" t="inlineStr">
        <is>
          <t>ギャップ率(%)</t>
        </is>
      </c>
      <c r="BD2" t="inlineStr">
        <is>
          <t>25日高値距離(%)</t>
        </is>
      </c>
      <c r="BE2" t="inlineStr">
        <is>
          <t>日中レンジ率(%)</t>
        </is>
      </c>
      <c r="BF2" t="inlineStr">
        <is>
          <t>V807スコア</t>
        </is>
      </c>
      <c r="BG2" t="inlineStr">
        <is>
          <t>ゲート通過</t>
        </is>
      </c>
      <c r="BH2" t="inlineStr">
        <is>
          <t>判定</t>
        </is>
      </c>
      <c r="BJ2" t="inlineStr">
        <is>
          <t>14日平均レンジ率 上限(%)</t>
        </is>
      </c>
      <c r="BK2">
        <v>2.2</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 t="shared" ref="L3:L66" si="0">IF(AND(E3&lt;&gt;"",K3&lt;&gt;"",K3&lt;&gt;0),(E3-K3)/K3*100,"")</f>
        <v>-51.215469613259671</v>
      </c>
      <c r="M3" s="326">
        <f>IF(C3&lt;&gt;"",IFERROR(AVERAGE(出来高!E141:I141),""),"")</f>
        <v>2873100</v>
      </c>
      <c r="N3" s="326">
        <f>IF(C3&lt;&gt;"",IFERROR(AVERAGE(出来高!E141:AC141),""),"")</f>
        <v>2823640</v>
      </c>
      <c r="O3" s="328">
        <f t="shared" ref="O3:O66" si="1">IF(AND(J3&lt;&gt;"",M3&lt;&gt;"",M3&lt;&gt;0),J3/M3,"")</f>
        <v>0.55260868051929968</v>
      </c>
      <c r="P3" s="325" t="str">
        <f t="shared" ref="P3:P66" si="2">IF(O3="","",IF(O3&gt;=2,"急増↑↑",IF(O3&gt;=1.5,"増加↑",IF(O3&gt;=1,"普通→","減少↓"))))</f>
        <v>減少↓</v>
      </c>
      <c r="Q3" s="325" t="str">
        <f t="shared" ref="Q3:Q66" si="3">IF(E3="","",IF(AND(E3&lt;G3,O3&gt;=1.5),"売り▼",IF(E3&gt;G3,"様子見▲","中立→")))</f>
        <v>中立→</v>
      </c>
      <c r="R3" s="326">
        <f t="shared" ref="R3:R66" si="4">IF(E3&lt;&gt;"",ROUND(E3*0.92,0),"")</f>
        <v>1625</v>
      </c>
      <c r="S3" s="326">
        <f t="shared" ref="S3:S66" si="5">IF(E3&lt;&gt;"",ROUND(E3*1.04,0),"")</f>
        <v>1837</v>
      </c>
      <c r="T3" s="325">
        <f>IF(C3="","",IFERROR(IF(W3&lt;=22,-4,IF(W3&lt;=28,-2,IF(W3&lt;=45,2,IF(W3&lt;=55,1,0))))+IF(X3&lt;0,2,0)+IF(AD3="下降トレンド▼",3,IF(AD3="もみ合い→",1,0))+IF(V3="年初来安値圏●",3,IF(V3="安値圏",2,0))+IF(Q3="売り▼",2,0)+IF(P3="急増↑↑",2,IF(P3="増加↑",1,0))+IF(Z3&lt;0,1,0)+IF(L3&lt;=-30,2,IF(L3&lt;=-15,1,0))+IF(AE3="25日戻り売り★",2,IF(AE3="5日戻り売り○",1,0))+N(AL3)+N(AP3)+N(AU3),0))</f>
      </c>
      <c r="U3" s="325" t="str">
        <f t="shared" ref="U3:U66" si="7">IF(T3="","",IF(AND(T3&gt;=3,O3&gt;=1.5),"有効",IF(T3&gt;=3,"要確認","除外")))</f>
        <v>要確認</v>
      </c>
      <c r="V3" s="325" t="str">
        <f t="shared" ref="V3:V66" si="8">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 t="shared" ref="Z3:Z66" si="10">IF(AND(E3&lt;&gt;"",G3&lt;&gt;"",G3&lt;&gt;0),(E3-G3)/G3*100,"")</f>
        <v>-1.0644257703081232</v>
      </c>
      <c r="AA3" s="325" t="str">
        <f t="shared" ref="AA3:AA66" si="11">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 t="shared" ref="AD3:AD66" si="12">IF(OR(C3="",AB3="",AC3="",AB3=0,AC3=0),"",IF(AND(E3&gt;AB3,AB3&gt;AC3),"パーフェクト▲",IF(E3&gt;AC3,"上昇トレンド▲",IF(AND(E3&lt;AB3,AB3&lt;AC3),"下降トレンド▼","もみ合い→"))))</f>
        <v>もみ合い→</v>
      </c>
      <c r="AE3" s="325" t="str">
        <f t="shared" ref="AE3:AE66" si="13">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 t="shared" ref="AG3:AG66" si="14">IF(AND(T3&gt;=7,C3&lt;&gt;""),T3,0)</f>
        <v>14</v>
      </c>
      <c r="AH3">
        <f t="shared" ref="AH3:AH66" si="15">IF(AG3&gt;0,AG3*10000-ROW(A3),0)</f>
        <v>139997</v>
      </c>
      <c r="AI3" s="373">
        <f t="array" ref="AI3">IF(C3="","",IFERROR((INDEX(終値!$E:$E,MATCH(TEXT(C3,"0"),終値!$A:$A,0))-INDEX(終値!$E:$CZ,MATCH(TEXT(C3,"0"),終値!$A:$A,0),$AN$2))/INDEX(終値!$E:$CZ,MATCH(TEXT(C3,"0"),終値!$A:$A,0),$AN$2)*100,""))</f>
        <v>-35.828488372093027</v>
      </c>
      <c r="AJ3" s="373">
        <f t="array" ref="AJ3">IFERROR((終値!$E$5-INDEX(終値!$E$5:$CZ$5,1,$AN$2))/INDEX(終値!$E$5:$CZ$5,1,$AN$2)*100,"")</f>
        <v>1.0179378228534113</v>
      </c>
      <c r="AK3" s="374">
        <f t="shared" ref="AK3:AK66" si="16">IF(OR(AI3="",AJ3=""),"",AI3-AJ3)</f>
        <v>-36.846426194946439</v>
      </c>
      <c r="AL3" s="372">
        <f t="shared" ref="AL3:AL66" si="17">IF(AK3="","",IF(AK3&lt;-5,3,IF(AK3&lt;0,1,IF(AK3&lt;3,-1,-2))))</f>
        <v>3</v>
      </c>
      <c r="AO3" s="376" t="str">
        <f t="shared" ref="AO3:AO66" si="18">IF(OR($C3="",$E3="",$F3="",$H3="",$I3="",$H3-$I3&lt;=0),"-",IF(AND($H3-MAX($F3,$E3)&gt;=ABS($E3-$F3)*2,MIN($F3,$E3)-$I3&lt;=ABS($E3-$F3)*0.5,ABS($E3-$F3)&gt;0),"上ヒゲ陰線▼",IF(AND($E3&lt;$F3,ABS($E3-$F3)&gt;=($H3-$I3)*0.7),"大陰線▼",IF(AND(MIN($F3,$E3)-$I3&gt;=($H3-$I3)*0.5,$H3-MAX($F3,$E3)&lt;=($H3-$I3)*0.2),"長い下ヒゲ(反発警戒)","通常"))))</f>
        <v>通常</v>
      </c>
      <c r="AP3" s="377">
        <f t="shared" ref="AP3:AP66" si="19">IF($AO3="上ヒゲ陰線▼",2,IF($AO3="大陰線▼",2,IF($AO3="長い下ヒゲ(反発警戒)",-2,0)))</f>
        <v>0</v>
      </c>
      <c r="AQ3">
        <f>IF(C3&lt;&gt;"",始値!F141,"")</f>
        <v>1820</v>
      </c>
      <c r="AR3">
        <f>IF(C3&lt;&gt;"",高値!F141,"")</f>
        <v>1920</v>
      </c>
      <c r="AS3">
        <f>IF(C3&lt;&gt;"",安値!F141,"")</f>
        <v>1757</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c r="BA3">
        <f>IFERROR((SUM(OFFSET(高値!$E$6,IFERROR(MATCH($C3,銘柄管理!$B$6:$B$305,0),MATCH(TEXT($C3,"0"),銘柄管理!$B$6:$B$305,0))-1,0,1,14))-SUM(OFFSET(安値!$E$6,IFERROR(MATCH($C3,銘柄管理!$B$6:$B$305,0),MATCH(TEXT($C3,"0"),銘柄管理!$B$6:$B$305,0))-1,0,1,14)))/SUM(OFFSET(終値!$E$6,IFERROR(MATCH($C3,銘柄管理!$B$6:$B$305,0),MATCH(TEXT($C3,"0"),銘柄管理!$B$6:$B$305,0))-1,0,1,14))*100,"")</f>
      </c>
      <c r="BB3">
        <f>IFERROR((MAX(OFFSET(高値!$E$6,IFERROR(MATCH($C3,銘柄管理!$B$6:$B$305,0),MATCH(TEXT($C3,"0"),銘柄管理!$B$6:$B$305,0))-1,0,1,25))-MIN(OFFSET(安値!$E$6,IFERROR(MATCH($C3,銘柄管理!$B$6:$B$305,0),MATCH(TEXT($C3,"0"),銘柄管理!$B$6:$B$305,0))-1,0,1,25)))/$E3*100,"")</f>
      </c>
      <c r="BC3">
        <f>IFERROR(($F3-$G3)/$G3*100,"")</f>
      </c>
      <c r="BD3">
        <f>IFERROR(($E3-MAX(OFFSET(高値!$E$6,IFERROR(MATCH($C3,銘柄管理!$B$6:$B$305,0),MATCH(TEXT($C3,"0"),銘柄管理!$B$6:$B$305,0))-1,0,1,25)))/MAX(OFFSET(高値!$E$6,IFERROR(MATCH($C3,銘柄管理!$B$6:$B$305,0),MATCH(TEXT($C3,"0"),銘柄管理!$B$6:$B$305,0))-1,0,1,25))*100,"")</f>
      </c>
      <c r="BE3">
        <f>IFERROR(($H3-$I3)/$F3*100,"")</f>
      </c>
      <c r="BF3">
        <f>IFERROR(-(($BA3-AVERAGE($BA$3:$BA$206))/STDEV($BA$3:$BA$206))-(($BE3-AVERAGE($BE$3:$BE$206))/STDEV($BE$3:$BE$206))-(($BB3-AVERAGE($BB$3:$BB$206))/STDEV($BB$3:$BB$206))-(($Z3-AVERAGE($Z$3:$Z$206))/STDEV($Z$3:$Z$206))-(($BC3-AVERAGE($BC$3:$BC$206))/STDEV($BC$3:$BC$206)),"")</f>
      </c>
      <c r="BG3">
        <f>IF(OR($C3="",$C3="TOPX",$BA3="",$BF3=""),0,IF(AND($BK$10=1,$BA3&lt;=$BK$2,$BB3&lt;=$BK$3,$BC3&lt;=$BK$4,$Z3&lt;=$BK$5,$Z3&gt;=$BK$6,$BD3&gt;=$BK$7,$BE3&lt;=$BK$8),1,0))</f>
      </c>
      <c r="BH3">
        <f>IF($C3="","",IF($BG3=1,"○ゲート通過",IF($BK$10&lt;&gt;1,"― この方向は停止中",IF($BA3&gt;$BK$2,"×値動きが荒い",IF($BB3&gt;$BK$3,"×レンジが広い",IF($BC3&gt;$BK$4,"×窓を開けて上昇",IF($Z3&gt;$BK$5,"×前日に急騰",IF($Z3&lt;$BK$6,"×前日に急落",IF($BD3&lt;$BK$7,"×高値から離れすぎ",IF($BE3&gt;$BK$8,"×当日の値幅が大きい","×")))))))))</f>
      </c>
      <c r="BJ3" t="inlineStr">
        <is>
          <t>25日レンジ幅 上限(%)</t>
        </is>
      </c>
      <c r="BK3">
        <v>9.0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 t="shared" si="0"/>
        <v>-40.326654318908908</v>
      </c>
      <c r="M4" s="333">
        <f>IF(C4&lt;&gt;"",IFERROR(AVERAGE(出来高!E28:I28),""),"")</f>
        <v>7844320</v>
      </c>
      <c r="N4" s="333">
        <f>IF(C4&lt;&gt;"",IFERROR(AVERAGE(出来高!E28:AC28),""),"")</f>
        <v>4646040</v>
      </c>
      <c r="O4" s="335">
        <f t="shared" si="1"/>
        <v>1.9713499704244599</v>
      </c>
      <c r="P4" s="212" t="str">
        <f t="shared" si="2"/>
        <v>増加↑</v>
      </c>
      <c r="Q4" s="212" t="str">
        <f t="shared" si="3"/>
        <v>売り▼</v>
      </c>
      <c r="R4" s="333">
        <f t="shared" si="4"/>
        <v>3260</v>
      </c>
      <c r="S4" s="333">
        <f t="shared" si="5"/>
        <v>3686</v>
      </c>
      <c r="T4" s="325">
        <f>IF(C4="","",IFERROR(IF(W4&lt;=22,-4,IF(W4&lt;=28,-2,IF(W4&lt;=45,2,IF(W4&lt;=55,1,0))))+IF(X4&lt;0,2,0)+IF(AD4="下降トレンド▼",3,IF(AD4="もみ合い→",1,0))+IF(V4="年初来安値圏●",3,IF(V4="安値圏",2,0))+IF(Q4="売り▼",2,0)+IF(P4="急増↑↑",2,IF(P4="増加↑",1,0))+IF(Z4&lt;0,1,0)+IF(L4&lt;=-30,2,IF(L4&lt;=-15,1,0))+IF(AE4="25日戻り売り★",2,IF(AE4="5日戻り売り○",1,0))+N(AL4)+N(AP4)+N(AU4),0))</f>
      </c>
      <c r="U4" s="212" t="str">
        <f t="shared" si="7"/>
        <v>有効</v>
      </c>
      <c r="V4" s="212" t="str">
        <f t="shared" si="8"/>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 t="shared" si="9"/>
        <v>相場上昇・見送り | 下降トレンド▼ MACD- RSI:36.0 前日比:-5.6% [年初来安値圏] [17点]</v>
      </c>
      <c r="Z4" s="338">
        <f t="shared" si="10"/>
        <v>-5.6443024494142708</v>
      </c>
      <c r="AA4" s="212" t="str">
        <f t="shared" si="11"/>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 t="shared" si="12"/>
        <v>下降トレンド▼</v>
      </c>
      <c r="AE4" s="212" t="str">
        <f t="shared" si="13"/>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 t="shared" si="14"/>
        <v>17</v>
      </c>
      <c r="AH4">
        <f t="shared" si="15"/>
        <v>169996</v>
      </c>
      <c r="AI4" s="373">
        <f t="array" ref="AI4">IF(C4="","",IFERROR((INDEX(終値!$E:$E,MATCH(TEXT(C4,"0"),終値!$A:$A,0))-INDEX(終値!$E:$CZ,MATCH(TEXT(C4,"0"),終値!$A:$A,0),$AN$2))/INDEX(終値!$E:$CZ,MATCH(TEXT(C4,"0"),終値!$A:$A,0),$AN$2)*100,""))</f>
        <v>-42.829488627197939</v>
      </c>
      <c r="AJ4" s="373">
        <f t="array" ref="AJ4">IFERROR((終値!$E$5-INDEX(終値!$E$5:$CZ$5,1,$AN$2))/INDEX(終値!$E$5:$CZ$5,1,$AN$2)*100,"")</f>
        <v>1.0179378228534113</v>
      </c>
      <c r="AK4" s="374">
        <f t="shared" si="16"/>
        <v>-43.847426450051351</v>
      </c>
      <c r="AL4" s="372">
        <f t="shared" si="17"/>
        <v>3</v>
      </c>
      <c r="AO4" s="376" t="str">
        <f t="shared" si="18"/>
        <v>通常</v>
      </c>
      <c r="AP4" s="377">
        <f t="shared" si="19"/>
        <v>0</v>
      </c>
      <c r="AQ4">
        <f>IF(C4&lt;&gt;"",始値!F28,"")</f>
        <v>3777</v>
      </c>
      <c r="AR4">
        <f>IF(C4&lt;&gt;"",高値!F28,"")</f>
        <v>3869</v>
      </c>
      <c r="AS4">
        <f>IF(C4&lt;&gt;"",安値!F28,"")</f>
        <v>3681</v>
      </c>
      <c r="AT4" t="str">
        <f t="shared" si="20"/>
        <v>通常</v>
      </c>
      <c r="AU4">
        <f t="shared" si="21"/>
        <v>0</v>
      </c>
      <c r="BA4">
        <f>IFERROR((SUM(OFFSET(高値!$E$6,IFERROR(MATCH($C4,銘柄管理!$B$6:$B$305,0),MATCH(TEXT($C4,"0"),銘柄管理!$B$6:$B$305,0))-1,0,1,14))-SUM(OFFSET(安値!$E$6,IFERROR(MATCH($C4,銘柄管理!$B$6:$B$305,0),MATCH(TEXT($C4,"0"),銘柄管理!$B$6:$B$305,0))-1,0,1,14)))/SUM(OFFSET(終値!$E$6,IFERROR(MATCH($C4,銘柄管理!$B$6:$B$305,0),MATCH(TEXT($C4,"0"),銘柄管理!$B$6:$B$305,0))-1,0,1,14))*100,"")</f>
      </c>
      <c r="BB4">
        <f>IFERROR((MAX(OFFSET(高値!$E$6,IFERROR(MATCH($C4,銘柄管理!$B$6:$B$305,0),MATCH(TEXT($C4,"0"),銘柄管理!$B$6:$B$305,0))-1,0,1,25))-MIN(OFFSET(安値!$E$6,IFERROR(MATCH($C4,銘柄管理!$B$6:$B$305,0),MATCH(TEXT($C4,"0"),銘柄管理!$B$6:$B$305,0))-1,0,1,25)))/$E4*100,"")</f>
      </c>
      <c r="BC4">
        <f>IFERROR(($F4-$G4)/$G4*100,"")</f>
      </c>
      <c r="BD4">
        <f>IFERROR(($E4-MAX(OFFSET(高値!$E$6,IFERROR(MATCH($C4,銘柄管理!$B$6:$B$305,0),MATCH(TEXT($C4,"0"),銘柄管理!$B$6:$B$305,0))-1,0,1,25)))/MAX(OFFSET(高値!$E$6,IFERROR(MATCH($C4,銘柄管理!$B$6:$B$305,0),MATCH(TEXT($C4,"0"),銘柄管理!$B$6:$B$305,0))-1,0,1,25))*100,"")</f>
      </c>
      <c r="BE4">
        <f>IFERROR(($H4-$I4)/$F4*100,"")</f>
      </c>
      <c r="BF4">
        <f>IFERROR(-(($BA4-AVERAGE($BA$3:$BA$206))/STDEV($BA$3:$BA$206))-(($BE4-AVERAGE($BE$3:$BE$206))/STDEV($BE$3:$BE$206))-(($BB4-AVERAGE($BB$3:$BB$206))/STDEV($BB$3:$BB$206))-(($Z4-AVERAGE($Z$3:$Z$206))/STDEV($Z$3:$Z$206))-(($BC4-AVERAGE($BC$3:$BC$206))/STDEV($BC$3:$BC$206)),"")</f>
      </c>
      <c r="BG4">
        <f>IF(OR($C4="",$C4="TOPX",$BA4="",$BF4=""),0,IF(AND($BK$10=1,$BA4&lt;=$BK$2,$BB4&lt;=$BK$3,$BC4&lt;=$BK$4,$Z4&lt;=$BK$5,$Z4&gt;=$BK$6,$BD4&gt;=$BK$7,$BE4&lt;=$BK$8),1,0))</f>
      </c>
      <c r="BH4">
        <f>IF($C4="","",IF($BG4=1,"○ゲート通過",IF($BK$10&lt;&gt;1,"― この方向は停止中",IF($BA4&gt;$BK$2,"×値動きが荒い",IF($BB4&gt;$BK$3,"×レンジが広い",IF($BC4&gt;$BK$4,"×窓を開けて上昇",IF($Z4&gt;$BK$5,"×前日に急騰",IF($Z4&lt;$BK$6,"×前日に急落",IF($BD4&lt;$BK$7,"×高値から離れすぎ",IF($BE4&gt;$BK$8,"×当日の値幅が大きい","×")))))))))</f>
      </c>
      <c r="BJ4" t="inlineStr">
        <is>
          <t>ギャップ率 上限(%)</t>
        </is>
      </c>
      <c r="BK4">
        <v>0.5</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 t="shared" si="0"/>
        <v>-19.727272727272727</v>
      </c>
      <c r="M5" s="326">
        <f>IF(C5&lt;&gt;"",IFERROR(AVERAGE(出来高!E30:I30),""),"")</f>
        <v>1065840</v>
      </c>
      <c r="N5" s="326">
        <f>IF(C5&lt;&gt;"",IFERROR(AVERAGE(出来高!E30:AC30),""),"")</f>
        <v>926276</v>
      </c>
      <c r="O5" s="328">
        <f t="shared" si="1"/>
        <v>0.70320123095398934</v>
      </c>
      <c r="P5" s="325" t="str">
        <f t="shared" si="2"/>
        <v>減少↓</v>
      </c>
      <c r="Q5" s="325" t="str">
        <f t="shared" si="3"/>
        <v>中立→</v>
      </c>
      <c r="R5" s="326">
        <f t="shared" si="4"/>
        <v>4062</v>
      </c>
      <c r="S5" s="326">
        <f t="shared" si="5"/>
        <v>4592</v>
      </c>
      <c r="T5" s="325">
        <f>IF(C5="","",IFERROR(IF(W5&lt;=22,-4,IF(W5&lt;=28,-2,IF(W5&lt;=45,2,IF(W5&lt;=55,1,0))))+IF(X5&lt;0,2,0)+IF(AD5="下降トレンド▼",3,IF(AD5="もみ合い→",1,0))+IF(V5="年初来安値圏●",3,IF(V5="安値圏",2,0))+IF(Q5="売り▼",2,0)+IF(P5="急増↑↑",2,IF(P5="増加↑",1,0))+IF(Z5&lt;0,1,0)+IF(L5&lt;=-30,2,IF(L5&lt;=-15,1,0))+IF(AE5="25日戻り売り★",2,IF(AE5="5日戻り売り○",1,0))+N(AL5)+N(AP5)+N(AU5),0))</f>
      </c>
      <c r="U5" s="325" t="str">
        <f t="shared" si="7"/>
        <v>要確認</v>
      </c>
      <c r="V5" s="325" t="str">
        <f t="shared" si="8"/>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 t="shared" si="9"/>
        <v>相場上昇・見送り | パーフェクト▲ MACD- RSI:53.5 前日比:-4.1% [8点]</v>
      </c>
      <c r="Z5" s="331">
        <f t="shared" si="10"/>
        <v>-4.1259500542888166</v>
      </c>
      <c r="AA5" s="325" t="str">
        <f t="shared" si="11"/>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 t="shared" si="12"/>
        <v>パーフェクト▲</v>
      </c>
      <c r="AE5" s="325" t="str">
        <f t="shared" si="13"/>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 t="shared" si="14"/>
        <v>8</v>
      </c>
      <c r="AH5">
        <f t="shared" si="15"/>
        <v>79995</v>
      </c>
      <c r="AI5" s="373">
        <f t="array" ref="AI5">IF(C5="","",IFERROR((INDEX(終値!$E:$E,MATCH(TEXT(C5,"0"),終値!$A:$A,0))-INDEX(終値!$E:$CZ,MATCH(TEXT(C5,"0"),終値!$A:$A,0),$AN$2))/INDEX(終値!$E:$CZ,MATCH(TEXT(C5,"0"),終値!$A:$A,0),$AN$2)*100,""))</f>
        <v>-14.932562620423893</v>
      </c>
      <c r="AJ5" s="373">
        <f t="array" ref="AJ5">IFERROR((終値!$E$5-INDEX(終値!$E$5:$CZ$5,1,$AN$2))/INDEX(終値!$E$5:$CZ$5,1,$AN$2)*100,"")</f>
        <v>1.0179378228534113</v>
      </c>
      <c r="AK5" s="374">
        <f t="shared" si="16"/>
        <v>-15.950500443277305</v>
      </c>
      <c r="AL5" s="372">
        <f t="shared" si="17"/>
        <v>3</v>
      </c>
      <c r="AO5" s="376" t="str">
        <f t="shared" si="18"/>
        <v>通常</v>
      </c>
      <c r="AP5" s="377">
        <f t="shared" si="19"/>
        <v>0</v>
      </c>
      <c r="AQ5">
        <f>IF(C5&lt;&gt;"",始値!F30,"")</f>
        <v>4280</v>
      </c>
      <c r="AR5">
        <f>IF(C5&lt;&gt;"",高値!F30,"")</f>
        <v>4630</v>
      </c>
      <c r="AS5">
        <f>IF(C5&lt;&gt;"",安値!F30,"")</f>
        <v>4240</v>
      </c>
      <c r="AT5" t="str">
        <f t="shared" si="20"/>
        <v>通常</v>
      </c>
      <c r="AU5">
        <f t="shared" si="21"/>
        <v>0</v>
      </c>
      <c r="BA5">
        <f>IFERROR((SUM(OFFSET(高値!$E$6,IFERROR(MATCH($C5,銘柄管理!$B$6:$B$305,0),MATCH(TEXT($C5,"0"),銘柄管理!$B$6:$B$305,0))-1,0,1,14))-SUM(OFFSET(安値!$E$6,IFERROR(MATCH($C5,銘柄管理!$B$6:$B$305,0),MATCH(TEXT($C5,"0"),銘柄管理!$B$6:$B$305,0))-1,0,1,14)))/SUM(OFFSET(終値!$E$6,IFERROR(MATCH($C5,銘柄管理!$B$6:$B$305,0),MATCH(TEXT($C5,"0"),銘柄管理!$B$6:$B$305,0))-1,0,1,14))*100,"")</f>
      </c>
      <c r="BB5">
        <f>IFERROR((MAX(OFFSET(高値!$E$6,IFERROR(MATCH($C5,銘柄管理!$B$6:$B$305,0),MATCH(TEXT($C5,"0"),銘柄管理!$B$6:$B$305,0))-1,0,1,25))-MIN(OFFSET(安値!$E$6,IFERROR(MATCH($C5,銘柄管理!$B$6:$B$305,0),MATCH(TEXT($C5,"0"),銘柄管理!$B$6:$B$305,0))-1,0,1,25)))/$E5*100,"")</f>
      </c>
      <c r="BC5">
        <f>IFERROR(($F5-$G5)/$G5*100,"")</f>
      </c>
      <c r="BD5">
        <f>IFERROR(($E5-MAX(OFFSET(高値!$E$6,IFERROR(MATCH($C5,銘柄管理!$B$6:$B$305,0),MATCH(TEXT($C5,"0"),銘柄管理!$B$6:$B$305,0))-1,0,1,25)))/MAX(OFFSET(高値!$E$6,IFERROR(MATCH($C5,銘柄管理!$B$6:$B$305,0),MATCH(TEXT($C5,"0"),銘柄管理!$B$6:$B$305,0))-1,0,1,25))*100,"")</f>
      </c>
      <c r="BE5">
        <f>IFERROR(($H5-$I5)/$F5*100,"")</f>
      </c>
      <c r="BF5">
        <f>IFERROR(-(($BA5-AVERAGE($BA$3:$BA$206))/STDEV($BA$3:$BA$206))-(($BE5-AVERAGE($BE$3:$BE$206))/STDEV($BE$3:$BE$206))-(($BB5-AVERAGE($BB$3:$BB$206))/STDEV($BB$3:$BB$206))-(($Z5-AVERAGE($Z$3:$Z$206))/STDEV($Z$3:$Z$206))-(($BC5-AVERAGE($BC$3:$BC$206))/STDEV($BC$3:$BC$206)),"")</f>
      </c>
      <c r="BG5">
        <f>IF(OR($C5="",$C5="TOPX",$BA5="",$BF5=""),0,IF(AND($BK$10=1,$BA5&lt;=$BK$2,$BB5&lt;=$BK$3,$BC5&lt;=$BK$4,$Z5&lt;=$BK$5,$Z5&gt;=$BK$6,$BD5&gt;=$BK$7,$BE5&lt;=$BK$8),1,0))</f>
      </c>
      <c r="BH5">
        <f>IF($C5="","",IF($BG5=1,"○ゲート通過",IF($BK$10&lt;&gt;1,"― この方向は停止中",IF($BA5&gt;$BK$2,"×値動きが荒い",IF($BB5&gt;$BK$3,"×レンジが広い",IF($BC5&gt;$BK$4,"×窓を開けて上昇",IF($Z5&gt;$BK$5,"×前日に急騰",IF($Z5&lt;$BK$6,"×前日に急落",IF($BD5&lt;$BK$7,"×高値から離れすぎ",IF($BE5&gt;$BK$8,"×当日の値幅が大きい","×")))))))))</f>
      </c>
      <c r="BJ5" t="inlineStr">
        <is>
          <t>前日比 上限(%)</t>
        </is>
      </c>
      <c r="BK5">
        <v>1.5</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 t="shared" si="0"/>
        <v>-40.705128205128204</v>
      </c>
      <c r="M6" s="333">
        <f>IF(C6&lt;&gt;"",IFERROR(AVERAGE(出来高!E148:I148),""),"")</f>
        <v>247040</v>
      </c>
      <c r="N6" s="333">
        <f>IF(C6&lt;&gt;"",IFERROR(AVERAGE(出来高!E148:AC148),""),"")</f>
        <v>276636</v>
      </c>
      <c r="O6" s="335">
        <f t="shared" si="1"/>
        <v>0.65859779792746109</v>
      </c>
      <c r="P6" s="212" t="str">
        <f t="shared" si="2"/>
        <v>減少↓</v>
      </c>
      <c r="Q6" s="212" t="str">
        <f t="shared" si="3"/>
        <v>中立→</v>
      </c>
      <c r="R6" s="333">
        <f t="shared" si="4"/>
        <v>1362</v>
      </c>
      <c r="S6" s="333">
        <f t="shared" si="5"/>
        <v>1539</v>
      </c>
      <c r="T6" s="325">
        <f>IF(C6="","",IFERROR(IF(W6&lt;=22,-4,IF(W6&lt;=28,-2,IF(W6&lt;=45,2,IF(W6&lt;=55,1,0))))+IF(X6&lt;0,2,0)+IF(AD6="下降トレンド▼",3,IF(AD6="もみ合い→",1,0))+IF(V6="年初来安値圏●",3,IF(V6="安値圏",2,0))+IF(Q6="売り▼",2,0)+IF(P6="急増↑↑",2,IF(P6="増加↑",1,0))+IF(Z6&lt;0,1,0)+IF(L6&lt;=-30,2,IF(L6&lt;=-15,1,0))+IF(AE6="25日戻り売り★",2,IF(AE6="5日戻り売り○",1,0))+N(AL6)+N(AP6)+N(AU6),0))</f>
      </c>
      <c r="U6" s="212" t="str">
        <f t="shared" si="7"/>
        <v>要確認</v>
      </c>
      <c r="V6" s="212" t="str">
        <f t="shared" si="8"/>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 t="shared" si="9"/>
        <v>相場上昇・見送り | パーフェクト▲ MACD- RSI:51.3 前日比:-2.4% [年初来安値圏] [12点]</v>
      </c>
      <c r="Z6" s="338">
        <f t="shared" si="10"/>
        <v>-2.3746701846965697</v>
      </c>
      <c r="AA6" s="212" t="str">
        <f t="shared" si="11"/>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 t="shared" si="12"/>
        <v>パーフェクト▲</v>
      </c>
      <c r="AE6" s="212" t="str">
        <f t="shared" si="13"/>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 t="shared" si="14"/>
        <v>12</v>
      </c>
      <c r="AH6">
        <f t="shared" si="15"/>
        <v>119994</v>
      </c>
      <c r="AI6" s="373">
        <f t="array" ref="AI6">IF(C6="","",IFERROR((INDEX(終値!$E:$E,MATCH(TEXT(C6,"0"),終値!$A:$A,0))-INDEX(終値!$E:$CZ,MATCH(TEXT(C6,"0"),終値!$A:$A,0),$AN$2))/INDEX(終値!$E:$CZ,MATCH(TEXT(C6,"0"),終値!$A:$A,0),$AN$2)*100,""))</f>
        <v>-14.844649021864212</v>
      </c>
      <c r="AJ6" s="373">
        <f t="array" ref="AJ6">IFERROR((終値!$E$5-INDEX(終値!$E$5:$CZ$5,1,$AN$2))/INDEX(終値!$E$5:$CZ$5,1,$AN$2)*100,"")</f>
        <v>1.0179378228534113</v>
      </c>
      <c r="AK6" s="374">
        <f t="shared" si="16"/>
        <v>-15.862586844717624</v>
      </c>
      <c r="AL6" s="372">
        <f t="shared" si="17"/>
        <v>3</v>
      </c>
      <c r="AO6" s="376" t="str">
        <f t="shared" si="18"/>
        <v>通常</v>
      </c>
      <c r="AP6" s="377">
        <f t="shared" si="19"/>
        <v>0</v>
      </c>
      <c r="AQ6">
        <f>IF(C6&lt;&gt;"",始値!F148,"")</f>
        <v>1468</v>
      </c>
      <c r="AR6">
        <f>IF(C6&lt;&gt;"",高値!F148,"")</f>
        <v>1519</v>
      </c>
      <c r="AS6">
        <f>IF(C6&lt;&gt;"",安値!F148,"")</f>
        <v>1457</v>
      </c>
      <c r="AT6" t="str">
        <f t="shared" si="20"/>
        <v>通常</v>
      </c>
      <c r="AU6">
        <f t="shared" si="21"/>
        <v>0</v>
      </c>
      <c r="BA6">
        <f>IFERROR((SUM(OFFSET(高値!$E$6,IFERROR(MATCH($C6,銘柄管理!$B$6:$B$305,0),MATCH(TEXT($C6,"0"),銘柄管理!$B$6:$B$305,0))-1,0,1,14))-SUM(OFFSET(安値!$E$6,IFERROR(MATCH($C6,銘柄管理!$B$6:$B$305,0),MATCH(TEXT($C6,"0"),銘柄管理!$B$6:$B$305,0))-1,0,1,14)))/SUM(OFFSET(終値!$E$6,IFERROR(MATCH($C6,銘柄管理!$B$6:$B$305,0),MATCH(TEXT($C6,"0"),銘柄管理!$B$6:$B$305,0))-1,0,1,14))*100,"")</f>
      </c>
      <c r="BB6">
        <f>IFERROR((MAX(OFFSET(高値!$E$6,IFERROR(MATCH($C6,銘柄管理!$B$6:$B$305,0),MATCH(TEXT($C6,"0"),銘柄管理!$B$6:$B$305,0))-1,0,1,25))-MIN(OFFSET(安値!$E$6,IFERROR(MATCH($C6,銘柄管理!$B$6:$B$305,0),MATCH(TEXT($C6,"0"),銘柄管理!$B$6:$B$305,0))-1,0,1,25)))/$E6*100,"")</f>
      </c>
      <c r="BC6">
        <f>IFERROR(($F6-$G6)/$G6*100,"")</f>
      </c>
      <c r="BD6">
        <f>IFERROR(($E6-MAX(OFFSET(高値!$E$6,IFERROR(MATCH($C6,銘柄管理!$B$6:$B$305,0),MATCH(TEXT($C6,"0"),銘柄管理!$B$6:$B$305,0))-1,0,1,25)))/MAX(OFFSET(高値!$E$6,IFERROR(MATCH($C6,銘柄管理!$B$6:$B$305,0),MATCH(TEXT($C6,"0"),銘柄管理!$B$6:$B$305,0))-1,0,1,25))*100,"")</f>
      </c>
      <c r="BE6">
        <f>IFERROR(($H6-$I6)/$F6*100,"")</f>
      </c>
      <c r="BF6">
        <f>IFERROR(-(($BA6-AVERAGE($BA$3:$BA$206))/STDEV($BA$3:$BA$206))-(($BE6-AVERAGE($BE$3:$BE$206))/STDEV($BE$3:$BE$206))-(($BB6-AVERAGE($BB$3:$BB$206))/STDEV($BB$3:$BB$206))-(($Z6-AVERAGE($Z$3:$Z$206))/STDEV($Z$3:$Z$206))-(($BC6-AVERAGE($BC$3:$BC$206))/STDEV($BC$3:$BC$206)),"")</f>
      </c>
      <c r="BG6">
        <f>IF(OR($C6="",$C6="TOPX",$BA6="",$BF6=""),0,IF(AND($BK$10=1,$BA6&lt;=$BK$2,$BB6&lt;=$BK$3,$BC6&lt;=$BK$4,$Z6&lt;=$BK$5,$Z6&gt;=$BK$6,$BD6&gt;=$BK$7,$BE6&lt;=$BK$8),1,0))</f>
      </c>
      <c r="BH6">
        <f>IF($C6="","",IF($BG6=1,"○ゲート通過",IF($BK$10&lt;&gt;1,"― この方向は停止中",IF($BA6&gt;$BK$2,"×値動きが荒い",IF($BB6&gt;$BK$3,"×レンジが広い",IF($BC6&gt;$BK$4,"×窓を開けて上昇",IF($Z6&gt;$BK$5,"×前日に急騰",IF($Z6&lt;$BK$6,"×前日に急落",IF($BD6&lt;$BK$7,"×高値から離れすぎ",IF($BE6&gt;$BK$8,"×当日の値幅が大きい","×")))))))))</f>
      </c>
      <c r="BJ6" t="inlineStr">
        <is>
          <t>前日比 下限(%)</t>
        </is>
      </c>
      <c r="BK6">
        <v>-3.0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 t="shared" si="0"/>
        <v>-21.216617210682493</v>
      </c>
      <c r="M7" s="326">
        <f>IF(C7&lt;&gt;"",IFERROR(AVERAGE(出来高!E84:I84),""),"")</f>
        <v>7907900</v>
      </c>
      <c r="N7" s="326">
        <f>IF(C7&lt;&gt;"",IFERROR(AVERAGE(出来高!E84:AC84),""),"")</f>
        <v>5935052</v>
      </c>
      <c r="O7" s="328">
        <f t="shared" si="1"/>
        <v>0.92899505557733408</v>
      </c>
      <c r="P7" s="325" t="str">
        <f t="shared" si="2"/>
        <v>減少↓</v>
      </c>
      <c r="Q7" s="325" t="str">
        <f t="shared" si="3"/>
        <v>様子見▲</v>
      </c>
      <c r="R7" s="326">
        <f t="shared" si="4"/>
        <v>1710</v>
      </c>
      <c r="S7" s="326">
        <f t="shared" si="5"/>
        <v>1933</v>
      </c>
      <c r="T7" s="325">
        <f>IF(C7="","",IFERROR(IF(W7&lt;=22,-4,IF(W7&lt;=28,-2,IF(W7&lt;=45,2,IF(W7&lt;=55,1,0))))+IF(X7&lt;0,2,0)+IF(AD7="下降トレンド▼",3,IF(AD7="もみ合い→",1,0))+IF(V7="年初来安値圏●",3,IF(V7="安値圏",2,0))+IF(Q7="売り▼",2,0)+IF(P7="急増↑↑",2,IF(P7="増加↑",1,0))+IF(Z7&lt;0,1,0)+IF(L7&lt;=-30,2,IF(L7&lt;=-15,1,0))+IF(AE7="25日戻り売り★",2,IF(AE7="5日戻り売り○",1,0))+N(AL7)+N(AP7)+N(AU7),0))</f>
      </c>
      <c r="U7" s="325" t="str">
        <f t="shared" si="7"/>
        <v>除外</v>
      </c>
      <c r="V7" s="325" t="str">
        <f t="shared" si="8"/>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 t="shared" si="9"/>
        <v>△過熱・様子見 | パーフェクト▲ MACD+ RSI:71.0 [過熱] 前日比:+1.1% [2点]</v>
      </c>
      <c r="Z7" s="331">
        <f t="shared" si="10"/>
        <v>1.0878433505575198</v>
      </c>
      <c r="AA7" s="325" t="str">
        <f t="shared" si="11"/>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 t="shared" si="12"/>
        <v>パーフェクト▲</v>
      </c>
      <c r="AE7" s="325" t="str">
        <f t="shared" si="13"/>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 t="shared" si="14"/>
        <v>0</v>
      </c>
      <c r="AH7">
        <f t="shared" si="15"/>
        <v>0</v>
      </c>
      <c r="AI7" s="373">
        <f t="array" ref="AI7">IF(C7="","",IFERROR((INDEX(終値!$E:$E,MATCH(TEXT(C7,"0"),終値!$A:$A,0))-INDEX(終値!$E:$CZ,MATCH(TEXT(C7,"0"),終値!$A:$A,0),$AN$2))/INDEX(終値!$E:$CZ,MATCH(TEXT(C7,"0"),終値!$A:$A,0),$AN$2)*100,""))</f>
        <v>19.710144927536234</v>
      </c>
      <c r="AJ7" s="373">
        <f t="array" ref="AJ7">IFERROR((終値!$E$5-INDEX(終値!$E$5:$CZ$5,1,$AN$2))/INDEX(終値!$E$5:$CZ$5,1,$AN$2)*100,"")</f>
        <v>1.0179378228534113</v>
      </c>
      <c r="AK7" s="374">
        <f t="shared" si="16"/>
        <v>18.692207104682822</v>
      </c>
      <c r="AL7" s="372">
        <f t="shared" si="17"/>
        <v>-2</v>
      </c>
      <c r="AO7" s="376" t="str">
        <f t="shared" si="18"/>
        <v>通常</v>
      </c>
      <c r="AP7" s="377">
        <f t="shared" si="19"/>
        <v>0</v>
      </c>
      <c r="AQ7">
        <f>IF(C7&lt;&gt;"",始値!F84,"")</f>
        <v>1777</v>
      </c>
      <c r="AR7">
        <f>IF(C7&lt;&gt;"",高値!F84,"")</f>
        <v>1840.5</v>
      </c>
      <c r="AS7">
        <f>IF(C7&lt;&gt;"",安値!F84,"")</f>
        <v>1758</v>
      </c>
      <c r="AT7" t="str">
        <f t="shared" si="20"/>
        <v>通常</v>
      </c>
      <c r="AU7">
        <f t="shared" si="21"/>
        <v>0</v>
      </c>
      <c r="BA7">
        <f>IFERROR((SUM(OFFSET(高値!$E$6,IFERROR(MATCH($C7,銘柄管理!$B$6:$B$305,0),MATCH(TEXT($C7,"0"),銘柄管理!$B$6:$B$305,0))-1,0,1,14))-SUM(OFFSET(安値!$E$6,IFERROR(MATCH($C7,銘柄管理!$B$6:$B$305,0),MATCH(TEXT($C7,"0"),銘柄管理!$B$6:$B$305,0))-1,0,1,14)))/SUM(OFFSET(終値!$E$6,IFERROR(MATCH($C7,銘柄管理!$B$6:$B$305,0),MATCH(TEXT($C7,"0"),銘柄管理!$B$6:$B$305,0))-1,0,1,14))*100,"")</f>
      </c>
      <c r="BB7">
        <f>IFERROR((MAX(OFFSET(高値!$E$6,IFERROR(MATCH($C7,銘柄管理!$B$6:$B$305,0),MATCH(TEXT($C7,"0"),銘柄管理!$B$6:$B$305,0))-1,0,1,25))-MIN(OFFSET(安値!$E$6,IFERROR(MATCH($C7,銘柄管理!$B$6:$B$305,0),MATCH(TEXT($C7,"0"),銘柄管理!$B$6:$B$305,0))-1,0,1,25)))/$E7*100,"")</f>
      </c>
      <c r="BC7">
        <f>IFERROR(($F7-$G7)/$G7*100,"")</f>
      </c>
      <c r="BD7">
        <f>IFERROR(($E7-MAX(OFFSET(高値!$E$6,IFERROR(MATCH($C7,銘柄管理!$B$6:$B$305,0),MATCH(TEXT($C7,"0"),銘柄管理!$B$6:$B$305,0))-1,0,1,25)))/MAX(OFFSET(高値!$E$6,IFERROR(MATCH($C7,銘柄管理!$B$6:$B$305,0),MATCH(TEXT($C7,"0"),銘柄管理!$B$6:$B$305,0))-1,0,1,25))*100,"")</f>
      </c>
      <c r="BE7">
        <f>IFERROR(($H7-$I7)/$F7*100,"")</f>
      </c>
      <c r="BF7">
        <f>IFERROR(-(($BA7-AVERAGE($BA$3:$BA$206))/STDEV($BA$3:$BA$206))-(($BE7-AVERAGE($BE$3:$BE$206))/STDEV($BE$3:$BE$206))-(($BB7-AVERAGE($BB$3:$BB$206))/STDEV($BB$3:$BB$206))-(($Z7-AVERAGE($Z$3:$Z$206))/STDEV($Z$3:$Z$206))-(($BC7-AVERAGE($BC$3:$BC$206))/STDEV($BC$3:$BC$206)),"")</f>
      </c>
      <c r="BG7">
        <f>IF(OR($C7="",$C7="TOPX",$BA7="",$BF7=""),0,IF(AND($BK$10=1,$BA7&lt;=$BK$2,$BB7&lt;=$BK$3,$BC7&lt;=$BK$4,$Z7&lt;=$BK$5,$Z7&gt;=$BK$6,$BD7&gt;=$BK$7,$BE7&lt;=$BK$8),1,0))</f>
      </c>
      <c r="BH7">
        <f>IF($C7="","",IF($BG7=1,"○ゲート通過",IF($BK$10&lt;&gt;1,"― この方向は停止中",IF($BA7&gt;$BK$2,"×値動きが荒い",IF($BB7&gt;$BK$3,"×レンジが広い",IF($BC7&gt;$BK$4,"×窓を開けて上昇",IF($Z7&gt;$BK$5,"×前日に急騰",IF($Z7&lt;$BK$6,"×前日に急落",IF($BD7&lt;$BK$7,"×高値から離れすぎ",IF($BE7&gt;$BK$8,"×当日の値幅が大きい","×")))))))))</f>
      </c>
      <c r="BJ7" t="inlineStr">
        <is>
          <t>25日高値距離 下限(%)</t>
        </is>
      </c>
      <c r="BK7">
        <v>-10.0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 t="shared" si="0"/>
        <v>-41.267605633802816</v>
      </c>
      <c r="M8" s="333">
        <f>IF(C8&lt;&gt;"",IFERROR(AVERAGE(出来高!E112:I112),""),"")</f>
        <v>842480</v>
      </c>
      <c r="N8" s="333">
        <f>IF(C8&lt;&gt;"",IFERROR(AVERAGE(出来高!E112:AC112),""),"")</f>
        <v>1585795.8333333333</v>
      </c>
      <c r="O8" s="335">
        <f t="shared" si="1"/>
        <v>0.58850061722533475</v>
      </c>
      <c r="P8" s="212" t="str">
        <f t="shared" si="2"/>
        <v>減少↓</v>
      </c>
      <c r="Q8" s="212" t="str">
        <f t="shared" si="3"/>
        <v>中立→</v>
      </c>
      <c r="R8" s="333">
        <f t="shared" si="4"/>
        <v>384</v>
      </c>
      <c r="S8" s="333">
        <f t="shared" si="5"/>
        <v>434</v>
      </c>
      <c r="T8" s="325">
        <f>IF(C8="","",IFERROR(IF(W8&lt;=22,-4,IF(W8&lt;=28,-2,IF(W8&lt;=45,2,IF(W8&lt;=55,1,0))))+IF(X8&lt;0,2,0)+IF(AD8="下降トレンド▼",3,IF(AD8="もみ合い→",1,0))+IF(V8="年初来安値圏●",3,IF(V8="安値圏",2,0))+IF(Q8="売り▼",2,0)+IF(P8="急増↑↑",2,IF(P8="増加↑",1,0))+IF(Z8&lt;0,1,0)+IF(L8&lt;=-30,2,IF(L8&lt;=-15,1,0))+IF(AE8="25日戻り売り★",2,IF(AE8="5日戻り売り○",1,0))+N(AL8)+N(AP8)+N(AU8),0))</f>
      </c>
      <c r="U8" s="212" t="str">
        <f t="shared" si="7"/>
        <v>要確認</v>
      </c>
      <c r="V8" s="212" t="str">
        <f t="shared" si="8"/>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 t="shared" si="9"/>
        <v>相場上昇・見送り | パーフェクト▲ MACD- RSI:48.5 前日比:-1.2% [年初来安値圏] [長い下ヒゲ(反発警戒)] [9点]</v>
      </c>
      <c r="Z8" s="338">
        <f t="shared" si="10"/>
        <v>-1.1848341232227488</v>
      </c>
      <c r="AA8" s="212" t="str">
        <f t="shared" si="11"/>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 t="shared" si="12"/>
        <v>パーフェクト▲</v>
      </c>
      <c r="AE8" s="212" t="str">
        <f t="shared" si="13"/>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 t="shared" si="14"/>
        <v>9</v>
      </c>
      <c r="AH8">
        <f t="shared" si="15"/>
        <v>89992</v>
      </c>
      <c r="AI8" s="373">
        <f t="array" ref="AI8">IF(C8="","",IFERROR((INDEX(終値!$E:$E,MATCH(TEXT(C8,"0"),終値!$A:$A,0))-INDEX(終値!$E:$CZ,MATCH(TEXT(C8,"0"),終値!$A:$A,0),$AN$2))/INDEX(終値!$E:$CZ,MATCH(TEXT(C8,"0"),終値!$A:$A,0),$AN$2)*100,""))</f>
        <v>-5.2272727272727266</v>
      </c>
      <c r="AJ8" s="373">
        <f t="array" ref="AJ8">IFERROR((終値!$E$5-INDEX(終値!$E$5:$CZ$5,1,$AN$2))/INDEX(終値!$E$5:$CZ$5,1,$AN$2)*100,"")</f>
        <v>1.0179378228534113</v>
      </c>
      <c r="AK8" s="374">
        <f t="shared" si="16"/>
        <v>-6.2452105501261377</v>
      </c>
      <c r="AL8" s="372">
        <f t="shared" si="17"/>
        <v>3</v>
      </c>
      <c r="AO8" s="376" t="str">
        <f t="shared" si="18"/>
        <v>長い下ヒゲ(反発警戒)</v>
      </c>
      <c r="AP8" s="377">
        <f t="shared" si="19"/>
        <v>-2</v>
      </c>
      <c r="AQ8">
        <f>IF(C8&lt;&gt;"",始値!F112,"")</f>
        <v>416</v>
      </c>
      <c r="AR8">
        <f>IF(C8&lt;&gt;"",高値!F112,"")</f>
        <v>424</v>
      </c>
      <c r="AS8">
        <f>IF(C8&lt;&gt;"",安値!F112,"")</f>
        <v>412</v>
      </c>
      <c r="AT8" t="str">
        <f t="shared" si="20"/>
        <v>通常</v>
      </c>
      <c r="AU8">
        <f t="shared" si="21"/>
        <v>0</v>
      </c>
      <c r="BA8">
        <f>IFERROR((SUM(OFFSET(高値!$E$6,IFERROR(MATCH($C8,銘柄管理!$B$6:$B$305,0),MATCH(TEXT($C8,"0"),銘柄管理!$B$6:$B$305,0))-1,0,1,14))-SUM(OFFSET(安値!$E$6,IFERROR(MATCH($C8,銘柄管理!$B$6:$B$305,0),MATCH(TEXT($C8,"0"),銘柄管理!$B$6:$B$305,0))-1,0,1,14)))/SUM(OFFSET(終値!$E$6,IFERROR(MATCH($C8,銘柄管理!$B$6:$B$305,0),MATCH(TEXT($C8,"0"),銘柄管理!$B$6:$B$305,0))-1,0,1,14))*100,"")</f>
      </c>
      <c r="BB8">
        <f>IFERROR((MAX(OFFSET(高値!$E$6,IFERROR(MATCH($C8,銘柄管理!$B$6:$B$305,0),MATCH(TEXT($C8,"0"),銘柄管理!$B$6:$B$305,0))-1,0,1,25))-MIN(OFFSET(安値!$E$6,IFERROR(MATCH($C8,銘柄管理!$B$6:$B$305,0),MATCH(TEXT($C8,"0"),銘柄管理!$B$6:$B$305,0))-1,0,1,25)))/$E8*100,"")</f>
      </c>
      <c r="BC8">
        <f>IFERROR(($F8-$G8)/$G8*100,"")</f>
      </c>
      <c r="BD8">
        <f>IFERROR(($E8-MAX(OFFSET(高値!$E$6,IFERROR(MATCH($C8,銘柄管理!$B$6:$B$305,0),MATCH(TEXT($C8,"0"),銘柄管理!$B$6:$B$305,0))-1,0,1,25)))/MAX(OFFSET(高値!$E$6,IFERROR(MATCH($C8,銘柄管理!$B$6:$B$305,0),MATCH(TEXT($C8,"0"),銘柄管理!$B$6:$B$305,0))-1,0,1,25))*100,"")</f>
      </c>
      <c r="BE8">
        <f>IFERROR(($H8-$I8)/$F8*100,"")</f>
      </c>
      <c r="BF8">
        <f>IFERROR(-(($BA8-AVERAGE($BA$3:$BA$206))/STDEV($BA$3:$BA$206))-(($BE8-AVERAGE($BE$3:$BE$206))/STDEV($BE$3:$BE$206))-(($BB8-AVERAGE($BB$3:$BB$206))/STDEV($BB$3:$BB$206))-(($Z8-AVERAGE($Z$3:$Z$206))/STDEV($Z$3:$Z$206))-(($BC8-AVERAGE($BC$3:$BC$206))/STDEV($BC$3:$BC$206)),"")</f>
      </c>
      <c r="BG8">
        <f>IF(OR($C8="",$C8="TOPX",$BA8="",$BF8=""),0,IF(AND($BK$10=1,$BA8&lt;=$BK$2,$BB8&lt;=$BK$3,$BC8&lt;=$BK$4,$Z8&lt;=$BK$5,$Z8&gt;=$BK$6,$BD8&gt;=$BK$7,$BE8&lt;=$BK$8),1,0))</f>
      </c>
      <c r="BH8">
        <f>IF($C8="","",IF($BG8=1,"○ゲート通過",IF($BK$10&lt;&gt;1,"― この方向は停止中",IF($BA8&gt;$BK$2,"×値動きが荒い",IF($BB8&gt;$BK$3,"×レンジが広い",IF($BC8&gt;$BK$4,"×窓を開けて上昇",IF($Z8&gt;$BK$5,"×前日に急騰",IF($Z8&lt;$BK$6,"×前日に急落",IF($BD8&lt;$BK$7,"×高値から離れすぎ",IF($BE8&gt;$BK$8,"×当日の値幅が大きい","×")))))))))</f>
      </c>
      <c r="BJ8" t="inlineStr">
        <is>
          <t>日中レンジ率 上限(%)</t>
        </is>
      </c>
      <c r="BK8">
        <v>2.0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 t="shared" si="0"/>
        <v>-56.340909090909086</v>
      </c>
      <c r="M9" s="326">
        <f>IF(C9&lt;&gt;"",IFERROR(AVERAGE(出来高!E129:I129),""),"")</f>
        <v>202440</v>
      </c>
      <c r="N9" s="326">
        <f>IF(C9&lt;&gt;"",IFERROR(AVERAGE(出来高!E129:AC129),""),"")</f>
        <v>179728</v>
      </c>
      <c r="O9" s="328">
        <f t="shared" si="1"/>
        <v>0.80073108081406841</v>
      </c>
      <c r="P9" s="325" t="str">
        <f t="shared" si="2"/>
        <v>減少↓</v>
      </c>
      <c r="Q9" s="325" t="str">
        <f t="shared" si="3"/>
        <v>中立→</v>
      </c>
      <c r="R9" s="326">
        <f t="shared" si="4"/>
        <v>1767</v>
      </c>
      <c r="S9" s="326">
        <f t="shared" si="5"/>
        <v>1998</v>
      </c>
      <c r="T9" s="325">
        <f>IF(C9="","",IFERROR(IF(W9&lt;=22,-4,IF(W9&lt;=28,-2,IF(W9&lt;=45,2,IF(W9&lt;=55,1,0))))+IF(X9&lt;0,2,0)+IF(AD9="下降トレンド▼",3,IF(AD9="もみ合い→",1,0))+IF(V9="年初来安値圏●",3,IF(V9="安値圏",2,0))+IF(Q9="売り▼",2,0)+IF(P9="急増↑↑",2,IF(P9="増加↑",1,0))+IF(Z9&lt;0,1,0)+IF(L9&lt;=-30,2,IF(L9&lt;=-15,1,0))+IF(AE9="25日戻り売り★",2,IF(AE9="5日戻り売り○",1,0))+N(AL9)+N(AP9)+N(AU9),0))</f>
      </c>
      <c r="U9" s="325" t="str">
        <f t="shared" si="7"/>
        <v>要確認</v>
      </c>
      <c r="V9" s="325" t="str">
        <f t="shared" si="8"/>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 t="shared" si="9"/>
        <v>相場上昇・見送り | パーフェクト▲ MACD- RSI:50.1 前日比:-1.4% [年初来安値圏] [12点]</v>
      </c>
      <c r="Z9" s="331">
        <f t="shared" si="10"/>
        <v>-1.4366341713699333</v>
      </c>
      <c r="AA9" s="325" t="str">
        <f t="shared" si="11"/>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 t="shared" si="12"/>
        <v>パーフェクト▲</v>
      </c>
      <c r="AE9" s="325" t="str">
        <f t="shared" si="13"/>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 t="shared" si="14"/>
        <v>12</v>
      </c>
      <c r="AH9">
        <f t="shared" si="15"/>
        <v>119991</v>
      </c>
      <c r="AI9" s="373">
        <f t="array" ref="AI9">IF(C9="","",IFERROR((INDEX(終値!$E:$E,MATCH(TEXT(C9,"0"),終値!$A:$A,0))-INDEX(終値!$E:$CZ,MATCH(TEXT(C9,"0"),終値!$A:$A,0),$AN$2))/INDEX(終値!$E:$CZ,MATCH(TEXT(C9,"0"),終値!$A:$A,0),$AN$2)*100,""))</f>
        <v>-5.0889328063241104</v>
      </c>
      <c r="AJ9" s="373">
        <f t="array" ref="AJ9">IFERROR((終値!$E$5-INDEX(終値!$E$5:$CZ$5,1,$AN$2))/INDEX(終値!$E$5:$CZ$5,1,$AN$2)*100,"")</f>
        <v>1.0179378228534113</v>
      </c>
      <c r="AK9" s="374">
        <f t="shared" si="16"/>
        <v>-6.1068706291775214</v>
      </c>
      <c r="AL9" s="372">
        <f t="shared" si="17"/>
        <v>3</v>
      </c>
      <c r="AO9" s="376" t="str">
        <f t="shared" si="18"/>
        <v>通常</v>
      </c>
      <c r="AP9" s="377">
        <f t="shared" si="19"/>
        <v>0</v>
      </c>
      <c r="AQ9">
        <f>IF(C9&lt;&gt;"",始値!F129,"")</f>
        <v>1888</v>
      </c>
      <c r="AR9">
        <f>IF(C9&lt;&gt;"",高値!F129,"")</f>
        <v>1958</v>
      </c>
      <c r="AS9">
        <f>IF(C9&lt;&gt;"",安値!F129,"")</f>
        <v>1853</v>
      </c>
      <c r="AT9" t="str">
        <f t="shared" si="20"/>
        <v>通常</v>
      </c>
      <c r="AU9">
        <f t="shared" si="21"/>
        <v>0</v>
      </c>
      <c r="BA9">
        <f>IFERROR((SUM(OFFSET(高値!$E$6,IFERROR(MATCH($C9,銘柄管理!$B$6:$B$305,0),MATCH(TEXT($C9,"0"),銘柄管理!$B$6:$B$305,0))-1,0,1,14))-SUM(OFFSET(安値!$E$6,IFERROR(MATCH($C9,銘柄管理!$B$6:$B$305,0),MATCH(TEXT($C9,"0"),銘柄管理!$B$6:$B$305,0))-1,0,1,14)))/SUM(OFFSET(終値!$E$6,IFERROR(MATCH($C9,銘柄管理!$B$6:$B$305,0),MATCH(TEXT($C9,"0"),銘柄管理!$B$6:$B$305,0))-1,0,1,14))*100,"")</f>
      </c>
      <c r="BB9">
        <f>IFERROR((MAX(OFFSET(高値!$E$6,IFERROR(MATCH($C9,銘柄管理!$B$6:$B$305,0),MATCH(TEXT($C9,"0"),銘柄管理!$B$6:$B$305,0))-1,0,1,25))-MIN(OFFSET(安値!$E$6,IFERROR(MATCH($C9,銘柄管理!$B$6:$B$305,0),MATCH(TEXT($C9,"0"),銘柄管理!$B$6:$B$305,0))-1,0,1,25)))/$E9*100,"")</f>
      </c>
      <c r="BC9">
        <f>IFERROR(($F9-$G9)/$G9*100,"")</f>
      </c>
      <c r="BD9">
        <f>IFERROR(($E9-MAX(OFFSET(高値!$E$6,IFERROR(MATCH($C9,銘柄管理!$B$6:$B$305,0),MATCH(TEXT($C9,"0"),銘柄管理!$B$6:$B$305,0))-1,0,1,25)))/MAX(OFFSET(高値!$E$6,IFERROR(MATCH($C9,銘柄管理!$B$6:$B$305,0),MATCH(TEXT($C9,"0"),銘柄管理!$B$6:$B$305,0))-1,0,1,25))*100,"")</f>
      </c>
      <c r="BE9">
        <f>IFERROR(($H9-$I9)/$F9*100,"")</f>
      </c>
      <c r="BF9">
        <f>IFERROR(-(($BA9-AVERAGE($BA$3:$BA$206))/STDEV($BA$3:$BA$206))-(($BE9-AVERAGE($BE$3:$BE$206))/STDEV($BE$3:$BE$206))-(($BB9-AVERAGE($BB$3:$BB$206))/STDEV($BB$3:$BB$206))-(($Z9-AVERAGE($Z$3:$Z$206))/STDEV($Z$3:$Z$206))-(($BC9-AVERAGE($BC$3:$BC$206))/STDEV($BC$3:$BC$206)),"")</f>
      </c>
      <c r="BG9">
        <f>IF(OR($C9="",$C9="TOPX",$BA9="",$BF9=""),0,IF(AND($BK$10=1,$BA9&lt;=$BK$2,$BB9&lt;=$BK$3,$BC9&lt;=$BK$4,$Z9&lt;=$BK$5,$Z9&gt;=$BK$6,$BD9&gt;=$BK$7,$BE9&lt;=$BK$8),1,0))</f>
      </c>
      <c r="BH9">
        <f>IF($C9="","",IF($BG9=1,"○ゲート通過",IF($BK$10&lt;&gt;1,"― この方向は停止中",IF($BA9&gt;$BK$2,"×値動きが荒い",IF($BB9&gt;$BK$3,"×レンジが広い",IF($BC9&gt;$BK$4,"×窓を開けて上昇",IF($Z9&gt;$BK$5,"×前日に急騰",IF($Z9&lt;$BK$6,"×前日に急落",IF($BD9&lt;$BK$7,"×高値から離れすぎ",IF($BE9&gt;$BK$8,"×当日の値幅が大きい","×")))))))))</f>
      </c>
      <c r="BJ9" t="inlineStr">
        <is>
          <t>1日の採用上限(件)</t>
        </is>
      </c>
      <c r="BK9">
        <v>3</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 t="shared" si="0"/>
        <v>-47.483443708609272</v>
      </c>
      <c r="M10" s="333">
        <f>IF(C10&lt;&gt;"",IFERROR(AVERAGE(出来高!E145:I145),""),"")</f>
        <v>530680</v>
      </c>
      <c r="N10" s="333">
        <f>IF(C10&lt;&gt;"",IFERROR(AVERAGE(出来高!E145:AC145),""),"")</f>
        <v>460096</v>
      </c>
      <c r="O10" s="335">
        <f t="shared" si="1"/>
        <v>1.1157382980327128</v>
      </c>
      <c r="P10" s="212" t="str">
        <f t="shared" si="2"/>
        <v>普通→</v>
      </c>
      <c r="Q10" s="212" t="str">
        <f t="shared" si="3"/>
        <v>中立→</v>
      </c>
      <c r="R10" s="333">
        <f t="shared" si="4"/>
        <v>21887</v>
      </c>
      <c r="S10" s="333">
        <f t="shared" si="5"/>
        <v>24742</v>
      </c>
      <c r="T10" s="325">
        <f>IF(C10="","",IFERROR(IF(W10&lt;=22,-4,IF(W10&lt;=28,-2,IF(W10&lt;=45,2,IF(W10&lt;=55,1,0))))+IF(X10&lt;0,2,0)+IF(AD10="下降トレンド▼",3,IF(AD10="もみ合い→",1,0))+IF(V10="年初来安値圏●",3,IF(V10="安値圏",2,0))+IF(Q10="売り▼",2,0)+IF(P10="急増↑↑",2,IF(P10="増加↑",1,0))+IF(Z10&lt;0,1,0)+IF(L10&lt;=-30,2,IF(L10&lt;=-15,1,0))+IF(AE10="25日戻り売り★",2,IF(AE10="5日戻り売り○",1,0))+N(AL10)+N(AP10)+N(AU10),0))</f>
      </c>
      <c r="U10" s="212" t="str">
        <f t="shared" si="7"/>
        <v>要確認</v>
      </c>
      <c r="V10" s="212" t="str">
        <f t="shared" si="8"/>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 t="shared" si="9"/>
        <v>相場上昇・見送り | パーフェクト▲ MACD- RSI:44.2 前日比:-4.1% [年初来安値圏] [11点]</v>
      </c>
      <c r="Z10" s="338">
        <f t="shared" si="10"/>
        <v>-4.07258064516129</v>
      </c>
      <c r="AA10" s="212" t="str">
        <f t="shared" si="11"/>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 t="shared" si="12"/>
        <v>パーフェクト▲</v>
      </c>
      <c r="AE10" s="212" t="str">
        <f t="shared" si="13"/>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 t="shared" si="14"/>
        <v>11</v>
      </c>
      <c r="AH10">
        <f t="shared" si="15"/>
        <v>109990</v>
      </c>
      <c r="AI10" s="373">
        <f t="array" ref="AI10">IF(C10="","",IFERROR((INDEX(終値!$E:$E,MATCH(TEXT(C10,"0"),終値!$A:$A,0))-INDEX(終値!$E:$CZ,MATCH(TEXT(C10,"0"),終値!$A:$A,0),$AN$2))/INDEX(終値!$E:$CZ,MATCH(TEXT(C10,"0"),終値!$A:$A,0),$AN$2)*100,""))</f>
        <v>-19.410569105691057</v>
      </c>
      <c r="AJ10" s="373">
        <f t="array" ref="AJ10">IFERROR((終値!$E$5-INDEX(終値!$E$5:$CZ$5,1,$AN$2))/INDEX(終値!$E$5:$CZ$5,1,$AN$2)*100,"")</f>
        <v>1.0179378228534113</v>
      </c>
      <c r="AK10" s="374">
        <f t="shared" si="16"/>
        <v>-20.428506928544468</v>
      </c>
      <c r="AL10" s="372">
        <f t="shared" si="17"/>
        <v>3</v>
      </c>
      <c r="AO10" s="376" t="str">
        <f t="shared" si="18"/>
        <v>通常</v>
      </c>
      <c r="AP10" s="377">
        <f t="shared" si="19"/>
        <v>0</v>
      </c>
      <c r="AQ10">
        <f>IF(C10&lt;&gt;"",始値!F145,"")</f>
        <v>23340</v>
      </c>
      <c r="AR10">
        <f>IF(C10&lt;&gt;"",高値!F145,"")</f>
        <v>25060</v>
      </c>
      <c r="AS10">
        <f>IF(C10&lt;&gt;"",安値!F145,"")</f>
        <v>22980</v>
      </c>
      <c r="AT10" t="str">
        <f t="shared" si="20"/>
        <v>通常</v>
      </c>
      <c r="AU10">
        <f t="shared" si="21"/>
        <v>0</v>
      </c>
      <c r="BA10">
        <f>IFERROR((SUM(OFFSET(高値!$E$6,IFERROR(MATCH($C10,銘柄管理!$B$6:$B$305,0),MATCH(TEXT($C10,"0"),銘柄管理!$B$6:$B$305,0))-1,0,1,14))-SUM(OFFSET(安値!$E$6,IFERROR(MATCH($C10,銘柄管理!$B$6:$B$305,0),MATCH(TEXT($C10,"0"),銘柄管理!$B$6:$B$305,0))-1,0,1,14)))/SUM(OFFSET(終値!$E$6,IFERROR(MATCH($C10,銘柄管理!$B$6:$B$305,0),MATCH(TEXT($C10,"0"),銘柄管理!$B$6:$B$305,0))-1,0,1,14))*100,"")</f>
      </c>
      <c r="BB10">
        <f>IFERROR((MAX(OFFSET(高値!$E$6,IFERROR(MATCH($C10,銘柄管理!$B$6:$B$305,0),MATCH(TEXT($C10,"0"),銘柄管理!$B$6:$B$305,0))-1,0,1,25))-MIN(OFFSET(安値!$E$6,IFERROR(MATCH($C10,銘柄管理!$B$6:$B$305,0),MATCH(TEXT($C10,"0"),銘柄管理!$B$6:$B$305,0))-1,0,1,25)))/$E10*100,"")</f>
      </c>
      <c r="BC10">
        <f>IFERROR(($F10-$G10)/$G10*100,"")</f>
      </c>
      <c r="BD10">
        <f>IFERROR(($E10-MAX(OFFSET(高値!$E$6,IFERROR(MATCH($C10,銘柄管理!$B$6:$B$305,0),MATCH(TEXT($C10,"0"),銘柄管理!$B$6:$B$305,0))-1,0,1,25)))/MAX(OFFSET(高値!$E$6,IFERROR(MATCH($C10,銘柄管理!$B$6:$B$305,0),MATCH(TEXT($C10,"0"),銘柄管理!$B$6:$B$305,0))-1,0,1,25))*100,"")</f>
      </c>
      <c r="BE10">
        <f>IFERROR(($H10-$I10)/$F10*100,"")</f>
      </c>
      <c r="BF10">
        <f>IFERROR(-(($BA10-AVERAGE($BA$3:$BA$206))/STDEV($BA$3:$BA$206))-(($BE10-AVERAGE($BE$3:$BE$206))/STDEV($BE$3:$BE$206))-(($BB10-AVERAGE($BB$3:$BB$206))/STDEV($BB$3:$BB$206))-(($Z10-AVERAGE($Z$3:$Z$206))/STDEV($Z$3:$Z$206))-(($BC10-AVERAGE($BC$3:$BC$206))/STDEV($BC$3:$BC$206)),"")</f>
      </c>
      <c r="BG10">
        <f>IF(OR($C10="",$C10="TOPX",$BA10="",$BF10=""),0,IF(AND($BK$10=1,$BA10&lt;=$BK$2,$BB10&lt;=$BK$3,$BC10&lt;=$BK$4,$Z10&lt;=$BK$5,$Z10&gt;=$BK$6,$BD10&gt;=$BK$7,$BE10&lt;=$BK$8),1,0))</f>
      </c>
      <c r="BH10">
        <f>IF($C10="","",IF($BG10=1,"○ゲート通過",IF($BK$10&lt;&gt;1,"― この方向は停止中",IF($BA10&gt;$BK$2,"×値動きが荒い",IF($BB10&gt;$BK$3,"×レンジが広い",IF($BC10&gt;$BK$4,"×窓を開けて上昇",IF($Z10&gt;$BK$5,"×前日に急騰",IF($Z10&lt;$BK$6,"×前日に急落",IF($BD10&lt;$BK$7,"×高値から離れすぎ",IF($BE10&gt;$BK$8,"×当日の値幅が大きい","×")))))))))</f>
      </c>
      <c r="BJ10" t="inlineStr">
        <is>
          <t>この方向を使う 1=使う 0=停止</t>
        </is>
      </c>
      <c r="BK10">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 t="shared" si="0"/>
        <v>-44.592720970537265</v>
      </c>
      <c r="M11" s="326">
        <f>IF(C11&lt;&gt;"",IFERROR(AVERAGE(出来高!E6:I6),""),"")</f>
        <v>1407920</v>
      </c>
      <c r="N11" s="326">
        <f>IF(C11&lt;&gt;"",IFERROR(AVERAGE(出来高!E6:AC6),""),"")</f>
        <v>1315992</v>
      </c>
      <c r="O11" s="328">
        <f t="shared" si="1"/>
        <v>0.97157508949372129</v>
      </c>
      <c r="P11" s="325" t="str">
        <f t="shared" si="2"/>
        <v>減少↓</v>
      </c>
      <c r="Q11" s="325" t="str">
        <f t="shared" si="3"/>
        <v>中立→</v>
      </c>
      <c r="R11" s="326">
        <f t="shared" si="4"/>
        <v>29412</v>
      </c>
      <c r="S11" s="326">
        <f t="shared" si="5"/>
        <v>33249</v>
      </c>
      <c r="T11" s="325">
        <f>IF(C11="","",IFERROR(IF(W11&lt;=22,-4,IF(W11&lt;=28,-2,IF(W11&lt;=45,2,IF(W11&lt;=55,1,0))))+IF(X11&lt;0,2,0)+IF(AD11="下降トレンド▼",3,IF(AD11="もみ合い→",1,0))+IF(V11="年初来安値圏●",3,IF(V11="安値圏",2,0))+IF(Q11="売り▼",2,0)+IF(P11="急増↑↑",2,IF(P11="増加↑",1,0))+IF(Z11&lt;0,1,0)+IF(L11&lt;=-30,2,IF(L11&lt;=-15,1,0))+IF(AE11="25日戻り売り★",2,IF(AE11="5日戻り売り○",1,0))+N(AL11)+N(AP11)+N(AU11),0))</f>
      </c>
      <c r="U11" s="325" t="str">
        <f t="shared" si="7"/>
        <v>要確認</v>
      </c>
      <c r="V11" s="325" t="str">
        <f t="shared" si="8"/>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 t="shared" si="9"/>
        <v>○逆張り売り | もみ合い→ 25日戻り売り★ MACD- RSI:50.7 前日比:-9.6% [年初来安値圏] [大陰線▼] [17点]</v>
      </c>
      <c r="Z11" s="331">
        <f t="shared" si="10"/>
        <v>-9.6382136800452241</v>
      </c>
      <c r="AA11" s="325" t="str">
        <f t="shared" si="11"/>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 t="shared" si="12"/>
        <v>もみ合い→</v>
      </c>
      <c r="AE11" s="325" t="str">
        <f t="shared" si="13"/>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 t="shared" si="14"/>
        <v>17</v>
      </c>
      <c r="AH11">
        <f t="shared" si="15"/>
        <v>169989</v>
      </c>
      <c r="AI11" s="373">
        <f t="array" ref="AI11">IF(C11="","",IFERROR((INDEX(終値!$E:$E,MATCH(TEXT(C11,"0"),終値!$A:$A,0))-INDEX(終値!$E:$CZ,MATCH(TEXT(C11,"0"),終値!$A:$A,0),$AN$2))/INDEX(終値!$E:$CZ,MATCH(TEXT(C11,"0"),終値!$A:$A,0),$AN$2)*100,""))</f>
        <v>-25.92678405931418</v>
      </c>
      <c r="AJ11" s="373">
        <f t="array" ref="AJ11">IFERROR((終値!$E$5-INDEX(終値!$E$5:$CZ$5,1,$AN$2))/INDEX(終値!$E$5:$CZ$5,1,$AN$2)*100,"")</f>
        <v>1.0179378228534113</v>
      </c>
      <c r="AK11" s="374">
        <f t="shared" si="16"/>
        <v>-26.944721882167592</v>
      </c>
      <c r="AL11" s="372">
        <f t="shared" si="17"/>
        <v>3</v>
      </c>
      <c r="AO11" s="376" t="str">
        <f t="shared" si="18"/>
        <v>大陰線▼</v>
      </c>
      <c r="AP11" s="377">
        <f t="shared" si="19"/>
        <v>2</v>
      </c>
      <c r="AQ11">
        <f>IF(C11&lt;&gt;"",始値!F6,"")</f>
        <v>33900</v>
      </c>
      <c r="AR11">
        <f>IF(C11&lt;&gt;"",高値!F6,"")</f>
        <v>35440</v>
      </c>
      <c r="AS11">
        <f>IF(C11&lt;&gt;"",安値!F6,"")</f>
        <v>33370</v>
      </c>
      <c r="AT11" t="str">
        <f t="shared" si="20"/>
        <v>通常</v>
      </c>
      <c r="AU11">
        <f t="shared" si="21"/>
        <v>0</v>
      </c>
      <c r="BA11">
        <f>IFERROR((SUM(OFFSET(高値!$E$6,IFERROR(MATCH($C11,銘柄管理!$B$6:$B$305,0),MATCH(TEXT($C11,"0"),銘柄管理!$B$6:$B$305,0))-1,0,1,14))-SUM(OFFSET(安値!$E$6,IFERROR(MATCH($C11,銘柄管理!$B$6:$B$305,0),MATCH(TEXT($C11,"0"),銘柄管理!$B$6:$B$305,0))-1,0,1,14)))/SUM(OFFSET(終値!$E$6,IFERROR(MATCH($C11,銘柄管理!$B$6:$B$305,0),MATCH(TEXT($C11,"0"),銘柄管理!$B$6:$B$305,0))-1,0,1,14))*100,"")</f>
      </c>
      <c r="BB11">
        <f>IFERROR((MAX(OFFSET(高値!$E$6,IFERROR(MATCH($C11,銘柄管理!$B$6:$B$305,0),MATCH(TEXT($C11,"0"),銘柄管理!$B$6:$B$305,0))-1,0,1,25))-MIN(OFFSET(安値!$E$6,IFERROR(MATCH($C11,銘柄管理!$B$6:$B$305,0),MATCH(TEXT($C11,"0"),銘柄管理!$B$6:$B$305,0))-1,0,1,25)))/$E11*100,"")</f>
      </c>
      <c r="BC11">
        <f>IFERROR(($F11-$G11)/$G11*100,"")</f>
      </c>
      <c r="BD11">
        <f>IFERROR(($E11-MAX(OFFSET(高値!$E$6,IFERROR(MATCH($C11,銘柄管理!$B$6:$B$305,0),MATCH(TEXT($C11,"0"),銘柄管理!$B$6:$B$305,0))-1,0,1,25)))/MAX(OFFSET(高値!$E$6,IFERROR(MATCH($C11,銘柄管理!$B$6:$B$305,0),MATCH(TEXT($C11,"0"),銘柄管理!$B$6:$B$305,0))-1,0,1,25))*100,"")</f>
      </c>
      <c r="BE11">
        <f>IFERROR(($H11-$I11)/$F11*100,"")</f>
      </c>
      <c r="BF11">
        <f>IFERROR(-(($BA11-AVERAGE($BA$3:$BA$206))/STDEV($BA$3:$BA$206))-(($BE11-AVERAGE($BE$3:$BE$206))/STDEV($BE$3:$BE$206))-(($BB11-AVERAGE($BB$3:$BB$206))/STDEV($BB$3:$BB$206))-(($Z11-AVERAGE($Z$3:$Z$206))/STDEV($Z$3:$Z$206))-(($BC11-AVERAGE($BC$3:$BC$206))/STDEV($BC$3:$BC$206)),"")</f>
      </c>
      <c r="BG11">
        <f>IF(OR($C11="",$C11="TOPX",$BA11="",$BF11=""),0,IF(AND($BK$10=1,$BA11&lt;=$BK$2,$BB11&lt;=$BK$3,$BC11&lt;=$BK$4,$Z11&lt;=$BK$5,$Z11&gt;=$BK$6,$BD11&gt;=$BK$7,$BE11&lt;=$BK$8),1,0))</f>
      </c>
      <c r="BH11">
        <f>IF($C11="","",IF($BG11=1,"○ゲート通過",IF($BK$10&lt;&gt;1,"― この方向は停止中",IF($BA11&gt;$BK$2,"×値動きが荒い",IF($BB11&gt;$BK$3,"×レンジが広い",IF($BC11&gt;$BK$4,"×窓を開けて上昇",IF($Z11&gt;$BK$5,"×前日に急騰",IF($Z11&lt;$BK$6,"×前日に急落",IF($BD11&lt;$BK$7,"×高値から離れすぎ",IF($BE11&gt;$BK$8,"×当日の値幅が大きい","×")))))))))</f>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 t="shared" si="0"/>
        <v>-31.284210526315793</v>
      </c>
      <c r="M12" s="333">
        <f>IF(C12&lt;&gt;"",IFERROR(AVERAGE(出来高!E21:I21),""),"")</f>
        <v>2113280</v>
      </c>
      <c r="N12" s="333">
        <f>IF(C12&lt;&gt;"",IFERROR(AVERAGE(出来高!E21:AC21),""),"")</f>
        <v>1391454.1666666667</v>
      </c>
      <c r="O12" s="335">
        <f t="shared" si="1"/>
        <v>0.72148508479709272</v>
      </c>
      <c r="P12" s="212" t="str">
        <f t="shared" si="2"/>
        <v>減少↓</v>
      </c>
      <c r="Q12" s="212" t="str">
        <f t="shared" si="3"/>
        <v>中立→</v>
      </c>
      <c r="R12" s="333">
        <f t="shared" si="4"/>
        <v>6006</v>
      </c>
      <c r="S12" s="333">
        <f t="shared" si="5"/>
        <v>6789</v>
      </c>
      <c r="T12" s="325">
        <f>IF(C12="","",IFERROR(IF(W12&lt;=22,-4,IF(W12&lt;=28,-2,IF(W12&lt;=45,2,IF(W12&lt;=55,1,0))))+IF(X12&lt;0,2,0)+IF(AD12="下降トレンド▼",3,IF(AD12="もみ合い→",1,0))+IF(V12="年初来安値圏●",3,IF(V12="安値圏",2,0))+IF(Q12="売り▼",2,0)+IF(P12="急増↑↑",2,IF(P12="増加↑",1,0))+IF(Z12&lt;0,1,0)+IF(L12&lt;=-30,2,IF(L12&lt;=-15,1,0))+IF(AE12="25日戻り売り★",2,IF(AE12="5日戻り売り○",1,0))+N(AL12)+N(AP12)+N(AU12),0))</f>
      </c>
      <c r="U12" s="212" t="str">
        <f t="shared" si="7"/>
        <v>要確認</v>
      </c>
      <c r="V12" s="212" t="str">
        <f t="shared" si="8"/>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 t="shared" si="9"/>
        <v>相場上昇・見送り | もみ合い→ MACD- RSI:46.4 前日比:-1.7% [安値圏] [11点]</v>
      </c>
      <c r="Z12" s="338">
        <f t="shared" si="10"/>
        <v>-1.7459361830222759</v>
      </c>
      <c r="AA12" s="212" t="str">
        <f t="shared" si="11"/>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 t="shared" si="12"/>
        <v>もみ合い→</v>
      </c>
      <c r="AE12" s="212" t="str">
        <f t="shared" si="13"/>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 t="shared" si="14"/>
        <v>11</v>
      </c>
      <c r="AH12">
        <f t="shared" si="15"/>
        <v>109988</v>
      </c>
      <c r="AI12" s="373">
        <f t="array" ref="AI12">IF(C12="","",IFERROR((INDEX(終値!$E:$E,MATCH(TEXT(C12,"0"),終値!$A:$A,0))-INDEX(終値!$E:$CZ,MATCH(TEXT(C12,"0"),終値!$A:$A,0),$AN$2))/INDEX(終値!$E:$CZ,MATCH(TEXT(C12,"0"),終値!$A:$A,0),$AN$2)*100,""))</f>
        <v>-20.997216507321795</v>
      </c>
      <c r="AJ12" s="373">
        <f t="array" ref="AJ12">IFERROR((終値!$E$5-INDEX(終値!$E$5:$CZ$5,1,$AN$2))/INDEX(終値!$E$5:$CZ$5,1,$AN$2)*100,"")</f>
        <v>1.0179378228534113</v>
      </c>
      <c r="AK12" s="374">
        <f t="shared" si="16"/>
        <v>-22.015154330175207</v>
      </c>
      <c r="AL12" s="372">
        <f t="shared" si="17"/>
        <v>3</v>
      </c>
      <c r="AO12" s="376" t="str">
        <f t="shared" si="18"/>
        <v>通常</v>
      </c>
      <c r="AP12" s="377">
        <f t="shared" si="19"/>
        <v>0</v>
      </c>
      <c r="AQ12">
        <f>IF(C12&lt;&gt;"",始値!F21,"")</f>
        <v>6352</v>
      </c>
      <c r="AR12">
        <f>IF(C12&lt;&gt;"",高値!F21,"")</f>
        <v>6662</v>
      </c>
      <c r="AS12">
        <f>IF(C12&lt;&gt;"",安値!F21,"")</f>
        <v>6344</v>
      </c>
      <c r="AT12" t="str">
        <f t="shared" si="20"/>
        <v>通常</v>
      </c>
      <c r="AU12">
        <f t="shared" si="21"/>
        <v>0</v>
      </c>
      <c r="BA12">
        <f>IFERROR((SUM(OFFSET(高値!$E$6,IFERROR(MATCH($C12,銘柄管理!$B$6:$B$305,0),MATCH(TEXT($C12,"0"),銘柄管理!$B$6:$B$305,0))-1,0,1,14))-SUM(OFFSET(安値!$E$6,IFERROR(MATCH($C12,銘柄管理!$B$6:$B$305,0),MATCH(TEXT($C12,"0"),銘柄管理!$B$6:$B$305,0))-1,0,1,14)))/SUM(OFFSET(終値!$E$6,IFERROR(MATCH($C12,銘柄管理!$B$6:$B$305,0),MATCH(TEXT($C12,"0"),銘柄管理!$B$6:$B$305,0))-1,0,1,14))*100,"")</f>
      </c>
      <c r="BB12">
        <f>IFERROR((MAX(OFFSET(高値!$E$6,IFERROR(MATCH($C12,銘柄管理!$B$6:$B$305,0),MATCH(TEXT($C12,"0"),銘柄管理!$B$6:$B$305,0))-1,0,1,25))-MIN(OFFSET(安値!$E$6,IFERROR(MATCH($C12,銘柄管理!$B$6:$B$305,0),MATCH(TEXT($C12,"0"),銘柄管理!$B$6:$B$305,0))-1,0,1,25)))/$E12*100,"")</f>
      </c>
      <c r="BC12">
        <f>IFERROR(($F12-$G12)/$G12*100,"")</f>
      </c>
      <c r="BD12">
        <f>IFERROR(($E12-MAX(OFFSET(高値!$E$6,IFERROR(MATCH($C12,銘柄管理!$B$6:$B$305,0),MATCH(TEXT($C12,"0"),銘柄管理!$B$6:$B$305,0))-1,0,1,25)))/MAX(OFFSET(高値!$E$6,IFERROR(MATCH($C12,銘柄管理!$B$6:$B$305,0),MATCH(TEXT($C12,"0"),銘柄管理!$B$6:$B$305,0))-1,0,1,25))*100,"")</f>
      </c>
      <c r="BE12">
        <f>IFERROR(($H12-$I12)/$F12*100,"")</f>
      </c>
      <c r="BF12">
        <f>IFERROR(-(($BA12-AVERAGE($BA$3:$BA$206))/STDEV($BA$3:$BA$206))-(($BE12-AVERAGE($BE$3:$BE$206))/STDEV($BE$3:$BE$206))-(($BB12-AVERAGE($BB$3:$BB$206))/STDEV($BB$3:$BB$206))-(($Z12-AVERAGE($Z$3:$Z$206))/STDEV($Z$3:$Z$206))-(($BC12-AVERAGE($BC$3:$BC$206))/STDEV($BC$3:$BC$206)),"")</f>
      </c>
      <c r="BG12">
        <f>IF(OR($C12="",$C12="TOPX",$BA12="",$BF12=""),0,IF(AND($BK$10=1,$BA12&lt;=$BK$2,$BB12&lt;=$BK$3,$BC12&lt;=$BK$4,$Z12&lt;=$BK$5,$Z12&gt;=$BK$6,$BD12&gt;=$BK$7,$BE12&lt;=$BK$8),1,0))</f>
      </c>
      <c r="BH12">
        <f>IF($C12="","",IF($BG12=1,"○ゲート通過",IF($BK$10&lt;&gt;1,"― この方向は停止中",IF($BA12&gt;$BK$2,"×値動きが荒い",IF($BB12&gt;$BK$3,"×レンジが広い",IF($BC12&gt;$BK$4,"×窓を開けて上昇",IF($Z12&gt;$BK$5,"×前日に急騰",IF($Z12&lt;$BK$6,"×前日に急落",IF($BD12&lt;$BK$7,"×高値から離れすぎ",IF($BE12&gt;$BK$8,"×当日の値幅が大きい","×")))))))))</f>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 t="shared" si="0"/>
        <v>-0.61202767429483762</v>
      </c>
      <c r="M13" s="326">
        <f>IF(C13&lt;&gt;"",IFERROR(AVERAGE(出来高!E60:I60),""),"")</f>
        <v>310860</v>
      </c>
      <c r="N13" s="326">
        <f>IF(C13&lt;&gt;"",IFERROR(AVERAGE(出来高!E60:AC60),""),"")</f>
        <v>296464</v>
      </c>
      <c r="O13" s="328">
        <f t="shared" si="1"/>
        <v>1.0419481438589719</v>
      </c>
      <c r="P13" s="325" t="str">
        <f t="shared" si="2"/>
        <v>普通→</v>
      </c>
      <c r="Q13" s="325" t="str">
        <f t="shared" si="3"/>
        <v>中立→</v>
      </c>
      <c r="R13" s="326">
        <f t="shared" si="4"/>
        <v>3436</v>
      </c>
      <c r="S13" s="326">
        <f t="shared" si="5"/>
        <v>3884</v>
      </c>
      <c r="T13" s="325">
        <f>IF(C13="","",IFERROR(IF(W13&lt;=22,-4,IF(W13&lt;=28,-2,IF(W13&lt;=45,2,IF(W13&lt;=55,1,0))))+IF(X13&lt;0,2,0)+IF(AD13="下降トレンド▼",3,IF(AD13="もみ合い→",1,0))+IF(V13="年初来安値圏●",3,IF(V13="安値圏",2,0))+IF(Q13="売り▼",2,0)+IF(P13="急増↑↑",2,IF(P13="増加↑",1,0))+IF(Z13&lt;0,1,0)+IF(L13&lt;=-30,2,IF(L13&lt;=-15,1,0))+IF(AE13="25日戻り売り★",2,IF(AE13="5日戻り売り○",1,0))+N(AL13)+N(AP13)+N(AU13),0))</f>
      </c>
      <c r="U13" s="325" t="str">
        <f t="shared" si="7"/>
        <v>除外</v>
      </c>
      <c r="V13" s="325" t="str">
        <f t="shared" si="8"/>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 t="shared" si="9"/>
        <v>◎反落確認 | パーフェクト▲ MACD+ RSI:71.1 [過熱] 前日比:-0.3% [2点]</v>
      </c>
      <c r="Z13" s="331">
        <f t="shared" si="10"/>
        <v>-0.34685165421558162</v>
      </c>
      <c r="AA13" s="325" t="str">
        <f t="shared" si="11"/>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 t="shared" si="12"/>
        <v>パーフェクト▲</v>
      </c>
      <c r="AE13" s="325" t="str">
        <f t="shared" si="13"/>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 t="shared" si="14"/>
        <v>0</v>
      </c>
      <c r="AH13">
        <f t="shared" si="15"/>
        <v>0</v>
      </c>
      <c r="AI13" s="373">
        <f t="array" ref="AI13">IF(C13="","",IFERROR((INDEX(終値!$E:$E,MATCH(TEXT(C13,"0"),終値!$A:$A,0))-INDEX(終値!$E:$CZ,MATCH(TEXT(C13,"0"),終値!$A:$A,0),$AN$2))/INDEX(終値!$E:$CZ,MATCH(TEXT(C13,"0"),終値!$A:$A,0),$AN$2)*100,""))</f>
        <v>9.3384074941451995</v>
      </c>
      <c r="AJ13" s="373">
        <f t="array" ref="AJ13">IFERROR((終値!$E$5-INDEX(終値!$E$5:$CZ$5,1,$AN$2))/INDEX(終値!$E$5:$CZ$5,1,$AN$2)*100,"")</f>
        <v>1.0179378228534113</v>
      </c>
      <c r="AK13" s="374">
        <f t="shared" si="16"/>
        <v>8.3204696712917876</v>
      </c>
      <c r="AL13" s="372">
        <f t="shared" si="17"/>
        <v>-2</v>
      </c>
      <c r="AO13" s="376" t="str">
        <f t="shared" si="18"/>
        <v>通常</v>
      </c>
      <c r="AP13" s="377">
        <f t="shared" si="19"/>
        <v>0</v>
      </c>
      <c r="AQ13">
        <f>IF(C13&lt;&gt;"",始値!F60,"")</f>
        <v>3618</v>
      </c>
      <c r="AR13">
        <f>IF(C13&lt;&gt;"",高値!F60,"")</f>
        <v>3758</v>
      </c>
      <c r="AS13">
        <f>IF(C13&lt;&gt;"",安値!F60,"")</f>
        <v>3618</v>
      </c>
      <c r="AT13" t="str">
        <f t="shared" si="20"/>
        <v>通常</v>
      </c>
      <c r="AU13">
        <f t="shared" si="21"/>
        <v>0</v>
      </c>
      <c r="BA13">
        <f>IFERROR((SUM(OFFSET(高値!$E$6,IFERROR(MATCH($C13,銘柄管理!$B$6:$B$305,0),MATCH(TEXT($C13,"0"),銘柄管理!$B$6:$B$305,0))-1,0,1,14))-SUM(OFFSET(安値!$E$6,IFERROR(MATCH($C13,銘柄管理!$B$6:$B$305,0),MATCH(TEXT($C13,"0"),銘柄管理!$B$6:$B$305,0))-1,0,1,14)))/SUM(OFFSET(終値!$E$6,IFERROR(MATCH($C13,銘柄管理!$B$6:$B$305,0),MATCH(TEXT($C13,"0"),銘柄管理!$B$6:$B$305,0))-1,0,1,14))*100,"")</f>
      </c>
      <c r="BB13">
        <f>IFERROR((MAX(OFFSET(高値!$E$6,IFERROR(MATCH($C13,銘柄管理!$B$6:$B$305,0),MATCH(TEXT($C13,"0"),銘柄管理!$B$6:$B$305,0))-1,0,1,25))-MIN(OFFSET(安値!$E$6,IFERROR(MATCH($C13,銘柄管理!$B$6:$B$305,0),MATCH(TEXT($C13,"0"),銘柄管理!$B$6:$B$305,0))-1,0,1,25)))/$E13*100,"")</f>
      </c>
      <c r="BC13">
        <f>IFERROR(($F13-$G13)/$G13*100,"")</f>
      </c>
      <c r="BD13">
        <f>IFERROR(($E13-MAX(OFFSET(高値!$E$6,IFERROR(MATCH($C13,銘柄管理!$B$6:$B$305,0),MATCH(TEXT($C13,"0"),銘柄管理!$B$6:$B$305,0))-1,0,1,25)))/MAX(OFFSET(高値!$E$6,IFERROR(MATCH($C13,銘柄管理!$B$6:$B$305,0),MATCH(TEXT($C13,"0"),銘柄管理!$B$6:$B$305,0))-1,0,1,25))*100,"")</f>
      </c>
      <c r="BE13">
        <f>IFERROR(($H13-$I13)/$F13*100,"")</f>
      </c>
      <c r="BF13">
        <f>IFERROR(-(($BA13-AVERAGE($BA$3:$BA$206))/STDEV($BA$3:$BA$206))-(($BE13-AVERAGE($BE$3:$BE$206))/STDEV($BE$3:$BE$206))-(($BB13-AVERAGE($BB$3:$BB$206))/STDEV($BB$3:$BB$206))-(($Z13-AVERAGE($Z$3:$Z$206))/STDEV($Z$3:$Z$206))-(($BC13-AVERAGE($BC$3:$BC$206))/STDEV($BC$3:$BC$206)),"")</f>
      </c>
      <c r="BG13">
        <f>IF(OR($C13="",$C13="TOPX",$BA13="",$BF13=""),0,IF(AND($BK$10=1,$BA13&lt;=$BK$2,$BB13&lt;=$BK$3,$BC13&lt;=$BK$4,$Z13&lt;=$BK$5,$Z13&gt;=$BK$6,$BD13&gt;=$BK$7,$BE13&lt;=$BK$8),1,0))</f>
      </c>
      <c r="BH13">
        <f>IF($C13="","",IF($BG13=1,"○ゲート通過",IF($BK$10&lt;&gt;1,"― この方向は停止中",IF($BA13&gt;$BK$2,"×値動きが荒い",IF($BB13&gt;$BK$3,"×レンジが広い",IF($BC13&gt;$BK$4,"×窓を開けて上昇",IF($Z13&gt;$BK$5,"×前日に急騰",IF($Z13&lt;$BK$6,"×前日に急落",IF($BD13&lt;$BK$7,"×高値から離れすぎ",IF($BE13&gt;$BK$8,"×当日の値幅が大きい","×")))))))))</f>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 t="shared" si="0"/>
        <v>-22.232030264817151</v>
      </c>
      <c r="M14" s="333">
        <f>IF(C14&lt;&gt;"",IFERROR(AVERAGE(出来高!E66:I66),""),"")</f>
        <v>10086480</v>
      </c>
      <c r="N14" s="333">
        <f>IF(C14&lt;&gt;"",IFERROR(AVERAGE(出来高!E66:AC66),""),"")</f>
        <v>8889956</v>
      </c>
      <c r="O14" s="335">
        <f t="shared" si="1"/>
        <v>0.67193907091472937</v>
      </c>
      <c r="P14" s="212" t="str">
        <f t="shared" si="2"/>
        <v>減少↓</v>
      </c>
      <c r="Q14" s="212" t="str">
        <f t="shared" si="3"/>
        <v>様子見▲</v>
      </c>
      <c r="R14" s="333">
        <f t="shared" si="4"/>
        <v>5674</v>
      </c>
      <c r="S14" s="333">
        <f t="shared" si="5"/>
        <v>6414</v>
      </c>
      <c r="T14" s="325">
        <f>IF(C14="","",IFERROR(IF(W14&lt;=22,-4,IF(W14&lt;=28,-2,IF(W14&lt;=45,2,IF(W14&lt;=55,1,0))))+IF(X14&lt;0,2,0)+IF(AD14="下降トレンド▼",3,IF(AD14="もみ合い→",1,0))+IF(V14="年初来安値圏●",3,IF(V14="安値圏",2,0))+IF(Q14="売り▼",2,0)+IF(P14="急増↑↑",2,IF(P14="増加↑",1,0))+IF(Z14&lt;0,1,0)+IF(L14&lt;=-30,2,IF(L14&lt;=-15,1,0))+IF(AE14="25日戻り売り★",2,IF(AE14="5日戻り売り○",1,0))+N(AL14)+N(AP14)+N(AU14),0))</f>
      </c>
      <c r="U14" s="212" t="str">
        <f t="shared" si="7"/>
        <v>要確認</v>
      </c>
      <c r="V14" s="212" t="str">
        <f t="shared" si="8"/>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 t="shared" si="9"/>
        <v>相場上昇・見送り | もみ合い→ MACD- RSI:20.3 [売られ過ぎ] 前日比:+0.1% [7点]</v>
      </c>
      <c r="Z14" s="338">
        <f t="shared" si="10"/>
        <v>6.4903456109037805E-2</v>
      </c>
      <c r="AA14" s="212" t="str">
        <f t="shared" si="11"/>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 t="shared" si="12"/>
        <v>もみ合い→</v>
      </c>
      <c r="AE14" s="212" t="str">
        <f t="shared" si="13"/>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 t="shared" si="14"/>
        <v>7</v>
      </c>
      <c r="AH14">
        <f t="shared" si="15"/>
        <v>69986</v>
      </c>
      <c r="AI14" s="373">
        <f t="array" ref="AI14">IF(C14="","",IFERROR((INDEX(終値!$E:$E,MATCH(TEXT(C14,"0"),終値!$A:$A,0))-INDEX(終値!$E:$CZ,MATCH(TEXT(C14,"0"),終値!$A:$A,0),$AN$2))/INDEX(終値!$E:$CZ,MATCH(TEXT(C14,"0"),終値!$A:$A,0),$AN$2)*100,""))</f>
        <v>-15.043394406943106</v>
      </c>
      <c r="AJ14" s="373">
        <f t="array" ref="AJ14">IFERROR((終値!$E$5-INDEX(終値!$E$5:$CZ$5,1,$AN$2))/INDEX(終値!$E$5:$CZ$5,1,$AN$2)*100,"")</f>
        <v>1.0179378228534113</v>
      </c>
      <c r="AK14" s="374">
        <f t="shared" si="16"/>
        <v>-16.061332229796516</v>
      </c>
      <c r="AL14" s="372">
        <f t="shared" si="17"/>
        <v>3</v>
      </c>
      <c r="AO14" s="376" t="str">
        <f t="shared" si="18"/>
        <v>通常</v>
      </c>
      <c r="AP14" s="377">
        <f t="shared" si="19"/>
        <v>0</v>
      </c>
      <c r="AQ14">
        <f>IF(C14&lt;&gt;"",始値!F66,"")</f>
        <v>6004</v>
      </c>
      <c r="AR14">
        <f>IF(C14&lt;&gt;"",高値!F66,"")</f>
        <v>6213</v>
      </c>
      <c r="AS14">
        <f>IF(C14&lt;&gt;"",安値!F66,"")</f>
        <v>6004</v>
      </c>
      <c r="AT14" t="str">
        <f t="shared" si="20"/>
        <v>通常</v>
      </c>
      <c r="AU14">
        <f t="shared" si="21"/>
        <v>0</v>
      </c>
      <c r="BA14">
        <f>IFERROR((SUM(OFFSET(高値!$E$6,IFERROR(MATCH($C14,銘柄管理!$B$6:$B$305,0),MATCH(TEXT($C14,"0"),銘柄管理!$B$6:$B$305,0))-1,0,1,14))-SUM(OFFSET(安値!$E$6,IFERROR(MATCH($C14,銘柄管理!$B$6:$B$305,0),MATCH(TEXT($C14,"0"),銘柄管理!$B$6:$B$305,0))-1,0,1,14)))/SUM(OFFSET(終値!$E$6,IFERROR(MATCH($C14,銘柄管理!$B$6:$B$305,0),MATCH(TEXT($C14,"0"),銘柄管理!$B$6:$B$305,0))-1,0,1,14))*100,"")</f>
      </c>
      <c r="BB14">
        <f>IFERROR((MAX(OFFSET(高値!$E$6,IFERROR(MATCH($C14,銘柄管理!$B$6:$B$305,0),MATCH(TEXT($C14,"0"),銘柄管理!$B$6:$B$305,0))-1,0,1,25))-MIN(OFFSET(安値!$E$6,IFERROR(MATCH($C14,銘柄管理!$B$6:$B$305,0),MATCH(TEXT($C14,"0"),銘柄管理!$B$6:$B$305,0))-1,0,1,25)))/$E14*100,"")</f>
      </c>
      <c r="BC14">
        <f>IFERROR(($F14-$G14)/$G14*100,"")</f>
      </c>
      <c r="BD14">
        <f>IFERROR(($E14-MAX(OFFSET(高値!$E$6,IFERROR(MATCH($C14,銘柄管理!$B$6:$B$305,0),MATCH(TEXT($C14,"0"),銘柄管理!$B$6:$B$305,0))-1,0,1,25)))/MAX(OFFSET(高値!$E$6,IFERROR(MATCH($C14,銘柄管理!$B$6:$B$305,0),MATCH(TEXT($C14,"0"),銘柄管理!$B$6:$B$305,0))-1,0,1,25))*100,"")</f>
      </c>
      <c r="BE14">
        <f>IFERROR(($H14-$I14)/$F14*100,"")</f>
      </c>
      <c r="BF14">
        <f>IFERROR(-(($BA14-AVERAGE($BA$3:$BA$206))/STDEV($BA$3:$BA$206))-(($BE14-AVERAGE($BE$3:$BE$206))/STDEV($BE$3:$BE$206))-(($BB14-AVERAGE($BB$3:$BB$206))/STDEV($BB$3:$BB$206))-(($Z14-AVERAGE($Z$3:$Z$206))/STDEV($Z$3:$Z$206))-(($BC14-AVERAGE($BC$3:$BC$206))/STDEV($BC$3:$BC$206)),"")</f>
      </c>
      <c r="BG14">
        <f>IF(OR($C14="",$C14="TOPX",$BA14="",$BF14=""),0,IF(AND($BK$10=1,$BA14&lt;=$BK$2,$BB14&lt;=$BK$3,$BC14&lt;=$BK$4,$Z14&lt;=$BK$5,$Z14&gt;=$BK$6,$BD14&gt;=$BK$7,$BE14&lt;=$BK$8),1,0))</f>
      </c>
      <c r="BH14">
        <f>IF($C14="","",IF($BG14=1,"○ゲート通過",IF($BK$10&lt;&gt;1,"― この方向は停止中",IF($BA14&gt;$BK$2,"×値動きが荒い",IF($BB14&gt;$BK$3,"×レンジが広い",IF($BC14&gt;$BK$4,"×窓を開けて上昇",IF($Z14&gt;$BK$5,"×前日に急騰",IF($Z14&lt;$BK$6,"×前日に急落",IF($BD14&lt;$BK$7,"×高値から離れすぎ",IF($BE14&gt;$BK$8,"×当日の値幅が大きい","×")))))))))</f>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 t="shared" si="0"/>
        <v>-26.451612903225808</v>
      </c>
      <c r="M15" s="326">
        <f>IF(C15&lt;&gt;"",IFERROR(AVERAGE(出来高!E70:I70),""),"")</f>
        <v>1510420</v>
      </c>
      <c r="N15" s="326">
        <f>IF(C15&lt;&gt;"",IFERROR(AVERAGE(出来高!E70:AC70),""),"")</f>
        <v>1457612.5</v>
      </c>
      <c r="O15" s="328">
        <f t="shared" si="1"/>
        <v>1.607897141192516</v>
      </c>
      <c r="P15" s="325" t="str">
        <f t="shared" si="2"/>
        <v>増加↑</v>
      </c>
      <c r="Q15" s="325" t="str">
        <f t="shared" si="3"/>
        <v>中立→</v>
      </c>
      <c r="R15" s="326">
        <f t="shared" si="4"/>
        <v>105</v>
      </c>
      <c r="S15" s="326">
        <f t="shared" si="5"/>
        <v>119</v>
      </c>
      <c r="T15" s="325">
        <f>IF(C15="","",IFERROR(IF(W15&lt;=22,-4,IF(W15&lt;=28,-2,IF(W15&lt;=45,2,IF(W15&lt;=55,1,0))))+IF(X15&lt;0,2,0)+IF(AD15="下降トレンド▼",3,IF(AD15="もみ合い→",1,0))+IF(V15="年初来安値圏●",3,IF(V15="安値圏",2,0))+IF(Q15="売り▼",2,0)+IF(P15="急増↑↑",2,IF(P15="増加↑",1,0))+IF(Z15&lt;0,1,0)+IF(L15&lt;=-30,2,IF(L15&lt;=-15,1,0))+IF(AE15="25日戻り売り★",2,IF(AE15="5日戻り売り○",1,0))+N(AL15)+N(AP15)+N(AU15),0))</f>
      </c>
      <c r="U15" s="325" t="str">
        <f t="shared" si="7"/>
        <v>有効</v>
      </c>
      <c r="V15" s="325" t="str">
        <f t="shared" si="8"/>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 t="shared" si="9"/>
        <v>相場上昇・見送り | 上昇トレンド▲ 5日戻り売り○ MACD- RSI:49.2 前日比:0.0% [安値圏] [5点]</v>
      </c>
      <c r="Z15" s="331">
        <f t="shared" si="10"/>
        <v>0</v>
      </c>
      <c r="AA15" s="325" t="str">
        <f t="shared" si="11"/>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 t="shared" si="12"/>
        <v>上昇トレンド▲</v>
      </c>
      <c r="AE15" s="325" t="str">
        <f t="shared" si="13"/>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 t="shared" si="14"/>
        <v>0</v>
      </c>
      <c r="AH15">
        <f t="shared" si="15"/>
        <v>0</v>
      </c>
      <c r="AI15" s="373">
        <f t="array" ref="AI15">IF(C15="","",IFERROR((INDEX(終値!$E:$E,MATCH(TEXT(C15,"0"),終値!$A:$A,0))-INDEX(終値!$E:$CZ,MATCH(TEXT(C15,"0"),終値!$A:$A,0),$AN$2))/INDEX(終値!$E:$CZ,MATCH(TEXT(C15,"0"),終値!$A:$A,0),$AN$2)*100,""))</f>
        <v>8.5714285714285712</v>
      </c>
      <c r="AJ15" s="373">
        <f t="array" ref="AJ15">IFERROR((終値!$E$5-INDEX(終値!$E$5:$CZ$5,1,$AN$2))/INDEX(終値!$E$5:$CZ$5,1,$AN$2)*100,"")</f>
        <v>1.0179378228534113</v>
      </c>
      <c r="AK15" s="374">
        <f t="shared" si="16"/>
        <v>7.5534907485751601</v>
      </c>
      <c r="AL15" s="372">
        <f t="shared" si="17"/>
        <v>-2</v>
      </c>
      <c r="AO15" s="376" t="str">
        <f t="shared" si="18"/>
        <v>通常</v>
      </c>
      <c r="AP15" s="377">
        <f t="shared" si="19"/>
        <v>0</v>
      </c>
      <c r="AQ15">
        <f>IF(C15&lt;&gt;"",始値!F70,"")</f>
        <v>114</v>
      </c>
      <c r="AR15">
        <f>IF(C15&lt;&gt;"",高値!F70,"")</f>
        <v>116</v>
      </c>
      <c r="AS15">
        <f>IF(C15&lt;&gt;"",安値!F70,"")</f>
        <v>113</v>
      </c>
      <c r="AT15" t="str">
        <f t="shared" si="20"/>
        <v>通常</v>
      </c>
      <c r="AU15">
        <f t="shared" si="21"/>
        <v>0</v>
      </c>
      <c r="BA15">
        <f>IFERROR((SUM(OFFSET(高値!$E$6,IFERROR(MATCH($C15,銘柄管理!$B$6:$B$305,0),MATCH(TEXT($C15,"0"),銘柄管理!$B$6:$B$305,0))-1,0,1,14))-SUM(OFFSET(安値!$E$6,IFERROR(MATCH($C15,銘柄管理!$B$6:$B$305,0),MATCH(TEXT($C15,"0"),銘柄管理!$B$6:$B$305,0))-1,0,1,14)))/SUM(OFFSET(終値!$E$6,IFERROR(MATCH($C15,銘柄管理!$B$6:$B$305,0),MATCH(TEXT($C15,"0"),銘柄管理!$B$6:$B$305,0))-1,0,1,14))*100,"")</f>
      </c>
      <c r="BB15">
        <f>IFERROR((MAX(OFFSET(高値!$E$6,IFERROR(MATCH($C15,銘柄管理!$B$6:$B$305,0),MATCH(TEXT($C15,"0"),銘柄管理!$B$6:$B$305,0))-1,0,1,25))-MIN(OFFSET(安値!$E$6,IFERROR(MATCH($C15,銘柄管理!$B$6:$B$305,0),MATCH(TEXT($C15,"0"),銘柄管理!$B$6:$B$305,0))-1,0,1,25)))/$E15*100,"")</f>
      </c>
      <c r="BC15">
        <f>IFERROR(($F15-$G15)/$G15*100,"")</f>
      </c>
      <c r="BD15">
        <f>IFERROR(($E15-MAX(OFFSET(高値!$E$6,IFERROR(MATCH($C15,銘柄管理!$B$6:$B$305,0),MATCH(TEXT($C15,"0"),銘柄管理!$B$6:$B$305,0))-1,0,1,25)))/MAX(OFFSET(高値!$E$6,IFERROR(MATCH($C15,銘柄管理!$B$6:$B$305,0),MATCH(TEXT($C15,"0"),銘柄管理!$B$6:$B$305,0))-1,0,1,25))*100,"")</f>
      </c>
      <c r="BE15">
        <f>IFERROR(($H15-$I15)/$F15*100,"")</f>
      </c>
      <c r="BF15">
        <f>IFERROR(-(($BA15-AVERAGE($BA$3:$BA$206))/STDEV($BA$3:$BA$206))-(($BE15-AVERAGE($BE$3:$BE$206))/STDEV($BE$3:$BE$206))-(($BB15-AVERAGE($BB$3:$BB$206))/STDEV($BB$3:$BB$206))-(($Z15-AVERAGE($Z$3:$Z$206))/STDEV($Z$3:$Z$206))-(($BC15-AVERAGE($BC$3:$BC$206))/STDEV($BC$3:$BC$206)),"")</f>
      </c>
      <c r="BG15">
        <f>IF(OR($C15="",$C15="TOPX",$BA15="",$BF15=""),0,IF(AND($BK$10=1,$BA15&lt;=$BK$2,$BB15&lt;=$BK$3,$BC15&lt;=$BK$4,$Z15&lt;=$BK$5,$Z15&gt;=$BK$6,$BD15&gt;=$BK$7,$BE15&lt;=$BK$8),1,0))</f>
      </c>
      <c r="BH15">
        <f>IF($C15="","",IF($BG15=1,"○ゲート通過",IF($BK$10&lt;&gt;1,"― この方向は停止中",IF($BA15&gt;$BK$2,"×値動きが荒い",IF($BB15&gt;$BK$3,"×レンジが広い",IF($BC15&gt;$BK$4,"×窓を開けて上昇",IF($Z15&gt;$BK$5,"×前日に急騰",IF($Z15&lt;$BK$6,"×前日に急落",IF($BD15&lt;$BK$7,"×高値から離れすぎ",IF($BE15&gt;$BK$8,"×当日の値幅が大きい","×")))))))))</f>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 t="shared" si="0"/>
        <v>-27.59009009009009</v>
      </c>
      <c r="M16" s="333">
        <f>IF(C16&lt;&gt;"",IFERROR(AVERAGE(出来高!E78:I78),""),"")</f>
        <v>11581080</v>
      </c>
      <c r="N16" s="333">
        <f>IF(C16&lt;&gt;"",IFERROR(AVERAGE(出来高!E78:AC78),""),"")</f>
        <v>6926760</v>
      </c>
      <c r="O16" s="335">
        <f t="shared" si="1"/>
        <v>0.59456458292318159</v>
      </c>
      <c r="P16" s="212" t="str">
        <f t="shared" si="2"/>
        <v>減少↓</v>
      </c>
      <c r="Q16" s="212" t="str">
        <f t="shared" si="3"/>
        <v>中立→</v>
      </c>
      <c r="R16" s="333">
        <f t="shared" si="4"/>
        <v>5916</v>
      </c>
      <c r="S16" s="333">
        <f t="shared" si="5"/>
        <v>6687</v>
      </c>
      <c r="T16" s="325">
        <f>IF(C16="","",IFERROR(IF(W16&lt;=22,-4,IF(W16&lt;=28,-2,IF(W16&lt;=45,2,IF(W16&lt;=55,1,0))))+IF(X16&lt;0,2,0)+IF(AD16="下降トレンド▼",3,IF(AD16="もみ合い→",1,0))+IF(V16="年初来安値圏●",3,IF(V16="安値圏",2,0))+IF(Q16="売り▼",2,0)+IF(P16="急増↑↑",2,IF(P16="増加↑",1,0))+IF(Z16&lt;0,1,0)+IF(L16&lt;=-30,2,IF(L16&lt;=-15,1,0))+IF(AE16="25日戻り売り★",2,IF(AE16="5日戻り売り○",1,0))+N(AL16)+N(AP16)+N(AU16),0))</f>
      </c>
      <c r="U16" s="212" t="str">
        <f t="shared" si="7"/>
        <v>要確認</v>
      </c>
      <c r="V16" s="212" t="str">
        <f t="shared" si="8"/>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 t="shared" si="9"/>
        <v>相場上昇・見送り | もみ合い→ MACD- RSI:42.6 前日比:-0.5% [安値圏]前日[長い下ヒゲ(反発)] [8点]</v>
      </c>
      <c r="Z16" s="338">
        <f t="shared" si="10"/>
        <v>-0.46439628482972134</v>
      </c>
      <c r="AA16" s="212" t="str">
        <f t="shared" si="11"/>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 t="shared" si="12"/>
        <v>もみ合い→</v>
      </c>
      <c r="AE16" s="212" t="str">
        <f t="shared" si="13"/>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 t="shared" si="14"/>
        <v>8</v>
      </c>
      <c r="AH16">
        <f t="shared" si="15"/>
        <v>79984</v>
      </c>
      <c r="AI16" s="373">
        <f t="array" ref="AI16">IF(C16="","",IFERROR((INDEX(終値!$E:$E,MATCH(TEXT(C16,"0"),終値!$A:$A,0))-INDEX(終値!$E:$CZ,MATCH(TEXT(C16,"0"),終値!$A:$A,0),$AN$2))/INDEX(終値!$E:$CZ,MATCH(TEXT(C16,"0"),終値!$A:$A,0),$AN$2)*100,""))</f>
        <v>-13.283884018880649</v>
      </c>
      <c r="AJ16" s="373">
        <f t="array" ref="AJ16">IFERROR((終値!$E$5-INDEX(終値!$E$5:$CZ$5,1,$AN$2))/INDEX(終値!$E$5:$CZ$5,1,$AN$2)*100,"")</f>
        <v>1.0179378228534113</v>
      </c>
      <c r="AK16" s="374">
        <f t="shared" si="16"/>
        <v>-14.301821841734061</v>
      </c>
      <c r="AL16" s="372">
        <f t="shared" si="17"/>
        <v>3</v>
      </c>
      <c r="AO16" s="376" t="str">
        <f t="shared" si="18"/>
        <v>通常</v>
      </c>
      <c r="AP16" s="377">
        <f t="shared" si="19"/>
        <v>0</v>
      </c>
      <c r="AQ16">
        <f>IF(C16&lt;&gt;"",始値!F78,"")</f>
        <v>6487</v>
      </c>
      <c r="AR16">
        <f>IF(C16&lt;&gt;"",高値!F78,"")</f>
        <v>6495</v>
      </c>
      <c r="AS16">
        <f>IF(C16&lt;&gt;"",安値!F78,"")</f>
        <v>6327</v>
      </c>
      <c r="AT16" t="str">
        <f t="shared" si="20"/>
        <v>長い下ヒゲ(反発)</v>
      </c>
      <c r="AU16">
        <f t="shared" si="21"/>
        <v>-2</v>
      </c>
      <c r="BA16">
        <f>IFERROR((SUM(OFFSET(高値!$E$6,IFERROR(MATCH($C16,銘柄管理!$B$6:$B$305,0),MATCH(TEXT($C16,"0"),銘柄管理!$B$6:$B$305,0))-1,0,1,14))-SUM(OFFSET(安値!$E$6,IFERROR(MATCH($C16,銘柄管理!$B$6:$B$305,0),MATCH(TEXT($C16,"0"),銘柄管理!$B$6:$B$305,0))-1,0,1,14)))/SUM(OFFSET(終値!$E$6,IFERROR(MATCH($C16,銘柄管理!$B$6:$B$305,0),MATCH(TEXT($C16,"0"),銘柄管理!$B$6:$B$305,0))-1,0,1,14))*100,"")</f>
      </c>
      <c r="BB16">
        <f>IFERROR((MAX(OFFSET(高値!$E$6,IFERROR(MATCH($C16,銘柄管理!$B$6:$B$305,0),MATCH(TEXT($C16,"0"),銘柄管理!$B$6:$B$305,0))-1,0,1,25))-MIN(OFFSET(安値!$E$6,IFERROR(MATCH($C16,銘柄管理!$B$6:$B$305,0),MATCH(TEXT($C16,"0"),銘柄管理!$B$6:$B$305,0))-1,0,1,25)))/$E16*100,"")</f>
      </c>
      <c r="BC16">
        <f>IFERROR(($F16-$G16)/$G16*100,"")</f>
      </c>
      <c r="BD16">
        <f>IFERROR(($E16-MAX(OFFSET(高値!$E$6,IFERROR(MATCH($C16,銘柄管理!$B$6:$B$305,0),MATCH(TEXT($C16,"0"),銘柄管理!$B$6:$B$305,0))-1,0,1,25)))/MAX(OFFSET(高値!$E$6,IFERROR(MATCH($C16,銘柄管理!$B$6:$B$305,0),MATCH(TEXT($C16,"0"),銘柄管理!$B$6:$B$305,0))-1,0,1,25))*100,"")</f>
      </c>
      <c r="BE16">
        <f>IFERROR(($H16-$I16)/$F16*100,"")</f>
      </c>
      <c r="BF16">
        <f>IFERROR(-(($BA16-AVERAGE($BA$3:$BA$206))/STDEV($BA$3:$BA$206))-(($BE16-AVERAGE($BE$3:$BE$206))/STDEV($BE$3:$BE$206))-(($BB16-AVERAGE($BB$3:$BB$206))/STDEV($BB$3:$BB$206))-(($Z16-AVERAGE($Z$3:$Z$206))/STDEV($Z$3:$Z$206))-(($BC16-AVERAGE($BC$3:$BC$206))/STDEV($BC$3:$BC$206)),"")</f>
      </c>
      <c r="BG16">
        <f>IF(OR($C16="",$C16="TOPX",$BA16="",$BF16=""),0,IF(AND($BK$10=1,$BA16&lt;=$BK$2,$BB16&lt;=$BK$3,$BC16&lt;=$BK$4,$Z16&lt;=$BK$5,$Z16&gt;=$BK$6,$BD16&gt;=$BK$7,$BE16&lt;=$BK$8),1,0))</f>
      </c>
      <c r="BH16">
        <f>IF($C16="","",IF($BG16=1,"○ゲート通過",IF($BK$10&lt;&gt;1,"― この方向は停止中",IF($BA16&gt;$BK$2,"×値動きが荒い",IF($BB16&gt;$BK$3,"×レンジが広い",IF($BC16&gt;$BK$4,"×窓を開けて上昇",IF($Z16&gt;$BK$5,"×前日に急騰",IF($Z16&lt;$BK$6,"×前日に急落",IF($BD16&lt;$BK$7,"×高値から離れすぎ",IF($BE16&gt;$BK$8,"×当日の値幅が大きい","×")))))))))</f>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 t="shared" si="0"/>
        <v>-12.581790988969901</v>
      </c>
      <c r="M17" s="326">
        <f>IF(C17&lt;&gt;"",IFERROR(AVERAGE(出来高!E100:I100),""),"")</f>
        <v>2049380</v>
      </c>
      <c r="N17" s="326">
        <f>IF(C17&lt;&gt;"",IFERROR(AVERAGE(出来高!E100:AC100),""),"")</f>
        <v>1574395.8333333333</v>
      </c>
      <c r="O17" s="328">
        <f t="shared" si="1"/>
        <v>0.73836965326098625</v>
      </c>
      <c r="P17" s="325" t="str">
        <f t="shared" si="2"/>
        <v>減少↓</v>
      </c>
      <c r="Q17" s="325" t="str">
        <f t="shared" si="3"/>
        <v>様子見▲</v>
      </c>
      <c r="R17" s="326">
        <f t="shared" si="4"/>
        <v>2151</v>
      </c>
      <c r="S17" s="326">
        <f t="shared" si="5"/>
        <v>2432</v>
      </c>
      <c r="T17" s="325">
        <f>IF(C17="","",IFERROR(IF(W17&lt;=22,-4,IF(W17&lt;=28,-2,IF(W17&lt;=45,2,IF(W17&lt;=55,1,0))))+IF(X17&lt;0,2,0)+IF(AD17="下降トレンド▼",3,IF(AD17="もみ合い→",1,0))+IF(V17="年初来安値圏●",3,IF(V17="安値圏",2,0))+IF(Q17="売り▼",2,0)+IF(P17="急増↑↑",2,IF(P17="増加↑",1,0))+IF(Z17&lt;0,1,0)+IF(L17&lt;=-30,2,IF(L17&lt;=-15,1,0))+IF(AE17="25日戻り売り★",2,IF(AE17="5日戻り売り○",1,0))+N(AL17)+N(AP17)+N(AU17),0))</f>
      </c>
      <c r="U17" s="325" t="str">
        <f t="shared" si="7"/>
        <v>除外</v>
      </c>
      <c r="V17" s="325" t="str">
        <f t="shared" si="8"/>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 t="shared" si="9"/>
        <v>相場上昇・見送り | パーフェクト▲ MACD- RSI:49.2 前日比:+1.6%前日[長い下ヒゲ(反発)] [1点]</v>
      </c>
      <c r="Z17" s="331">
        <f t="shared" si="10"/>
        <v>1.6079965232507605</v>
      </c>
      <c r="AA17" s="325" t="str">
        <f t="shared" si="11"/>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 t="shared" si="12"/>
        <v>パーフェクト▲</v>
      </c>
      <c r="AE17" s="325" t="str">
        <f t="shared" si="13"/>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 t="shared" si="14"/>
        <v>0</v>
      </c>
      <c r="AH17">
        <f t="shared" si="15"/>
        <v>0</v>
      </c>
      <c r="AI17" s="373">
        <f t="array" ref="AI17">IF(C17="","",IFERROR((INDEX(終値!$E:$E,MATCH(TEXT(C17,"0"),終値!$A:$A,0))-INDEX(終値!$E:$CZ,MATCH(TEXT(C17,"0"),終値!$A:$A,0),$AN$2))/INDEX(終値!$E:$CZ,MATCH(TEXT(C17,"0"),終値!$A:$A,0),$AN$2)*100,""))</f>
        <v>-1.2668918918918919</v>
      </c>
      <c r="AJ17" s="373">
        <f t="array" ref="AJ17">IFERROR((終値!$E$5-INDEX(終値!$E$5:$CZ$5,1,$AN$2))/INDEX(終値!$E$5:$CZ$5,1,$AN$2)*100,"")</f>
        <v>1.0179378228534113</v>
      </c>
      <c r="AK17" s="374">
        <f t="shared" si="16"/>
        <v>-2.2848297147453032</v>
      </c>
      <c r="AL17" s="372">
        <f t="shared" si="17"/>
        <v>1</v>
      </c>
      <c r="AO17" s="376" t="str">
        <f t="shared" si="18"/>
        <v>通常</v>
      </c>
      <c r="AP17" s="377">
        <f t="shared" si="19"/>
        <v>0</v>
      </c>
      <c r="AQ17">
        <f>IF(C17&lt;&gt;"",始値!F100,"")</f>
        <v>2320</v>
      </c>
      <c r="AR17">
        <f>IF(C17&lt;&gt;"",高値!F100,"")</f>
        <v>2320</v>
      </c>
      <c r="AS17">
        <f>IF(C17&lt;&gt;"",安値!F100,"")</f>
        <v>2264.5</v>
      </c>
      <c r="AT17" t="str">
        <f t="shared" si="20"/>
        <v>長い下ヒゲ(反発)</v>
      </c>
      <c r="AU17">
        <f t="shared" si="21"/>
        <v>-2</v>
      </c>
      <c r="BA17">
        <f>IFERROR((SUM(OFFSET(高値!$E$6,IFERROR(MATCH($C17,銘柄管理!$B$6:$B$305,0),MATCH(TEXT($C17,"0"),銘柄管理!$B$6:$B$305,0))-1,0,1,14))-SUM(OFFSET(安値!$E$6,IFERROR(MATCH($C17,銘柄管理!$B$6:$B$305,0),MATCH(TEXT($C17,"0"),銘柄管理!$B$6:$B$305,0))-1,0,1,14)))/SUM(OFFSET(終値!$E$6,IFERROR(MATCH($C17,銘柄管理!$B$6:$B$305,0),MATCH(TEXT($C17,"0"),銘柄管理!$B$6:$B$305,0))-1,0,1,14))*100,"")</f>
      </c>
      <c r="BB17">
        <f>IFERROR((MAX(OFFSET(高値!$E$6,IFERROR(MATCH($C17,銘柄管理!$B$6:$B$305,0),MATCH(TEXT($C17,"0"),銘柄管理!$B$6:$B$305,0))-1,0,1,25))-MIN(OFFSET(安値!$E$6,IFERROR(MATCH($C17,銘柄管理!$B$6:$B$305,0),MATCH(TEXT($C17,"0"),銘柄管理!$B$6:$B$305,0))-1,0,1,25)))/$E17*100,"")</f>
      </c>
      <c r="BC17">
        <f>IFERROR(($F17-$G17)/$G17*100,"")</f>
      </c>
      <c r="BD17">
        <f>IFERROR(($E17-MAX(OFFSET(高値!$E$6,IFERROR(MATCH($C17,銘柄管理!$B$6:$B$305,0),MATCH(TEXT($C17,"0"),銘柄管理!$B$6:$B$305,0))-1,0,1,25)))/MAX(OFFSET(高値!$E$6,IFERROR(MATCH($C17,銘柄管理!$B$6:$B$305,0),MATCH(TEXT($C17,"0"),銘柄管理!$B$6:$B$305,0))-1,0,1,25))*100,"")</f>
      </c>
      <c r="BE17">
        <f>IFERROR(($H17-$I17)/$F17*100,"")</f>
      </c>
      <c r="BF17">
        <f>IFERROR(-(($BA17-AVERAGE($BA$3:$BA$206))/STDEV($BA$3:$BA$206))-(($BE17-AVERAGE($BE$3:$BE$206))/STDEV($BE$3:$BE$206))-(($BB17-AVERAGE($BB$3:$BB$206))/STDEV($BB$3:$BB$206))-(($Z17-AVERAGE($Z$3:$Z$206))/STDEV($Z$3:$Z$206))-(($BC17-AVERAGE($BC$3:$BC$206))/STDEV($BC$3:$BC$206)),"")</f>
      </c>
      <c r="BG17">
        <f>IF(OR($C17="",$C17="TOPX",$BA17="",$BF17=""),0,IF(AND($BK$10=1,$BA17&lt;=$BK$2,$BB17&lt;=$BK$3,$BC17&lt;=$BK$4,$Z17&lt;=$BK$5,$Z17&gt;=$BK$6,$BD17&gt;=$BK$7,$BE17&lt;=$BK$8),1,0))</f>
      </c>
      <c r="BH17">
        <f>IF($C17="","",IF($BG17=1,"○ゲート通過",IF($BK$10&lt;&gt;1,"― この方向は停止中",IF($BA17&gt;$BK$2,"×値動きが荒い",IF($BB17&gt;$BK$3,"×レンジが広い",IF($BC17&gt;$BK$4,"×窓を開けて上昇",IF($Z17&gt;$BK$5,"×前日に急騰",IF($Z17&lt;$BK$6,"×前日に急落",IF($BD17&lt;$BK$7,"×高値から離れすぎ",IF($BE17&gt;$BK$8,"×当日の値幅が大きい","×")))))))))</f>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 t="shared" si="0"/>
        <v>-15.579540122008448</v>
      </c>
      <c r="M18" s="333">
        <f>IF(C18&lt;&gt;"",IFERROR(AVERAGE(出来高!E107:I107),""),"")</f>
        <v>683020</v>
      </c>
      <c r="N18" s="333">
        <f>IF(C18&lt;&gt;"",IFERROR(AVERAGE(出来高!E107:AC107),""),"")</f>
        <v>575776</v>
      </c>
      <c r="O18" s="335">
        <f t="shared" si="1"/>
        <v>0.84990190623993445</v>
      </c>
      <c r="P18" s="212" t="str">
        <f t="shared" si="2"/>
        <v>減少↓</v>
      </c>
      <c r="Q18" s="212" t="str">
        <f t="shared" si="3"/>
        <v>中立→</v>
      </c>
      <c r="R18" s="333">
        <f t="shared" si="4"/>
        <v>16551</v>
      </c>
      <c r="S18" s="333">
        <f t="shared" si="5"/>
        <v>18710</v>
      </c>
      <c r="T18" s="325">
        <f>IF(C18="","",IFERROR(IF(W18&lt;=22,-4,IF(W18&lt;=28,-2,IF(W18&lt;=45,2,IF(W18&lt;=55,1,0))))+IF(X18&lt;0,2,0)+IF(AD18="下降トレンド▼",3,IF(AD18="もみ合い→",1,0))+IF(V18="年初来安値圏●",3,IF(V18="安値圏",2,0))+IF(Q18="売り▼",2,0)+IF(P18="急増↑↑",2,IF(P18="増加↑",1,0))+IF(Z18&lt;0,1,0)+IF(L18&lt;=-30,2,IF(L18&lt;=-15,1,0))+IF(AE18="25日戻り売り★",2,IF(AE18="5日戻り売り○",1,0))+N(AL18)+N(AP18)+N(AU18),0))</f>
      </c>
      <c r="U18" s="212" t="str">
        <f t="shared" si="7"/>
        <v>要確認</v>
      </c>
      <c r="V18" s="212" t="str">
        <f t="shared" si="8"/>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 t="shared" si="9"/>
        <v>相場上昇・見送り | 上昇トレンド▲ 5日戻り売り○ MACD- RSI:48.1 前日比:-4.1% [8点]</v>
      </c>
      <c r="Z18" s="338">
        <f t="shared" si="10"/>
        <v>-4.0789122900559853</v>
      </c>
      <c r="AA18" s="212" t="str">
        <f t="shared" si="11"/>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 t="shared" si="12"/>
        <v>上昇トレンド▲</v>
      </c>
      <c r="AE18" s="212" t="str">
        <f t="shared" si="13"/>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 t="shared" si="14"/>
        <v>8</v>
      </c>
      <c r="AH18">
        <f t="shared" si="15"/>
        <v>79982</v>
      </c>
      <c r="AI18" s="373">
        <f t="array" ref="AI18">IF(C18="","",IFERROR((INDEX(終値!$E:$E,MATCH(TEXT(C18,"0"),終値!$A:$A,0))-INDEX(終値!$E:$CZ,MATCH(TEXT(C18,"0"),終値!$A:$A,0),$AN$2))/INDEX(終値!$E:$CZ,MATCH(TEXT(C18,"0"),終値!$A:$A,0),$AN$2)*100,""))</f>
        <v>-14.005736137667304</v>
      </c>
      <c r="AJ18" s="373">
        <f t="array" ref="AJ18">IFERROR((終値!$E$5-INDEX(終値!$E$5:$CZ$5,1,$AN$2))/INDEX(終値!$E$5:$CZ$5,1,$AN$2)*100,"")</f>
        <v>1.0179378228534113</v>
      </c>
      <c r="AK18" s="374">
        <f t="shared" si="16"/>
        <v>-15.023673960520716</v>
      </c>
      <c r="AL18" s="372">
        <f t="shared" si="17"/>
        <v>3</v>
      </c>
      <c r="AO18" s="376" t="str">
        <f t="shared" si="18"/>
        <v>通常</v>
      </c>
      <c r="AP18" s="377">
        <f t="shared" si="19"/>
        <v>0</v>
      </c>
      <c r="AQ18">
        <f>IF(C18&lt;&gt;"",始値!F107,"")</f>
        <v>18100</v>
      </c>
      <c r="AR18">
        <f>IF(C18&lt;&gt;"",高値!F107,"")</f>
        <v>18985</v>
      </c>
      <c r="AS18">
        <f>IF(C18&lt;&gt;"",安値!F107,"")</f>
        <v>17625</v>
      </c>
      <c r="AT18" t="str">
        <f t="shared" si="20"/>
        <v>通常</v>
      </c>
      <c r="AU18">
        <f t="shared" si="21"/>
        <v>0</v>
      </c>
      <c r="BA18">
        <f>IFERROR((SUM(OFFSET(高値!$E$6,IFERROR(MATCH($C18,銘柄管理!$B$6:$B$305,0),MATCH(TEXT($C18,"0"),銘柄管理!$B$6:$B$305,0))-1,0,1,14))-SUM(OFFSET(安値!$E$6,IFERROR(MATCH($C18,銘柄管理!$B$6:$B$305,0),MATCH(TEXT($C18,"0"),銘柄管理!$B$6:$B$305,0))-1,0,1,14)))/SUM(OFFSET(終値!$E$6,IFERROR(MATCH($C18,銘柄管理!$B$6:$B$305,0),MATCH(TEXT($C18,"0"),銘柄管理!$B$6:$B$305,0))-1,0,1,14))*100,"")</f>
      </c>
      <c r="BB18">
        <f>IFERROR((MAX(OFFSET(高値!$E$6,IFERROR(MATCH($C18,銘柄管理!$B$6:$B$305,0),MATCH(TEXT($C18,"0"),銘柄管理!$B$6:$B$305,0))-1,0,1,25))-MIN(OFFSET(安値!$E$6,IFERROR(MATCH($C18,銘柄管理!$B$6:$B$305,0),MATCH(TEXT($C18,"0"),銘柄管理!$B$6:$B$305,0))-1,0,1,25)))/$E18*100,"")</f>
      </c>
      <c r="BC18">
        <f>IFERROR(($F18-$G18)/$G18*100,"")</f>
      </c>
      <c r="BD18">
        <f>IFERROR(($E18-MAX(OFFSET(高値!$E$6,IFERROR(MATCH($C18,銘柄管理!$B$6:$B$305,0),MATCH(TEXT($C18,"0"),銘柄管理!$B$6:$B$305,0))-1,0,1,25)))/MAX(OFFSET(高値!$E$6,IFERROR(MATCH($C18,銘柄管理!$B$6:$B$305,0),MATCH(TEXT($C18,"0"),銘柄管理!$B$6:$B$305,0))-1,0,1,25))*100,"")</f>
      </c>
      <c r="BE18">
        <f>IFERROR(($H18-$I18)/$F18*100,"")</f>
      </c>
      <c r="BF18">
        <f>IFERROR(-(($BA18-AVERAGE($BA$3:$BA$206))/STDEV($BA$3:$BA$206))-(($BE18-AVERAGE($BE$3:$BE$206))/STDEV($BE$3:$BE$206))-(($BB18-AVERAGE($BB$3:$BB$206))/STDEV($BB$3:$BB$206))-(($Z18-AVERAGE($Z$3:$Z$206))/STDEV($Z$3:$Z$206))-(($BC18-AVERAGE($BC$3:$BC$206))/STDEV($BC$3:$BC$206)),"")</f>
      </c>
      <c r="BG18">
        <f>IF(OR($C18="",$C18="TOPX",$BA18="",$BF18=""),0,IF(AND($BK$10=1,$BA18&lt;=$BK$2,$BB18&lt;=$BK$3,$BC18&lt;=$BK$4,$Z18&lt;=$BK$5,$Z18&gt;=$BK$6,$BD18&gt;=$BK$7,$BE18&lt;=$BK$8),1,0))</f>
      </c>
      <c r="BH18">
        <f>IF($C18="","",IF($BG18=1,"○ゲート通過",IF($BK$10&lt;&gt;1,"― この方向は停止中",IF($BA18&gt;$BK$2,"×値動きが荒い",IF($BB18&gt;$BK$3,"×レンジが広い",IF($BC18&gt;$BK$4,"×窓を開けて上昇",IF($Z18&gt;$BK$5,"×前日に急騰",IF($Z18&lt;$BK$6,"×前日に急落",IF($BD18&lt;$BK$7,"×高値から離れすぎ",IF($BE18&gt;$BK$8,"×当日の値幅が大きい","×")))))))))</f>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 t="shared" si="0"/>
        <v>-1.2686567164179103</v>
      </c>
      <c r="M19" s="326">
        <f>IF(C19&lt;&gt;"",IFERROR(AVERAGE(出来高!E164:I164),""),"")</f>
        <v>128980</v>
      </c>
      <c r="N19" s="326">
        <f>IF(C19&lt;&gt;"",IFERROR(AVERAGE(出来高!E164:AC164),""),"")</f>
        <v>95876</v>
      </c>
      <c r="O19" s="328">
        <f t="shared" si="1"/>
        <v>0.37680260505504731</v>
      </c>
      <c r="P19" s="325" t="str">
        <f t="shared" si="2"/>
        <v>減少↓</v>
      </c>
      <c r="Q19" s="325" t="str">
        <f t="shared" si="3"/>
        <v>中立→</v>
      </c>
      <c r="R19" s="326">
        <f t="shared" si="4"/>
        <v>1217</v>
      </c>
      <c r="S19" s="326">
        <f t="shared" si="5"/>
        <v>1376</v>
      </c>
      <c r="T19" s="325">
        <f>IF(C19="","",IFERROR(IF(W19&lt;=22,-4,IF(W19&lt;=28,-2,IF(W19&lt;=45,2,IF(W19&lt;=55,1,0))))+IF(X19&lt;0,2,0)+IF(AD19="下降トレンド▼",3,IF(AD19="もみ合い→",1,0))+IF(V19="年初来安値圏●",3,IF(V19="安値圏",2,0))+IF(Q19="売り▼",2,0)+IF(P19="急増↑↑",2,IF(P19="増加↑",1,0))+IF(Z19&lt;0,1,0)+IF(L19&lt;=-30,2,IF(L19&lt;=-15,1,0))+IF(AE19="25日戻り売り★",2,IF(AE19="5日戻り売り○",1,0))+N(AL19)+N(AP19)+N(AU19),0))</f>
      </c>
      <c r="U19" s="325" t="str">
        <f t="shared" si="7"/>
        <v>除外</v>
      </c>
      <c r="V19" s="325" t="str">
        <f t="shared" si="8"/>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 t="shared" si="9"/>
        <v>相場上昇・見送り | パーフェクト▲ MACD+ RSI:51.9 前日比:-0.5% [上ヒゲ陰線▼] [2点]</v>
      </c>
      <c r="Z19" s="331">
        <f t="shared" si="10"/>
        <v>-0.45146726862302478</v>
      </c>
      <c r="AA19" s="325" t="str">
        <f t="shared" si="11"/>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 t="shared" si="12"/>
        <v>パーフェクト▲</v>
      </c>
      <c r="AE19" s="325" t="str">
        <f t="shared" si="13"/>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 t="shared" si="14"/>
        <v>0</v>
      </c>
      <c r="AH19">
        <f t="shared" si="15"/>
        <v>0</v>
      </c>
      <c r="AI19" s="373">
        <f t="array" ref="AI19">IF(C19="","",IFERROR((INDEX(終値!$E:$E,MATCH(TEXT(C19,"0"),終値!$A:$A,0))-INDEX(終値!$E:$CZ,MATCH(TEXT(C19,"0"),終値!$A:$A,0),$AN$2))/INDEX(終値!$E:$CZ,MATCH(TEXT(C19,"0"),終値!$A:$A,0),$AN$2)*100,""))</f>
        <v>9.5198675496688736</v>
      </c>
      <c r="AJ19" s="373">
        <f t="array" ref="AJ19">IFERROR((終値!$E$5-INDEX(終値!$E$5:$CZ$5,1,$AN$2))/INDEX(終値!$E$5:$CZ$5,1,$AN$2)*100,"")</f>
        <v>1.0179378228534113</v>
      </c>
      <c r="AK19" s="374">
        <f t="shared" si="16"/>
        <v>8.5019297268154617</v>
      </c>
      <c r="AL19" s="372">
        <f t="shared" si="17"/>
        <v>-2</v>
      </c>
      <c r="AO19" s="376" t="str">
        <f t="shared" si="18"/>
        <v>上ヒゲ陰線▼</v>
      </c>
      <c r="AP19" s="377">
        <f t="shared" si="19"/>
        <v>2</v>
      </c>
      <c r="AQ19">
        <f>IF(C19&lt;&gt;"",始値!F164,"")</f>
        <v>1304</v>
      </c>
      <c r="AR19">
        <f>IF(C19&lt;&gt;"",高値!F164,"")</f>
        <v>1340</v>
      </c>
      <c r="AS19">
        <f>IF(C19&lt;&gt;"",安値!F164,"")</f>
        <v>1304</v>
      </c>
      <c r="AT19" t="str">
        <f t="shared" si="20"/>
        <v>通常</v>
      </c>
      <c r="AU19">
        <f t="shared" si="21"/>
        <v>0</v>
      </c>
      <c r="BA19">
        <f>IFERROR((SUM(OFFSET(高値!$E$6,IFERROR(MATCH($C19,銘柄管理!$B$6:$B$305,0),MATCH(TEXT($C19,"0"),銘柄管理!$B$6:$B$305,0))-1,0,1,14))-SUM(OFFSET(安値!$E$6,IFERROR(MATCH($C19,銘柄管理!$B$6:$B$305,0),MATCH(TEXT($C19,"0"),銘柄管理!$B$6:$B$305,0))-1,0,1,14)))/SUM(OFFSET(終値!$E$6,IFERROR(MATCH($C19,銘柄管理!$B$6:$B$305,0),MATCH(TEXT($C19,"0"),銘柄管理!$B$6:$B$305,0))-1,0,1,14))*100,"")</f>
      </c>
      <c r="BB19">
        <f>IFERROR((MAX(OFFSET(高値!$E$6,IFERROR(MATCH($C19,銘柄管理!$B$6:$B$305,0),MATCH(TEXT($C19,"0"),銘柄管理!$B$6:$B$305,0))-1,0,1,25))-MIN(OFFSET(安値!$E$6,IFERROR(MATCH($C19,銘柄管理!$B$6:$B$305,0),MATCH(TEXT($C19,"0"),銘柄管理!$B$6:$B$305,0))-1,0,1,25)))/$E19*100,"")</f>
      </c>
      <c r="BC19">
        <f>IFERROR(($F19-$G19)/$G19*100,"")</f>
      </c>
      <c r="BD19">
        <f>IFERROR(($E19-MAX(OFFSET(高値!$E$6,IFERROR(MATCH($C19,銘柄管理!$B$6:$B$305,0),MATCH(TEXT($C19,"0"),銘柄管理!$B$6:$B$305,0))-1,0,1,25)))/MAX(OFFSET(高値!$E$6,IFERROR(MATCH($C19,銘柄管理!$B$6:$B$305,0),MATCH(TEXT($C19,"0"),銘柄管理!$B$6:$B$305,0))-1,0,1,25))*100,"")</f>
      </c>
      <c r="BE19">
        <f>IFERROR(($H19-$I19)/$F19*100,"")</f>
      </c>
      <c r="BF19">
        <f>IFERROR(-(($BA19-AVERAGE($BA$3:$BA$206))/STDEV($BA$3:$BA$206))-(($BE19-AVERAGE($BE$3:$BE$206))/STDEV($BE$3:$BE$206))-(($BB19-AVERAGE($BB$3:$BB$206))/STDEV($BB$3:$BB$206))-(($Z19-AVERAGE($Z$3:$Z$206))/STDEV($Z$3:$Z$206))-(($BC19-AVERAGE($BC$3:$BC$206))/STDEV($BC$3:$BC$206)),"")</f>
      </c>
      <c r="BG19">
        <f>IF(OR($C19="",$C19="TOPX",$BA19="",$BF19=""),0,IF(AND($BK$10=1,$BA19&lt;=$BK$2,$BB19&lt;=$BK$3,$BC19&lt;=$BK$4,$Z19&lt;=$BK$5,$Z19&gt;=$BK$6,$BD19&gt;=$BK$7,$BE19&lt;=$BK$8),1,0))</f>
      </c>
      <c r="BH19">
        <f>IF($C19="","",IF($BG19=1,"○ゲート通過",IF($BK$10&lt;&gt;1,"― この方向は停止中",IF($BA19&gt;$BK$2,"×値動きが荒い",IF($BB19&gt;$BK$3,"×レンジが広い",IF($BC19&gt;$BK$4,"×窓を開けて上昇",IF($Z19&gt;$BK$5,"×前日に急騰",IF($Z19&lt;$BK$6,"×前日に急落",IF($BD19&lt;$BK$7,"×高値から離れすぎ",IF($BE19&gt;$BK$8,"×当日の値幅が大きい","×")))))))))</f>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 t="shared" si="0"/>
        <v>-33.607075173720787</v>
      </c>
      <c r="M20" s="333">
        <f>IF(C20&lt;&gt;"",IFERROR(AVERAGE(出来高!E201:I201),""),"")</f>
        <v>6209960</v>
      </c>
      <c r="N20" s="333">
        <f>IF(C20&lt;&gt;"",IFERROR(AVERAGE(出来高!E201:AC201),""),"")</f>
        <v>7904032</v>
      </c>
      <c r="O20" s="335">
        <f t="shared" si="1"/>
        <v>0.76050409342411218</v>
      </c>
      <c r="P20" s="212" t="str">
        <f t="shared" si="2"/>
        <v>減少↓</v>
      </c>
      <c r="Q20" s="212" t="str">
        <f t="shared" si="3"/>
        <v>中立→</v>
      </c>
      <c r="R20" s="333">
        <f t="shared" si="4"/>
        <v>4835</v>
      </c>
      <c r="S20" s="333">
        <f t="shared" si="5"/>
        <v>5465</v>
      </c>
      <c r="T20" s="325">
        <f>IF(C20="","",IFERROR(IF(W20&lt;=22,-4,IF(W20&lt;=28,-2,IF(W20&lt;=45,2,IF(W20&lt;=55,1,0))))+IF(X20&lt;0,2,0)+IF(AD20="下降トレンド▼",3,IF(AD20="もみ合い→",1,0))+IF(V20="年初来安値圏●",3,IF(V20="安値圏",2,0))+IF(Q20="売り▼",2,0)+IF(P20="急増↑↑",2,IF(P20="増加↑",1,0))+IF(Z20&lt;0,1,0)+IF(L20&lt;=-30,2,IF(L20&lt;=-15,1,0))+IF(AE20="25日戻り売り★",2,IF(AE20="5日戻り売り○",1,0))+N(AL20)+N(AP20)+N(AU20),0))</f>
      </c>
      <c r="U20" s="212" t="str">
        <f t="shared" si="7"/>
        <v>要確認</v>
      </c>
      <c r="V20" s="212" t="str">
        <f t="shared" si="8"/>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 t="shared" si="9"/>
        <v>○逆張り売り | もみ合い→ 25日戻り売り★ MACD- RSI:47.8 前日比:-2.4% [安値圏] [13点]</v>
      </c>
      <c r="Z20" s="338">
        <f t="shared" si="10"/>
        <v>-2.3597175771088814</v>
      </c>
      <c r="AA20" s="212" t="str">
        <f t="shared" si="11"/>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 t="shared" si="12"/>
        <v>もみ合い→</v>
      </c>
      <c r="AE20" s="212" t="str">
        <f t="shared" si="13"/>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 t="shared" si="14"/>
        <v>13</v>
      </c>
      <c r="AH20">
        <f t="shared" si="15"/>
        <v>129980</v>
      </c>
      <c r="AI20" s="373">
        <f t="array" ref="AI20">IF(C20="","",IFERROR((INDEX(終値!$E:$E,MATCH(TEXT(C20,"0"),終値!$A:$A,0))-INDEX(終値!$E:$CZ,MATCH(TEXT(C20,"0"),終値!$A:$A,0),$AN$2))/INDEX(終値!$E:$CZ,MATCH(TEXT(C20,"0"),終値!$A:$A,0),$AN$2)*100,""))</f>
        <v>-28.033415502602026</v>
      </c>
      <c r="AJ20" s="373">
        <f t="array" ref="AJ20">IFERROR((終値!$E$5-INDEX(終値!$E$5:$CZ$5,1,$AN$2))/INDEX(終値!$E$5:$CZ$5,1,$AN$2)*100,"")</f>
        <v>1.0179378228534113</v>
      </c>
      <c r="AK20" s="374">
        <f t="shared" si="16"/>
        <v>-29.051353325455437</v>
      </c>
      <c r="AL20" s="372">
        <f t="shared" si="17"/>
        <v>3</v>
      </c>
      <c r="AO20" s="376" t="str">
        <f t="shared" si="18"/>
        <v>通常</v>
      </c>
      <c r="AP20" s="377">
        <f t="shared" si="19"/>
        <v>0</v>
      </c>
      <c r="AQ20">
        <f>IF(C20&lt;&gt;"",始値!F201,"")</f>
        <v>5231</v>
      </c>
      <c r="AR20">
        <f>IF(C20&lt;&gt;"",高値!F201,"")</f>
        <v>5405</v>
      </c>
      <c r="AS20">
        <f>IF(C20&lt;&gt;"",安値!F201,"")</f>
        <v>5211</v>
      </c>
      <c r="AT20" t="str">
        <f t="shared" si="20"/>
        <v>通常</v>
      </c>
      <c r="AU20">
        <f t="shared" si="21"/>
        <v>0</v>
      </c>
      <c r="BA20">
        <f>IFERROR((SUM(OFFSET(高値!$E$6,IFERROR(MATCH($C20,銘柄管理!$B$6:$B$305,0),MATCH(TEXT($C20,"0"),銘柄管理!$B$6:$B$305,0))-1,0,1,14))-SUM(OFFSET(安値!$E$6,IFERROR(MATCH($C20,銘柄管理!$B$6:$B$305,0),MATCH(TEXT($C20,"0"),銘柄管理!$B$6:$B$305,0))-1,0,1,14)))/SUM(OFFSET(終値!$E$6,IFERROR(MATCH($C20,銘柄管理!$B$6:$B$305,0),MATCH(TEXT($C20,"0"),銘柄管理!$B$6:$B$305,0))-1,0,1,14))*100,"")</f>
      </c>
      <c r="BB20">
        <f>IFERROR((MAX(OFFSET(高値!$E$6,IFERROR(MATCH($C20,銘柄管理!$B$6:$B$305,0),MATCH(TEXT($C20,"0"),銘柄管理!$B$6:$B$305,0))-1,0,1,25))-MIN(OFFSET(安値!$E$6,IFERROR(MATCH($C20,銘柄管理!$B$6:$B$305,0),MATCH(TEXT($C20,"0"),銘柄管理!$B$6:$B$305,0))-1,0,1,25)))/$E20*100,"")</f>
      </c>
      <c r="BC20">
        <f>IFERROR(($F20-$G20)/$G20*100,"")</f>
      </c>
      <c r="BD20">
        <f>IFERROR(($E20-MAX(OFFSET(高値!$E$6,IFERROR(MATCH($C20,銘柄管理!$B$6:$B$305,0),MATCH(TEXT($C20,"0"),銘柄管理!$B$6:$B$305,0))-1,0,1,25)))/MAX(OFFSET(高値!$E$6,IFERROR(MATCH($C20,銘柄管理!$B$6:$B$305,0),MATCH(TEXT($C20,"0"),銘柄管理!$B$6:$B$305,0))-1,0,1,25))*100,"")</f>
      </c>
      <c r="BE20">
        <f>IFERROR(($H20-$I20)/$F20*100,"")</f>
      </c>
      <c r="BF20">
        <f>IFERROR(-(($BA20-AVERAGE($BA$3:$BA$206))/STDEV($BA$3:$BA$206))-(($BE20-AVERAGE($BE$3:$BE$206))/STDEV($BE$3:$BE$206))-(($BB20-AVERAGE($BB$3:$BB$206))/STDEV($BB$3:$BB$206))-(($Z20-AVERAGE($Z$3:$Z$206))/STDEV($Z$3:$Z$206))-(($BC20-AVERAGE($BC$3:$BC$206))/STDEV($BC$3:$BC$206)),"")</f>
      </c>
      <c r="BG20">
        <f>IF(OR($C20="",$C20="TOPX",$BA20="",$BF20=""),0,IF(AND($BK$10=1,$BA20&lt;=$BK$2,$BB20&lt;=$BK$3,$BC20&lt;=$BK$4,$Z20&lt;=$BK$5,$Z20&gt;=$BK$6,$BD20&gt;=$BK$7,$BE20&lt;=$BK$8),1,0))</f>
      </c>
      <c r="BH20">
        <f>IF($C20="","",IF($BG20=1,"○ゲート通過",IF($BK$10&lt;&gt;1,"― この方向は停止中",IF($BA20&gt;$BK$2,"×値動きが荒い",IF($BB20&gt;$BK$3,"×レンジが広い",IF($BC20&gt;$BK$4,"×窓を開けて上昇",IF($Z20&gt;$BK$5,"×前日に急騰",IF($Z20&lt;$BK$6,"×前日に急落",IF($BD20&lt;$BK$7,"×高値から離れすぎ",IF($BE20&gt;$BK$8,"×当日の値幅が大きい","×")))))))))</f>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 t="shared" si="0"/>
        <v>-15.32258064516129</v>
      </c>
      <c r="M21" s="326">
        <f>IF(C21&lt;&gt;"",IFERROR(AVERAGE(出来高!E32:I32),""),"")</f>
        <v>1277760</v>
      </c>
      <c r="N21" s="326">
        <f>IF(C21&lt;&gt;"",IFERROR(AVERAGE(出来高!E32:AC32),""),"")</f>
        <v>928488</v>
      </c>
      <c r="O21" s="328">
        <f t="shared" si="1"/>
        <v>1.25313047833709</v>
      </c>
      <c r="P21" s="325" t="str">
        <f t="shared" si="2"/>
        <v>普通→</v>
      </c>
      <c r="Q21" s="325" t="str">
        <f t="shared" si="3"/>
        <v>様子見▲</v>
      </c>
      <c r="R21" s="326">
        <f t="shared" si="4"/>
        <v>1256</v>
      </c>
      <c r="S21" s="326">
        <f t="shared" si="5"/>
        <v>1420</v>
      </c>
      <c r="T21" s="325">
        <f>IF(C21="","",IFERROR(IF(W21&lt;=22,-4,IF(W21&lt;=28,-2,IF(W21&lt;=45,2,IF(W21&lt;=55,1,0))))+IF(X21&lt;0,2,0)+IF(AD21="下降トレンド▼",3,IF(AD21="もみ合い→",1,0))+IF(V21="年初来安値圏●",3,IF(V21="安値圏",2,0))+IF(Q21="売り▼",2,0)+IF(P21="急増↑↑",2,IF(P21="増加↑",1,0))+IF(Z21&lt;0,1,0)+IF(L21&lt;=-30,2,IF(L21&lt;=-15,1,0))+IF(AE21="25日戻り売り★",2,IF(AE21="5日戻り売り○",1,0))+N(AL21)+N(AP21)+N(AU21),0))</f>
      </c>
      <c r="U21" s="325" t="str">
        <f t="shared" si="7"/>
        <v>除外</v>
      </c>
      <c r="V21" s="325" t="str">
        <f t="shared" si="8"/>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 t="shared" si="9"/>
        <v>相場上昇・見送り | もみ合い→ MACD- RSI:39.6 前日比:+4.8% [2点]</v>
      </c>
      <c r="Z21" s="331">
        <f t="shared" si="10"/>
        <v>4.7582501918649278</v>
      </c>
      <c r="AA21" s="325" t="str">
        <f t="shared" si="11"/>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 t="shared" si="12"/>
        <v>もみ合い→</v>
      </c>
      <c r="AE21" s="325" t="str">
        <f t="shared" si="13"/>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 t="shared" si="14"/>
        <v>0</v>
      </c>
      <c r="AH21">
        <f t="shared" si="15"/>
        <v>0</v>
      </c>
      <c r="AI21" s="373">
        <f t="array" ref="AI21">IF(C21="","",IFERROR((INDEX(終値!$E:$E,MATCH(TEXT(C21,"0"),終値!$A:$A,0))-INDEX(終値!$E:$CZ,MATCH(TEXT(C21,"0"),終値!$A:$A,0),$AN$2))/INDEX(終値!$E:$CZ,MATCH(TEXT(C21,"0"),終値!$A:$A,0),$AN$2)*100,""))</f>
        <v>5.2428681572860443</v>
      </c>
      <c r="AJ21" s="373">
        <f t="array" ref="AJ21">IFERROR((終値!$E$5-INDEX(終値!$E$5:$CZ$5,1,$AN$2))/INDEX(終値!$E$5:$CZ$5,1,$AN$2)*100,"")</f>
        <v>1.0179378228534113</v>
      </c>
      <c r="AK21" s="374">
        <f t="shared" si="16"/>
        <v>4.2249303344326332</v>
      </c>
      <c r="AL21" s="372">
        <f t="shared" si="17"/>
        <v>-2</v>
      </c>
      <c r="AO21" s="376" t="str">
        <f t="shared" si="18"/>
        <v>通常</v>
      </c>
      <c r="AP21" s="377">
        <f t="shared" si="19"/>
        <v>0</v>
      </c>
      <c r="AQ21">
        <f>IF(C21&lt;&gt;"",始値!F32,"")</f>
        <v>1325</v>
      </c>
      <c r="AR21">
        <f>IF(C21&lt;&gt;"",高値!F32,"")</f>
        <v>1373</v>
      </c>
      <c r="AS21">
        <f>IF(C21&lt;&gt;"",安値!F32,"")</f>
        <v>1263</v>
      </c>
      <c r="AT21" t="str">
        <f t="shared" si="20"/>
        <v>通常</v>
      </c>
      <c r="AU21">
        <f t="shared" si="21"/>
        <v>0</v>
      </c>
      <c r="BA21">
        <f>IFERROR((SUM(OFFSET(高値!$E$6,IFERROR(MATCH($C21,銘柄管理!$B$6:$B$305,0),MATCH(TEXT($C21,"0"),銘柄管理!$B$6:$B$305,0))-1,0,1,14))-SUM(OFFSET(安値!$E$6,IFERROR(MATCH($C21,銘柄管理!$B$6:$B$305,0),MATCH(TEXT($C21,"0"),銘柄管理!$B$6:$B$305,0))-1,0,1,14)))/SUM(OFFSET(終値!$E$6,IFERROR(MATCH($C21,銘柄管理!$B$6:$B$305,0),MATCH(TEXT($C21,"0"),銘柄管理!$B$6:$B$305,0))-1,0,1,14))*100,"")</f>
      </c>
      <c r="BB21">
        <f>IFERROR((MAX(OFFSET(高値!$E$6,IFERROR(MATCH($C21,銘柄管理!$B$6:$B$305,0),MATCH(TEXT($C21,"0"),銘柄管理!$B$6:$B$305,0))-1,0,1,25))-MIN(OFFSET(安値!$E$6,IFERROR(MATCH($C21,銘柄管理!$B$6:$B$305,0),MATCH(TEXT($C21,"0"),銘柄管理!$B$6:$B$305,0))-1,0,1,25)))/$E21*100,"")</f>
      </c>
      <c r="BC21">
        <f>IFERROR(($F21-$G21)/$G21*100,"")</f>
      </c>
      <c r="BD21">
        <f>IFERROR(($E21-MAX(OFFSET(高値!$E$6,IFERROR(MATCH($C21,銘柄管理!$B$6:$B$305,0),MATCH(TEXT($C21,"0"),銘柄管理!$B$6:$B$305,0))-1,0,1,25)))/MAX(OFFSET(高値!$E$6,IFERROR(MATCH($C21,銘柄管理!$B$6:$B$305,0),MATCH(TEXT($C21,"0"),銘柄管理!$B$6:$B$305,0))-1,0,1,25))*100,"")</f>
      </c>
      <c r="BE21">
        <f>IFERROR(($H21-$I21)/$F21*100,"")</f>
      </c>
      <c r="BF21">
        <f>IFERROR(-(($BA21-AVERAGE($BA$3:$BA$206))/STDEV($BA$3:$BA$206))-(($BE21-AVERAGE($BE$3:$BE$206))/STDEV($BE$3:$BE$206))-(($BB21-AVERAGE($BB$3:$BB$206))/STDEV($BB$3:$BB$206))-(($Z21-AVERAGE($Z$3:$Z$206))/STDEV($Z$3:$Z$206))-(($BC21-AVERAGE($BC$3:$BC$206))/STDEV($BC$3:$BC$206)),"")</f>
      </c>
      <c r="BG21">
        <f>IF(OR($C21="",$C21="TOPX",$BA21="",$BF21=""),0,IF(AND($BK$10=1,$BA21&lt;=$BK$2,$BB21&lt;=$BK$3,$BC21&lt;=$BK$4,$Z21&lt;=$BK$5,$Z21&gt;=$BK$6,$BD21&gt;=$BK$7,$BE21&lt;=$BK$8),1,0))</f>
      </c>
      <c r="BH21">
        <f>IF($C21="","",IF($BG21=1,"○ゲート通過",IF($BK$10&lt;&gt;1,"― この方向は停止中",IF($BA21&gt;$BK$2,"×値動きが荒い",IF($BB21&gt;$BK$3,"×レンジが広い",IF($BC21&gt;$BK$4,"×窓を開けて上昇",IF($Z21&gt;$BK$5,"×前日に急騰",IF($Z21&lt;$BK$6,"×前日に急落",IF($BD21&lt;$BK$7,"×高値から離れすぎ",IF($BE21&gt;$BK$8,"×当日の値幅が大きい","×")))))))))</f>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 t="shared" si="0"/>
        <v>-52.5</v>
      </c>
      <c r="M22" s="333">
        <f>IF(C22&lt;&gt;"",IFERROR(AVERAGE(出来高!E56:I56),""),"")</f>
        <v>4240860</v>
      </c>
      <c r="N22" s="333">
        <f>IF(C22&lt;&gt;"",IFERROR(AVERAGE(出来高!E56:AC56),""),"")</f>
        <v>2814848</v>
      </c>
      <c r="O22" s="335">
        <f t="shared" si="1"/>
        <v>1.0687454903014955</v>
      </c>
      <c r="P22" s="212" t="str">
        <f t="shared" si="2"/>
        <v>普通→</v>
      </c>
      <c r="Q22" s="212" t="str">
        <f t="shared" si="3"/>
        <v>中立→</v>
      </c>
      <c r="R22" s="333">
        <f t="shared" si="4"/>
        <v>2063</v>
      </c>
      <c r="S22" s="333">
        <f t="shared" si="5"/>
        <v>2332</v>
      </c>
      <c r="T22" s="325">
        <f>IF(C22="","",IFERROR(IF(W22&lt;=22,-4,IF(W22&lt;=28,-2,IF(W22&lt;=45,2,IF(W22&lt;=55,1,0))))+IF(X22&lt;0,2,0)+IF(AD22="下降トレンド▼",3,IF(AD22="もみ合い→",1,0))+IF(V22="年初来安値圏●",3,IF(V22="安値圏",2,0))+IF(Q22="売り▼",2,0)+IF(P22="急増↑↑",2,IF(P22="増加↑",1,0))+IF(Z22&lt;0,1,0)+IF(L22&lt;=-30,2,IF(L22&lt;=-15,1,0))+IF(AE22="25日戻り売り★",2,IF(AE22="5日戻り売り○",1,0))+N(AL22)+N(AP22)+N(AU22),0))</f>
      </c>
      <c r="U22" s="212" t="str">
        <f t="shared" si="7"/>
        <v>要確認</v>
      </c>
      <c r="V22" s="212" t="str">
        <f t="shared" si="8"/>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 t="shared" si="9"/>
        <v>相場上昇・見送り | 下降トレンド▼ MACD- RSI:53.6 前日比:-10.3% [年初来安値圏] [15点]</v>
      </c>
      <c r="Z22" s="338">
        <f t="shared" si="10"/>
        <v>-10.32</v>
      </c>
      <c r="AA22" s="212" t="str">
        <f t="shared" si="11"/>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 t="shared" si="12"/>
        <v>下降トレンド▼</v>
      </c>
      <c r="AE22" s="212" t="str">
        <f t="shared" si="13"/>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 t="shared" si="14"/>
        <v>15</v>
      </c>
      <c r="AH22">
        <f t="shared" si="15"/>
        <v>149978</v>
      </c>
      <c r="AI22" s="373">
        <f t="array" ref="AI22">IF(C22="","",IFERROR((INDEX(終値!$E:$E,MATCH(TEXT(C22,"0"),終値!$A:$A,0))-INDEX(終値!$E:$CZ,MATCH(TEXT(C22,"0"),終値!$A:$A,0),$AN$2))/INDEX(終値!$E:$CZ,MATCH(TEXT(C22,"0"),終値!$A:$A,0),$AN$2)*100,""))</f>
        <v>-12.147335423197491</v>
      </c>
      <c r="AJ22" s="373">
        <f t="array" ref="AJ22">IFERROR((終値!$E$5-INDEX(終値!$E$5:$CZ$5,1,$AN$2))/INDEX(終値!$E$5:$CZ$5,1,$AN$2)*100,"")</f>
        <v>1.0179378228534113</v>
      </c>
      <c r="AK22" s="374">
        <f t="shared" si="16"/>
        <v>-13.165273246050903</v>
      </c>
      <c r="AL22" s="372">
        <f t="shared" si="17"/>
        <v>3</v>
      </c>
      <c r="AO22" s="376" t="str">
        <f t="shared" si="18"/>
        <v>通常</v>
      </c>
      <c r="AP22" s="377">
        <f t="shared" si="19"/>
        <v>0</v>
      </c>
      <c r="AQ22">
        <f>IF(C22&lt;&gt;"",始値!F56,"")</f>
        <v>2260</v>
      </c>
      <c r="AR22">
        <f>IF(C22&lt;&gt;"",高値!F56,"")</f>
        <v>2500</v>
      </c>
      <c r="AS22">
        <f>IF(C22&lt;&gt;"",安値!F56,"")</f>
        <v>2235</v>
      </c>
      <c r="AT22" t="str">
        <f t="shared" si="20"/>
        <v>通常</v>
      </c>
      <c r="AU22">
        <f t="shared" si="21"/>
        <v>0</v>
      </c>
      <c r="BA22">
        <f>IFERROR((SUM(OFFSET(高値!$E$6,IFERROR(MATCH($C22,銘柄管理!$B$6:$B$305,0),MATCH(TEXT($C22,"0"),銘柄管理!$B$6:$B$305,0))-1,0,1,14))-SUM(OFFSET(安値!$E$6,IFERROR(MATCH($C22,銘柄管理!$B$6:$B$305,0),MATCH(TEXT($C22,"0"),銘柄管理!$B$6:$B$305,0))-1,0,1,14)))/SUM(OFFSET(終値!$E$6,IFERROR(MATCH($C22,銘柄管理!$B$6:$B$305,0),MATCH(TEXT($C22,"0"),銘柄管理!$B$6:$B$305,0))-1,0,1,14))*100,"")</f>
      </c>
      <c r="BB22">
        <f>IFERROR((MAX(OFFSET(高値!$E$6,IFERROR(MATCH($C22,銘柄管理!$B$6:$B$305,0),MATCH(TEXT($C22,"0"),銘柄管理!$B$6:$B$305,0))-1,0,1,25))-MIN(OFFSET(安値!$E$6,IFERROR(MATCH($C22,銘柄管理!$B$6:$B$305,0),MATCH(TEXT($C22,"0"),銘柄管理!$B$6:$B$305,0))-1,0,1,25)))/$E22*100,"")</f>
      </c>
      <c r="BC22">
        <f>IFERROR(($F22-$G22)/$G22*100,"")</f>
      </c>
      <c r="BD22">
        <f>IFERROR(($E22-MAX(OFFSET(高値!$E$6,IFERROR(MATCH($C22,銘柄管理!$B$6:$B$305,0),MATCH(TEXT($C22,"0"),銘柄管理!$B$6:$B$305,0))-1,0,1,25)))/MAX(OFFSET(高値!$E$6,IFERROR(MATCH($C22,銘柄管理!$B$6:$B$305,0),MATCH(TEXT($C22,"0"),銘柄管理!$B$6:$B$305,0))-1,0,1,25))*100,"")</f>
      </c>
      <c r="BE22">
        <f>IFERROR(($H22-$I22)/$F22*100,"")</f>
      </c>
      <c r="BF22">
        <f>IFERROR(-(($BA22-AVERAGE($BA$3:$BA$206))/STDEV($BA$3:$BA$206))-(($BE22-AVERAGE($BE$3:$BE$206))/STDEV($BE$3:$BE$206))-(($BB22-AVERAGE($BB$3:$BB$206))/STDEV($BB$3:$BB$206))-(($Z22-AVERAGE($Z$3:$Z$206))/STDEV($Z$3:$Z$206))-(($BC22-AVERAGE($BC$3:$BC$206))/STDEV($BC$3:$BC$206)),"")</f>
      </c>
      <c r="BG22">
        <f>IF(OR($C22="",$C22="TOPX",$BA22="",$BF22=""),0,IF(AND($BK$10=1,$BA22&lt;=$BK$2,$BB22&lt;=$BK$3,$BC22&lt;=$BK$4,$Z22&lt;=$BK$5,$Z22&gt;=$BK$6,$BD22&gt;=$BK$7,$BE22&lt;=$BK$8),1,0))</f>
      </c>
      <c r="BH22">
        <f>IF($C22="","",IF($BG22=1,"○ゲート通過",IF($BK$10&lt;&gt;1,"― この方向は停止中",IF($BA22&gt;$BK$2,"×値動きが荒い",IF($BB22&gt;$BK$3,"×レンジが広い",IF($BC22&gt;$BK$4,"×窓を開けて上昇",IF($Z22&gt;$BK$5,"×前日に急騰",IF($Z22&lt;$BK$6,"×前日に急落",IF($BD22&lt;$BK$7,"×高値から離れすぎ",IF($BE22&gt;$BK$8,"×当日の値幅が大きい","×")))))))))</f>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 t="shared" si="0"/>
        <v>-18.044164037854891</v>
      </c>
      <c r="M23" s="326">
        <f>IF(C23&lt;&gt;"",IFERROR(AVERAGE(出来高!E76:I76),""),"")</f>
        <v>5056460</v>
      </c>
      <c r="N23" s="326">
        <f>IF(C23&lt;&gt;"",IFERROR(AVERAGE(出来高!E76:AC76),""),"")</f>
        <v>4228524</v>
      </c>
      <c r="O23" s="328">
        <f t="shared" si="1"/>
        <v>1.0875988339668463</v>
      </c>
      <c r="P23" s="325" t="str">
        <f t="shared" si="2"/>
        <v>普通→</v>
      </c>
      <c r="Q23" s="325" t="str">
        <f t="shared" si="3"/>
        <v>中立→</v>
      </c>
      <c r="R23" s="326">
        <f t="shared" si="4"/>
        <v>4780</v>
      </c>
      <c r="S23" s="326">
        <f t="shared" si="5"/>
        <v>5404</v>
      </c>
      <c r="T23" s="325">
        <f>IF(C23="","",IFERROR(IF(W23&lt;=22,-4,IF(W23&lt;=28,-2,IF(W23&lt;=45,2,IF(W23&lt;=55,1,0))))+IF(X23&lt;0,2,0)+IF(AD23="下降トレンド▼",3,IF(AD23="もみ合い→",1,0))+IF(V23="年初来安値圏●",3,IF(V23="安値圏",2,0))+IF(Q23="売り▼",2,0)+IF(P23="急増↑↑",2,IF(P23="増加↑",1,0))+IF(Z23&lt;0,1,0)+IF(L23&lt;=-30,2,IF(L23&lt;=-15,1,0))+IF(AE23="25日戻り売り★",2,IF(AE23="5日戻り売り○",1,0))+N(AL23)+N(AP23)+N(AU23),0))</f>
      </c>
      <c r="U23" s="325" t="str">
        <f t="shared" si="7"/>
        <v>要確認</v>
      </c>
      <c r="V23" s="325" t="str">
        <f t="shared" si="8"/>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 t="shared" si="9"/>
        <v>○逆張り売り | もみ合い→ 25日戻り売り★ MACD- RSI:41.0 前日比:-2.6% [大陰線▼] [12点]</v>
      </c>
      <c r="Z23" s="331">
        <f t="shared" si="10"/>
        <v>-2.568910556909807</v>
      </c>
      <c r="AA23" s="325" t="str">
        <f t="shared" si="11"/>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 t="shared" si="12"/>
        <v>もみ合い→</v>
      </c>
      <c r="AE23" s="325" t="str">
        <f t="shared" si="13"/>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 t="shared" si="14"/>
        <v>12</v>
      </c>
      <c r="AH23">
        <f t="shared" si="15"/>
        <v>119977</v>
      </c>
      <c r="AI23" s="373">
        <f t="array" ref="AI23">IF(C23="","",IFERROR((INDEX(終値!$E:$E,MATCH(TEXT(C23,"0"),終値!$A:$A,0))-INDEX(終値!$E:$CZ,MATCH(TEXT(C23,"0"),終値!$A:$A,0),$AN$2))/INDEX(終値!$E:$CZ,MATCH(TEXT(C23,"0"),終値!$A:$A,0),$AN$2)*100,""))</f>
        <v>-15.854251012145749</v>
      </c>
      <c r="AJ23" s="373">
        <f t="array" ref="AJ23">IFERROR((終値!$E$5-INDEX(終値!$E$5:$CZ$5,1,$AN$2))/INDEX(終値!$E$5:$CZ$5,1,$AN$2)*100,"")</f>
        <v>1.0179378228534113</v>
      </c>
      <c r="AK23" s="374">
        <f t="shared" si="16"/>
        <v>-16.872188834999161</v>
      </c>
      <c r="AL23" s="372">
        <f t="shared" si="17"/>
        <v>3</v>
      </c>
      <c r="AO23" s="376" t="str">
        <f t="shared" si="18"/>
        <v>大陰線▼</v>
      </c>
      <c r="AP23" s="377">
        <f t="shared" si="19"/>
        <v>2</v>
      </c>
      <c r="AQ23">
        <f>IF(C23&lt;&gt;"",始値!F76,"")</f>
        <v>5198</v>
      </c>
      <c r="AR23">
        <f>IF(C23&lt;&gt;"",高値!F76,"")</f>
        <v>5350</v>
      </c>
      <c r="AS23">
        <f>IF(C23&lt;&gt;"",安値!F76,"")</f>
        <v>5127</v>
      </c>
      <c r="AT23" t="str">
        <f t="shared" si="20"/>
        <v>通常</v>
      </c>
      <c r="AU23">
        <f t="shared" si="21"/>
        <v>0</v>
      </c>
      <c r="BA23">
        <f>IFERROR((SUM(OFFSET(高値!$E$6,IFERROR(MATCH($C23,銘柄管理!$B$6:$B$305,0),MATCH(TEXT($C23,"0"),銘柄管理!$B$6:$B$305,0))-1,0,1,14))-SUM(OFFSET(安値!$E$6,IFERROR(MATCH($C23,銘柄管理!$B$6:$B$305,0),MATCH(TEXT($C23,"0"),銘柄管理!$B$6:$B$305,0))-1,0,1,14)))/SUM(OFFSET(終値!$E$6,IFERROR(MATCH($C23,銘柄管理!$B$6:$B$305,0),MATCH(TEXT($C23,"0"),銘柄管理!$B$6:$B$305,0))-1,0,1,14))*100,"")</f>
      </c>
      <c r="BB23">
        <f>IFERROR((MAX(OFFSET(高値!$E$6,IFERROR(MATCH($C23,銘柄管理!$B$6:$B$305,0),MATCH(TEXT($C23,"0"),銘柄管理!$B$6:$B$305,0))-1,0,1,25))-MIN(OFFSET(安値!$E$6,IFERROR(MATCH($C23,銘柄管理!$B$6:$B$305,0),MATCH(TEXT($C23,"0"),銘柄管理!$B$6:$B$305,0))-1,0,1,25)))/$E23*100,"")</f>
      </c>
      <c r="BC23">
        <f>IFERROR(($F23-$G23)/$G23*100,"")</f>
      </c>
      <c r="BD23">
        <f>IFERROR(($E23-MAX(OFFSET(高値!$E$6,IFERROR(MATCH($C23,銘柄管理!$B$6:$B$305,0),MATCH(TEXT($C23,"0"),銘柄管理!$B$6:$B$305,0))-1,0,1,25)))/MAX(OFFSET(高値!$E$6,IFERROR(MATCH($C23,銘柄管理!$B$6:$B$305,0),MATCH(TEXT($C23,"0"),銘柄管理!$B$6:$B$305,0))-1,0,1,25))*100,"")</f>
      </c>
      <c r="BE23">
        <f>IFERROR(($H23-$I23)/$F23*100,"")</f>
      </c>
      <c r="BF23">
        <f>IFERROR(-(($BA23-AVERAGE($BA$3:$BA$206))/STDEV($BA$3:$BA$206))-(($BE23-AVERAGE($BE$3:$BE$206))/STDEV($BE$3:$BE$206))-(($BB23-AVERAGE($BB$3:$BB$206))/STDEV($BB$3:$BB$206))-(($Z23-AVERAGE($Z$3:$Z$206))/STDEV($Z$3:$Z$206))-(($BC23-AVERAGE($BC$3:$BC$206))/STDEV($BC$3:$BC$206)),"")</f>
      </c>
      <c r="BG23">
        <f>IF(OR($C23="",$C23="TOPX",$BA23="",$BF23=""),0,IF(AND($BK$10=1,$BA23&lt;=$BK$2,$BB23&lt;=$BK$3,$BC23&lt;=$BK$4,$Z23&lt;=$BK$5,$Z23&gt;=$BK$6,$BD23&gt;=$BK$7,$BE23&lt;=$BK$8),1,0))</f>
      </c>
      <c r="BH23">
        <f>IF($C23="","",IF($BG23=1,"○ゲート通過",IF($BK$10&lt;&gt;1,"― この方向は停止中",IF($BA23&gt;$BK$2,"×値動きが荒い",IF($BB23&gt;$BK$3,"×レンジが広い",IF($BC23&gt;$BK$4,"×窓を開けて上昇",IF($Z23&gt;$BK$5,"×前日に急騰",IF($Z23&lt;$BK$6,"×前日に急落",IF($BD23&lt;$BK$7,"×高値から離れすぎ",IF($BE23&gt;$BK$8,"×当日の値幅が大きい","×")))))))))</f>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 t="shared" si="0"/>
        <v>-29.602411908799699</v>
      </c>
      <c r="M24" s="333">
        <f>IF(C24&lt;&gt;"",IFERROR(AVERAGE(出来高!E79:I79),""),"")</f>
        <v>4232280</v>
      </c>
      <c r="N24" s="333">
        <f>IF(C24&lt;&gt;"",IFERROR(AVERAGE(出来高!E79:AC79),""),"")</f>
        <v>3520708</v>
      </c>
      <c r="O24" s="335">
        <f t="shared" si="1"/>
        <v>1.5334760460082981</v>
      </c>
      <c r="P24" s="212" t="str">
        <f t="shared" si="2"/>
        <v>増加↑</v>
      </c>
      <c r="Q24" s="212" t="str">
        <f t="shared" si="3"/>
        <v>売り▼</v>
      </c>
      <c r="R24" s="333">
        <f t="shared" si="4"/>
        <v>3437</v>
      </c>
      <c r="S24" s="333">
        <f t="shared" si="5"/>
        <v>3885</v>
      </c>
      <c r="T24" s="325">
        <f>IF(C24="","",IFERROR(IF(W24&lt;=22,-4,IF(W24&lt;=28,-2,IF(W24&lt;=45,2,IF(W24&lt;=55,1,0))))+IF(X24&lt;0,2,0)+IF(AD24="下降トレンド▼",3,IF(AD24="もみ合い→",1,0))+IF(V24="年初来安値圏●",3,IF(V24="安値圏",2,0))+IF(Q24="売り▼",2,0)+IF(P24="急増↑↑",2,IF(P24="増加↑",1,0))+IF(Z24&lt;0,1,0)+IF(L24&lt;=-30,2,IF(L24&lt;=-15,1,0))+IF(AE24="25日戻り売り★",2,IF(AE24="5日戻り売り○",1,0))+N(AL24)+N(AP24)+N(AU24),0))</f>
      </c>
      <c r="U24" s="212" t="str">
        <f t="shared" si="7"/>
        <v>有効</v>
      </c>
      <c r="V24" s="212" t="str">
        <f t="shared" si="8"/>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 t="shared" si="9"/>
        <v>相場上昇・見送り | 下降トレンド▼ MACD- RSI:47.2 前日比:-8.8% [安値圏] [15点]</v>
      </c>
      <c r="Z24" s="338">
        <f t="shared" si="10"/>
        <v>-8.7890625</v>
      </c>
      <c r="AA24" s="212" t="str">
        <f t="shared" si="11"/>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 t="shared" si="12"/>
        <v>下降トレンド▼</v>
      </c>
      <c r="AE24" s="212" t="str">
        <f t="shared" si="13"/>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 t="shared" si="14"/>
        <v>15</v>
      </c>
      <c r="AH24">
        <f t="shared" si="15"/>
        <v>149976</v>
      </c>
      <c r="AI24" s="373">
        <f t="array" ref="AI24">IF(C24="","",IFERROR((INDEX(終値!$E:$E,MATCH(TEXT(C24,"0"),終値!$A:$A,0))-INDEX(終値!$E:$CZ,MATCH(TEXT(C24,"0"),終値!$A:$A,0),$AN$2))/INDEX(終値!$E:$CZ,MATCH(TEXT(C24,"0"),終値!$A:$A,0),$AN$2)*100,""))</f>
        <v>-25.250100040016004</v>
      </c>
      <c r="AJ24" s="373">
        <f t="array" ref="AJ24">IFERROR((終値!$E$5-INDEX(終値!$E$5:$CZ$5,1,$AN$2))/INDEX(終値!$E$5:$CZ$5,1,$AN$2)*100,"")</f>
        <v>1.0179378228534113</v>
      </c>
      <c r="AK24" s="374">
        <f t="shared" si="16"/>
        <v>-26.268037862869416</v>
      </c>
      <c r="AL24" s="372">
        <f t="shared" si="17"/>
        <v>3</v>
      </c>
      <c r="AO24" s="376" t="str">
        <f t="shared" si="18"/>
        <v>通常</v>
      </c>
      <c r="AP24" s="377">
        <f t="shared" si="19"/>
        <v>0</v>
      </c>
      <c r="AQ24">
        <f>IF(C24&lt;&gt;"",始値!F79,"")</f>
        <v>3927</v>
      </c>
      <c r="AR24">
        <f>IF(C24&lt;&gt;"",高値!F79,"")</f>
        <v>4126</v>
      </c>
      <c r="AS24">
        <f>IF(C24&lt;&gt;"",安値!F79,"")</f>
        <v>3913</v>
      </c>
      <c r="AT24" t="str">
        <f t="shared" si="20"/>
        <v>通常</v>
      </c>
      <c r="AU24">
        <f t="shared" si="21"/>
        <v>0</v>
      </c>
      <c r="BA24">
        <f>IFERROR((SUM(OFFSET(高値!$E$6,IFERROR(MATCH($C24,銘柄管理!$B$6:$B$305,0),MATCH(TEXT($C24,"0"),銘柄管理!$B$6:$B$305,0))-1,0,1,14))-SUM(OFFSET(安値!$E$6,IFERROR(MATCH($C24,銘柄管理!$B$6:$B$305,0),MATCH(TEXT($C24,"0"),銘柄管理!$B$6:$B$305,0))-1,0,1,14)))/SUM(OFFSET(終値!$E$6,IFERROR(MATCH($C24,銘柄管理!$B$6:$B$305,0),MATCH(TEXT($C24,"0"),銘柄管理!$B$6:$B$305,0))-1,0,1,14))*100,"")</f>
      </c>
      <c r="BB24">
        <f>IFERROR((MAX(OFFSET(高値!$E$6,IFERROR(MATCH($C24,銘柄管理!$B$6:$B$305,0),MATCH(TEXT($C24,"0"),銘柄管理!$B$6:$B$305,0))-1,0,1,25))-MIN(OFFSET(安値!$E$6,IFERROR(MATCH($C24,銘柄管理!$B$6:$B$305,0),MATCH(TEXT($C24,"0"),銘柄管理!$B$6:$B$305,0))-1,0,1,25)))/$E24*100,"")</f>
      </c>
      <c r="BC24">
        <f>IFERROR(($F24-$G24)/$G24*100,"")</f>
      </c>
      <c r="BD24">
        <f>IFERROR(($E24-MAX(OFFSET(高値!$E$6,IFERROR(MATCH($C24,銘柄管理!$B$6:$B$305,0),MATCH(TEXT($C24,"0"),銘柄管理!$B$6:$B$305,0))-1,0,1,25)))/MAX(OFFSET(高値!$E$6,IFERROR(MATCH($C24,銘柄管理!$B$6:$B$305,0),MATCH(TEXT($C24,"0"),銘柄管理!$B$6:$B$305,0))-1,0,1,25))*100,"")</f>
      </c>
      <c r="BE24">
        <f>IFERROR(($H24-$I24)/$F24*100,"")</f>
      </c>
      <c r="BF24">
        <f>IFERROR(-(($BA24-AVERAGE($BA$3:$BA$206))/STDEV($BA$3:$BA$206))-(($BE24-AVERAGE($BE$3:$BE$206))/STDEV($BE$3:$BE$206))-(($BB24-AVERAGE($BB$3:$BB$206))/STDEV($BB$3:$BB$206))-(($Z24-AVERAGE($Z$3:$Z$206))/STDEV($Z$3:$Z$206))-(($BC24-AVERAGE($BC$3:$BC$206))/STDEV($BC$3:$BC$206)),"")</f>
      </c>
      <c r="BG24">
        <f>IF(OR($C24="",$C24="TOPX",$BA24="",$BF24=""),0,IF(AND($BK$10=1,$BA24&lt;=$BK$2,$BB24&lt;=$BK$3,$BC24&lt;=$BK$4,$Z24&lt;=$BK$5,$Z24&gt;=$BK$6,$BD24&gt;=$BK$7,$BE24&lt;=$BK$8),1,0))</f>
      </c>
      <c r="BH24">
        <f>IF($C24="","",IF($BG24=1,"○ゲート通過",IF($BK$10&lt;&gt;1,"― この方向は停止中",IF($BA24&gt;$BK$2,"×値動きが荒い",IF($BB24&gt;$BK$3,"×レンジが広い",IF($BC24&gt;$BK$4,"×窓を開けて上昇",IF($Z24&gt;$BK$5,"×前日に急騰",IF($Z24&lt;$BK$6,"×前日に急落",IF($BD24&lt;$BK$7,"×高値から離れすぎ",IF($BE24&gt;$BK$8,"×当日の値幅が大きい","×")))))))))</f>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 t="shared" si="0"/>
        <v>-9.236274180923628</v>
      </c>
      <c r="M25" s="326">
        <f>IF(C25&lt;&gt;"",IFERROR(AVERAGE(出来高!E92:I92),""),"")</f>
        <v>1997180</v>
      </c>
      <c r="N25" s="326">
        <f>IF(C25&lt;&gt;"",IFERROR(AVERAGE(出来高!E92:AC92),""),"")</f>
        <v>1060564</v>
      </c>
      <c r="O25" s="328">
        <f t="shared" si="1"/>
        <v>0.79747443895893211</v>
      </c>
      <c r="P25" s="325" t="str">
        <f t="shared" si="2"/>
        <v>減少↓</v>
      </c>
      <c r="Q25" s="325" t="str">
        <f t="shared" si="3"/>
        <v>中立→</v>
      </c>
      <c r="R25" s="326">
        <f t="shared" si="4"/>
        <v>7468</v>
      </c>
      <c r="S25" s="326">
        <f t="shared" si="5"/>
        <v>8442</v>
      </c>
      <c r="T25" s="325">
        <f>IF(C25="","",IFERROR(IF(W25&lt;=22,-4,IF(W25&lt;=28,-2,IF(W25&lt;=45,2,IF(W25&lt;=55,1,0))))+IF(X25&lt;0,2,0)+IF(AD25="下降トレンド▼",3,IF(AD25="もみ合い→",1,0))+IF(V25="年初来安値圏●",3,IF(V25="安値圏",2,0))+IF(Q25="売り▼",2,0)+IF(P25="急増↑↑",2,IF(P25="増加↑",1,0))+IF(Z25&lt;0,1,0)+IF(L25&lt;=-30,2,IF(L25&lt;=-15,1,0))+IF(AE25="25日戻り売り★",2,IF(AE25="5日戻り売り○",1,0))+N(AL25)+N(AP25)+N(AU25),0))</f>
      </c>
      <c r="U25" s="325" t="str">
        <f t="shared" si="7"/>
        <v>要確認</v>
      </c>
      <c r="V25" s="325" t="str">
        <f t="shared" si="8"/>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 t="shared" si="9"/>
        <v>相場上昇・見送り | パーフェクト▲ MACD- RSI:55.3 前日比:-4.3% [7点]</v>
      </c>
      <c r="Z25" s="331">
        <f t="shared" si="10"/>
        <v>-4.3370654095462582</v>
      </c>
      <c r="AA25" s="325" t="str">
        <f t="shared" si="11"/>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 t="shared" si="12"/>
        <v>パーフェクト▲</v>
      </c>
      <c r="AE25" s="325" t="str">
        <f t="shared" si="13"/>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 t="shared" si="14"/>
        <v>7</v>
      </c>
      <c r="AH25">
        <f t="shared" si="15"/>
        <v>69975</v>
      </c>
      <c r="AI25" s="373">
        <f t="array" ref="AI25">IF(C25="","",IFERROR((INDEX(終値!$E:$E,MATCH(TEXT(C25,"0"),終値!$A:$A,0))-INDEX(終値!$E:$CZ,MATCH(TEXT(C25,"0"),終値!$A:$A,0),$AN$2))/INDEX(終値!$E:$CZ,MATCH(TEXT(C25,"0"),終値!$A:$A,0),$AN$2)*100,""))</f>
        <v>-9.1244961934617113</v>
      </c>
      <c r="AJ25" s="373">
        <f t="array" ref="AJ25">IFERROR((終値!$E$5-INDEX(終値!$E$5:$CZ$5,1,$AN$2))/INDEX(終値!$E$5:$CZ$5,1,$AN$2)*100,"")</f>
        <v>1.0179378228534113</v>
      </c>
      <c r="AK25" s="374">
        <f t="shared" si="16"/>
        <v>-10.142434016315123</v>
      </c>
      <c r="AL25" s="372">
        <f t="shared" si="17"/>
        <v>3</v>
      </c>
      <c r="AO25" s="376" t="str">
        <f t="shared" si="18"/>
        <v>通常</v>
      </c>
      <c r="AP25" s="377">
        <f t="shared" si="19"/>
        <v>0</v>
      </c>
      <c r="AQ25">
        <f>IF(C25&lt;&gt;"",始値!F92,"")</f>
        <v>8131</v>
      </c>
      <c r="AR25">
        <f>IF(C25&lt;&gt;"",高値!F92,"")</f>
        <v>8515</v>
      </c>
      <c r="AS25">
        <f>IF(C25&lt;&gt;"",安値!F92,"")</f>
        <v>7933</v>
      </c>
      <c r="AT25" t="str">
        <f t="shared" si="20"/>
        <v>通常</v>
      </c>
      <c r="AU25">
        <f t="shared" si="21"/>
        <v>0</v>
      </c>
      <c r="BA25">
        <f>IFERROR((SUM(OFFSET(高値!$E$6,IFERROR(MATCH($C25,銘柄管理!$B$6:$B$305,0),MATCH(TEXT($C25,"0"),銘柄管理!$B$6:$B$305,0))-1,0,1,14))-SUM(OFFSET(安値!$E$6,IFERROR(MATCH($C25,銘柄管理!$B$6:$B$305,0),MATCH(TEXT($C25,"0"),銘柄管理!$B$6:$B$305,0))-1,0,1,14)))/SUM(OFFSET(終値!$E$6,IFERROR(MATCH($C25,銘柄管理!$B$6:$B$305,0),MATCH(TEXT($C25,"0"),銘柄管理!$B$6:$B$305,0))-1,0,1,14))*100,"")</f>
      </c>
      <c r="BB25">
        <f>IFERROR((MAX(OFFSET(高値!$E$6,IFERROR(MATCH($C25,銘柄管理!$B$6:$B$305,0),MATCH(TEXT($C25,"0"),銘柄管理!$B$6:$B$305,0))-1,0,1,25))-MIN(OFFSET(安値!$E$6,IFERROR(MATCH($C25,銘柄管理!$B$6:$B$305,0),MATCH(TEXT($C25,"0"),銘柄管理!$B$6:$B$305,0))-1,0,1,25)))/$E25*100,"")</f>
      </c>
      <c r="BC25">
        <f>IFERROR(($F25-$G25)/$G25*100,"")</f>
      </c>
      <c r="BD25">
        <f>IFERROR(($E25-MAX(OFFSET(高値!$E$6,IFERROR(MATCH($C25,銘柄管理!$B$6:$B$305,0),MATCH(TEXT($C25,"0"),銘柄管理!$B$6:$B$305,0))-1,0,1,25)))/MAX(OFFSET(高値!$E$6,IFERROR(MATCH($C25,銘柄管理!$B$6:$B$305,0),MATCH(TEXT($C25,"0"),銘柄管理!$B$6:$B$305,0))-1,0,1,25))*100,"")</f>
      </c>
      <c r="BE25">
        <f>IFERROR(($H25-$I25)/$F25*100,"")</f>
      </c>
      <c r="BF25">
        <f>IFERROR(-(($BA25-AVERAGE($BA$3:$BA$206))/STDEV($BA$3:$BA$206))-(($BE25-AVERAGE($BE$3:$BE$206))/STDEV($BE$3:$BE$206))-(($BB25-AVERAGE($BB$3:$BB$206))/STDEV($BB$3:$BB$206))-(($Z25-AVERAGE($Z$3:$Z$206))/STDEV($Z$3:$Z$206))-(($BC25-AVERAGE($BC$3:$BC$206))/STDEV($BC$3:$BC$206)),"")</f>
      </c>
      <c r="BG25">
        <f>IF(OR($C25="",$C25="TOPX",$BA25="",$BF25=""),0,IF(AND($BK$10=1,$BA25&lt;=$BK$2,$BB25&lt;=$BK$3,$BC25&lt;=$BK$4,$Z25&lt;=$BK$5,$Z25&gt;=$BK$6,$BD25&gt;=$BK$7,$BE25&lt;=$BK$8),1,0))</f>
      </c>
      <c r="BH25">
        <f>IF($C25="","",IF($BG25=1,"○ゲート通過",IF($BK$10&lt;&gt;1,"― この方向は停止中",IF($BA25&gt;$BK$2,"×値動きが荒い",IF($BB25&gt;$BK$3,"×レンジが広い",IF($BC25&gt;$BK$4,"×窓を開けて上昇",IF($Z25&gt;$BK$5,"×前日に急騰",IF($Z25&lt;$BK$6,"×前日に急落",IF($BD25&lt;$BK$7,"×高値から離れすぎ",IF($BE25&gt;$BK$8,"×当日の値幅が大きい","×")))))))))</f>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 t="shared" si="0"/>
        <v>-5.3713650676051117</v>
      </c>
      <c r="M26" s="333">
        <f>IF(C26&lt;&gt;"",IFERROR(AVERAGE(出来高!E123:I123),""),"")</f>
        <v>1915160</v>
      </c>
      <c r="N26" s="333">
        <f>IF(C26&lt;&gt;"",IFERROR(AVERAGE(出来高!E123:AC123),""),"")</f>
        <v>1476476</v>
      </c>
      <c r="O26" s="335">
        <f t="shared" si="1"/>
        <v>1.3061049729526515</v>
      </c>
      <c r="P26" s="212" t="str">
        <f t="shared" si="2"/>
        <v>普通→</v>
      </c>
      <c r="Q26" s="212" t="str">
        <f t="shared" si="3"/>
        <v>中立→</v>
      </c>
      <c r="R26" s="333">
        <f t="shared" si="4"/>
        <v>2350</v>
      </c>
      <c r="S26" s="333">
        <f t="shared" si="5"/>
        <v>2657</v>
      </c>
      <c r="T26" s="325">
        <f>IF(C26="","",IFERROR(IF(W26&lt;=22,-4,IF(W26&lt;=28,-2,IF(W26&lt;=45,2,IF(W26&lt;=55,1,0))))+IF(X26&lt;0,2,0)+IF(AD26="下降トレンド▼",3,IF(AD26="もみ合い→",1,0))+IF(V26="年初来安値圏●",3,IF(V26="安値圏",2,0))+IF(Q26="売り▼",2,0)+IF(P26="急増↑↑",2,IF(P26="増加↑",1,0))+IF(Z26&lt;0,1,0)+IF(L26&lt;=-30,2,IF(L26&lt;=-15,1,0))+IF(AE26="25日戻り売り★",2,IF(AE26="5日戻り売り○",1,0))+N(AL26)+N(AP26)+N(AU26),0))</f>
      </c>
      <c r="U26" s="212" t="str">
        <f t="shared" si="7"/>
        <v>要確認</v>
      </c>
      <c r="V26" s="212" t="str">
        <f t="shared" si="8"/>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 t="shared" si="9"/>
        <v>○逆張り売り | もみ合い→ 25日戻り売り★ MACD- RSI:46.2 前日比:-1.0% [4点]</v>
      </c>
      <c r="Z26" s="338">
        <f t="shared" si="10"/>
        <v>-0.98837209302325579</v>
      </c>
      <c r="AA26" s="212" t="str">
        <f t="shared" si="11"/>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 t="shared" si="12"/>
        <v>もみ合い→</v>
      </c>
      <c r="AE26" s="212" t="str">
        <f t="shared" si="13"/>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 t="shared" si="14"/>
        <v>0</v>
      </c>
      <c r="AH26">
        <f t="shared" si="15"/>
        <v>0</v>
      </c>
      <c r="AI26" s="373">
        <f t="array" ref="AI26">IF(C26="","",IFERROR((INDEX(終値!$E:$E,MATCH(TEXT(C26,"0"),終値!$A:$A,0))-INDEX(終値!$E:$CZ,MATCH(TEXT(C26,"0"),終値!$A:$A,0),$AN$2))/INDEX(終値!$E:$CZ,MATCH(TEXT(C26,"0"),終値!$A:$A,0),$AN$2)*100,""))</f>
        <v>5.886010362694301</v>
      </c>
      <c r="AJ26" s="373">
        <f t="array" ref="AJ26">IFERROR((終値!$E$5-INDEX(終値!$E$5:$CZ$5,1,$AN$2))/INDEX(終値!$E$5:$CZ$5,1,$AN$2)*100,"")</f>
        <v>1.0179378228534113</v>
      </c>
      <c r="AK26" s="374">
        <f t="shared" si="16"/>
        <v>4.8680725398408899</v>
      </c>
      <c r="AL26" s="372">
        <f t="shared" si="17"/>
        <v>-2</v>
      </c>
      <c r="AO26" s="376" t="str">
        <f t="shared" si="18"/>
        <v>通常</v>
      </c>
      <c r="AP26" s="377">
        <f t="shared" si="19"/>
        <v>0</v>
      </c>
      <c r="AQ26">
        <f>IF(C26&lt;&gt;"",始値!F123,"")</f>
        <v>2497</v>
      </c>
      <c r="AR26">
        <f>IF(C26&lt;&gt;"",高値!F123,"")</f>
        <v>2580</v>
      </c>
      <c r="AS26">
        <f>IF(C26&lt;&gt;"",安値!F123,"")</f>
        <v>2482</v>
      </c>
      <c r="AT26" t="str">
        <f t="shared" si="20"/>
        <v>通常</v>
      </c>
      <c r="AU26">
        <f t="shared" si="21"/>
        <v>0</v>
      </c>
      <c r="BA26">
        <f>IFERROR((SUM(OFFSET(高値!$E$6,IFERROR(MATCH($C26,銘柄管理!$B$6:$B$305,0),MATCH(TEXT($C26,"0"),銘柄管理!$B$6:$B$305,0))-1,0,1,14))-SUM(OFFSET(安値!$E$6,IFERROR(MATCH($C26,銘柄管理!$B$6:$B$305,0),MATCH(TEXT($C26,"0"),銘柄管理!$B$6:$B$305,0))-1,0,1,14)))/SUM(OFFSET(終値!$E$6,IFERROR(MATCH($C26,銘柄管理!$B$6:$B$305,0),MATCH(TEXT($C26,"0"),銘柄管理!$B$6:$B$305,0))-1,0,1,14))*100,"")</f>
      </c>
      <c r="BB26">
        <f>IFERROR((MAX(OFFSET(高値!$E$6,IFERROR(MATCH($C26,銘柄管理!$B$6:$B$305,0),MATCH(TEXT($C26,"0"),銘柄管理!$B$6:$B$305,0))-1,0,1,25))-MIN(OFFSET(安値!$E$6,IFERROR(MATCH($C26,銘柄管理!$B$6:$B$305,0),MATCH(TEXT($C26,"0"),銘柄管理!$B$6:$B$305,0))-1,0,1,25)))/$E26*100,"")</f>
      </c>
      <c r="BC26">
        <f>IFERROR(($F26-$G26)/$G26*100,"")</f>
      </c>
      <c r="BD26">
        <f>IFERROR(($E26-MAX(OFFSET(高値!$E$6,IFERROR(MATCH($C26,銘柄管理!$B$6:$B$305,0),MATCH(TEXT($C26,"0"),銘柄管理!$B$6:$B$305,0))-1,0,1,25)))/MAX(OFFSET(高値!$E$6,IFERROR(MATCH($C26,銘柄管理!$B$6:$B$305,0),MATCH(TEXT($C26,"0"),銘柄管理!$B$6:$B$305,0))-1,0,1,25))*100,"")</f>
      </c>
      <c r="BE26">
        <f>IFERROR(($H26-$I26)/$F26*100,"")</f>
      </c>
      <c r="BF26">
        <f>IFERROR(-(($BA26-AVERAGE($BA$3:$BA$206))/STDEV($BA$3:$BA$206))-(($BE26-AVERAGE($BE$3:$BE$206))/STDEV($BE$3:$BE$206))-(($BB26-AVERAGE($BB$3:$BB$206))/STDEV($BB$3:$BB$206))-(($Z26-AVERAGE($Z$3:$Z$206))/STDEV($Z$3:$Z$206))-(($BC26-AVERAGE($BC$3:$BC$206))/STDEV($BC$3:$BC$206)),"")</f>
      </c>
      <c r="BG26">
        <f>IF(OR($C26="",$C26="TOPX",$BA26="",$BF26=""),0,IF(AND($BK$10=1,$BA26&lt;=$BK$2,$BB26&lt;=$BK$3,$BC26&lt;=$BK$4,$Z26&lt;=$BK$5,$Z26&gt;=$BK$6,$BD26&gt;=$BK$7,$BE26&lt;=$BK$8),1,0))</f>
      </c>
      <c r="BH26">
        <f>IF($C26="","",IF($BG26=1,"○ゲート通過",IF($BK$10&lt;&gt;1,"― この方向は停止中",IF($BA26&gt;$BK$2,"×値動きが荒い",IF($BB26&gt;$BK$3,"×レンジが広い",IF($BC26&gt;$BK$4,"×窓を開けて上昇",IF($Z26&gt;$BK$5,"×前日に急騰",IF($Z26&lt;$BK$6,"×前日に急落",IF($BD26&lt;$BK$7,"×高値から離れすぎ",IF($BE26&gt;$BK$8,"×当日の値幅が大きい","×")))))))))</f>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 t="shared" si="0"/>
        <v>-64.662447257383974</v>
      </c>
      <c r="M27" s="326">
        <f>IF(C27&lt;&gt;"",IFERROR(AVERAGE(出来高!E133:I133),""),"")</f>
        <v>727700</v>
      </c>
      <c r="N27" s="326">
        <f>IF(C27&lt;&gt;"",IFERROR(AVERAGE(出来高!E133:AC133),""),"")</f>
        <v>867991.66666666663</v>
      </c>
      <c r="O27" s="328">
        <f t="shared" si="1"/>
        <v>0.61481379689432458</v>
      </c>
      <c r="P27" s="325" t="str">
        <f t="shared" si="2"/>
        <v>減少↓</v>
      </c>
      <c r="Q27" s="325" t="str">
        <f t="shared" si="3"/>
        <v>中立→</v>
      </c>
      <c r="R27" s="326">
        <f t="shared" si="4"/>
        <v>3082</v>
      </c>
      <c r="S27" s="326">
        <f t="shared" si="5"/>
        <v>3484</v>
      </c>
      <c r="T27" s="325">
        <f>IF(C27="","",IFERROR(IF(W27&lt;=22,-4,IF(W27&lt;=28,-2,IF(W27&lt;=45,2,IF(W27&lt;=55,1,0))))+IF(X27&lt;0,2,0)+IF(AD27="下降トレンド▼",3,IF(AD27="もみ合い→",1,0))+IF(V27="年初来安値圏●",3,IF(V27="安値圏",2,0))+IF(Q27="売り▼",2,0)+IF(P27="急増↑↑",2,IF(P27="増加↑",1,0))+IF(Z27&lt;0,1,0)+IF(L27&lt;=-30,2,IF(L27&lt;=-15,1,0))+IF(AE27="25日戻り売り★",2,IF(AE27="5日戻り売り○",1,0))+N(AL27)+N(AP27)+N(AU27),0))</f>
      </c>
      <c r="U27" s="325" t="str">
        <f t="shared" si="7"/>
        <v>要確認</v>
      </c>
      <c r="V27" s="325" t="str">
        <f t="shared" si="8"/>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 t="shared" si="9"/>
        <v>相場上昇・見送り | もみ合い→ MACD- RSI:41.5 前日比:-0.9% [年初来安値圏] [12点]</v>
      </c>
      <c r="Z27" s="331">
        <f t="shared" si="10"/>
        <v>-0.8875739644970414</v>
      </c>
      <c r="AA27" s="325" t="str">
        <f t="shared" si="11"/>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 t="shared" si="12"/>
        <v>もみ合い→</v>
      </c>
      <c r="AE27" s="325" t="str">
        <f t="shared" si="13"/>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 t="shared" si="14"/>
        <v>12</v>
      </c>
      <c r="AH27">
        <f t="shared" si="15"/>
        <v>119973</v>
      </c>
      <c r="AI27" s="373">
        <f t="array" ref="AI27">IF(C27="","",IFERROR((INDEX(終値!$E:$E,MATCH(TEXT(C27,"0"),終値!$A:$A,0))-INDEX(終値!$E:$CZ,MATCH(TEXT(C27,"0"),終値!$A:$A,0),$AN$2))/INDEX(終値!$E:$CZ,MATCH(TEXT(C27,"0"),終値!$A:$A,0),$AN$2)*100,""))</f>
        <v>-59.589867310012067</v>
      </c>
      <c r="AJ27" s="373">
        <f t="array" ref="AJ27">IFERROR((終値!$E$5-INDEX(終値!$E$5:$CZ$5,1,$AN$2))/INDEX(終値!$E$5:$CZ$5,1,$AN$2)*100,"")</f>
        <v>1.0179378228534113</v>
      </c>
      <c r="AK27" s="374">
        <f t="shared" si="16"/>
        <v>-60.607805132865479</v>
      </c>
      <c r="AL27" s="372">
        <f t="shared" si="17"/>
        <v>3</v>
      </c>
      <c r="AO27" s="376" t="str">
        <f t="shared" si="18"/>
        <v>通常</v>
      </c>
      <c r="AP27" s="377">
        <f t="shared" si="19"/>
        <v>0</v>
      </c>
      <c r="AQ27">
        <f>IF(C27&lt;&gt;"",始値!F133,"")</f>
        <v>3415</v>
      </c>
      <c r="AR27">
        <f>IF(C27&lt;&gt;"",高値!F133,"")</f>
        <v>3500</v>
      </c>
      <c r="AS27">
        <f>IF(C27&lt;&gt;"",安値!F133,"")</f>
        <v>3215</v>
      </c>
      <c r="AT27" t="str">
        <f t="shared" si="20"/>
        <v>通常</v>
      </c>
      <c r="AU27">
        <f t="shared" si="21"/>
        <v>0</v>
      </c>
      <c r="BA27">
        <f>IFERROR((SUM(OFFSET(高値!$E$6,IFERROR(MATCH($C27,銘柄管理!$B$6:$B$305,0),MATCH(TEXT($C27,"0"),銘柄管理!$B$6:$B$305,0))-1,0,1,14))-SUM(OFFSET(安値!$E$6,IFERROR(MATCH($C27,銘柄管理!$B$6:$B$305,0),MATCH(TEXT($C27,"0"),銘柄管理!$B$6:$B$305,0))-1,0,1,14)))/SUM(OFFSET(終値!$E$6,IFERROR(MATCH($C27,銘柄管理!$B$6:$B$305,0),MATCH(TEXT($C27,"0"),銘柄管理!$B$6:$B$305,0))-1,0,1,14))*100,"")</f>
      </c>
      <c r="BB27">
        <f>IFERROR((MAX(OFFSET(高値!$E$6,IFERROR(MATCH($C27,銘柄管理!$B$6:$B$305,0),MATCH(TEXT($C27,"0"),銘柄管理!$B$6:$B$305,0))-1,0,1,25))-MIN(OFFSET(安値!$E$6,IFERROR(MATCH($C27,銘柄管理!$B$6:$B$305,0),MATCH(TEXT($C27,"0"),銘柄管理!$B$6:$B$305,0))-1,0,1,25)))/$E27*100,"")</f>
      </c>
      <c r="BC27">
        <f>IFERROR(($F27-$G27)/$G27*100,"")</f>
      </c>
      <c r="BD27">
        <f>IFERROR(($E27-MAX(OFFSET(高値!$E$6,IFERROR(MATCH($C27,銘柄管理!$B$6:$B$305,0),MATCH(TEXT($C27,"0"),銘柄管理!$B$6:$B$305,0))-1,0,1,25)))/MAX(OFFSET(高値!$E$6,IFERROR(MATCH($C27,銘柄管理!$B$6:$B$305,0),MATCH(TEXT($C27,"0"),銘柄管理!$B$6:$B$305,0))-1,0,1,25))*100,"")</f>
      </c>
      <c r="BE27">
        <f>IFERROR(($H27-$I27)/$F27*100,"")</f>
      </c>
      <c r="BF27">
        <f>IFERROR(-(($BA27-AVERAGE($BA$3:$BA$206))/STDEV($BA$3:$BA$206))-(($BE27-AVERAGE($BE$3:$BE$206))/STDEV($BE$3:$BE$206))-(($BB27-AVERAGE($BB$3:$BB$206))/STDEV($BB$3:$BB$206))-(($Z27-AVERAGE($Z$3:$Z$206))/STDEV($Z$3:$Z$206))-(($BC27-AVERAGE($BC$3:$BC$206))/STDEV($BC$3:$BC$206)),"")</f>
      </c>
      <c r="BG27">
        <f>IF(OR($C27="",$C27="TOPX",$BA27="",$BF27=""),0,IF(AND($BK$10=1,$BA27&lt;=$BK$2,$BB27&lt;=$BK$3,$BC27&lt;=$BK$4,$Z27&lt;=$BK$5,$Z27&gt;=$BK$6,$BD27&gt;=$BK$7,$BE27&lt;=$BK$8),1,0))</f>
      </c>
      <c r="BH27">
        <f>IF($C27="","",IF($BG27=1,"○ゲート通過",IF($BK$10&lt;&gt;1,"― この方向は停止中",IF($BA27&gt;$BK$2,"×値動きが荒い",IF($BB27&gt;$BK$3,"×レンジが広い",IF($BC27&gt;$BK$4,"×窓を開けて上昇",IF($Z27&gt;$BK$5,"×前日に急騰",IF($Z27&lt;$BK$6,"×前日に急落",IF($BD27&lt;$BK$7,"×高値から離れすぎ",IF($BE27&gt;$BK$8,"×当日の値幅が大きい","×")))))))))</f>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 t="shared" si="0"/>
        <v>-57.941888619854723</v>
      </c>
      <c r="M28" s="333">
        <f>IF(C28&lt;&gt;"",IFERROR(AVERAGE(出来高!E135:I135),""),"")</f>
        <v>670220</v>
      </c>
      <c r="N28" s="333">
        <f>IF(C28&lt;&gt;"",IFERROR(AVERAGE(出来高!E135:AC135),""),"")</f>
        <v>841004</v>
      </c>
      <c r="O28" s="335">
        <f t="shared" si="1"/>
        <v>0.64710095192623318</v>
      </c>
      <c r="P28" s="212" t="str">
        <f t="shared" si="2"/>
        <v>減少↓</v>
      </c>
      <c r="Q28" s="212" t="str">
        <f t="shared" si="3"/>
        <v>中立→</v>
      </c>
      <c r="R28" s="333">
        <f t="shared" si="4"/>
        <v>1598</v>
      </c>
      <c r="S28" s="333">
        <f t="shared" si="5"/>
        <v>1806</v>
      </c>
      <c r="T28" s="325">
        <f>IF(C28="","",IFERROR(IF(W28&lt;=22,-4,IF(W28&lt;=28,-2,IF(W28&lt;=45,2,IF(W28&lt;=55,1,0))))+IF(X28&lt;0,2,0)+IF(AD28="下降トレンド▼",3,IF(AD28="もみ合い→",1,0))+IF(V28="年初来安値圏●",3,IF(V28="安値圏",2,0))+IF(Q28="売り▼",2,0)+IF(P28="急増↑↑",2,IF(P28="増加↑",1,0))+IF(Z28&lt;0,1,0)+IF(L28&lt;=-30,2,IF(L28&lt;=-15,1,0))+IF(AE28="25日戻り売り★",2,IF(AE28="5日戻り売り○",1,0))+N(AL28)+N(AP28)+N(AU28),0))</f>
      </c>
      <c r="U28" s="212" t="str">
        <f t="shared" si="7"/>
        <v>要確認</v>
      </c>
      <c r="V28" s="212" t="str">
        <f t="shared" si="8"/>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 t="shared" si="9"/>
        <v>相場上昇・見送り | 下降トレンド▼ MACD- RSI:29.8 [売られ過ぎ] 前日比:-5.1% [年初来安値圏] [大陰線▼] [16点]</v>
      </c>
      <c r="Z28" s="338">
        <f t="shared" si="10"/>
        <v>-5.081967213114754</v>
      </c>
      <c r="AA28" s="212" t="str">
        <f t="shared" si="11"/>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 t="shared" si="12"/>
        <v>下降トレンド▼</v>
      </c>
      <c r="AE28" s="212" t="str">
        <f t="shared" si="13"/>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 t="shared" si="14"/>
        <v>16</v>
      </c>
      <c r="AH28">
        <f t="shared" si="15"/>
        <v>159972</v>
      </c>
      <c r="AI28" s="373">
        <f t="array" ref="AI28">IF(C28="","",IFERROR((INDEX(終値!$E:$E,MATCH(TEXT(C28,"0"),終値!$A:$A,0))-INDEX(終値!$E:$CZ,MATCH(TEXT(C28,"0"),終値!$A:$A,0),$AN$2))/INDEX(終値!$E:$CZ,MATCH(TEXT(C28,"0"),終値!$A:$A,0),$AN$2)*100,""))</f>
        <v>-79.047044632086852</v>
      </c>
      <c r="AJ28" s="373">
        <f t="array" ref="AJ28">IFERROR((終値!$E$5-INDEX(終値!$E$5:$CZ$5,1,$AN$2))/INDEX(終値!$E$5:$CZ$5,1,$AN$2)*100,"")</f>
        <v>1.0179378228534113</v>
      </c>
      <c r="AK28" s="374">
        <f t="shared" si="16"/>
        <v>-80.064982454940264</v>
      </c>
      <c r="AL28" s="372">
        <f t="shared" si="17"/>
        <v>3</v>
      </c>
      <c r="AO28" s="376" t="str">
        <f t="shared" si="18"/>
        <v>大陰線▼</v>
      </c>
      <c r="AP28" s="377">
        <f t="shared" si="19"/>
        <v>2</v>
      </c>
      <c r="AQ28">
        <f>IF(C28&lt;&gt;"",始値!F135,"")</f>
        <v>1750</v>
      </c>
      <c r="AR28">
        <f>IF(C28&lt;&gt;"",高値!F135,"")</f>
        <v>1840</v>
      </c>
      <c r="AS28">
        <f>IF(C28&lt;&gt;"",安値!F135,"")</f>
        <v>1731</v>
      </c>
      <c r="AT28" t="str">
        <f t="shared" si="20"/>
        <v>通常</v>
      </c>
      <c r="AU28">
        <f t="shared" si="21"/>
        <v>0</v>
      </c>
      <c r="BA28">
        <f>IFERROR((SUM(OFFSET(高値!$E$6,IFERROR(MATCH($C28,銘柄管理!$B$6:$B$305,0),MATCH(TEXT($C28,"0"),銘柄管理!$B$6:$B$305,0))-1,0,1,14))-SUM(OFFSET(安値!$E$6,IFERROR(MATCH($C28,銘柄管理!$B$6:$B$305,0),MATCH(TEXT($C28,"0"),銘柄管理!$B$6:$B$305,0))-1,0,1,14)))/SUM(OFFSET(終値!$E$6,IFERROR(MATCH($C28,銘柄管理!$B$6:$B$305,0),MATCH(TEXT($C28,"0"),銘柄管理!$B$6:$B$305,0))-1,0,1,14))*100,"")</f>
      </c>
      <c r="BB28">
        <f>IFERROR((MAX(OFFSET(高値!$E$6,IFERROR(MATCH($C28,銘柄管理!$B$6:$B$305,0),MATCH(TEXT($C28,"0"),銘柄管理!$B$6:$B$305,0))-1,0,1,25))-MIN(OFFSET(安値!$E$6,IFERROR(MATCH($C28,銘柄管理!$B$6:$B$305,0),MATCH(TEXT($C28,"0"),銘柄管理!$B$6:$B$305,0))-1,0,1,25)))/$E28*100,"")</f>
      </c>
      <c r="BC28">
        <f>IFERROR(($F28-$G28)/$G28*100,"")</f>
      </c>
      <c r="BD28">
        <f>IFERROR(($E28-MAX(OFFSET(高値!$E$6,IFERROR(MATCH($C28,銘柄管理!$B$6:$B$305,0),MATCH(TEXT($C28,"0"),銘柄管理!$B$6:$B$305,0))-1,0,1,25)))/MAX(OFFSET(高値!$E$6,IFERROR(MATCH($C28,銘柄管理!$B$6:$B$305,0),MATCH(TEXT($C28,"0"),銘柄管理!$B$6:$B$305,0))-1,0,1,25))*100,"")</f>
      </c>
      <c r="BE28">
        <f>IFERROR(($H28-$I28)/$F28*100,"")</f>
      </c>
      <c r="BF28">
        <f>IFERROR(-(($BA28-AVERAGE($BA$3:$BA$206))/STDEV($BA$3:$BA$206))-(($BE28-AVERAGE($BE$3:$BE$206))/STDEV($BE$3:$BE$206))-(($BB28-AVERAGE($BB$3:$BB$206))/STDEV($BB$3:$BB$206))-(($Z28-AVERAGE($Z$3:$Z$206))/STDEV($Z$3:$Z$206))-(($BC28-AVERAGE($BC$3:$BC$206))/STDEV($BC$3:$BC$206)),"")</f>
      </c>
      <c r="BG28">
        <f>IF(OR($C28="",$C28="TOPX",$BA28="",$BF28=""),0,IF(AND($BK$10=1,$BA28&lt;=$BK$2,$BB28&lt;=$BK$3,$BC28&lt;=$BK$4,$Z28&lt;=$BK$5,$Z28&gt;=$BK$6,$BD28&gt;=$BK$7,$BE28&lt;=$BK$8),1,0))</f>
      </c>
      <c r="BH28">
        <f>IF($C28="","",IF($BG28=1,"○ゲート通過",IF($BK$10&lt;&gt;1,"― この方向は停止中",IF($BA28&gt;$BK$2,"×値動きが荒い",IF($BB28&gt;$BK$3,"×レンジが広い",IF($BC28&gt;$BK$4,"×窓を開けて上昇",IF($Z28&gt;$BK$5,"×前日に急騰",IF($Z28&lt;$BK$6,"×前日に急落",IF($BD28&lt;$BK$7,"×高値から離れすぎ",IF($BE28&gt;$BK$8,"×当日の値幅が大きい","×")))))))))</f>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 t="shared" si="0"/>
        <v>-24.746192893401016</v>
      </c>
      <c r="M29" s="326">
        <f>IF(C29&lt;&gt;"",IFERROR(AVERAGE(出来高!E151:I151),""),"")</f>
        <v>231080</v>
      </c>
      <c r="N29" s="326">
        <f>IF(C29&lt;&gt;"",IFERROR(AVERAGE(出来高!E151:AC151),""),"")</f>
        <v>189450</v>
      </c>
      <c r="O29" s="328">
        <f t="shared" si="1"/>
        <v>0.76120823957071149</v>
      </c>
      <c r="P29" s="325" t="str">
        <f t="shared" si="2"/>
        <v>減少↓</v>
      </c>
      <c r="Q29" s="325" t="str">
        <f t="shared" si="3"/>
        <v>中立→</v>
      </c>
      <c r="R29" s="326">
        <f t="shared" si="4"/>
        <v>5456</v>
      </c>
      <c r="S29" s="326">
        <f t="shared" si="5"/>
        <v>6167</v>
      </c>
      <c r="T29" s="325">
        <f>IF(C29="","",IFERROR(IF(W29&lt;=22,-4,IF(W29&lt;=28,-2,IF(W29&lt;=45,2,IF(W29&lt;=55,1,0))))+IF(X29&lt;0,2,0)+IF(AD29="下降トレンド▼",3,IF(AD29="もみ合い→",1,0))+IF(V29="年初来安値圏●",3,IF(V29="安値圏",2,0))+IF(Q29="売り▼",2,0)+IF(P29="急増↑↑",2,IF(P29="増加↑",1,0))+IF(Z29&lt;0,1,0)+IF(L29&lt;=-30,2,IF(L29&lt;=-15,1,0))+IF(AE29="25日戻り売り★",2,IF(AE29="5日戻り売り○",1,0))+N(AL29)+N(AP29)+N(AU29),0))</f>
      </c>
      <c r="U29" s="325" t="str">
        <f t="shared" si="7"/>
        <v>要確認</v>
      </c>
      <c r="V29" s="325" t="str">
        <f t="shared" si="8"/>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 t="shared" si="9"/>
        <v>相場上昇・見送り | パーフェクト▲ MACD- RSI:50.6 前日比:-2.6% [安値圏] [10点]</v>
      </c>
      <c r="Z29" s="331">
        <f t="shared" si="10"/>
        <v>-2.6272577996715927</v>
      </c>
      <c r="AA29" s="325" t="str">
        <f t="shared" si="11"/>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 t="shared" si="12"/>
        <v>パーフェクト▲</v>
      </c>
      <c r="AE29" s="325" t="str">
        <f t="shared" si="13"/>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 t="shared" si="14"/>
        <v>10</v>
      </c>
      <c r="AH29">
        <f t="shared" si="15"/>
        <v>99971</v>
      </c>
      <c r="AI29" s="373">
        <f t="array" ref="AI29">IF(C29="","",IFERROR((INDEX(終値!$E:$E,MATCH(TEXT(C29,"0"),終値!$A:$A,0))-INDEX(終値!$E:$CZ,MATCH(TEXT(C29,"0"),終値!$A:$A,0),$AN$2))/INDEX(終値!$E:$CZ,MATCH(TEXT(C29,"0"),終値!$A:$A,0),$AN$2)*100,""))</f>
        <v>-9.8784194528875382</v>
      </c>
      <c r="AJ29" s="373">
        <f t="array" ref="AJ29">IFERROR((終値!$E$5-INDEX(終値!$E$5:$CZ$5,1,$AN$2))/INDEX(終値!$E$5:$CZ$5,1,$AN$2)*100,"")</f>
        <v>1.0179378228534113</v>
      </c>
      <c r="AK29" s="374">
        <f t="shared" si="16"/>
        <v>-10.89635727574095</v>
      </c>
      <c r="AL29" s="372">
        <f t="shared" si="17"/>
        <v>3</v>
      </c>
      <c r="AO29" s="376" t="str">
        <f t="shared" si="18"/>
        <v>通常</v>
      </c>
      <c r="AP29" s="377">
        <f t="shared" si="19"/>
        <v>0</v>
      </c>
      <c r="AQ29">
        <f>IF(C29&lt;&gt;"",始値!F151,"")</f>
        <v>5990</v>
      </c>
      <c r="AR29">
        <f>IF(C29&lt;&gt;"",高値!F151,"")</f>
        <v>6190</v>
      </c>
      <c r="AS29">
        <f>IF(C29&lt;&gt;"",安値!F151,"")</f>
        <v>5920</v>
      </c>
      <c r="AT29" t="str">
        <f t="shared" si="20"/>
        <v>通常</v>
      </c>
      <c r="AU29">
        <f t="shared" si="21"/>
        <v>0</v>
      </c>
      <c r="BA29">
        <f>IFERROR((SUM(OFFSET(高値!$E$6,IFERROR(MATCH($C29,銘柄管理!$B$6:$B$305,0),MATCH(TEXT($C29,"0"),銘柄管理!$B$6:$B$305,0))-1,0,1,14))-SUM(OFFSET(安値!$E$6,IFERROR(MATCH($C29,銘柄管理!$B$6:$B$305,0),MATCH(TEXT($C29,"0"),銘柄管理!$B$6:$B$305,0))-1,0,1,14)))/SUM(OFFSET(終値!$E$6,IFERROR(MATCH($C29,銘柄管理!$B$6:$B$305,0),MATCH(TEXT($C29,"0"),銘柄管理!$B$6:$B$305,0))-1,0,1,14))*100,"")</f>
      </c>
      <c r="BB29">
        <f>IFERROR((MAX(OFFSET(高値!$E$6,IFERROR(MATCH($C29,銘柄管理!$B$6:$B$305,0),MATCH(TEXT($C29,"0"),銘柄管理!$B$6:$B$305,0))-1,0,1,25))-MIN(OFFSET(安値!$E$6,IFERROR(MATCH($C29,銘柄管理!$B$6:$B$305,0),MATCH(TEXT($C29,"0"),銘柄管理!$B$6:$B$305,0))-1,0,1,25)))/$E29*100,"")</f>
      </c>
      <c r="BC29">
        <f>IFERROR(($F29-$G29)/$G29*100,"")</f>
      </c>
      <c r="BD29">
        <f>IFERROR(($E29-MAX(OFFSET(高値!$E$6,IFERROR(MATCH($C29,銘柄管理!$B$6:$B$305,0),MATCH(TEXT($C29,"0"),銘柄管理!$B$6:$B$305,0))-1,0,1,25)))/MAX(OFFSET(高値!$E$6,IFERROR(MATCH($C29,銘柄管理!$B$6:$B$305,0),MATCH(TEXT($C29,"0"),銘柄管理!$B$6:$B$305,0))-1,0,1,25))*100,"")</f>
      </c>
      <c r="BE29">
        <f>IFERROR(($H29-$I29)/$F29*100,"")</f>
      </c>
      <c r="BF29">
        <f>IFERROR(-(($BA29-AVERAGE($BA$3:$BA$206))/STDEV($BA$3:$BA$206))-(($BE29-AVERAGE($BE$3:$BE$206))/STDEV($BE$3:$BE$206))-(($BB29-AVERAGE($BB$3:$BB$206))/STDEV($BB$3:$BB$206))-(($Z29-AVERAGE($Z$3:$Z$206))/STDEV($Z$3:$Z$206))-(($BC29-AVERAGE($BC$3:$BC$206))/STDEV($BC$3:$BC$206)),"")</f>
      </c>
      <c r="BG29">
        <f>IF(OR($C29="",$C29="TOPX",$BA29="",$BF29=""),0,IF(AND($BK$10=1,$BA29&lt;=$BK$2,$BB29&lt;=$BK$3,$BC29&lt;=$BK$4,$Z29&lt;=$BK$5,$Z29&gt;=$BK$6,$BD29&gt;=$BK$7,$BE29&lt;=$BK$8),1,0))</f>
      </c>
      <c r="BH29">
        <f>IF($C29="","",IF($BG29=1,"○ゲート通過",IF($BK$10&lt;&gt;1,"― この方向は停止中",IF($BA29&gt;$BK$2,"×値動きが荒い",IF($BB29&gt;$BK$3,"×レンジが広い",IF($BC29&gt;$BK$4,"×窓を開けて上昇",IF($Z29&gt;$BK$5,"×前日に急騰",IF($Z29&lt;$BK$6,"×前日に急落",IF($BD29&lt;$BK$7,"×高値から離れすぎ",IF($BE29&gt;$BK$8,"×当日の値幅が大きい","×")))))))))</f>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 t="shared" si="0"/>
        <v>-42.450562233423803</v>
      </c>
      <c r="M30" s="333">
        <f>IF(C30&lt;&gt;"",IFERROR(AVERAGE(出来高!E154:I154),""),"")</f>
        <v>29371300</v>
      </c>
      <c r="N30" s="333">
        <f>IF(C30&lt;&gt;"",IFERROR(AVERAGE(出来高!E154:AC154),""),"")</f>
        <v>31748592</v>
      </c>
      <c r="O30" s="335">
        <f t="shared" si="1"/>
        <v>1.2343273876198875</v>
      </c>
      <c r="P30" s="212" t="str">
        <f t="shared" si="2"/>
        <v>普通→</v>
      </c>
      <c r="Q30" s="212" t="str">
        <f t="shared" si="3"/>
        <v>中立→</v>
      </c>
      <c r="R30" s="333">
        <f t="shared" si="4"/>
        <v>6827</v>
      </c>
      <c r="S30" s="333">
        <f t="shared" si="5"/>
        <v>7718</v>
      </c>
      <c r="T30" s="325">
        <f>IF(C30="","",IFERROR(IF(W30&lt;=22,-4,IF(W30&lt;=28,-2,IF(W30&lt;=45,2,IF(W30&lt;=55,1,0))))+IF(X30&lt;0,2,0)+IF(AD30="下降トレンド▼",3,IF(AD30="もみ合い→",1,0))+IF(V30="年初来安値圏●",3,IF(V30="安値圏",2,0))+IF(Q30="売り▼",2,0)+IF(P30="急増↑↑",2,IF(P30="増加↑",1,0))+IF(Z30&lt;0,1,0)+IF(L30&lt;=-30,2,IF(L30&lt;=-15,1,0))+IF(AE30="25日戻り売り★",2,IF(AE30="5日戻り売り○",1,0))+N(AL30)+N(AP30)+N(AU30),0))</f>
      </c>
      <c r="U30" s="212" t="str">
        <f t="shared" si="7"/>
        <v>要確認</v>
      </c>
      <c r="V30" s="212" t="str">
        <f t="shared" si="8"/>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 t="shared" si="9"/>
        <v>★逆張り売り | 下降トレンド▼ 5日戻り売り○ MACD- RSI:40.7 前日比:-5.2% [年初来安値圏] [長い下ヒゲ(反発警戒)] [13点]</v>
      </c>
      <c r="Z30" s="338">
        <f t="shared" si="10"/>
        <v>-5.2113935368501725</v>
      </c>
      <c r="AA30" s="212" t="str">
        <f t="shared" si="11"/>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 t="shared" si="12"/>
        <v>下降トレンド▼</v>
      </c>
      <c r="AE30" s="212" t="str">
        <f t="shared" si="13"/>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 t="shared" si="14"/>
        <v>13</v>
      </c>
      <c r="AH30">
        <f t="shared" si="15"/>
        <v>129970</v>
      </c>
      <c r="AI30" s="373">
        <f t="array" ref="AI30">IF(C30="","",IFERROR((INDEX(終値!$E:$E,MATCH(TEXT(C30,"0"),終値!$A:$A,0))-INDEX(終値!$E:$CZ,MATCH(TEXT(C30,"0"),終値!$A:$A,0),$AN$2))/INDEX(終値!$E:$CZ,MATCH(TEXT(C30,"0"),終値!$A:$A,0),$AN$2)*100,""))</f>
        <v>-37.586206896551722</v>
      </c>
      <c r="AJ30" s="373">
        <f t="array" ref="AJ30">IFERROR((終値!$E$5-INDEX(終値!$E$5:$CZ$5,1,$AN$2))/INDEX(終値!$E$5:$CZ$5,1,$AN$2)*100,"")</f>
        <v>1.0179378228534113</v>
      </c>
      <c r="AK30" s="374">
        <f t="shared" si="16"/>
        <v>-38.604144719405134</v>
      </c>
      <c r="AL30" s="372">
        <f t="shared" si="17"/>
        <v>3</v>
      </c>
      <c r="AO30" s="376" t="str">
        <f t="shared" si="18"/>
        <v>長い下ヒゲ(反発警戒)</v>
      </c>
      <c r="AP30" s="377">
        <f t="shared" si="19"/>
        <v>-2</v>
      </c>
      <c r="AQ30">
        <f>IF(C30&lt;&gt;"",始値!F154,"")</f>
        <v>7351</v>
      </c>
      <c r="AR30">
        <f>IF(C30&lt;&gt;"",高値!F154,"")</f>
        <v>7915</v>
      </c>
      <c r="AS30">
        <f>IF(C30&lt;&gt;"",安値!F154,"")</f>
        <v>7305</v>
      </c>
      <c r="AT30" t="str">
        <f t="shared" si="20"/>
        <v>通常</v>
      </c>
      <c r="AU30">
        <f t="shared" si="21"/>
        <v>0</v>
      </c>
      <c r="BA30">
        <f>IFERROR((SUM(OFFSET(高値!$E$6,IFERROR(MATCH($C30,銘柄管理!$B$6:$B$305,0),MATCH(TEXT($C30,"0"),銘柄管理!$B$6:$B$305,0))-1,0,1,14))-SUM(OFFSET(安値!$E$6,IFERROR(MATCH($C30,銘柄管理!$B$6:$B$305,0),MATCH(TEXT($C30,"0"),銘柄管理!$B$6:$B$305,0))-1,0,1,14)))/SUM(OFFSET(終値!$E$6,IFERROR(MATCH($C30,銘柄管理!$B$6:$B$305,0),MATCH(TEXT($C30,"0"),銘柄管理!$B$6:$B$305,0))-1,0,1,14))*100,"")</f>
      </c>
      <c r="BB30">
        <f>IFERROR((MAX(OFFSET(高値!$E$6,IFERROR(MATCH($C30,銘柄管理!$B$6:$B$305,0),MATCH(TEXT($C30,"0"),銘柄管理!$B$6:$B$305,0))-1,0,1,25))-MIN(OFFSET(安値!$E$6,IFERROR(MATCH($C30,銘柄管理!$B$6:$B$305,0),MATCH(TEXT($C30,"0"),銘柄管理!$B$6:$B$305,0))-1,0,1,25)))/$E30*100,"")</f>
      </c>
      <c r="BC30">
        <f>IFERROR(($F30-$G30)/$G30*100,"")</f>
      </c>
      <c r="BD30">
        <f>IFERROR(($E30-MAX(OFFSET(高値!$E$6,IFERROR(MATCH($C30,銘柄管理!$B$6:$B$305,0),MATCH(TEXT($C30,"0"),銘柄管理!$B$6:$B$305,0))-1,0,1,25)))/MAX(OFFSET(高値!$E$6,IFERROR(MATCH($C30,銘柄管理!$B$6:$B$305,0),MATCH(TEXT($C30,"0"),銘柄管理!$B$6:$B$305,0))-1,0,1,25))*100,"")</f>
      </c>
      <c r="BE30">
        <f>IFERROR(($H30-$I30)/$F30*100,"")</f>
      </c>
      <c r="BF30">
        <f>IFERROR(-(($BA30-AVERAGE($BA$3:$BA$206))/STDEV($BA$3:$BA$206))-(($BE30-AVERAGE($BE$3:$BE$206))/STDEV($BE$3:$BE$206))-(($BB30-AVERAGE($BB$3:$BB$206))/STDEV($BB$3:$BB$206))-(($Z30-AVERAGE($Z$3:$Z$206))/STDEV($Z$3:$Z$206))-(($BC30-AVERAGE($BC$3:$BC$206))/STDEV($BC$3:$BC$206)),"")</f>
      </c>
      <c r="BG30">
        <f>IF(OR($C30="",$C30="TOPX",$BA30="",$BF30=""),0,IF(AND($BK$10=1,$BA30&lt;=$BK$2,$BB30&lt;=$BK$3,$BC30&lt;=$BK$4,$Z30&lt;=$BK$5,$Z30&gt;=$BK$6,$BD30&gt;=$BK$7,$BE30&lt;=$BK$8),1,0))</f>
      </c>
      <c r="BH30">
        <f>IF($C30="","",IF($BG30=1,"○ゲート通過",IF($BK$10&lt;&gt;1,"― この方向は停止中",IF($BA30&gt;$BK$2,"×値動きが荒い",IF($BB30&gt;$BK$3,"×レンジが広い",IF($BC30&gt;$BK$4,"×窓を開けて上昇",IF($Z30&gt;$BK$5,"×前日に急騰",IF($Z30&lt;$BK$6,"×前日に急落",IF($BD30&lt;$BK$7,"×高値から離れすぎ",IF($BE30&gt;$BK$8,"×当日の値幅が大きい","×")))))))))</f>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 t="shared" si="0"/>
        <v>-27.394438722966015</v>
      </c>
      <c r="M31" s="326">
        <f>IF(C31&lt;&gt;"",IFERROR(AVERAGE(出来高!E155:I155),""),"")</f>
        <v>2720060</v>
      </c>
      <c r="N31" s="326">
        <f>IF(C31&lt;&gt;"",IFERROR(AVERAGE(出来高!E155:AC155),""),"")</f>
        <v>1742029.1666666667</v>
      </c>
      <c r="O31" s="328">
        <f t="shared" si="1"/>
        <v>0.76869627875855684</v>
      </c>
      <c r="P31" s="325" t="str">
        <f t="shared" si="2"/>
        <v>減少↓</v>
      </c>
      <c r="Q31" s="325" t="str">
        <f t="shared" si="3"/>
        <v>中立→</v>
      </c>
      <c r="R31" s="326">
        <f t="shared" si="4"/>
        <v>3243</v>
      </c>
      <c r="S31" s="326">
        <f t="shared" si="5"/>
        <v>3666</v>
      </c>
      <c r="T31" s="325">
        <f>IF(C31="","",IFERROR(IF(W31&lt;=22,-4,IF(W31&lt;=28,-2,IF(W31&lt;=45,2,IF(W31&lt;=55,1,0))))+IF(X31&lt;0,2,0)+IF(AD31="下降トレンド▼",3,IF(AD31="もみ合い→",1,0))+IF(V31="年初来安値圏●",3,IF(V31="安値圏",2,0))+IF(Q31="売り▼",2,0)+IF(P31="急増↑↑",2,IF(P31="増加↑",1,0))+IF(Z31&lt;0,1,0)+IF(L31&lt;=-30,2,IF(L31&lt;=-15,1,0))+IF(AE31="25日戻り売り★",2,IF(AE31="5日戻り売り○",1,0))+N(AL31)+N(AP31)+N(AU31),0))</f>
      </c>
      <c r="U31" s="325" t="str">
        <f t="shared" si="7"/>
        <v>要確認</v>
      </c>
      <c r="V31" s="325" t="str">
        <f t="shared" si="8"/>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 t="shared" si="9"/>
        <v>相場上昇・見送り | もみ合い→ MACD- RSI:48.7 前日比:-8.0% [安値圏] [10点]</v>
      </c>
      <c r="Z31" s="331">
        <f t="shared" si="10"/>
        <v>-8.0354813462040173</v>
      </c>
      <c r="AA31" s="325" t="str">
        <f t="shared" si="11"/>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 t="shared" si="12"/>
        <v>もみ合い→</v>
      </c>
      <c r="AE31" s="325" t="str">
        <f t="shared" si="13"/>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 t="shared" si="14"/>
        <v>10</v>
      </c>
      <c r="AH31">
        <f t="shared" si="15"/>
        <v>99969</v>
      </c>
      <c r="AI31" s="373">
        <f t="array" ref="AI31">IF(C31="","",IFERROR((INDEX(終値!$E:$E,MATCH(TEXT(C31,"0"),終値!$A:$A,0))-INDEX(終値!$E:$CZ,MATCH(TEXT(C31,"0"),終値!$A:$A,0),$AN$2))/INDEX(終値!$E:$CZ,MATCH(TEXT(C31,"0"),終値!$A:$A,0),$AN$2)*100,""))</f>
        <v>-24.808020477815703</v>
      </c>
      <c r="AJ31" s="373">
        <f t="array" ref="AJ31">IFERROR((終値!$E$5-INDEX(終値!$E$5:$CZ$5,1,$AN$2))/INDEX(終値!$E$5:$CZ$5,1,$AN$2)*100,"")</f>
        <v>1.0179378228534113</v>
      </c>
      <c r="AK31" s="374">
        <f t="shared" si="16"/>
        <v>-25.825958300669114</v>
      </c>
      <c r="AL31" s="372">
        <f t="shared" si="17"/>
        <v>3</v>
      </c>
      <c r="AO31" s="376" t="str">
        <f t="shared" si="18"/>
        <v>通常</v>
      </c>
      <c r="AP31" s="377">
        <f t="shared" si="19"/>
        <v>0</v>
      </c>
      <c r="AQ31">
        <f>IF(C31&lt;&gt;"",始値!F155,"")</f>
        <v>3635</v>
      </c>
      <c r="AR31">
        <f>IF(C31&lt;&gt;"",高値!F155,"")</f>
        <v>3873</v>
      </c>
      <c r="AS31">
        <f>IF(C31&lt;&gt;"",安値!F155,"")</f>
        <v>3630</v>
      </c>
      <c r="AT31" t="str">
        <f t="shared" si="20"/>
        <v>通常</v>
      </c>
      <c r="AU31">
        <f t="shared" si="21"/>
        <v>0</v>
      </c>
      <c r="BA31">
        <f>IFERROR((SUM(OFFSET(高値!$E$6,IFERROR(MATCH($C31,銘柄管理!$B$6:$B$305,0),MATCH(TEXT($C31,"0"),銘柄管理!$B$6:$B$305,0))-1,0,1,14))-SUM(OFFSET(安値!$E$6,IFERROR(MATCH($C31,銘柄管理!$B$6:$B$305,0),MATCH(TEXT($C31,"0"),銘柄管理!$B$6:$B$305,0))-1,0,1,14)))/SUM(OFFSET(終値!$E$6,IFERROR(MATCH($C31,銘柄管理!$B$6:$B$305,0),MATCH(TEXT($C31,"0"),銘柄管理!$B$6:$B$305,0))-1,0,1,14))*100,"")</f>
      </c>
      <c r="BB31">
        <f>IFERROR((MAX(OFFSET(高値!$E$6,IFERROR(MATCH($C31,銘柄管理!$B$6:$B$305,0),MATCH(TEXT($C31,"0"),銘柄管理!$B$6:$B$305,0))-1,0,1,25))-MIN(OFFSET(安値!$E$6,IFERROR(MATCH($C31,銘柄管理!$B$6:$B$305,0),MATCH(TEXT($C31,"0"),銘柄管理!$B$6:$B$305,0))-1,0,1,25)))/$E31*100,"")</f>
      </c>
      <c r="BC31">
        <f>IFERROR(($F31-$G31)/$G31*100,"")</f>
      </c>
      <c r="BD31">
        <f>IFERROR(($E31-MAX(OFFSET(高値!$E$6,IFERROR(MATCH($C31,銘柄管理!$B$6:$B$305,0),MATCH(TEXT($C31,"0"),銘柄管理!$B$6:$B$305,0))-1,0,1,25)))/MAX(OFFSET(高値!$E$6,IFERROR(MATCH($C31,銘柄管理!$B$6:$B$305,0),MATCH(TEXT($C31,"0"),銘柄管理!$B$6:$B$305,0))-1,0,1,25))*100,"")</f>
      </c>
      <c r="BE31">
        <f>IFERROR(($H31-$I31)/$F31*100,"")</f>
      </c>
      <c r="BF31">
        <f>IFERROR(-(($BA31-AVERAGE($BA$3:$BA$206))/STDEV($BA$3:$BA$206))-(($BE31-AVERAGE($BE$3:$BE$206))/STDEV($BE$3:$BE$206))-(($BB31-AVERAGE($BB$3:$BB$206))/STDEV($BB$3:$BB$206))-(($Z31-AVERAGE($Z$3:$Z$206))/STDEV($Z$3:$Z$206))-(($BC31-AVERAGE($BC$3:$BC$206))/STDEV($BC$3:$BC$206)),"")</f>
      </c>
      <c r="BG31">
        <f>IF(OR($C31="",$C31="TOPX",$BA31="",$BF31=""),0,IF(AND($BK$10=1,$BA31&lt;=$BK$2,$BB31&lt;=$BK$3,$BC31&lt;=$BK$4,$Z31&lt;=$BK$5,$Z31&gt;=$BK$6,$BD31&gt;=$BK$7,$BE31&lt;=$BK$8),1,0))</f>
      </c>
      <c r="BH31">
        <f>IF($C31="","",IF($BG31=1,"○ゲート通過",IF($BK$10&lt;&gt;1,"― この方向は停止中",IF($BA31&gt;$BK$2,"×値動きが荒い",IF($BB31&gt;$BK$3,"×レンジが広い",IF($BC31&gt;$BK$4,"×窓を開けて上昇",IF($Z31&gt;$BK$5,"×前日に急騰",IF($Z31&lt;$BK$6,"×前日に急落",IF($BD31&lt;$BK$7,"×高値から離れすぎ",IF($BE31&gt;$BK$8,"×当日の値幅が大きい","×")))))))))</f>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 t="shared" si="0"/>
        <v>-24.369973190348524</v>
      </c>
      <c r="M32" s="333">
        <f>IF(C32&lt;&gt;"",IFERROR(AVERAGE(出来高!E175:I175),""),"")</f>
        <v>2491540</v>
      </c>
      <c r="N32" s="333">
        <f>IF(C32&lt;&gt;"",IFERROR(AVERAGE(出来高!E175:AC175),""),"")</f>
        <v>1277292</v>
      </c>
      <c r="O32" s="335">
        <f t="shared" si="1"/>
        <v>0.59826452715990919</v>
      </c>
      <c r="P32" s="212" t="str">
        <f t="shared" si="2"/>
        <v>減少↓</v>
      </c>
      <c r="Q32" s="212" t="str">
        <f t="shared" si="3"/>
        <v>中立→</v>
      </c>
      <c r="R32" s="333">
        <f t="shared" si="4"/>
        <v>5191</v>
      </c>
      <c r="S32" s="333">
        <f t="shared" si="5"/>
        <v>5868</v>
      </c>
      <c r="T32" s="325">
        <f>IF(C32="","",IFERROR(IF(W32&lt;=22,-4,IF(W32&lt;=28,-2,IF(W32&lt;=45,2,IF(W32&lt;=55,1,0))))+IF(X32&lt;0,2,0)+IF(AD32="下降トレンド▼",3,IF(AD32="もみ合い→",1,0))+IF(V32="年初来安値圏●",3,IF(V32="安値圏",2,0))+IF(Q32="売り▼",2,0)+IF(P32="急増↑↑",2,IF(P32="増加↑",1,0))+IF(Z32&lt;0,1,0)+IF(L32&lt;=-30,2,IF(L32&lt;=-15,1,0))+IF(AE32="25日戻り売り★",2,IF(AE32="5日戻り売り○",1,0))+N(AL32)+N(AP32)+N(AU32),0))</f>
      </c>
      <c r="U32" s="212" t="str">
        <f t="shared" si="7"/>
        <v>要確認</v>
      </c>
      <c r="V32" s="212" t="str">
        <f t="shared" si="8"/>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 t="shared" si="9"/>
        <v>相場上昇・見送り | もみ合い→ MACD- RSI:32.8 前日比:-0.7% [大陰線▼] [10点]</v>
      </c>
      <c r="Z32" s="338">
        <f t="shared" si="10"/>
        <v>-0.73891625615763545</v>
      </c>
      <c r="AA32" s="212" t="str">
        <f t="shared" si="11"/>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 t="shared" si="12"/>
        <v>もみ合い→</v>
      </c>
      <c r="AE32" s="212" t="str">
        <f t="shared" si="13"/>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 t="shared" si="14"/>
        <v>10</v>
      </c>
      <c r="AH32">
        <f t="shared" si="15"/>
        <v>99968</v>
      </c>
      <c r="AI32" s="373">
        <f t="array" ref="AI32">IF(C32="","",IFERROR((INDEX(終値!$E:$E,MATCH(TEXT(C32,"0"),終値!$A:$A,0))-INDEX(終値!$E:$CZ,MATCH(TEXT(C32,"0"),終値!$A:$A,0),$AN$2))/INDEX(終値!$E:$CZ,MATCH(TEXT(C32,"0"),終値!$A:$A,0),$AN$2)*100,""))</f>
        <v>-16.116562592922985</v>
      </c>
      <c r="AJ32" s="373">
        <f t="array" ref="AJ32">IFERROR((終値!$E$5-INDEX(終値!$E$5:$CZ$5,1,$AN$2))/INDEX(終値!$E$5:$CZ$5,1,$AN$2)*100,"")</f>
        <v>1.0179378228534113</v>
      </c>
      <c r="AK32" s="374">
        <f t="shared" si="16"/>
        <v>-17.134500415776397</v>
      </c>
      <c r="AL32" s="372">
        <f t="shared" si="17"/>
        <v>3</v>
      </c>
      <c r="AO32" s="376" t="str">
        <f t="shared" si="18"/>
        <v>大陰線▼</v>
      </c>
      <c r="AP32" s="377">
        <f t="shared" si="19"/>
        <v>2</v>
      </c>
      <c r="AQ32">
        <f>IF(C32&lt;&gt;"",始値!F175,"")</f>
        <v>5584</v>
      </c>
      <c r="AR32">
        <f>IF(C32&lt;&gt;"",高値!F175,"")</f>
        <v>5704</v>
      </c>
      <c r="AS32">
        <f>IF(C32&lt;&gt;"",安値!F175,"")</f>
        <v>5496</v>
      </c>
      <c r="AT32" t="str">
        <f t="shared" si="20"/>
        <v>通常</v>
      </c>
      <c r="AU32">
        <f t="shared" si="21"/>
        <v>0</v>
      </c>
      <c r="BA32">
        <f>IFERROR((SUM(OFFSET(高値!$E$6,IFERROR(MATCH($C32,銘柄管理!$B$6:$B$305,0),MATCH(TEXT($C32,"0"),銘柄管理!$B$6:$B$305,0))-1,0,1,14))-SUM(OFFSET(安値!$E$6,IFERROR(MATCH($C32,銘柄管理!$B$6:$B$305,0),MATCH(TEXT($C32,"0"),銘柄管理!$B$6:$B$305,0))-1,0,1,14)))/SUM(OFFSET(終値!$E$6,IFERROR(MATCH($C32,銘柄管理!$B$6:$B$305,0),MATCH(TEXT($C32,"0"),銘柄管理!$B$6:$B$305,0))-1,0,1,14))*100,"")</f>
      </c>
      <c r="BB32">
        <f>IFERROR((MAX(OFFSET(高値!$E$6,IFERROR(MATCH($C32,銘柄管理!$B$6:$B$305,0),MATCH(TEXT($C32,"0"),銘柄管理!$B$6:$B$305,0))-1,0,1,25))-MIN(OFFSET(安値!$E$6,IFERROR(MATCH($C32,銘柄管理!$B$6:$B$305,0),MATCH(TEXT($C32,"0"),銘柄管理!$B$6:$B$305,0))-1,0,1,25)))/$E32*100,"")</f>
      </c>
      <c r="BC32">
        <f>IFERROR(($F32-$G32)/$G32*100,"")</f>
      </c>
      <c r="BD32">
        <f>IFERROR(($E32-MAX(OFFSET(高値!$E$6,IFERROR(MATCH($C32,銘柄管理!$B$6:$B$305,0),MATCH(TEXT($C32,"0"),銘柄管理!$B$6:$B$305,0))-1,0,1,25)))/MAX(OFFSET(高値!$E$6,IFERROR(MATCH($C32,銘柄管理!$B$6:$B$305,0),MATCH(TEXT($C32,"0"),銘柄管理!$B$6:$B$305,0))-1,0,1,25))*100,"")</f>
      </c>
      <c r="BE32">
        <f>IFERROR(($H32-$I32)/$F32*100,"")</f>
      </c>
      <c r="BF32">
        <f>IFERROR(-(($BA32-AVERAGE($BA$3:$BA$206))/STDEV($BA$3:$BA$206))-(($BE32-AVERAGE($BE$3:$BE$206))/STDEV($BE$3:$BE$206))-(($BB32-AVERAGE($BB$3:$BB$206))/STDEV($BB$3:$BB$206))-(($Z32-AVERAGE($Z$3:$Z$206))/STDEV($Z$3:$Z$206))-(($BC32-AVERAGE($BC$3:$BC$206))/STDEV($BC$3:$BC$206)),"")</f>
      </c>
      <c r="BG32">
        <f>IF(OR($C32="",$C32="TOPX",$BA32="",$BF32=""),0,IF(AND($BK$10=1,$BA32&lt;=$BK$2,$BB32&lt;=$BK$3,$BC32&lt;=$BK$4,$Z32&lt;=$BK$5,$Z32&gt;=$BK$6,$BD32&gt;=$BK$7,$BE32&lt;=$BK$8),1,0))</f>
      </c>
      <c r="BH32">
        <f>IF($C32="","",IF($BG32=1,"○ゲート通過",IF($BK$10&lt;&gt;1,"― この方向は停止中",IF($BA32&gt;$BK$2,"×値動きが荒い",IF($BB32&gt;$BK$3,"×レンジが広い",IF($BC32&gt;$BK$4,"×窓を開けて上昇",IF($Z32&gt;$BK$5,"×前日に急騰",IF($Z32&lt;$BK$6,"×前日に急落",IF($BD32&lt;$BK$7,"×高値から離れすぎ",IF($BE32&gt;$BK$8,"×当日の値幅が大きい","×")))))))))</f>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 t="shared" si="0"/>
        <v>-24.102564102564102</v>
      </c>
      <c r="M33" s="326">
        <f>IF(C33&lt;&gt;"",IFERROR(AVERAGE(出来高!E195:I195),""),"")</f>
        <v>1656380</v>
      </c>
      <c r="N33" s="326">
        <f>IF(C33&lt;&gt;"",IFERROR(AVERAGE(出来高!E195:AC195),""),"")</f>
        <v>1634152</v>
      </c>
      <c r="O33" s="328">
        <f t="shared" si="1"/>
        <v>0.81967905915309291</v>
      </c>
      <c r="P33" s="325" t="str">
        <f t="shared" si="2"/>
        <v>減少↓</v>
      </c>
      <c r="Q33" s="325" t="str">
        <f t="shared" si="3"/>
        <v>中立→</v>
      </c>
      <c r="R33" s="326">
        <f t="shared" si="4"/>
        <v>8170</v>
      </c>
      <c r="S33" s="326">
        <f t="shared" si="5"/>
        <v>9235</v>
      </c>
      <c r="T33" s="325">
        <f>IF(C33="","",IFERROR(IF(W33&lt;=22,-4,IF(W33&lt;=28,-2,IF(W33&lt;=45,2,IF(W33&lt;=55,1,0))))+IF(X33&lt;0,2,0)+IF(AD33="下降トレンド▼",3,IF(AD33="もみ合い→",1,0))+IF(V33="年初来安値圏●",3,IF(V33="安値圏",2,0))+IF(Q33="売り▼",2,0)+IF(P33="急増↑↑",2,IF(P33="増加↑",1,0))+IF(Z33&lt;0,1,0)+IF(L33&lt;=-30,2,IF(L33&lt;=-15,1,0))+IF(AE33="25日戻り売り★",2,IF(AE33="5日戻り売り○",1,0))+N(AL33)+N(AP33)+N(AU33),0))</f>
      </c>
      <c r="U33" s="325" t="str">
        <f t="shared" si="7"/>
        <v>要確認</v>
      </c>
      <c r="V33" s="325" t="str">
        <f t="shared" si="8"/>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 t="shared" si="9"/>
        <v>相場上昇・見送り | パーフェクト▲ MACD+ RSI:57.5 前日比:-5.2% [安値圏] [8点]</v>
      </c>
      <c r="Z33" s="331">
        <f t="shared" si="10"/>
        <v>-5.2294557097118464</v>
      </c>
      <c r="AA33" s="325" t="str">
        <f t="shared" si="11"/>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 t="shared" si="12"/>
        <v>パーフェクト▲</v>
      </c>
      <c r="AE33" s="325" t="str">
        <f t="shared" si="13"/>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 t="shared" si="14"/>
        <v>8</v>
      </c>
      <c r="AH33">
        <f t="shared" si="15"/>
        <v>79967</v>
      </c>
      <c r="AI33" s="373">
        <f t="array" ref="AI33">IF(C33="","",IFERROR((INDEX(終値!$E:$E,MATCH(TEXT(C33,"0"),終値!$A:$A,0))-INDEX(終値!$E:$CZ,MATCH(TEXT(C33,"0"),終値!$A:$A,0),$AN$2))/INDEX(終値!$E:$CZ,MATCH(TEXT(C33,"0"),終値!$A:$A,0),$AN$2)*100,""))</f>
        <v>-8.6419753086419746</v>
      </c>
      <c r="AJ33" s="373">
        <f t="array" ref="AJ33">IFERROR((終値!$E$5-INDEX(終値!$E$5:$CZ$5,1,$AN$2))/INDEX(終値!$E$5:$CZ$5,1,$AN$2)*100,"")</f>
        <v>1.0179378228534113</v>
      </c>
      <c r="AK33" s="374">
        <f t="shared" si="16"/>
        <v>-9.6599131314953866</v>
      </c>
      <c r="AL33" s="372">
        <f t="shared" si="17"/>
        <v>3</v>
      </c>
      <c r="AO33" s="376" t="str">
        <f t="shared" si="18"/>
        <v>通常</v>
      </c>
      <c r="AP33" s="377">
        <f t="shared" si="19"/>
        <v>0</v>
      </c>
      <c r="AQ33">
        <f>IF(C33&lt;&gt;"",始値!F195,"")</f>
        <v>8980</v>
      </c>
      <c r="AR33">
        <f>IF(C33&lt;&gt;"",高値!F195,"")</f>
        <v>9420</v>
      </c>
      <c r="AS33">
        <f>IF(C33&lt;&gt;"",安値!F195,"")</f>
        <v>8700</v>
      </c>
      <c r="AT33" t="str">
        <f t="shared" si="20"/>
        <v>通常</v>
      </c>
      <c r="AU33">
        <f t="shared" si="21"/>
        <v>0</v>
      </c>
      <c r="BA33">
        <f>IFERROR((SUM(OFFSET(高値!$E$6,IFERROR(MATCH($C33,銘柄管理!$B$6:$B$305,0),MATCH(TEXT($C33,"0"),銘柄管理!$B$6:$B$305,0))-1,0,1,14))-SUM(OFFSET(安値!$E$6,IFERROR(MATCH($C33,銘柄管理!$B$6:$B$305,0),MATCH(TEXT($C33,"0"),銘柄管理!$B$6:$B$305,0))-1,0,1,14)))/SUM(OFFSET(終値!$E$6,IFERROR(MATCH($C33,銘柄管理!$B$6:$B$305,0),MATCH(TEXT($C33,"0"),銘柄管理!$B$6:$B$305,0))-1,0,1,14))*100,"")</f>
      </c>
      <c r="BB33">
        <f>IFERROR((MAX(OFFSET(高値!$E$6,IFERROR(MATCH($C33,銘柄管理!$B$6:$B$305,0),MATCH(TEXT($C33,"0"),銘柄管理!$B$6:$B$305,0))-1,0,1,25))-MIN(OFFSET(安値!$E$6,IFERROR(MATCH($C33,銘柄管理!$B$6:$B$305,0),MATCH(TEXT($C33,"0"),銘柄管理!$B$6:$B$305,0))-1,0,1,25)))/$E33*100,"")</f>
      </c>
      <c r="BC33">
        <f>IFERROR(($F33-$G33)/$G33*100,"")</f>
      </c>
      <c r="BD33">
        <f>IFERROR(($E33-MAX(OFFSET(高値!$E$6,IFERROR(MATCH($C33,銘柄管理!$B$6:$B$305,0),MATCH(TEXT($C33,"0"),銘柄管理!$B$6:$B$305,0))-1,0,1,25)))/MAX(OFFSET(高値!$E$6,IFERROR(MATCH($C33,銘柄管理!$B$6:$B$305,0),MATCH(TEXT($C33,"0"),銘柄管理!$B$6:$B$305,0))-1,0,1,25))*100,"")</f>
      </c>
      <c r="BE33">
        <f>IFERROR(($H33-$I33)/$F33*100,"")</f>
      </c>
      <c r="BF33">
        <f>IFERROR(-(($BA33-AVERAGE($BA$3:$BA$206))/STDEV($BA$3:$BA$206))-(($BE33-AVERAGE($BE$3:$BE$206))/STDEV($BE$3:$BE$206))-(($BB33-AVERAGE($BB$3:$BB$206))/STDEV($BB$3:$BB$206))-(($Z33-AVERAGE($Z$3:$Z$206))/STDEV($Z$3:$Z$206))-(($BC33-AVERAGE($BC$3:$BC$206))/STDEV($BC$3:$BC$206)),"")</f>
      </c>
      <c r="BG33">
        <f>IF(OR($C33="",$C33="TOPX",$BA33="",$BF33=""),0,IF(AND($BK$10=1,$BA33&lt;=$BK$2,$BB33&lt;=$BK$3,$BC33&lt;=$BK$4,$Z33&lt;=$BK$5,$Z33&gt;=$BK$6,$BD33&gt;=$BK$7,$BE33&lt;=$BK$8),1,0))</f>
      </c>
      <c r="BH33">
        <f>IF($C33="","",IF($BG33=1,"○ゲート通過",IF($BK$10&lt;&gt;1,"― この方向は停止中",IF($BA33&gt;$BK$2,"×値動きが荒い",IF($BB33&gt;$BK$3,"×レンジが広い",IF($BC33&gt;$BK$4,"×窓を開けて上昇",IF($Z33&gt;$BK$5,"×前日に急騰",IF($Z33&lt;$BK$6,"×前日に急落",IF($BD33&lt;$BK$7,"×高値から離れすぎ",IF($BE33&gt;$BK$8,"×当日の値幅が大きい","×")))))))))</f>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 t="shared" si="0"/>
        <v>-14.456559971860711</v>
      </c>
      <c r="M34" s="333">
        <f>IF(C34&lt;&gt;"",IFERROR(AVERAGE(出来高!E196:I196),""),"")</f>
        <v>102540</v>
      </c>
      <c r="N34" s="333">
        <f>IF(C34&lt;&gt;"",IFERROR(AVERAGE(出来高!E196:AC196),""),"")</f>
        <v>85104</v>
      </c>
      <c r="O34" s="335">
        <f t="shared" si="1"/>
        <v>1.0386190754827385</v>
      </c>
      <c r="P34" s="212" t="str">
        <f t="shared" si="2"/>
        <v>普通→</v>
      </c>
      <c r="Q34" s="212" t="str">
        <f t="shared" si="3"/>
        <v>中立→</v>
      </c>
      <c r="R34" s="333">
        <f t="shared" si="4"/>
        <v>22374</v>
      </c>
      <c r="S34" s="333">
        <f t="shared" si="5"/>
        <v>25293</v>
      </c>
      <c r="T34" s="325">
        <f>IF(C34="","",IFERROR(IF(W34&lt;=22,-4,IF(W34&lt;=28,-2,IF(W34&lt;=45,2,IF(W34&lt;=55,1,0))))+IF(X34&lt;0,2,0)+IF(AD34="下降トレンド▼",3,IF(AD34="もみ合い→",1,0))+IF(V34="年初来安値圏●",3,IF(V34="安値圏",2,0))+IF(Q34="売り▼",2,0)+IF(P34="急増↑↑",2,IF(P34="増加↑",1,0))+IF(Z34&lt;0,1,0)+IF(L34&lt;=-30,2,IF(L34&lt;=-15,1,0))+IF(AE34="25日戻り売り★",2,IF(AE34="5日戻り売り○",1,0))+N(AL34)+N(AP34)+N(AU34),0))</f>
      </c>
      <c r="U34" s="212" t="str">
        <f t="shared" si="7"/>
        <v>要確認</v>
      </c>
      <c r="V34" s="212" t="str">
        <f t="shared" si="8"/>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 t="shared" si="9"/>
        <v>相場上昇・見送り | パーフェクト▲ MACD- RSI:51.0 前日比:-4.6% [7点]</v>
      </c>
      <c r="Z34" s="338">
        <f t="shared" si="10"/>
        <v>-4.6274509803921564</v>
      </c>
      <c r="AA34" s="212" t="str">
        <f t="shared" si="11"/>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 t="shared" si="12"/>
        <v>パーフェクト▲</v>
      </c>
      <c r="AE34" s="212" t="str">
        <f t="shared" si="13"/>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 t="shared" si="14"/>
        <v>7</v>
      </c>
      <c r="AH34">
        <f t="shared" si="15"/>
        <v>69966</v>
      </c>
      <c r="AI34" s="373">
        <f t="array" ref="AI34">IF(C34="","",IFERROR((INDEX(終値!$E:$E,MATCH(TEXT(C34,"0"),終値!$A:$A,0))-INDEX(終値!$E:$CZ,MATCH(TEXT(C34,"0"),終値!$A:$A,0),$AN$2))/INDEX(終値!$E:$CZ,MATCH(TEXT(C34,"0"),終値!$A:$A,0),$AN$2)*100,""))</f>
        <v>-11.915972473741398</v>
      </c>
      <c r="AJ34" s="373">
        <f t="array" ref="AJ34">IFERROR((終値!$E$5-INDEX(終値!$E$5:$CZ$5,1,$AN$2))/INDEX(終値!$E$5:$CZ$5,1,$AN$2)*100,"")</f>
        <v>1.0179378228534113</v>
      </c>
      <c r="AK34" s="374">
        <f t="shared" si="16"/>
        <v>-12.93391029659481</v>
      </c>
      <c r="AL34" s="372">
        <f t="shared" si="17"/>
        <v>3</v>
      </c>
      <c r="AO34" s="376" t="str">
        <f t="shared" si="18"/>
        <v>通常</v>
      </c>
      <c r="AP34" s="377">
        <f t="shared" si="19"/>
        <v>0</v>
      </c>
      <c r="AQ34">
        <f>IF(C34&lt;&gt;"",始値!F196,"")</f>
        <v>24790</v>
      </c>
      <c r="AR34">
        <f>IF(C34&lt;&gt;"",高値!F196,"")</f>
        <v>25750</v>
      </c>
      <c r="AS34">
        <f>IF(C34&lt;&gt;"",安値!F196,"")</f>
        <v>24710</v>
      </c>
      <c r="AT34" t="str">
        <f t="shared" si="20"/>
        <v>通常</v>
      </c>
      <c r="AU34">
        <f t="shared" si="21"/>
        <v>0</v>
      </c>
      <c r="BA34">
        <f>IFERROR((SUM(OFFSET(高値!$E$6,IFERROR(MATCH($C34,銘柄管理!$B$6:$B$305,0),MATCH(TEXT($C34,"0"),銘柄管理!$B$6:$B$305,0))-1,0,1,14))-SUM(OFFSET(安値!$E$6,IFERROR(MATCH($C34,銘柄管理!$B$6:$B$305,0),MATCH(TEXT($C34,"0"),銘柄管理!$B$6:$B$305,0))-1,0,1,14)))/SUM(OFFSET(終値!$E$6,IFERROR(MATCH($C34,銘柄管理!$B$6:$B$305,0),MATCH(TEXT($C34,"0"),銘柄管理!$B$6:$B$305,0))-1,0,1,14))*100,"")</f>
      </c>
      <c r="BB34">
        <f>IFERROR((MAX(OFFSET(高値!$E$6,IFERROR(MATCH($C34,銘柄管理!$B$6:$B$305,0),MATCH(TEXT($C34,"0"),銘柄管理!$B$6:$B$305,0))-1,0,1,25))-MIN(OFFSET(安値!$E$6,IFERROR(MATCH($C34,銘柄管理!$B$6:$B$305,0),MATCH(TEXT($C34,"0"),銘柄管理!$B$6:$B$305,0))-1,0,1,25)))/$E34*100,"")</f>
      </c>
      <c r="BC34">
        <f>IFERROR(($F34-$G34)/$G34*100,"")</f>
      </c>
      <c r="BD34">
        <f>IFERROR(($E34-MAX(OFFSET(高値!$E$6,IFERROR(MATCH($C34,銘柄管理!$B$6:$B$305,0),MATCH(TEXT($C34,"0"),銘柄管理!$B$6:$B$305,0))-1,0,1,25)))/MAX(OFFSET(高値!$E$6,IFERROR(MATCH($C34,銘柄管理!$B$6:$B$305,0),MATCH(TEXT($C34,"0"),銘柄管理!$B$6:$B$305,0))-1,0,1,25))*100,"")</f>
      </c>
      <c r="BE34">
        <f>IFERROR(($H34-$I34)/$F34*100,"")</f>
      </c>
      <c r="BF34">
        <f>IFERROR(-(($BA34-AVERAGE($BA$3:$BA$206))/STDEV($BA$3:$BA$206))-(($BE34-AVERAGE($BE$3:$BE$206))/STDEV($BE$3:$BE$206))-(($BB34-AVERAGE($BB$3:$BB$206))/STDEV($BB$3:$BB$206))-(($Z34-AVERAGE($Z$3:$Z$206))/STDEV($Z$3:$Z$206))-(($BC34-AVERAGE($BC$3:$BC$206))/STDEV($BC$3:$BC$206)),"")</f>
      </c>
      <c r="BG34">
        <f>IF(OR($C34="",$C34="TOPX",$BA34="",$BF34=""),0,IF(AND($BK$10=1,$BA34&lt;=$BK$2,$BB34&lt;=$BK$3,$BC34&lt;=$BK$4,$Z34&lt;=$BK$5,$Z34&gt;=$BK$6,$BD34&gt;=$BK$7,$BE34&lt;=$BK$8),1,0))</f>
      </c>
      <c r="BH34">
        <f>IF($C34="","",IF($BG34=1,"○ゲート通過",IF($BK$10&lt;&gt;1,"― この方向は停止中",IF($BA34&gt;$BK$2,"×値動きが荒い",IF($BB34&gt;$BK$3,"×レンジが広い",IF($BC34&gt;$BK$4,"×窓を開けて上昇",IF($Z34&gt;$BK$5,"×前日に急騰",IF($Z34&lt;$BK$6,"×前日に急落",IF($BD34&lt;$BK$7,"×高値から離れすぎ",IF($BE34&gt;$BK$8,"×当日の値幅が大きい","×")))))))))</f>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 t="shared" si="0"/>
        <v>-31.909918779227169</v>
      </c>
      <c r="M35" s="326">
        <f>IF(C35&lt;&gt;"",IFERROR(AVERAGE(出来高!E198:I198),""),"")</f>
        <v>5880800</v>
      </c>
      <c r="N35" s="326">
        <f>IF(C35&lt;&gt;"",IFERROR(AVERAGE(出来高!E198:AC198),""),"")</f>
        <v>4666372</v>
      </c>
      <c r="O35" s="328">
        <f t="shared" si="1"/>
        <v>0.61265474085158478</v>
      </c>
      <c r="P35" s="325" t="str">
        <f t="shared" si="2"/>
        <v>減少↓</v>
      </c>
      <c r="Q35" s="325" t="str">
        <f t="shared" si="3"/>
        <v>中立→</v>
      </c>
      <c r="R35" s="326">
        <f t="shared" si="4"/>
        <v>50904</v>
      </c>
      <c r="S35" s="326">
        <f t="shared" si="5"/>
        <v>57543</v>
      </c>
      <c r="T35" s="325">
        <f>IF(C35="","",IFERROR(IF(W35&lt;=22,-4,IF(W35&lt;=28,-2,IF(W35&lt;=45,2,IF(W35&lt;=55,1,0))))+IF(X35&lt;0,2,0)+IF(AD35="下降トレンド▼",3,IF(AD35="もみ合い→",1,0))+IF(V35="年初来安値圏●",3,IF(V35="安値圏",2,0))+IF(Q35="売り▼",2,0)+IF(P35="急増↑↑",2,IF(P35="増加↑",1,0))+IF(Z35&lt;0,1,0)+IF(L35&lt;=-30,2,IF(L35&lt;=-15,1,0))+IF(AE35="25日戻り売り★",2,IF(AE35="5日戻り売り○",1,0))+N(AL35)+N(AP35)+N(AU35),0))</f>
      </c>
      <c r="U35" s="325" t="str">
        <f t="shared" si="7"/>
        <v>要確認</v>
      </c>
      <c r="V35" s="325" t="str">
        <f t="shared" si="8"/>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 t="shared" si="9"/>
        <v>相場上昇・見送り | 下降トレンド▼ MACD- RSI:28.8 [売られ過ぎ] 前日比:-5.5% [安値圏] [13点]</v>
      </c>
      <c r="Z35" s="331">
        <f t="shared" si="10"/>
        <v>-5.499573014517507</v>
      </c>
      <c r="AA35" s="325" t="str">
        <f t="shared" si="11"/>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 t="shared" si="12"/>
        <v>下降トレンド▼</v>
      </c>
      <c r="AE35" s="325" t="str">
        <f t="shared" si="13"/>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 t="shared" si="14"/>
        <v>13</v>
      </c>
      <c r="AH35">
        <f t="shared" si="15"/>
        <v>129965</v>
      </c>
      <c r="AI35" s="373">
        <f t="array" ref="AI35">IF(C35="","",IFERROR((INDEX(終値!$E:$E,MATCH(TEXT(C35,"0"),終値!$A:$A,0))-INDEX(終値!$E:$CZ,MATCH(TEXT(C35,"0"),終値!$A:$A,0),$AN$2))/INDEX(終値!$E:$CZ,MATCH(TEXT(C35,"0"),終値!$A:$A,0),$AN$2)*100,""))</f>
        <v>-29.784263959390859</v>
      </c>
      <c r="AJ35" s="373">
        <f t="array" ref="AJ35">IFERROR((終値!$E$5-INDEX(終値!$E$5:$CZ$5,1,$AN$2))/INDEX(終値!$E$5:$CZ$5,1,$AN$2)*100,"")</f>
        <v>1.0179378228534113</v>
      </c>
      <c r="AK35" s="374">
        <f t="shared" si="16"/>
        <v>-30.802201782244271</v>
      </c>
      <c r="AL35" s="372">
        <f t="shared" si="17"/>
        <v>3</v>
      </c>
      <c r="AO35" s="376" t="str">
        <f t="shared" si="18"/>
        <v>通常</v>
      </c>
      <c r="AP35" s="377">
        <f t="shared" si="19"/>
        <v>0</v>
      </c>
      <c r="AQ35">
        <f>IF(C35&lt;&gt;"",始値!F198,"")</f>
        <v>59000</v>
      </c>
      <c r="AR35">
        <f>IF(C35&lt;&gt;"",高値!F198,"")</f>
        <v>59700</v>
      </c>
      <c r="AS35">
        <f>IF(C35&lt;&gt;"",安値!F198,"")</f>
        <v>58300</v>
      </c>
      <c r="AT35" t="str">
        <f t="shared" si="20"/>
        <v>通常</v>
      </c>
      <c r="AU35">
        <f t="shared" si="21"/>
        <v>0</v>
      </c>
      <c r="BA35">
        <f>IFERROR((SUM(OFFSET(高値!$E$6,IFERROR(MATCH($C35,銘柄管理!$B$6:$B$305,0),MATCH(TEXT($C35,"0"),銘柄管理!$B$6:$B$305,0))-1,0,1,14))-SUM(OFFSET(安値!$E$6,IFERROR(MATCH($C35,銘柄管理!$B$6:$B$305,0),MATCH(TEXT($C35,"0"),銘柄管理!$B$6:$B$305,0))-1,0,1,14)))/SUM(OFFSET(終値!$E$6,IFERROR(MATCH($C35,銘柄管理!$B$6:$B$305,0),MATCH(TEXT($C35,"0"),銘柄管理!$B$6:$B$305,0))-1,0,1,14))*100,"")</f>
      </c>
      <c r="BB35">
        <f>IFERROR((MAX(OFFSET(高値!$E$6,IFERROR(MATCH($C35,銘柄管理!$B$6:$B$305,0),MATCH(TEXT($C35,"0"),銘柄管理!$B$6:$B$305,0))-1,0,1,25))-MIN(OFFSET(安値!$E$6,IFERROR(MATCH($C35,銘柄管理!$B$6:$B$305,0),MATCH(TEXT($C35,"0"),銘柄管理!$B$6:$B$305,0))-1,0,1,25)))/$E35*100,"")</f>
      </c>
      <c r="BC35">
        <f>IFERROR(($F35-$G35)/$G35*100,"")</f>
      </c>
      <c r="BD35">
        <f>IFERROR(($E35-MAX(OFFSET(高値!$E$6,IFERROR(MATCH($C35,銘柄管理!$B$6:$B$305,0),MATCH(TEXT($C35,"0"),銘柄管理!$B$6:$B$305,0))-1,0,1,25)))/MAX(OFFSET(高値!$E$6,IFERROR(MATCH($C35,銘柄管理!$B$6:$B$305,0),MATCH(TEXT($C35,"0"),銘柄管理!$B$6:$B$305,0))-1,0,1,25))*100,"")</f>
      </c>
      <c r="BE35">
        <f>IFERROR(($H35-$I35)/$F35*100,"")</f>
      </c>
      <c r="BF35">
        <f>IFERROR(-(($BA35-AVERAGE($BA$3:$BA$206))/STDEV($BA$3:$BA$206))-(($BE35-AVERAGE($BE$3:$BE$206))/STDEV($BE$3:$BE$206))-(($BB35-AVERAGE($BB$3:$BB$206))/STDEV($BB$3:$BB$206))-(($Z35-AVERAGE($Z$3:$Z$206))/STDEV($Z$3:$Z$206))-(($BC35-AVERAGE($BC$3:$BC$206))/STDEV($BC$3:$BC$206)),"")</f>
      </c>
      <c r="BG35">
        <f>IF(OR($C35="",$C35="TOPX",$BA35="",$BF35=""),0,IF(AND($BK$10=1,$BA35&lt;=$BK$2,$BB35&lt;=$BK$3,$BC35&lt;=$BK$4,$Z35&lt;=$BK$5,$Z35&gt;=$BK$6,$BD35&gt;=$BK$7,$BE35&lt;=$BK$8),1,0))</f>
      </c>
      <c r="BH35">
        <f>IF($C35="","",IF($BG35=1,"○ゲート通過",IF($BK$10&lt;&gt;1,"― この方向は停止中",IF($BA35&gt;$BK$2,"×値動きが荒い",IF($BB35&gt;$BK$3,"×レンジが広い",IF($BC35&gt;$BK$4,"×窓を開けて上昇",IF($Z35&gt;$BK$5,"×前日に急騰",IF($Z35&lt;$BK$6,"×前日に急落",IF($BD35&lt;$BK$7,"×高値から離れすぎ",IF($BE35&gt;$BK$8,"×当日の値幅が大きい","×")))))))))</f>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 t="shared" si="0"/>
        <v>-1.9762568819756281</v>
      </c>
      <c r="M36" s="333">
        <f>IF(C36&lt;&gt;"",IFERROR(AVERAGE(出来高!E5:I5),""),"")</f>
        <v>312958.2</v>
      </c>
      <c r="N36" s="333">
        <f>IF(C36&lt;&gt;"",IFERROR(AVERAGE(出来高!E5:AC5),""),"")</f>
        <v>276185.03999999998</v>
      </c>
      <c r="O36" s="335">
        <f t="shared" si="1"/>
        <v>0.95773173542025736</v>
      </c>
      <c r="P36" s="212" t="str">
        <f t="shared" si="2"/>
        <v>減少↓</v>
      </c>
      <c r="Q36" s="212" t="str">
        <f t="shared" si="3"/>
        <v>様子見▲</v>
      </c>
      <c r="R36" s="333">
        <f t="shared" si="4"/>
        <v>3731</v>
      </c>
      <c r="S36" s="333">
        <f t="shared" si="5"/>
        <v>4218</v>
      </c>
      <c r="T36" s="325">
        <f>IF(C36="","",IFERROR(IF(W36&lt;=22,-4,IF(W36&lt;=28,-2,IF(W36&lt;=45,2,IF(W36&lt;=55,1,0))))+IF(X36&lt;0,2,0)+IF(AD36="下降トレンド▼",3,IF(AD36="もみ合い→",1,0))+IF(V36="年初来安値圏●",3,IF(V36="安値圏",2,0))+IF(Q36="売り▼",2,0)+IF(P36="急増↑↑",2,IF(P36="増加↑",1,0))+IF(Z36&lt;0,1,0)+IF(L36&lt;=-30,2,IF(L36&lt;=-15,1,0))+IF(AE36="25日戻り売り★",2,IF(AE36="5日戻り売り○",1,0))+N(AL36)+N(AP36)+N(AU36),0))</f>
      </c>
      <c r="U36" s="212" t="str">
        <f t="shared" si="7"/>
        <v>要確認</v>
      </c>
      <c r="V36" s="212" t="str">
        <f t="shared" si="8"/>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 t="shared" si="9"/>
        <v>相場上昇・見送り |   MACD- RSI:61.6 前日比:+0.2% [3点]</v>
      </c>
      <c r="Z36" s="338">
        <f t="shared" si="10"/>
        <v>0.23923858859118216</v>
      </c>
      <c r="AA36" s="212" t="str">
        <f t="shared" si="11"/>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 t="shared" si="12"/>
        <v/>
      </c>
      <c r="AE36" s="212"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 t="shared" si="14"/>
        <v>0</v>
      </c>
      <c r="AH36">
        <f t="shared" si="15"/>
        <v>0</v>
      </c>
      <c r="AI36" s="373">
        <f t="array" ref="AI36">IF(C36="","",IFERROR((INDEX(終値!$E:$E,MATCH(TEXT(C36,"0"),終値!$A:$A,0))-INDEX(終値!$E:$CZ,MATCH(TEXT(C36,"0"),終値!$A:$A,0),$AN$2))/INDEX(終値!$E:$CZ,MATCH(TEXT(C36,"0"),終値!$A:$A,0),$AN$2)*100,""))</f>
        <v>1.0179378228534113</v>
      </c>
      <c r="AJ36" s="373">
        <f t="array" ref="AJ36">IFERROR((終値!$E$5-INDEX(終値!$E$5:$CZ$5,1,$AN$2))/INDEX(終値!$E$5:$CZ$5,1,$AN$2)*100,"")</f>
        <v>1.0179378228534113</v>
      </c>
      <c r="AK36" s="374">
        <f t="shared" si="16"/>
        <v>0</v>
      </c>
      <c r="AL36" s="372">
        <f t="shared" si="17"/>
        <v>-1</v>
      </c>
      <c r="AO36" s="376" t="str">
        <f t="shared" si="18"/>
        <v>通常</v>
      </c>
      <c r="AP36" s="377">
        <f t="shared" si="19"/>
        <v>0</v>
      </c>
      <c r="AQ36">
        <f>IF(C36&lt;&gt;"",始値!F5,"")</f>
        <v>3985.63</v>
      </c>
      <c r="AR36">
        <f>IF(C36&lt;&gt;"",高値!F5,"")</f>
        <v>4047.77</v>
      </c>
      <c r="AS36">
        <f>IF(C36&lt;&gt;"",安値!F5,"")</f>
        <v>3980.38</v>
      </c>
      <c r="AT36" t="str">
        <f t="shared" si="20"/>
        <v>通常</v>
      </c>
      <c r="AU36">
        <f t="shared" si="21"/>
        <v>0</v>
      </c>
      <c r="BA36">
        <f>IFERROR((SUM(OFFSET(高値!$E$6,IFERROR(MATCH($C36,銘柄管理!$B$6:$B$305,0),MATCH(TEXT($C36,"0"),銘柄管理!$B$6:$B$305,0))-1,0,1,14))-SUM(OFFSET(安値!$E$6,IFERROR(MATCH($C36,銘柄管理!$B$6:$B$305,0),MATCH(TEXT($C36,"0"),銘柄管理!$B$6:$B$305,0))-1,0,1,14)))/SUM(OFFSET(終値!$E$6,IFERROR(MATCH($C36,銘柄管理!$B$6:$B$305,0),MATCH(TEXT($C36,"0"),銘柄管理!$B$6:$B$305,0))-1,0,1,14))*100,"")</f>
      </c>
      <c r="BB36">
        <f>IFERROR((MAX(OFFSET(高値!$E$6,IFERROR(MATCH($C36,銘柄管理!$B$6:$B$305,0),MATCH(TEXT($C36,"0"),銘柄管理!$B$6:$B$305,0))-1,0,1,25))-MIN(OFFSET(安値!$E$6,IFERROR(MATCH($C36,銘柄管理!$B$6:$B$305,0),MATCH(TEXT($C36,"0"),銘柄管理!$B$6:$B$305,0))-1,0,1,25)))/$E36*100,"")</f>
      </c>
      <c r="BC36">
        <f>IFERROR(($F36-$G36)/$G36*100,"")</f>
      </c>
      <c r="BD36">
        <f>IFERROR(($E36-MAX(OFFSET(高値!$E$6,IFERROR(MATCH($C36,銘柄管理!$B$6:$B$305,0),MATCH(TEXT($C36,"0"),銘柄管理!$B$6:$B$305,0))-1,0,1,25)))/MAX(OFFSET(高値!$E$6,IFERROR(MATCH($C36,銘柄管理!$B$6:$B$305,0),MATCH(TEXT($C36,"0"),銘柄管理!$B$6:$B$305,0))-1,0,1,25))*100,"")</f>
      </c>
      <c r="BE36">
        <f>IFERROR(($H36-$I36)/$F36*100,"")</f>
      </c>
      <c r="BF36">
        <f>IFERROR(-(($BA36-AVERAGE($BA$3:$BA$206))/STDEV($BA$3:$BA$206))-(($BE36-AVERAGE($BE$3:$BE$206))/STDEV($BE$3:$BE$206))-(($BB36-AVERAGE($BB$3:$BB$206))/STDEV($BB$3:$BB$206))-(($Z36-AVERAGE($Z$3:$Z$206))/STDEV($Z$3:$Z$206))-(($BC36-AVERAGE($BC$3:$BC$206))/STDEV($BC$3:$BC$206)),"")</f>
      </c>
      <c r="BG36">
        <f>IF(OR($C36="",$C36="TOPX",$BA36="",$BF36=""),0,IF(AND($BK$10=1,$BA36&lt;=$BK$2,$BB36&lt;=$BK$3,$BC36&lt;=$BK$4,$Z36&lt;=$BK$5,$Z36&gt;=$BK$6,$BD36&gt;=$BK$7,$BE36&lt;=$BK$8),1,0))</f>
      </c>
      <c r="BH36">
        <f>IF($C36="","",IF($BG36=1,"○ゲート通過",IF($BK$10&lt;&gt;1,"― この方向は停止中",IF($BA36&gt;$BK$2,"×値動きが荒い",IF($BB36&gt;$BK$3,"×レンジが広い",IF($BC36&gt;$BK$4,"×窓を開けて上昇",IF($Z36&gt;$BK$5,"×前日に急騰",IF($Z36&lt;$BK$6,"×前日に急落",IF($BD36&lt;$BK$7,"×高値から離れすぎ",IF($BE36&gt;$BK$8,"×当日の値幅が大きい","×")))))))))</f>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 t="shared" si="0"/>
        <v>-26.881175576387129</v>
      </c>
      <c r="M37" s="326">
        <f>IF(C37&lt;&gt;"",IFERROR(AVERAGE(出来高!E17:I17),""),"")</f>
        <v>2227420</v>
      </c>
      <c r="N37" s="326">
        <f>IF(C37&lt;&gt;"",IFERROR(AVERAGE(出来高!E17:AC17),""),"")</f>
        <v>1910688</v>
      </c>
      <c r="O37" s="328">
        <f t="shared" si="1"/>
        <v>0.74301209471047225</v>
      </c>
      <c r="P37" s="325" t="str">
        <f t="shared" si="2"/>
        <v>減少↓</v>
      </c>
      <c r="Q37" s="325" t="str">
        <f t="shared" si="3"/>
        <v>中立→</v>
      </c>
      <c r="R37" s="326">
        <f t="shared" si="4"/>
        <v>5310</v>
      </c>
      <c r="S37" s="326">
        <f t="shared" si="5"/>
        <v>6003</v>
      </c>
      <c r="T37" s="325">
        <f>IF(C37="","",IFERROR(IF(W37&lt;=22,-4,IF(W37&lt;=28,-2,IF(W37&lt;=45,2,IF(W37&lt;=55,1,0))))+IF(X37&lt;0,2,0)+IF(AD37="下降トレンド▼",3,IF(AD37="もみ合い→",1,0))+IF(V37="年初来安値圏●",3,IF(V37="安値圏",2,0))+IF(Q37="売り▼",2,0)+IF(P37="急増↑↑",2,IF(P37="増加↑",1,0))+IF(Z37&lt;0,1,0)+IF(L37&lt;=-30,2,IF(L37&lt;=-15,1,0))+IF(AE37="25日戻り売り★",2,IF(AE37="5日戻り売り○",1,0))+N(AL37)+N(AP37)+N(AU37),0))</f>
      </c>
      <c r="U37" s="325" t="str">
        <f t="shared" si="7"/>
        <v>要確認</v>
      </c>
      <c r="V37" s="325" t="str">
        <f t="shared" si="8"/>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 t="shared" si="9"/>
        <v>相場上昇・見送り | もみ合い→ MACD- RSI:35.6 前日比:-2.6% [安値圏] [10点]</v>
      </c>
      <c r="Z37" s="331">
        <f t="shared" si="10"/>
        <v>-2.6315789473684208</v>
      </c>
      <c r="AA37" s="325" t="str">
        <f t="shared" si="11"/>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 t="shared" si="12"/>
        <v>もみ合い→</v>
      </c>
      <c r="AE37" s="325" t="str">
        <f t="shared" si="13"/>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 t="shared" si="14"/>
        <v>10</v>
      </c>
      <c r="AH37">
        <f t="shared" si="15"/>
        <v>99963</v>
      </c>
      <c r="AI37" s="373">
        <f t="array" ref="AI37">IF(C37="","",IFERROR((INDEX(終値!$E:$E,MATCH(TEXT(C37,"0"),終値!$A:$A,0))-INDEX(終値!$E:$CZ,MATCH(TEXT(C37,"0"),終値!$A:$A,0),$AN$2))/INDEX(終値!$E:$CZ,MATCH(TEXT(C37,"0"),終値!$A:$A,0),$AN$2)*100,""))</f>
        <v>-24.64751958224543</v>
      </c>
      <c r="AJ37" s="373">
        <f t="array" ref="AJ37">IFERROR((終値!$E$5-INDEX(終値!$E$5:$CZ$5,1,$AN$2))/INDEX(終値!$E$5:$CZ$5,1,$AN$2)*100,"")</f>
        <v>1.0179378228534113</v>
      </c>
      <c r="AK37" s="374">
        <f t="shared" si="16"/>
        <v>-25.665457405098842</v>
      </c>
      <c r="AL37" s="372">
        <f t="shared" si="17"/>
        <v>3</v>
      </c>
      <c r="AO37" s="376" t="str">
        <f t="shared" si="18"/>
        <v>通常</v>
      </c>
      <c r="AP37" s="377">
        <f t="shared" si="19"/>
        <v>0</v>
      </c>
      <c r="AQ37">
        <f>IF(C37&lt;&gt;"",始値!F17,"")</f>
        <v>5796</v>
      </c>
      <c r="AR37">
        <f>IF(C37&lt;&gt;"",高値!F17,"")</f>
        <v>5963</v>
      </c>
      <c r="AS37">
        <f>IF(C37&lt;&gt;"",安値!F17,"")</f>
        <v>5702</v>
      </c>
      <c r="AT37" t="str">
        <f t="shared" si="20"/>
        <v>通常</v>
      </c>
      <c r="AU37">
        <f t="shared" si="21"/>
        <v>0</v>
      </c>
      <c r="BA37">
        <f>IFERROR((SUM(OFFSET(高値!$E$6,IFERROR(MATCH($C37,銘柄管理!$B$6:$B$305,0),MATCH(TEXT($C37,"0"),銘柄管理!$B$6:$B$305,0))-1,0,1,14))-SUM(OFFSET(安値!$E$6,IFERROR(MATCH($C37,銘柄管理!$B$6:$B$305,0),MATCH(TEXT($C37,"0"),銘柄管理!$B$6:$B$305,0))-1,0,1,14)))/SUM(OFFSET(終値!$E$6,IFERROR(MATCH($C37,銘柄管理!$B$6:$B$305,0),MATCH(TEXT($C37,"0"),銘柄管理!$B$6:$B$305,0))-1,0,1,14))*100,"")</f>
      </c>
      <c r="BB37">
        <f>IFERROR((MAX(OFFSET(高値!$E$6,IFERROR(MATCH($C37,銘柄管理!$B$6:$B$305,0),MATCH(TEXT($C37,"0"),銘柄管理!$B$6:$B$305,0))-1,0,1,25))-MIN(OFFSET(安値!$E$6,IFERROR(MATCH($C37,銘柄管理!$B$6:$B$305,0),MATCH(TEXT($C37,"0"),銘柄管理!$B$6:$B$305,0))-1,0,1,25)))/$E37*100,"")</f>
      </c>
      <c r="BC37">
        <f>IFERROR(($F37-$G37)/$G37*100,"")</f>
      </c>
      <c r="BD37">
        <f>IFERROR(($E37-MAX(OFFSET(高値!$E$6,IFERROR(MATCH($C37,銘柄管理!$B$6:$B$305,0),MATCH(TEXT($C37,"0"),銘柄管理!$B$6:$B$305,0))-1,0,1,25)))/MAX(OFFSET(高値!$E$6,IFERROR(MATCH($C37,銘柄管理!$B$6:$B$305,0),MATCH(TEXT($C37,"0"),銘柄管理!$B$6:$B$305,0))-1,0,1,25))*100,"")</f>
      </c>
      <c r="BE37">
        <f>IFERROR(($H37-$I37)/$F37*100,"")</f>
      </c>
      <c r="BF37">
        <f>IFERROR(-(($BA37-AVERAGE($BA$3:$BA$206))/STDEV($BA$3:$BA$206))-(($BE37-AVERAGE($BE$3:$BE$206))/STDEV($BE$3:$BE$206))-(($BB37-AVERAGE($BB$3:$BB$206))/STDEV($BB$3:$BB$206))-(($Z37-AVERAGE($Z$3:$Z$206))/STDEV($Z$3:$Z$206))-(($BC37-AVERAGE($BC$3:$BC$206))/STDEV($BC$3:$BC$206)),"")</f>
      </c>
      <c r="BG37">
        <f>IF(OR($C37="",$C37="TOPX",$BA37="",$BF37=""),0,IF(AND($BK$10=1,$BA37&lt;=$BK$2,$BB37&lt;=$BK$3,$BC37&lt;=$BK$4,$Z37&lt;=$BK$5,$Z37&gt;=$BK$6,$BD37&gt;=$BK$7,$BE37&lt;=$BK$8),1,0))</f>
      </c>
      <c r="BH37">
        <f>IF($C37="","",IF($BG37=1,"○ゲート通過",IF($BK$10&lt;&gt;1,"― この方向は停止中",IF($BA37&gt;$BK$2,"×値動きが荒い",IF($BB37&gt;$BK$3,"×レンジが広い",IF($BC37&gt;$BK$4,"×窓を開けて上昇",IF($Z37&gt;$BK$5,"×前日に急騰",IF($Z37&lt;$BK$6,"×前日に急落",IF($BD37&lt;$BK$7,"×高値から離れすぎ",IF($BE37&gt;$BK$8,"×当日の値幅が大きい","×")))))))))</f>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 t="shared" si="0"/>
        <v>-10.983515465826997</v>
      </c>
      <c r="M38" s="333">
        <f>IF(C38&lt;&gt;"",IFERROR(AVERAGE(出来高!E47:I47),""),"")</f>
        <v>1505340</v>
      </c>
      <c r="N38" s="333">
        <f>IF(C38&lt;&gt;"",IFERROR(AVERAGE(出来高!E47:AC47),""),"")</f>
        <v>1400124</v>
      </c>
      <c r="O38" s="335">
        <f t="shared" si="1"/>
        <v>0.74149361606015918</v>
      </c>
      <c r="P38" s="212" t="str">
        <f t="shared" si="2"/>
        <v>減少↓</v>
      </c>
      <c r="Q38" s="212" t="str">
        <f t="shared" si="3"/>
        <v>様子見▲</v>
      </c>
      <c r="R38" s="333">
        <f t="shared" si="4"/>
        <v>442</v>
      </c>
      <c r="S38" s="333">
        <f t="shared" si="5"/>
        <v>500</v>
      </c>
      <c r="T38" s="325">
        <f>IF(C38="","",IFERROR(IF(W38&lt;=22,-4,IF(W38&lt;=28,-2,IF(W38&lt;=45,2,IF(W38&lt;=55,1,0))))+IF(X38&lt;0,2,0)+IF(AD38="下降トレンド▼",3,IF(AD38="もみ合い→",1,0))+IF(V38="年初来安値圏●",3,IF(V38="安値圏",2,0))+IF(Q38="売り▼",2,0)+IF(P38="急増↑↑",2,IF(P38="増加↑",1,0))+IF(Z38&lt;0,1,0)+IF(L38&lt;=-30,2,IF(L38&lt;=-15,1,0))+IF(AE38="25日戻り売り★",2,IF(AE38="5日戻り売り○",1,0))+N(AL38)+N(AP38)+N(AU38),0))</f>
      </c>
      <c r="U38" s="212" t="str">
        <f t="shared" si="7"/>
        <v>要確認</v>
      </c>
      <c r="V38" s="212" t="str">
        <f t="shared" si="8"/>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 t="shared" si="9"/>
        <v>○逆張り売り | もみ合い→ 25日戻り売り★ MACD- RSI:39.5 前日比:+1.3% [3点]</v>
      </c>
      <c r="Z38" s="338">
        <f t="shared" si="10"/>
        <v>1.2855637513171809</v>
      </c>
      <c r="AA38" s="212" t="str">
        <f t="shared" si="11"/>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 t="shared" si="12"/>
        <v>もみ合い→</v>
      </c>
      <c r="AE38" s="212" t="str">
        <f t="shared" si="13"/>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 t="shared" si="14"/>
        <v>0</v>
      </c>
      <c r="AH38">
        <f t="shared" si="15"/>
        <v>0</v>
      </c>
      <c r="AI38" s="373">
        <f t="array" ref="AI38">IF(C38="","",IFERROR((INDEX(終値!$E:$E,MATCH(TEXT(C38,"0"),終値!$A:$A,0))-INDEX(終値!$E:$CZ,MATCH(TEXT(C38,"0"),終値!$A:$A,0),$AN$2))/INDEX(終値!$E:$CZ,MATCH(TEXT(C38,"0"),終値!$A:$A,0),$AN$2)*100,""))</f>
        <v>5.4641211323239052</v>
      </c>
      <c r="AJ38" s="373">
        <f t="array" ref="AJ38">IFERROR((終値!$E$5-INDEX(終値!$E$5:$CZ$5,1,$AN$2))/INDEX(終値!$E$5:$CZ$5,1,$AN$2)*100,"")</f>
        <v>1.0179378228534113</v>
      </c>
      <c r="AK38" s="374">
        <f t="shared" si="16"/>
        <v>4.4461833094704941</v>
      </c>
      <c r="AL38" s="372">
        <f t="shared" si="17"/>
        <v>-2</v>
      </c>
      <c r="AO38" s="376" t="str">
        <f t="shared" si="18"/>
        <v>通常</v>
      </c>
      <c r="AP38" s="377">
        <f t="shared" si="19"/>
        <v>0</v>
      </c>
      <c r="AQ38">
        <f>IF(C38&lt;&gt;"",始値!F47,"")</f>
        <v>476</v>
      </c>
      <c r="AR38">
        <f>IF(C38&lt;&gt;"",高値!F47,"")</f>
        <v>480</v>
      </c>
      <c r="AS38">
        <f>IF(C38&lt;&gt;"",安値!F47,"")</f>
        <v>473</v>
      </c>
      <c r="AT38" t="str">
        <f t="shared" si="20"/>
        <v>通常</v>
      </c>
      <c r="AU38">
        <f t="shared" si="21"/>
        <v>0</v>
      </c>
      <c r="BA38">
        <f>IFERROR((SUM(OFFSET(高値!$E$6,IFERROR(MATCH($C38,銘柄管理!$B$6:$B$305,0),MATCH(TEXT($C38,"0"),銘柄管理!$B$6:$B$305,0))-1,0,1,14))-SUM(OFFSET(安値!$E$6,IFERROR(MATCH($C38,銘柄管理!$B$6:$B$305,0),MATCH(TEXT($C38,"0"),銘柄管理!$B$6:$B$305,0))-1,0,1,14)))/SUM(OFFSET(終値!$E$6,IFERROR(MATCH($C38,銘柄管理!$B$6:$B$305,0),MATCH(TEXT($C38,"0"),銘柄管理!$B$6:$B$305,0))-1,0,1,14))*100,"")</f>
      </c>
      <c r="BB38">
        <f>IFERROR((MAX(OFFSET(高値!$E$6,IFERROR(MATCH($C38,銘柄管理!$B$6:$B$305,0),MATCH(TEXT($C38,"0"),銘柄管理!$B$6:$B$305,0))-1,0,1,25))-MIN(OFFSET(安値!$E$6,IFERROR(MATCH($C38,銘柄管理!$B$6:$B$305,0),MATCH(TEXT($C38,"0"),銘柄管理!$B$6:$B$305,0))-1,0,1,25)))/$E38*100,"")</f>
      </c>
      <c r="BC38">
        <f>IFERROR(($F38-$G38)/$G38*100,"")</f>
      </c>
      <c r="BD38">
        <f>IFERROR(($E38-MAX(OFFSET(高値!$E$6,IFERROR(MATCH($C38,銘柄管理!$B$6:$B$305,0),MATCH(TEXT($C38,"0"),銘柄管理!$B$6:$B$305,0))-1,0,1,25)))/MAX(OFFSET(高値!$E$6,IFERROR(MATCH($C38,銘柄管理!$B$6:$B$305,0),MATCH(TEXT($C38,"0"),銘柄管理!$B$6:$B$305,0))-1,0,1,25))*100,"")</f>
      </c>
      <c r="BE38">
        <f>IFERROR(($H38-$I38)/$F38*100,"")</f>
      </c>
      <c r="BF38">
        <f>IFERROR(-(($BA38-AVERAGE($BA$3:$BA$206))/STDEV($BA$3:$BA$206))-(($BE38-AVERAGE($BE$3:$BE$206))/STDEV($BE$3:$BE$206))-(($BB38-AVERAGE($BB$3:$BB$206))/STDEV($BB$3:$BB$206))-(($Z38-AVERAGE($Z$3:$Z$206))/STDEV($Z$3:$Z$206))-(($BC38-AVERAGE($BC$3:$BC$206))/STDEV($BC$3:$BC$206)),"")</f>
      </c>
      <c r="BG38">
        <f>IF(OR($C38="",$C38="TOPX",$BA38="",$BF38=""),0,IF(AND($BK$10=1,$BA38&lt;=$BK$2,$BB38&lt;=$BK$3,$BC38&lt;=$BK$4,$Z38&lt;=$BK$5,$Z38&gt;=$BK$6,$BD38&gt;=$BK$7,$BE38&lt;=$BK$8),1,0))</f>
      </c>
      <c r="BH38">
        <f>IF($C38="","",IF($BG38=1,"○ゲート通過",IF($BK$10&lt;&gt;1,"― この方向は停止中",IF($BA38&gt;$BK$2,"×値動きが荒い",IF($BB38&gt;$BK$3,"×レンジが広い",IF($BC38&gt;$BK$4,"×窓を開けて上昇",IF($Z38&gt;$BK$5,"×前日に急騰",IF($Z38&lt;$BK$6,"×前日に急落",IF($BD38&lt;$BK$7,"×高値から離れすぎ",IF($BE38&gt;$BK$8,"×当日の値幅が大きい","×")))))))))</f>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 t="shared" si="0"/>
        <v>-12.204606640741849</v>
      </c>
      <c r="M39" s="326">
        <f>IF(C39&lt;&gt;"",IFERROR(AVERAGE(出来高!E68:I68),""),"")</f>
        <v>9011900</v>
      </c>
      <c r="N39" s="326">
        <f>IF(C39&lt;&gt;"",IFERROR(AVERAGE(出来高!E68:AC68),""),"")</f>
        <v>6110416</v>
      </c>
      <c r="O39" s="328">
        <f t="shared" si="1"/>
        <v>0.81090558039924987</v>
      </c>
      <c r="P39" s="325" t="str">
        <f t="shared" si="2"/>
        <v>減少↓</v>
      </c>
      <c r="Q39" s="325" t="str">
        <f t="shared" si="3"/>
        <v>様子見▲</v>
      </c>
      <c r="R39" s="326">
        <f t="shared" si="4"/>
        <v>5400</v>
      </c>
      <c r="S39" s="326">
        <f t="shared" si="5"/>
        <v>6105</v>
      </c>
      <c r="T39" s="325">
        <f>IF(C39="","",IFERROR(IF(W39&lt;=22,-4,IF(W39&lt;=28,-2,IF(W39&lt;=45,2,IF(W39&lt;=55,1,0))))+IF(X39&lt;0,2,0)+IF(AD39="下降トレンド▼",3,IF(AD39="もみ合い→",1,0))+IF(V39="年初来安値圏●",3,IF(V39="安値圏",2,0))+IF(Q39="売り▼",2,0)+IF(P39="急増↑↑",2,IF(P39="増加↑",1,0))+IF(Z39&lt;0,1,0)+IF(L39&lt;=-30,2,IF(L39&lt;=-15,1,0))+IF(AE39="25日戻り売り★",2,IF(AE39="5日戻り売り○",1,0))+N(AL39)+N(AP39)+N(AU39),0))</f>
      </c>
      <c r="U39" s="325" t="str">
        <f t="shared" si="7"/>
        <v>要確認</v>
      </c>
      <c r="V39" s="325" t="str">
        <f t="shared" si="8"/>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 t="shared" si="9"/>
        <v>相場上昇・見送り | パーフェクト▲ MACD- RSI:51.5 前日比:+0.4% [4点]</v>
      </c>
      <c r="Z39" s="331">
        <f t="shared" si="10"/>
        <v>0.37619699042407662</v>
      </c>
      <c r="AA39" s="325" t="str">
        <f t="shared" si="11"/>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 t="shared" si="12"/>
        <v>パーフェクト▲</v>
      </c>
      <c r="AE39" s="325" t="str">
        <f t="shared" si="13"/>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 t="shared" si="14"/>
        <v>0</v>
      </c>
      <c r="AH39">
        <f t="shared" si="15"/>
        <v>0</v>
      </c>
      <c r="AI39" s="373">
        <f t="array" ref="AI39">IF(C39="","",IFERROR((INDEX(終値!$E:$E,MATCH(TEXT(C39,"0"),終値!$A:$A,0))-INDEX(終値!$E:$CZ,MATCH(TEXT(C39,"0"),終値!$A:$A,0),$AN$2))/INDEX(終値!$E:$CZ,MATCH(TEXT(C39,"0"),終値!$A:$A,0),$AN$2)*100,""))</f>
        <v>-2.7179317202519058</v>
      </c>
      <c r="AJ39" s="373">
        <f t="array" ref="AJ39">IFERROR((終値!$E$5-INDEX(終値!$E$5:$CZ$5,1,$AN$2))/INDEX(終値!$E$5:$CZ$5,1,$AN$2)*100,"")</f>
        <v>1.0179378228534113</v>
      </c>
      <c r="AK39" s="374">
        <f t="shared" si="16"/>
        <v>-3.7358695431053173</v>
      </c>
      <c r="AL39" s="372">
        <f t="shared" si="17"/>
        <v>1</v>
      </c>
      <c r="AO39" s="376" t="str">
        <f t="shared" si="18"/>
        <v>通常</v>
      </c>
      <c r="AP39" s="377">
        <f t="shared" si="19"/>
        <v>0</v>
      </c>
      <c r="AQ39">
        <f>IF(C39&lt;&gt;"",始値!F68,"")</f>
        <v>5748</v>
      </c>
      <c r="AR39">
        <f>IF(C39&lt;&gt;"",高値!F68,"")</f>
        <v>5866</v>
      </c>
      <c r="AS39">
        <f>IF(C39&lt;&gt;"",安値!F68,"")</f>
        <v>5678</v>
      </c>
      <c r="AT39" t="str">
        <f t="shared" si="20"/>
        <v>通常</v>
      </c>
      <c r="AU39">
        <f t="shared" si="21"/>
        <v>0</v>
      </c>
      <c r="BA39">
        <f>IFERROR((SUM(OFFSET(高値!$E$6,IFERROR(MATCH($C39,銘柄管理!$B$6:$B$305,0),MATCH(TEXT($C39,"0"),銘柄管理!$B$6:$B$305,0))-1,0,1,14))-SUM(OFFSET(安値!$E$6,IFERROR(MATCH($C39,銘柄管理!$B$6:$B$305,0),MATCH(TEXT($C39,"0"),銘柄管理!$B$6:$B$305,0))-1,0,1,14)))/SUM(OFFSET(終値!$E$6,IFERROR(MATCH($C39,銘柄管理!$B$6:$B$305,0),MATCH(TEXT($C39,"0"),銘柄管理!$B$6:$B$305,0))-1,0,1,14))*100,"")</f>
      </c>
      <c r="BB39">
        <f>IFERROR((MAX(OFFSET(高値!$E$6,IFERROR(MATCH($C39,銘柄管理!$B$6:$B$305,0),MATCH(TEXT($C39,"0"),銘柄管理!$B$6:$B$305,0))-1,0,1,25))-MIN(OFFSET(安値!$E$6,IFERROR(MATCH($C39,銘柄管理!$B$6:$B$305,0),MATCH(TEXT($C39,"0"),銘柄管理!$B$6:$B$305,0))-1,0,1,25)))/$E39*100,"")</f>
      </c>
      <c r="BC39">
        <f>IFERROR(($F39-$G39)/$G39*100,"")</f>
      </c>
      <c r="BD39">
        <f>IFERROR(($E39-MAX(OFFSET(高値!$E$6,IFERROR(MATCH($C39,銘柄管理!$B$6:$B$305,0),MATCH(TEXT($C39,"0"),銘柄管理!$B$6:$B$305,0))-1,0,1,25)))/MAX(OFFSET(高値!$E$6,IFERROR(MATCH($C39,銘柄管理!$B$6:$B$305,0),MATCH(TEXT($C39,"0"),銘柄管理!$B$6:$B$305,0))-1,0,1,25))*100,"")</f>
      </c>
      <c r="BE39">
        <f>IFERROR(($H39-$I39)/$F39*100,"")</f>
      </c>
      <c r="BF39">
        <f>IFERROR(-(($BA39-AVERAGE($BA$3:$BA$206))/STDEV($BA$3:$BA$206))-(($BE39-AVERAGE($BE$3:$BE$206))/STDEV($BE$3:$BE$206))-(($BB39-AVERAGE($BB$3:$BB$206))/STDEV($BB$3:$BB$206))-(($Z39-AVERAGE($Z$3:$Z$206))/STDEV($Z$3:$Z$206))-(($BC39-AVERAGE($BC$3:$BC$206))/STDEV($BC$3:$BC$206)),"")</f>
      </c>
      <c r="BG39">
        <f>IF(OR($C39="",$C39="TOPX",$BA39="",$BF39=""),0,IF(AND($BK$10=1,$BA39&lt;=$BK$2,$BB39&lt;=$BK$3,$BC39&lt;=$BK$4,$Z39&lt;=$BK$5,$Z39&gt;=$BK$6,$BD39&gt;=$BK$7,$BE39&lt;=$BK$8),1,0))</f>
      </c>
      <c r="BH39">
        <f>IF($C39="","",IF($BG39=1,"○ゲート通過",IF($BK$10&lt;&gt;1,"― この方向は停止中",IF($BA39&gt;$BK$2,"×値動きが荒い",IF($BB39&gt;$BK$3,"×レンジが広い",IF($BC39&gt;$BK$4,"×窓を開けて上昇",IF($Z39&gt;$BK$5,"×前日に急騰",IF($Z39&lt;$BK$6,"×前日に急落",IF($BD39&lt;$BK$7,"×高値から離れすぎ",IF($BE39&gt;$BK$8,"×当日の値幅が大きい","×")))))))))</f>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 t="shared" si="0"/>
        <v>-21.229718189581554</v>
      </c>
      <c r="M40" s="333">
        <f>IF(C40&lt;&gt;"",IFERROR(AVERAGE(出来高!E86:I86),""),"")</f>
        <v>1332820</v>
      </c>
      <c r="N40" s="333">
        <f>IF(C40&lt;&gt;"",IFERROR(AVERAGE(出来高!E86:AC86),""),"")</f>
        <v>1629862.5</v>
      </c>
      <c r="O40" s="335">
        <f t="shared" si="1"/>
        <v>0.73198181299800424</v>
      </c>
      <c r="P40" s="212" t="str">
        <f t="shared" si="2"/>
        <v>減少↓</v>
      </c>
      <c r="Q40" s="212" t="str">
        <f t="shared" si="3"/>
        <v>中立→</v>
      </c>
      <c r="R40" s="333">
        <f t="shared" si="4"/>
        <v>2122</v>
      </c>
      <c r="S40" s="333">
        <f t="shared" si="5"/>
        <v>2398</v>
      </c>
      <c r="T40" s="325">
        <f>IF(C40="","",IFERROR(IF(W40&lt;=22,-4,IF(W40&lt;=28,-2,IF(W40&lt;=45,2,IF(W40&lt;=55,1,0))))+IF(X40&lt;0,2,0)+IF(AD40="下降トレンド▼",3,IF(AD40="もみ合い→",1,0))+IF(V40="年初来安値圏●",3,IF(V40="安値圏",2,0))+IF(Q40="売り▼",2,0)+IF(P40="急増↑↑",2,IF(P40="増加↑",1,0))+IF(Z40&lt;0,1,0)+IF(L40&lt;=-30,2,IF(L40&lt;=-15,1,0))+IF(AE40="25日戻り売り★",2,IF(AE40="5日戻り売り○",1,0))+N(AL40)+N(AP40)+N(AU40),0))</f>
      </c>
      <c r="U40" s="212" t="str">
        <f t="shared" si="7"/>
        <v>要確認</v>
      </c>
      <c r="V40" s="212" t="str">
        <f t="shared" si="8"/>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 t="shared" si="9"/>
        <v>相場上昇・見送り | パーフェクト▲ MACD- RSI:50.0 前日比:-0.9% [8点]</v>
      </c>
      <c r="Z40" s="338">
        <f t="shared" si="10"/>
        <v>-0.9024495058014611</v>
      </c>
      <c r="AA40" s="212" t="str">
        <f t="shared" si="11"/>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 t="shared" si="12"/>
        <v>パーフェクト▲</v>
      </c>
      <c r="AE40" s="212" t="str">
        <f t="shared" si="13"/>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 t="shared" si="14"/>
        <v>8</v>
      </c>
      <c r="AH40">
        <f t="shared" si="15"/>
        <v>79960</v>
      </c>
      <c r="AI40" s="373">
        <f t="array" ref="AI40">IF(C40="","",IFERROR((INDEX(終値!$E:$E,MATCH(TEXT(C40,"0"),終値!$A:$A,0))-INDEX(終値!$E:$CZ,MATCH(TEXT(C40,"0"),終値!$A:$A,0),$AN$2))/INDEX(終値!$E:$CZ,MATCH(TEXT(C40,"0"),終値!$A:$A,0),$AN$2)*100,""))</f>
        <v>-7.1097683786505534</v>
      </c>
      <c r="AJ40" s="373">
        <f t="array" ref="AJ40">IFERROR((終値!$E$5-INDEX(終値!$E$5:$CZ$5,1,$AN$2))/INDEX(終値!$E$5:$CZ$5,1,$AN$2)*100,"")</f>
        <v>1.0179378228534113</v>
      </c>
      <c r="AK40" s="374">
        <f t="shared" si="16"/>
        <v>-8.1277062015039654</v>
      </c>
      <c r="AL40" s="372">
        <f t="shared" si="17"/>
        <v>3</v>
      </c>
      <c r="AO40" s="376" t="str">
        <f t="shared" si="18"/>
        <v>通常</v>
      </c>
      <c r="AP40" s="377">
        <f t="shared" si="19"/>
        <v>0</v>
      </c>
      <c r="AQ40">
        <f>IF(C40&lt;&gt;"",始値!F86,"")</f>
        <v>2310</v>
      </c>
      <c r="AR40">
        <f>IF(C40&lt;&gt;"",高値!F86,"")</f>
        <v>2355.5</v>
      </c>
      <c r="AS40">
        <f>IF(C40&lt;&gt;"",安値!F86,"")</f>
        <v>2302.5</v>
      </c>
      <c r="AT40" t="str">
        <f t="shared" si="20"/>
        <v>通常</v>
      </c>
      <c r="AU40">
        <f t="shared" si="21"/>
        <v>0</v>
      </c>
      <c r="BA40">
        <f>IFERROR((SUM(OFFSET(高値!$E$6,IFERROR(MATCH($C40,銘柄管理!$B$6:$B$305,0),MATCH(TEXT($C40,"0"),銘柄管理!$B$6:$B$305,0))-1,0,1,14))-SUM(OFFSET(安値!$E$6,IFERROR(MATCH($C40,銘柄管理!$B$6:$B$305,0),MATCH(TEXT($C40,"0"),銘柄管理!$B$6:$B$305,0))-1,0,1,14)))/SUM(OFFSET(終値!$E$6,IFERROR(MATCH($C40,銘柄管理!$B$6:$B$305,0),MATCH(TEXT($C40,"0"),銘柄管理!$B$6:$B$305,0))-1,0,1,14))*100,"")</f>
      </c>
      <c r="BB40">
        <f>IFERROR((MAX(OFFSET(高値!$E$6,IFERROR(MATCH($C40,銘柄管理!$B$6:$B$305,0),MATCH(TEXT($C40,"0"),銘柄管理!$B$6:$B$305,0))-1,0,1,25))-MIN(OFFSET(安値!$E$6,IFERROR(MATCH($C40,銘柄管理!$B$6:$B$305,0),MATCH(TEXT($C40,"0"),銘柄管理!$B$6:$B$305,0))-1,0,1,25)))/$E40*100,"")</f>
      </c>
      <c r="BC40">
        <f>IFERROR(($F40-$G40)/$G40*100,"")</f>
      </c>
      <c r="BD40">
        <f>IFERROR(($E40-MAX(OFFSET(高値!$E$6,IFERROR(MATCH($C40,銘柄管理!$B$6:$B$305,0),MATCH(TEXT($C40,"0"),銘柄管理!$B$6:$B$305,0))-1,0,1,25)))/MAX(OFFSET(高値!$E$6,IFERROR(MATCH($C40,銘柄管理!$B$6:$B$305,0),MATCH(TEXT($C40,"0"),銘柄管理!$B$6:$B$305,0))-1,0,1,25))*100,"")</f>
      </c>
      <c r="BE40">
        <f>IFERROR(($H40-$I40)/$F40*100,"")</f>
      </c>
      <c r="BF40">
        <f>IFERROR(-(($BA40-AVERAGE($BA$3:$BA$206))/STDEV($BA$3:$BA$206))-(($BE40-AVERAGE($BE$3:$BE$206))/STDEV($BE$3:$BE$206))-(($BB40-AVERAGE($BB$3:$BB$206))/STDEV($BB$3:$BB$206))-(($Z40-AVERAGE($Z$3:$Z$206))/STDEV($Z$3:$Z$206))-(($BC40-AVERAGE($BC$3:$BC$206))/STDEV($BC$3:$BC$206)),"")</f>
      </c>
      <c r="BG40">
        <f>IF(OR($C40="",$C40="TOPX",$BA40="",$BF40=""),0,IF(AND($BK$10=1,$BA40&lt;=$BK$2,$BB40&lt;=$BK$3,$BC40&lt;=$BK$4,$Z40&lt;=$BK$5,$Z40&gt;=$BK$6,$BD40&gt;=$BK$7,$BE40&lt;=$BK$8),1,0))</f>
      </c>
      <c r="BH40">
        <f>IF($C40="","",IF($BG40=1,"○ゲート通過",IF($BK$10&lt;&gt;1,"― この方向は停止中",IF($BA40&gt;$BK$2,"×値動きが荒い",IF($BB40&gt;$BK$3,"×レンジが広い",IF($BC40&gt;$BK$4,"×窓を開けて上昇",IF($Z40&gt;$BK$5,"×前日に急騰",IF($Z40&lt;$BK$6,"×前日に急落",IF($BD40&lt;$BK$7,"×高値から離れすぎ",IF($BE40&gt;$BK$8,"×当日の値幅が大きい","×")))))))))</f>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 t="shared" si="0"/>
        <v>-19.888440084631657</v>
      </c>
      <c r="M41" s="326">
        <f>IF(C41&lt;&gt;"",IFERROR(AVERAGE(出来高!E90:I90),""),"")</f>
        <v>3380340</v>
      </c>
      <c r="N41" s="326">
        <f>IF(C41&lt;&gt;"",IFERROR(AVERAGE(出来高!E90:AC90),""),"")</f>
        <v>3331148</v>
      </c>
      <c r="O41" s="328">
        <f t="shared" si="1"/>
        <v>0.5882248531212837</v>
      </c>
      <c r="P41" s="325" t="str">
        <f t="shared" si="2"/>
        <v>減少↓</v>
      </c>
      <c r="Q41" s="325" t="str">
        <f t="shared" si="3"/>
        <v>中立→</v>
      </c>
      <c r="R41" s="326">
        <f t="shared" si="4"/>
        <v>3832</v>
      </c>
      <c r="S41" s="326">
        <f t="shared" si="5"/>
        <v>4332</v>
      </c>
      <c r="T41" s="325">
        <f>IF(C41="","",IFERROR(IF(W41&lt;=22,-4,IF(W41&lt;=28,-2,IF(W41&lt;=45,2,IF(W41&lt;=55,1,0))))+IF(X41&lt;0,2,0)+IF(AD41="下降トレンド▼",3,IF(AD41="もみ合い→",1,0))+IF(V41="年初来安値圏●",3,IF(V41="安値圏",2,0))+IF(Q41="売り▼",2,0)+IF(P41="急増↑↑",2,IF(P41="増加↑",1,0))+IF(Z41&lt;0,1,0)+IF(L41&lt;=-30,2,IF(L41&lt;=-15,1,0))+IF(AE41="25日戻り売り★",2,IF(AE41="5日戻り売り○",1,0))+N(AL41)+N(AP41)+N(AU41),0))</f>
      </c>
      <c r="U41" s="325" t="str">
        <f t="shared" si="7"/>
        <v>要確認</v>
      </c>
      <c r="V41" s="325" t="str">
        <f t="shared" si="8"/>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 t="shared" si="9"/>
        <v>相場上昇・見送り | 下降トレンド▼ MACD- RSI:43.5 前日比:-7.4% [10点]</v>
      </c>
      <c r="Z41" s="331">
        <f t="shared" si="10"/>
        <v>-7.4032903512672306</v>
      </c>
      <c r="AA41" s="325" t="str">
        <f t="shared" si="11"/>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 t="shared" si="12"/>
        <v>下降トレンド▼</v>
      </c>
      <c r="AE41" s="325" t="str">
        <f t="shared" si="13"/>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 t="shared" si="14"/>
        <v>10</v>
      </c>
      <c r="AH41">
        <f t="shared" si="15"/>
        <v>99959</v>
      </c>
      <c r="AI41" s="373">
        <f t="array" ref="AI41">IF(C41="","",IFERROR((INDEX(終値!$E:$E,MATCH(TEXT(C41,"0"),終値!$A:$A,0))-INDEX(終値!$E:$CZ,MATCH(TEXT(C41,"0"),終値!$A:$A,0),$AN$2))/INDEX(終値!$E:$CZ,MATCH(TEXT(C41,"0"),終値!$A:$A,0),$AN$2)*100,""))</f>
        <v>-18.011811023622048</v>
      </c>
      <c r="AJ41" s="373">
        <f t="array" ref="AJ41">IFERROR((終値!$E$5-INDEX(終値!$E$5:$CZ$5,1,$AN$2))/INDEX(終値!$E$5:$CZ$5,1,$AN$2)*100,"")</f>
        <v>1.0179378228534113</v>
      </c>
      <c r="AK41" s="374">
        <f t="shared" si="16"/>
        <v>-19.02974884647546</v>
      </c>
      <c r="AL41" s="372">
        <f t="shared" si="17"/>
        <v>3</v>
      </c>
      <c r="AO41" s="376" t="str">
        <f t="shared" si="18"/>
        <v>通常</v>
      </c>
      <c r="AP41" s="377">
        <f t="shared" si="19"/>
        <v>0</v>
      </c>
      <c r="AQ41">
        <f>IF(C41&lt;&gt;"",始値!F90,"")</f>
        <v>4400</v>
      </c>
      <c r="AR41">
        <f>IF(C41&lt;&gt;"",高値!F90,"")</f>
        <v>4524</v>
      </c>
      <c r="AS41">
        <f>IF(C41&lt;&gt;"",安値!F90,"")</f>
        <v>4372</v>
      </c>
      <c r="AT41" t="str">
        <f t="shared" si="20"/>
        <v>通常</v>
      </c>
      <c r="AU41">
        <f t="shared" si="21"/>
        <v>0</v>
      </c>
      <c r="BA41">
        <f>IFERROR((SUM(OFFSET(高値!$E$6,IFERROR(MATCH($C41,銘柄管理!$B$6:$B$305,0),MATCH(TEXT($C41,"0"),銘柄管理!$B$6:$B$305,0))-1,0,1,14))-SUM(OFFSET(安値!$E$6,IFERROR(MATCH($C41,銘柄管理!$B$6:$B$305,0),MATCH(TEXT($C41,"0"),銘柄管理!$B$6:$B$305,0))-1,0,1,14)))/SUM(OFFSET(終値!$E$6,IFERROR(MATCH($C41,銘柄管理!$B$6:$B$305,0),MATCH(TEXT($C41,"0"),銘柄管理!$B$6:$B$305,0))-1,0,1,14))*100,"")</f>
      </c>
      <c r="BB41">
        <f>IFERROR((MAX(OFFSET(高値!$E$6,IFERROR(MATCH($C41,銘柄管理!$B$6:$B$305,0),MATCH(TEXT($C41,"0"),銘柄管理!$B$6:$B$305,0))-1,0,1,25))-MIN(OFFSET(安値!$E$6,IFERROR(MATCH($C41,銘柄管理!$B$6:$B$305,0),MATCH(TEXT($C41,"0"),銘柄管理!$B$6:$B$305,0))-1,0,1,25)))/$E41*100,"")</f>
      </c>
      <c r="BC41">
        <f>IFERROR(($F41-$G41)/$G41*100,"")</f>
      </c>
      <c r="BD41">
        <f>IFERROR(($E41-MAX(OFFSET(高値!$E$6,IFERROR(MATCH($C41,銘柄管理!$B$6:$B$305,0),MATCH(TEXT($C41,"0"),銘柄管理!$B$6:$B$305,0))-1,0,1,25)))/MAX(OFFSET(高値!$E$6,IFERROR(MATCH($C41,銘柄管理!$B$6:$B$305,0),MATCH(TEXT($C41,"0"),銘柄管理!$B$6:$B$305,0))-1,0,1,25))*100,"")</f>
      </c>
      <c r="BE41">
        <f>IFERROR(($H41-$I41)/$F41*100,"")</f>
      </c>
      <c r="BF41">
        <f>IFERROR(-(($BA41-AVERAGE($BA$3:$BA$206))/STDEV($BA$3:$BA$206))-(($BE41-AVERAGE($BE$3:$BE$206))/STDEV($BE$3:$BE$206))-(($BB41-AVERAGE($BB$3:$BB$206))/STDEV($BB$3:$BB$206))-(($Z41-AVERAGE($Z$3:$Z$206))/STDEV($Z$3:$Z$206))-(($BC41-AVERAGE($BC$3:$BC$206))/STDEV($BC$3:$BC$206)),"")</f>
      </c>
      <c r="BG41">
        <f>IF(OR($C41="",$C41="TOPX",$BA41="",$BF41=""),0,IF(AND($BK$10=1,$BA41&lt;=$BK$2,$BB41&lt;=$BK$3,$BC41&lt;=$BK$4,$Z41&lt;=$BK$5,$Z41&gt;=$BK$6,$BD41&gt;=$BK$7,$BE41&lt;=$BK$8),1,0))</f>
      </c>
      <c r="BH41">
        <f>IF($C41="","",IF($BG41=1,"○ゲート通過",IF($BK$10&lt;&gt;1,"― この方向は停止中",IF($BA41&gt;$BK$2,"×値動きが荒い",IF($BB41&gt;$BK$3,"×レンジが広い",IF($BC41&gt;$BK$4,"×窓を開けて上昇",IF($Z41&gt;$BK$5,"×前日に急騰",IF($Z41&lt;$BK$6,"×前日に急落",IF($BD41&lt;$BK$7,"×高値から離れすぎ",IF($BE41&gt;$BK$8,"×当日の値幅が大きい","×")))))))))</f>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 t="shared" si="0"/>
        <v>-20.739736638264912</v>
      </c>
      <c r="M42" s="333">
        <f>IF(C42&lt;&gt;"",IFERROR(AVERAGE(出来高!E105:I105),""),"")</f>
        <v>703800</v>
      </c>
      <c r="N42" s="333">
        <f>IF(C42&lt;&gt;"",IFERROR(AVERAGE(出来高!E105:AC105),""),"")</f>
        <v>522040</v>
      </c>
      <c r="O42" s="335">
        <f t="shared" si="1"/>
        <v>0.91503267973856206</v>
      </c>
      <c r="P42" s="212" t="str">
        <f t="shared" si="2"/>
        <v>減少↓</v>
      </c>
      <c r="Q42" s="212" t="str">
        <f t="shared" si="3"/>
        <v>中立→</v>
      </c>
      <c r="R42" s="333">
        <f t="shared" si="4"/>
        <v>3766</v>
      </c>
      <c r="S42" s="333">
        <f t="shared" si="5"/>
        <v>4257</v>
      </c>
      <c r="T42" s="325">
        <f>IF(C42="","",IFERROR(IF(W42&lt;=22,-4,IF(W42&lt;=28,-2,IF(W42&lt;=45,2,IF(W42&lt;=55,1,0))))+IF(X42&lt;0,2,0)+IF(AD42="下降トレンド▼",3,IF(AD42="もみ合い→",1,0))+IF(V42="年初来安値圏●",3,IF(V42="安値圏",2,0))+IF(Q42="売り▼",2,0)+IF(P42="急増↑↑",2,IF(P42="増加↑",1,0))+IF(Z42&lt;0,1,0)+IF(L42&lt;=-30,2,IF(L42&lt;=-15,1,0))+IF(AE42="25日戻り売り★",2,IF(AE42="5日戻り売り○",1,0))+N(AL42)+N(AP42)+N(AU42),0))</f>
      </c>
      <c r="U42" s="212" t="str">
        <f t="shared" si="7"/>
        <v>要確認</v>
      </c>
      <c r="V42" s="212" t="str">
        <f t="shared" si="8"/>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 t="shared" si="9"/>
        <v>相場上昇・見送り | パーフェクト▲ MACD- RSI:52.8 前日比:-6.1% [上ヒゲ陰線▼] [10点]</v>
      </c>
      <c r="Z42" s="338">
        <f t="shared" si="10"/>
        <v>-6.123853211009175</v>
      </c>
      <c r="AA42" s="212" t="str">
        <f t="shared" si="11"/>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 t="shared" si="12"/>
        <v>パーフェクト▲</v>
      </c>
      <c r="AE42" s="212" t="str">
        <f t="shared" si="13"/>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 t="shared" si="14"/>
        <v>10</v>
      </c>
      <c r="AH42">
        <f t="shared" si="15"/>
        <v>99958</v>
      </c>
      <c r="AI42" s="373">
        <f t="array" ref="AI42">IF(C42="","",IFERROR((INDEX(終値!$E:$E,MATCH(TEXT(C42,"0"),終値!$A:$A,0))-INDEX(終値!$E:$CZ,MATCH(TEXT(C42,"0"),終値!$A:$A,0),$AN$2))/INDEX(終値!$E:$CZ,MATCH(TEXT(C42,"0"),終値!$A:$A,0),$AN$2)*100,""))</f>
        <v>-15.223695111847558</v>
      </c>
      <c r="AJ42" s="373">
        <f t="array" ref="AJ42">IFERROR((終値!$E$5-INDEX(終値!$E$5:$CZ$5,1,$AN$2))/INDEX(終値!$E$5:$CZ$5,1,$AN$2)*100,"")</f>
        <v>1.0179378228534113</v>
      </c>
      <c r="AK42" s="374">
        <f t="shared" si="16"/>
        <v>-16.24163293470097</v>
      </c>
      <c r="AL42" s="372">
        <f t="shared" si="17"/>
        <v>3</v>
      </c>
      <c r="AO42" s="376" t="str">
        <f t="shared" si="18"/>
        <v>上ヒゲ陰線▼</v>
      </c>
      <c r="AP42" s="377">
        <f t="shared" si="19"/>
        <v>2</v>
      </c>
      <c r="AQ42">
        <f>IF(C42&lt;&gt;"",始値!F105,"")</f>
        <v>4363</v>
      </c>
      <c r="AR42">
        <f>IF(C42&lt;&gt;"",高値!F105,"")</f>
        <v>4416</v>
      </c>
      <c r="AS42">
        <f>IF(C42&lt;&gt;"",安値!F105,"")</f>
        <v>4245</v>
      </c>
      <c r="AT42" t="str">
        <f t="shared" si="20"/>
        <v>通常</v>
      </c>
      <c r="AU42">
        <f t="shared" si="21"/>
        <v>0</v>
      </c>
      <c r="BA42">
        <f>IFERROR((SUM(OFFSET(高値!$E$6,IFERROR(MATCH($C42,銘柄管理!$B$6:$B$305,0),MATCH(TEXT($C42,"0"),銘柄管理!$B$6:$B$305,0))-1,0,1,14))-SUM(OFFSET(安値!$E$6,IFERROR(MATCH($C42,銘柄管理!$B$6:$B$305,0),MATCH(TEXT($C42,"0"),銘柄管理!$B$6:$B$305,0))-1,0,1,14)))/SUM(OFFSET(終値!$E$6,IFERROR(MATCH($C42,銘柄管理!$B$6:$B$305,0),MATCH(TEXT($C42,"0"),銘柄管理!$B$6:$B$305,0))-1,0,1,14))*100,"")</f>
      </c>
      <c r="BB42">
        <f>IFERROR((MAX(OFFSET(高値!$E$6,IFERROR(MATCH($C42,銘柄管理!$B$6:$B$305,0),MATCH(TEXT($C42,"0"),銘柄管理!$B$6:$B$305,0))-1,0,1,25))-MIN(OFFSET(安値!$E$6,IFERROR(MATCH($C42,銘柄管理!$B$6:$B$305,0),MATCH(TEXT($C42,"0"),銘柄管理!$B$6:$B$305,0))-1,0,1,25)))/$E42*100,"")</f>
      </c>
      <c r="BC42">
        <f>IFERROR(($F42-$G42)/$G42*100,"")</f>
      </c>
      <c r="BD42">
        <f>IFERROR(($E42-MAX(OFFSET(高値!$E$6,IFERROR(MATCH($C42,銘柄管理!$B$6:$B$305,0),MATCH(TEXT($C42,"0"),銘柄管理!$B$6:$B$305,0))-1,0,1,25)))/MAX(OFFSET(高値!$E$6,IFERROR(MATCH($C42,銘柄管理!$B$6:$B$305,0),MATCH(TEXT($C42,"0"),銘柄管理!$B$6:$B$305,0))-1,0,1,25))*100,"")</f>
      </c>
      <c r="BE42">
        <f>IFERROR(($H42-$I42)/$F42*100,"")</f>
      </c>
      <c r="BF42">
        <f>IFERROR(-(($BA42-AVERAGE($BA$3:$BA$206))/STDEV($BA$3:$BA$206))-(($BE42-AVERAGE($BE$3:$BE$206))/STDEV($BE$3:$BE$206))-(($BB42-AVERAGE($BB$3:$BB$206))/STDEV($BB$3:$BB$206))-(($Z42-AVERAGE($Z$3:$Z$206))/STDEV($Z$3:$Z$206))-(($BC42-AVERAGE($BC$3:$BC$206))/STDEV($BC$3:$BC$206)),"")</f>
      </c>
      <c r="BG42">
        <f>IF(OR($C42="",$C42="TOPX",$BA42="",$BF42=""),0,IF(AND($BK$10=1,$BA42&lt;=$BK$2,$BB42&lt;=$BK$3,$BC42&lt;=$BK$4,$Z42&lt;=$BK$5,$Z42&gt;=$BK$6,$BD42&gt;=$BK$7,$BE42&lt;=$BK$8),1,0))</f>
      </c>
      <c r="BH42">
        <f>IF($C42="","",IF($BG42=1,"○ゲート通過",IF($BK$10&lt;&gt;1,"― この方向は停止中",IF($BA42&gt;$BK$2,"×値動きが荒い",IF($BB42&gt;$BK$3,"×レンジが広い",IF($BC42&gt;$BK$4,"×窓を開けて上昇",IF($Z42&gt;$BK$5,"×前日に急騰",IF($Z42&lt;$BK$6,"×前日に急落",IF($BD42&lt;$BK$7,"×高値から離れすぎ",IF($BE42&gt;$BK$8,"×当日の値幅が大きい","×")))))))))</f>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 t="shared" si="0"/>
        <v>-35.373537353735372</v>
      </c>
      <c r="M43" s="326">
        <f>IF(C43&lt;&gt;"",IFERROR(AVERAGE(出来高!E159:I159),""),"")</f>
        <v>385740</v>
      </c>
      <c r="N43" s="326">
        <f>IF(C43&lt;&gt;"",IFERROR(AVERAGE(出来高!E159:AC159),""),"")</f>
        <v>221476</v>
      </c>
      <c r="O43" s="328">
        <f t="shared" si="1"/>
        <v>0.54440815056773995</v>
      </c>
      <c r="P43" s="325" t="str">
        <f t="shared" si="2"/>
        <v>減少↓</v>
      </c>
      <c r="Q43" s="325" t="str">
        <f t="shared" si="3"/>
        <v>中立→</v>
      </c>
      <c r="R43" s="326">
        <f t="shared" si="4"/>
        <v>6606</v>
      </c>
      <c r="S43" s="326">
        <f t="shared" si="5"/>
        <v>7467</v>
      </c>
      <c r="T43" s="325">
        <f>IF(C43="","",IFERROR(IF(W43&lt;=22,-4,IF(W43&lt;=28,-2,IF(W43&lt;=45,2,IF(W43&lt;=55,1,0))))+IF(X43&lt;0,2,0)+IF(AD43="下降トレンド▼",3,IF(AD43="もみ合い→",1,0))+IF(V43="年初来安値圏●",3,IF(V43="安値圏",2,0))+IF(Q43="売り▼",2,0)+IF(P43="急増↑↑",2,IF(P43="増加↑",1,0))+IF(Z43&lt;0,1,0)+IF(L43&lt;=-30,2,IF(L43&lt;=-15,1,0))+IF(AE43="25日戻り売り★",2,IF(AE43="5日戻り売り○",1,0))+N(AL43)+N(AP43)+N(AU43),0))</f>
      </c>
      <c r="U43" s="325" t="str">
        <f t="shared" si="7"/>
        <v>要確認</v>
      </c>
      <c r="V43" s="325" t="str">
        <f t="shared" si="8"/>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 t="shared" si="9"/>
        <v>相場上昇・見送り | 上昇トレンド▲ MACD- RSI:44.3 前日比:-1.8% [安値圏] [10点]</v>
      </c>
      <c r="Z43" s="331">
        <f t="shared" si="10"/>
        <v>-1.7783857729138166</v>
      </c>
      <c r="AA43" s="325" t="str">
        <f t="shared" si="11"/>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 t="shared" si="12"/>
        <v>上昇トレンド▲</v>
      </c>
      <c r="AE43" s="325" t="str">
        <f t="shared" si="13"/>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 t="shared" si="14"/>
        <v>10</v>
      </c>
      <c r="AH43">
        <f t="shared" si="15"/>
        <v>99957</v>
      </c>
      <c r="AI43" s="373">
        <f t="array" ref="AI43">IF(C43="","",IFERROR((INDEX(終値!$E:$E,MATCH(TEXT(C43,"0"),終値!$A:$A,0))-INDEX(終値!$E:$CZ,MATCH(TEXT(C43,"0"),終値!$A:$A,0),$AN$2))/INDEX(終値!$E:$CZ,MATCH(TEXT(C43,"0"),終値!$A:$A,0),$AN$2)*100,""))</f>
        <v>-30.291262135922331</v>
      </c>
      <c r="AJ43" s="373">
        <f t="array" ref="AJ43">IFERROR((終値!$E$5-INDEX(終値!$E$5:$CZ$5,1,$AN$2))/INDEX(終値!$E$5:$CZ$5,1,$AN$2)*100,"")</f>
        <v>1.0179378228534113</v>
      </c>
      <c r="AK43" s="374">
        <f t="shared" si="16"/>
        <v>-31.309199958775743</v>
      </c>
      <c r="AL43" s="372">
        <f t="shared" si="17"/>
        <v>3</v>
      </c>
      <c r="AO43" s="376" t="str">
        <f t="shared" si="18"/>
        <v>通常</v>
      </c>
      <c r="AP43" s="377">
        <f t="shared" si="19"/>
        <v>0</v>
      </c>
      <c r="AQ43">
        <f>IF(C43&lt;&gt;"",始値!F159,"")</f>
        <v>7300</v>
      </c>
      <c r="AR43">
        <f>IF(C43&lt;&gt;"",高値!F159,"")</f>
        <v>7700</v>
      </c>
      <c r="AS43">
        <f>IF(C43&lt;&gt;"",安値!F159,"")</f>
        <v>7140</v>
      </c>
      <c r="AT43" t="str">
        <f t="shared" si="20"/>
        <v>通常</v>
      </c>
      <c r="AU43">
        <f t="shared" si="21"/>
        <v>0</v>
      </c>
      <c r="BA43">
        <f>IFERROR((SUM(OFFSET(高値!$E$6,IFERROR(MATCH($C43,銘柄管理!$B$6:$B$305,0),MATCH(TEXT($C43,"0"),銘柄管理!$B$6:$B$305,0))-1,0,1,14))-SUM(OFFSET(安値!$E$6,IFERROR(MATCH($C43,銘柄管理!$B$6:$B$305,0),MATCH(TEXT($C43,"0"),銘柄管理!$B$6:$B$305,0))-1,0,1,14)))/SUM(OFFSET(終値!$E$6,IFERROR(MATCH($C43,銘柄管理!$B$6:$B$305,0),MATCH(TEXT($C43,"0"),銘柄管理!$B$6:$B$305,0))-1,0,1,14))*100,"")</f>
      </c>
      <c r="BB43">
        <f>IFERROR((MAX(OFFSET(高値!$E$6,IFERROR(MATCH($C43,銘柄管理!$B$6:$B$305,0),MATCH(TEXT($C43,"0"),銘柄管理!$B$6:$B$305,0))-1,0,1,25))-MIN(OFFSET(安値!$E$6,IFERROR(MATCH($C43,銘柄管理!$B$6:$B$305,0),MATCH(TEXT($C43,"0"),銘柄管理!$B$6:$B$305,0))-1,0,1,25)))/$E43*100,"")</f>
      </c>
      <c r="BC43">
        <f>IFERROR(($F43-$G43)/$G43*100,"")</f>
      </c>
      <c r="BD43">
        <f>IFERROR(($E43-MAX(OFFSET(高値!$E$6,IFERROR(MATCH($C43,銘柄管理!$B$6:$B$305,0),MATCH(TEXT($C43,"0"),銘柄管理!$B$6:$B$305,0))-1,0,1,25)))/MAX(OFFSET(高値!$E$6,IFERROR(MATCH($C43,銘柄管理!$B$6:$B$305,0),MATCH(TEXT($C43,"0"),銘柄管理!$B$6:$B$305,0))-1,0,1,25))*100,"")</f>
      </c>
      <c r="BE43">
        <f>IFERROR(($H43-$I43)/$F43*100,"")</f>
      </c>
      <c r="BF43">
        <f>IFERROR(-(($BA43-AVERAGE($BA$3:$BA$206))/STDEV($BA$3:$BA$206))-(($BE43-AVERAGE($BE$3:$BE$206))/STDEV($BE$3:$BE$206))-(($BB43-AVERAGE($BB$3:$BB$206))/STDEV($BB$3:$BB$206))-(($Z43-AVERAGE($Z$3:$Z$206))/STDEV($Z$3:$Z$206))-(($BC43-AVERAGE($BC$3:$BC$206))/STDEV($BC$3:$BC$206)),"")</f>
      </c>
      <c r="BG43">
        <f>IF(OR($C43="",$C43="TOPX",$BA43="",$BF43=""),0,IF(AND($BK$10=1,$BA43&lt;=$BK$2,$BB43&lt;=$BK$3,$BC43&lt;=$BK$4,$Z43&lt;=$BK$5,$Z43&gt;=$BK$6,$BD43&gt;=$BK$7,$BE43&lt;=$BK$8),1,0))</f>
      </c>
      <c r="BH43">
        <f>IF($C43="","",IF($BG43=1,"○ゲート通過",IF($BK$10&lt;&gt;1,"― この方向は停止中",IF($BA43&gt;$BK$2,"×値動きが荒い",IF($BB43&gt;$BK$3,"×レンジが広い",IF($BC43&gt;$BK$4,"×窓を開けて上昇",IF($Z43&gt;$BK$5,"×前日に急騰",IF($Z43&lt;$BK$6,"×前日に急落",IF($BD43&lt;$BK$7,"×高値から離れすぎ",IF($BE43&gt;$BK$8,"×当日の値幅が大きい","×")))))))))</f>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 t="shared" si="0"/>
        <v>-17.387218045112782</v>
      </c>
      <c r="M44" s="333">
        <f>IF(C44&lt;&gt;"",IFERROR(AVERAGE(出来高!E162:I162),""),"")</f>
        <v>780</v>
      </c>
      <c r="N44" s="333">
        <f>IF(C44&lt;&gt;"",IFERROR(AVERAGE(出来高!E162:AC162),""),"")</f>
        <v>1270.8333333333333</v>
      </c>
      <c r="O44" s="335">
        <f t="shared" si="1"/>
        <v>0.64102564102564108</v>
      </c>
      <c r="P44" s="212" t="str">
        <f t="shared" si="2"/>
        <v>減少↓</v>
      </c>
      <c r="Q44" s="212" t="str">
        <f t="shared" si="3"/>
        <v>中立→</v>
      </c>
      <c r="R44" s="333">
        <f t="shared" si="4"/>
        <v>4043</v>
      </c>
      <c r="S44" s="333">
        <f t="shared" si="5"/>
        <v>4571</v>
      </c>
      <c r="T44" s="325">
        <f>IF(C44="","",IFERROR(IF(W44&lt;=22,-4,IF(W44&lt;=28,-2,IF(W44&lt;=45,2,IF(W44&lt;=55,1,0))))+IF(X44&lt;0,2,0)+IF(AD44="下降トレンド▼",3,IF(AD44="もみ合い→",1,0))+IF(V44="年初来安値圏●",3,IF(V44="安値圏",2,0))+IF(Q44="売り▼",2,0)+IF(P44="急増↑↑",2,IF(P44="増加↑",1,0))+IF(Z44&lt;0,1,0)+IF(L44&lt;=-30,2,IF(L44&lt;=-15,1,0))+IF(AE44="25日戻り売り★",2,IF(AE44="5日戻り売り○",1,0))+N(AL44)+N(AP44)+N(AU44),0))</f>
      </c>
      <c r="U44" s="212" t="str">
        <f t="shared" si="7"/>
        <v>要確認</v>
      </c>
      <c r="V44" s="212" t="str">
        <f t="shared" si="8"/>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 t="shared" si="9"/>
        <v>相場上昇・見送り | 上昇トレンド▲ 5日戻り売り○ MACD- RSI:50.3 前日比:-1.1% [大陰線▼] [9点]</v>
      </c>
      <c r="Z44" s="338">
        <f t="shared" si="10"/>
        <v>-1.124859392575928</v>
      </c>
      <c r="AA44" s="212" t="str">
        <f t="shared" si="11"/>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 t="shared" si="12"/>
        <v>上昇トレンド▲</v>
      </c>
      <c r="AE44" s="212" t="str">
        <f t="shared" si="13"/>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 t="shared" si="14"/>
        <v>9</v>
      </c>
      <c r="AH44">
        <f t="shared" si="15"/>
        <v>89956</v>
      </c>
      <c r="AI44" s="373">
        <f t="array" ref="AI44">IF(C44="","",IFERROR((INDEX(終値!$E:$E,MATCH(TEXT(C44,"0"),終値!$A:$A,0))-INDEX(終値!$E:$CZ,MATCH(TEXT(C44,"0"),終値!$A:$A,0),$AN$2))/INDEX(終値!$E:$CZ,MATCH(TEXT(C44,"0"),終値!$A:$A,0),$AN$2)*100,""))</f>
        <v>0.57208237986270016</v>
      </c>
      <c r="AJ44" s="373">
        <f t="array" ref="AJ44">IFERROR((終値!$E$5-INDEX(終値!$E$5:$CZ$5,1,$AN$2))/INDEX(終値!$E$5:$CZ$5,1,$AN$2)*100,"")</f>
        <v>1.0179378228534113</v>
      </c>
      <c r="AK44" s="374">
        <f t="shared" si="16"/>
        <v>-0.44585544299071111</v>
      </c>
      <c r="AL44" s="372">
        <f t="shared" si="17"/>
        <v>1</v>
      </c>
      <c r="AO44" s="376" t="str">
        <f t="shared" si="18"/>
        <v>大陰線▼</v>
      </c>
      <c r="AP44" s="377">
        <f t="shared" si="19"/>
        <v>2</v>
      </c>
      <c r="AQ44">
        <f>IF(C44&lt;&gt;"",始値!F162,"")</f>
        <v>4375</v>
      </c>
      <c r="AR44">
        <f>IF(C44&lt;&gt;"",高値!F162,"")</f>
        <v>4445</v>
      </c>
      <c r="AS44">
        <f>IF(C44&lt;&gt;"",安値!F162,"")</f>
        <v>4375</v>
      </c>
      <c r="AT44" t="str">
        <f t="shared" si="20"/>
        <v>通常</v>
      </c>
      <c r="AU44">
        <f t="shared" si="21"/>
        <v>0</v>
      </c>
      <c r="BA44">
        <f>IFERROR((SUM(OFFSET(高値!$E$6,IFERROR(MATCH($C44,銘柄管理!$B$6:$B$305,0),MATCH(TEXT($C44,"0"),銘柄管理!$B$6:$B$305,0))-1,0,1,14))-SUM(OFFSET(安値!$E$6,IFERROR(MATCH($C44,銘柄管理!$B$6:$B$305,0),MATCH(TEXT($C44,"0"),銘柄管理!$B$6:$B$305,0))-1,0,1,14)))/SUM(OFFSET(終値!$E$6,IFERROR(MATCH($C44,銘柄管理!$B$6:$B$305,0),MATCH(TEXT($C44,"0"),銘柄管理!$B$6:$B$305,0))-1,0,1,14))*100,"")</f>
      </c>
      <c r="BB44">
        <f>IFERROR((MAX(OFFSET(高値!$E$6,IFERROR(MATCH($C44,銘柄管理!$B$6:$B$305,0),MATCH(TEXT($C44,"0"),銘柄管理!$B$6:$B$305,0))-1,0,1,25))-MIN(OFFSET(安値!$E$6,IFERROR(MATCH($C44,銘柄管理!$B$6:$B$305,0),MATCH(TEXT($C44,"0"),銘柄管理!$B$6:$B$305,0))-1,0,1,25)))/$E44*100,"")</f>
      </c>
      <c r="BC44">
        <f>IFERROR(($F44-$G44)/$G44*100,"")</f>
      </c>
      <c r="BD44">
        <f>IFERROR(($E44-MAX(OFFSET(高値!$E$6,IFERROR(MATCH($C44,銘柄管理!$B$6:$B$305,0),MATCH(TEXT($C44,"0"),銘柄管理!$B$6:$B$305,0))-1,0,1,25)))/MAX(OFFSET(高値!$E$6,IFERROR(MATCH($C44,銘柄管理!$B$6:$B$305,0),MATCH(TEXT($C44,"0"),銘柄管理!$B$6:$B$305,0))-1,0,1,25))*100,"")</f>
      </c>
      <c r="BE44">
        <f>IFERROR(($H44-$I44)/$F44*100,"")</f>
      </c>
      <c r="BF44">
        <f>IFERROR(-(($BA44-AVERAGE($BA$3:$BA$206))/STDEV($BA$3:$BA$206))-(($BE44-AVERAGE($BE$3:$BE$206))/STDEV($BE$3:$BE$206))-(($BB44-AVERAGE($BB$3:$BB$206))/STDEV($BB$3:$BB$206))-(($Z44-AVERAGE($Z$3:$Z$206))/STDEV($Z$3:$Z$206))-(($BC44-AVERAGE($BC$3:$BC$206))/STDEV($BC$3:$BC$206)),"")</f>
      </c>
      <c r="BG44">
        <f>IF(OR($C44="",$C44="TOPX",$BA44="",$BF44=""),0,IF(AND($BK$10=1,$BA44&lt;=$BK$2,$BB44&lt;=$BK$3,$BC44&lt;=$BK$4,$Z44&lt;=$BK$5,$Z44&gt;=$BK$6,$BD44&gt;=$BK$7,$BE44&lt;=$BK$8),1,0))</f>
      </c>
      <c r="BH44">
        <f>IF($C44="","",IF($BG44=1,"○ゲート通過",IF($BK$10&lt;&gt;1,"― この方向は停止中",IF($BA44&gt;$BK$2,"×値動きが荒い",IF($BB44&gt;$BK$3,"×レンジが広い",IF($BC44&gt;$BK$4,"×窓を開けて上昇",IF($Z44&gt;$BK$5,"×前日に急騰",IF($Z44&lt;$BK$6,"×前日に急落",IF($BD44&lt;$BK$7,"×高値から離れすぎ",IF($BE44&gt;$BK$8,"×当日の値幅が大きい","×")))))))))</f>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 t="shared" si="0"/>
        <v>-19.733059548254619</v>
      </c>
      <c r="M45" s="326">
        <f>IF(C45&lt;&gt;"",IFERROR(AVERAGE(出来高!E200:I200),""),"")</f>
        <v>37311000</v>
      </c>
      <c r="N45" s="326">
        <f>IF(C45&lt;&gt;"",IFERROR(AVERAGE(出来高!E200:AC200),""),"")</f>
        <v>22022140</v>
      </c>
      <c r="O45" s="328">
        <f t="shared" si="1"/>
        <v>1.939229717777599</v>
      </c>
      <c r="P45" s="325" t="str">
        <f t="shared" si="2"/>
        <v>増加↑</v>
      </c>
      <c r="Q45" s="325" t="str">
        <f t="shared" si="3"/>
        <v>売り▼</v>
      </c>
      <c r="R45" s="326">
        <f t="shared" si="4"/>
        <v>3596</v>
      </c>
      <c r="S45" s="326">
        <f t="shared" si="5"/>
        <v>4065</v>
      </c>
      <c r="T45" s="325">
        <f>IF(C45="","",IFERROR(IF(W45&lt;=22,-4,IF(W45&lt;=28,-2,IF(W45&lt;=45,2,IF(W45&lt;=55,1,0))))+IF(X45&lt;0,2,0)+IF(AD45="下降トレンド▼",3,IF(AD45="もみ合い→",1,0))+IF(V45="年初来安値圏●",3,IF(V45="安値圏",2,0))+IF(Q45="売り▼",2,0)+IF(P45="急増↑↑",2,IF(P45="増加↑",1,0))+IF(Z45&lt;0,1,0)+IF(L45&lt;=-30,2,IF(L45&lt;=-15,1,0))+IF(AE45="25日戻り売り★",2,IF(AE45="5日戻り売り○",1,0))+N(AL45)+N(AP45)+N(AU45),0))</f>
      </c>
      <c r="U45" s="325" t="str">
        <f t="shared" si="7"/>
        <v>有効</v>
      </c>
      <c r="V45" s="325" t="str">
        <f t="shared" si="8"/>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 t="shared" si="9"/>
        <v>相場上昇・見送り | パーフェクト▲ MACD- RSI:52.9 前日比:-0.3% [安値圏] [13点]</v>
      </c>
      <c r="Z45" s="331">
        <f t="shared" si="10"/>
        <v>-0.25516713447307987</v>
      </c>
      <c r="AA45" s="325" t="str">
        <f t="shared" si="11"/>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 t="shared" si="12"/>
        <v>パーフェクト▲</v>
      </c>
      <c r="AE45" s="325" t="str">
        <f t="shared" si="13"/>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 t="shared" si="14"/>
        <v>13</v>
      </c>
      <c r="AH45">
        <f t="shared" si="15"/>
        <v>129955</v>
      </c>
      <c r="AI45" s="373">
        <f t="array" ref="AI45">IF(C45="","",IFERROR((INDEX(終値!$E:$E,MATCH(TEXT(C45,"0"),終値!$A:$A,0))-INDEX(終値!$E:$CZ,MATCH(TEXT(C45,"0"),終値!$A:$A,0),$AN$2))/INDEX(終値!$E:$CZ,MATCH(TEXT(C45,"0"),終値!$A:$A,0),$AN$2)*100,""))</f>
        <v>-10.158584233509538</v>
      </c>
      <c r="AJ45" s="373">
        <f t="array" ref="AJ45">IFERROR((終値!$E$5-INDEX(終値!$E$5:$CZ$5,1,$AN$2))/INDEX(終値!$E$5:$CZ$5,1,$AN$2)*100,"")</f>
        <v>1.0179378228534113</v>
      </c>
      <c r="AK45" s="374">
        <f t="shared" si="16"/>
        <v>-11.17652205636295</v>
      </c>
      <c r="AL45" s="372">
        <f t="shared" si="17"/>
        <v>3</v>
      </c>
      <c r="AO45" s="376" t="str">
        <f t="shared" si="18"/>
        <v>通常</v>
      </c>
      <c r="AP45" s="377">
        <f t="shared" si="19"/>
        <v>0</v>
      </c>
      <c r="AQ45">
        <f>IF(C45&lt;&gt;"",始値!F200,"")</f>
        <v>3846</v>
      </c>
      <c r="AR45">
        <f>IF(C45&lt;&gt;"",高値!F200,"")</f>
        <v>3976</v>
      </c>
      <c r="AS45">
        <f>IF(C45&lt;&gt;"",安値!F200,"")</f>
        <v>3781</v>
      </c>
      <c r="AT45" t="str">
        <f t="shared" si="20"/>
        <v>通常</v>
      </c>
      <c r="AU45">
        <f t="shared" si="21"/>
        <v>0</v>
      </c>
      <c r="BA45">
        <f>IFERROR((SUM(OFFSET(高値!$E$6,IFERROR(MATCH($C45,銘柄管理!$B$6:$B$305,0),MATCH(TEXT($C45,"0"),銘柄管理!$B$6:$B$305,0))-1,0,1,14))-SUM(OFFSET(安値!$E$6,IFERROR(MATCH($C45,銘柄管理!$B$6:$B$305,0),MATCH(TEXT($C45,"0"),銘柄管理!$B$6:$B$305,0))-1,0,1,14)))/SUM(OFFSET(終値!$E$6,IFERROR(MATCH($C45,銘柄管理!$B$6:$B$305,0),MATCH(TEXT($C45,"0"),銘柄管理!$B$6:$B$305,0))-1,0,1,14))*100,"")</f>
      </c>
      <c r="BB45">
        <f>IFERROR((MAX(OFFSET(高値!$E$6,IFERROR(MATCH($C45,銘柄管理!$B$6:$B$305,0),MATCH(TEXT($C45,"0"),銘柄管理!$B$6:$B$305,0))-1,0,1,25))-MIN(OFFSET(安値!$E$6,IFERROR(MATCH($C45,銘柄管理!$B$6:$B$305,0),MATCH(TEXT($C45,"0"),銘柄管理!$B$6:$B$305,0))-1,0,1,25)))/$E45*100,"")</f>
      </c>
      <c r="BC45">
        <f>IFERROR(($F45-$G45)/$G45*100,"")</f>
      </c>
      <c r="BD45">
        <f>IFERROR(($E45-MAX(OFFSET(高値!$E$6,IFERROR(MATCH($C45,銘柄管理!$B$6:$B$305,0),MATCH(TEXT($C45,"0"),銘柄管理!$B$6:$B$305,0))-1,0,1,25)))/MAX(OFFSET(高値!$E$6,IFERROR(MATCH($C45,銘柄管理!$B$6:$B$305,0),MATCH(TEXT($C45,"0"),銘柄管理!$B$6:$B$305,0))-1,0,1,25))*100,"")</f>
      </c>
      <c r="BE45">
        <f>IFERROR(($H45-$I45)/$F45*100,"")</f>
      </c>
      <c r="BF45">
        <f>IFERROR(-(($BA45-AVERAGE($BA$3:$BA$206))/STDEV($BA$3:$BA$206))-(($BE45-AVERAGE($BE$3:$BE$206))/STDEV($BE$3:$BE$206))-(($BB45-AVERAGE($BB$3:$BB$206))/STDEV($BB$3:$BB$206))-(($Z45-AVERAGE($Z$3:$Z$206))/STDEV($Z$3:$Z$206))-(($BC45-AVERAGE($BC$3:$BC$206))/STDEV($BC$3:$BC$206)),"")</f>
      </c>
      <c r="BG45">
        <f>IF(OR($C45="",$C45="TOPX",$BA45="",$BF45=""),0,IF(AND($BK$10=1,$BA45&lt;=$BK$2,$BB45&lt;=$BK$3,$BC45&lt;=$BK$4,$Z45&lt;=$BK$5,$Z45&gt;=$BK$6,$BD45&gt;=$BK$7,$BE45&lt;=$BK$8),1,0))</f>
      </c>
      <c r="BH45">
        <f>IF($C45="","",IF($BG45=1,"○ゲート通過",IF($BK$10&lt;&gt;1,"― この方向は停止中",IF($BA45&gt;$BK$2,"×値動きが荒い",IF($BB45&gt;$BK$3,"×レンジが広い",IF($BC45&gt;$BK$4,"×窓を開けて上昇",IF($Z45&gt;$BK$5,"×前日に急騰",IF($Z45&lt;$BK$6,"×前日に急落",IF($BD45&lt;$BK$7,"×高値から離れすぎ",IF($BE45&gt;$BK$8,"×当日の値幅が大きい","×")))))))))</f>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 t="shared" si="0"/>
        <v>-31.669172932330824</v>
      </c>
      <c r="M46" s="333">
        <f>IF(C46&lt;&gt;"",IFERROR(AVERAGE(出来高!E8:I8),""),"")</f>
        <v>3732720</v>
      </c>
      <c r="N46" s="333">
        <f>IF(C46&lt;&gt;"",IFERROR(AVERAGE(出来高!E8:AC8),""),"")</f>
        <v>3060896</v>
      </c>
      <c r="O46" s="335">
        <f t="shared" si="1"/>
        <v>1.3144570179386614</v>
      </c>
      <c r="P46" s="212" t="str">
        <f t="shared" si="2"/>
        <v>普通→</v>
      </c>
      <c r="Q46" s="212" t="str">
        <f t="shared" si="3"/>
        <v>様子見▲</v>
      </c>
      <c r="R46" s="333">
        <f t="shared" si="4"/>
        <v>8361</v>
      </c>
      <c r="S46" s="333">
        <f t="shared" si="5"/>
        <v>9452</v>
      </c>
      <c r="T46" s="325">
        <f>IF(C46="","",IFERROR(IF(W46&lt;=22,-4,IF(W46&lt;=28,-2,IF(W46&lt;=45,2,IF(W46&lt;=55,1,0))))+IF(X46&lt;0,2,0)+IF(AD46="下降トレンド▼",3,IF(AD46="もみ合い→",1,0))+IF(V46="年初来安値圏●",3,IF(V46="安値圏",2,0))+IF(Q46="売り▼",2,0)+IF(P46="急増↑↑",2,IF(P46="増加↑",1,0))+IF(Z46&lt;0,1,0)+IF(L46&lt;=-30,2,IF(L46&lt;=-15,1,0))+IF(AE46="25日戻り売り★",2,IF(AE46="5日戻り売り○",1,0))+N(AL46)+N(AP46)+N(AU46),0))</f>
      </c>
      <c r="U46" s="212" t="str">
        <f t="shared" si="7"/>
        <v>要確認</v>
      </c>
      <c r="V46" s="212" t="str">
        <f t="shared" si="8"/>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 t="shared" si="9"/>
        <v>相場上昇・見送り | パーフェクト▲ MACD+ RSI:62.5 前日比:+6.1% [安値圏] [4点]</v>
      </c>
      <c r="Z46" s="338">
        <f t="shared" si="10"/>
        <v>6.1310288450309471</v>
      </c>
      <c r="AA46" s="212" t="str">
        <f t="shared" si="11"/>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 t="shared" si="12"/>
        <v>パーフェクト▲</v>
      </c>
      <c r="AE46" s="212" t="str">
        <f t="shared" si="13"/>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 t="shared" si="14"/>
        <v>0</v>
      </c>
      <c r="AH46">
        <f t="shared" si="15"/>
        <v>0</v>
      </c>
      <c r="AI46" s="373">
        <f t="array" ref="AI46">IF(C46="","",IFERROR((INDEX(終値!$E:$E,MATCH(TEXT(C46,"0"),終値!$A:$A,0))-INDEX(終値!$E:$CZ,MATCH(TEXT(C46,"0"),終値!$A:$A,0),$AN$2))/INDEX(終値!$E:$CZ,MATCH(TEXT(C46,"0"),終値!$A:$A,0),$AN$2)*100,""))</f>
        <v>23.882224645583424</v>
      </c>
      <c r="AJ46" s="373">
        <f t="array" ref="AJ46">IFERROR((終値!$E$5-INDEX(終値!$E$5:$CZ$5,1,$AN$2))/INDEX(終値!$E$5:$CZ$5,1,$AN$2)*100,"")</f>
        <v>1.0179378228534113</v>
      </c>
      <c r="AK46" s="374">
        <f t="shared" si="16"/>
        <v>22.864286822730012</v>
      </c>
      <c r="AL46" s="372">
        <f t="shared" si="17"/>
        <v>-2</v>
      </c>
      <c r="AO46" s="376" t="str">
        <f t="shared" si="18"/>
        <v>通常</v>
      </c>
      <c r="AP46" s="377">
        <f t="shared" si="19"/>
        <v>0</v>
      </c>
      <c r="AQ46">
        <f>IF(C46&lt;&gt;"",始値!F8,"")</f>
        <v>8358</v>
      </c>
      <c r="AR46">
        <f>IF(C46&lt;&gt;"",高値!F8,"")</f>
        <v>8592</v>
      </c>
      <c r="AS46">
        <f>IF(C46&lt;&gt;"",安値!F8,"")</f>
        <v>8233</v>
      </c>
      <c r="AT46" t="str">
        <f t="shared" si="20"/>
        <v>通常</v>
      </c>
      <c r="AU46">
        <f t="shared" si="21"/>
        <v>0</v>
      </c>
      <c r="BA46">
        <f>IFERROR((SUM(OFFSET(高値!$E$6,IFERROR(MATCH($C46,銘柄管理!$B$6:$B$305,0),MATCH(TEXT($C46,"0"),銘柄管理!$B$6:$B$305,0))-1,0,1,14))-SUM(OFFSET(安値!$E$6,IFERROR(MATCH($C46,銘柄管理!$B$6:$B$305,0),MATCH(TEXT($C46,"0"),銘柄管理!$B$6:$B$305,0))-1,0,1,14)))/SUM(OFFSET(終値!$E$6,IFERROR(MATCH($C46,銘柄管理!$B$6:$B$305,0),MATCH(TEXT($C46,"0"),銘柄管理!$B$6:$B$305,0))-1,0,1,14))*100,"")</f>
      </c>
      <c r="BB46">
        <f>IFERROR((MAX(OFFSET(高値!$E$6,IFERROR(MATCH($C46,銘柄管理!$B$6:$B$305,0),MATCH(TEXT($C46,"0"),銘柄管理!$B$6:$B$305,0))-1,0,1,25))-MIN(OFFSET(安値!$E$6,IFERROR(MATCH($C46,銘柄管理!$B$6:$B$305,0),MATCH(TEXT($C46,"0"),銘柄管理!$B$6:$B$305,0))-1,0,1,25)))/$E46*100,"")</f>
      </c>
      <c r="BC46">
        <f>IFERROR(($F46-$G46)/$G46*100,"")</f>
      </c>
      <c r="BD46">
        <f>IFERROR(($E46-MAX(OFFSET(高値!$E$6,IFERROR(MATCH($C46,銘柄管理!$B$6:$B$305,0),MATCH(TEXT($C46,"0"),銘柄管理!$B$6:$B$305,0))-1,0,1,25)))/MAX(OFFSET(高値!$E$6,IFERROR(MATCH($C46,銘柄管理!$B$6:$B$305,0),MATCH(TEXT($C46,"0"),銘柄管理!$B$6:$B$305,0))-1,0,1,25))*100,"")</f>
      </c>
      <c r="BE46">
        <f>IFERROR(($H46-$I46)/$F46*100,"")</f>
      </c>
      <c r="BF46">
        <f>IFERROR(-(($BA46-AVERAGE($BA$3:$BA$206))/STDEV($BA$3:$BA$206))-(($BE46-AVERAGE($BE$3:$BE$206))/STDEV($BE$3:$BE$206))-(($BB46-AVERAGE($BB$3:$BB$206))/STDEV($BB$3:$BB$206))-(($Z46-AVERAGE($Z$3:$Z$206))/STDEV($Z$3:$Z$206))-(($BC46-AVERAGE($BC$3:$BC$206))/STDEV($BC$3:$BC$206)),"")</f>
      </c>
      <c r="BG46">
        <f>IF(OR($C46="",$C46="TOPX",$BA46="",$BF46=""),0,IF(AND($BK$10=1,$BA46&lt;=$BK$2,$BB46&lt;=$BK$3,$BC46&lt;=$BK$4,$Z46&lt;=$BK$5,$Z46&gt;=$BK$6,$BD46&gt;=$BK$7,$BE46&lt;=$BK$8),1,0))</f>
      </c>
      <c r="BH46">
        <f>IF($C46="","",IF($BG46=1,"○ゲート通過",IF($BK$10&lt;&gt;1,"― この方向は停止中",IF($BA46&gt;$BK$2,"×値動きが荒い",IF($BB46&gt;$BK$3,"×レンジが広い",IF($BC46&gt;$BK$4,"×窓を開けて上昇",IF($Z46&gt;$BK$5,"×前日に急騰",IF($Z46&lt;$BK$6,"×前日に急落",IF($BD46&lt;$BK$7,"×高値から離れすぎ",IF($BE46&gt;$BK$8,"×当日の値幅が大きい","×")))))))))</f>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 t="shared" si="0"/>
        <v>-28.053311793214863</v>
      </c>
      <c r="M47" s="326">
        <f>IF(C47&lt;&gt;"",IFERROR(AVERAGE(出来高!E10:I10),""),"")</f>
        <v>575340</v>
      </c>
      <c r="N47" s="326">
        <f>IF(C47&lt;&gt;"",IFERROR(AVERAGE(出来高!E10:AC10),""),"")</f>
        <v>491308</v>
      </c>
      <c r="O47" s="328">
        <f t="shared" si="1"/>
        <v>1.5550804741544131</v>
      </c>
      <c r="P47" s="325" t="str">
        <f t="shared" si="2"/>
        <v>増加↑</v>
      </c>
      <c r="Q47" s="325" t="str">
        <f t="shared" si="3"/>
        <v>様子見▲</v>
      </c>
      <c r="R47" s="326">
        <f t="shared" si="4"/>
        <v>8194</v>
      </c>
      <c r="S47" s="326">
        <f t="shared" si="5"/>
        <v>9263</v>
      </c>
      <c r="T47" s="325">
        <f>IF(C47="","",IFERROR(IF(W47&lt;=22,-4,IF(W47&lt;=28,-2,IF(W47&lt;=45,2,IF(W47&lt;=55,1,0))))+IF(X47&lt;0,2,0)+IF(AD47="下降トレンド▼",3,IF(AD47="もみ合い→",1,0))+IF(V47="年初来安値圏●",3,IF(V47="安値圏",2,0))+IF(Q47="売り▼",2,0)+IF(P47="急増↑↑",2,IF(P47="増加↑",1,0))+IF(Z47&lt;0,1,0)+IF(L47&lt;=-30,2,IF(L47&lt;=-15,1,0))+IF(AE47="25日戻り売り★",2,IF(AE47="5日戻り売り○",1,0))+N(AL47)+N(AP47)+N(AU47),0))</f>
      </c>
      <c r="U47" s="325" t="str">
        <f t="shared" si="7"/>
        <v>有効</v>
      </c>
      <c r="V47" s="325" t="str">
        <f t="shared" si="8"/>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 t="shared" si="9"/>
        <v>相場上昇・見送り | パーフェクト▲ MACD+ RSI:52.0 前日比:+4.1% [安値圏] [4点]</v>
      </c>
      <c r="Z47" s="331">
        <f t="shared" si="10"/>
        <v>4.0658955485453907</v>
      </c>
      <c r="AA47" s="325" t="str">
        <f t="shared" si="11"/>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 t="shared" si="12"/>
        <v>パーフェクト▲</v>
      </c>
      <c r="AE47" s="325" t="str">
        <f t="shared" si="13"/>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 t="shared" si="14"/>
        <v>0</v>
      </c>
      <c r="AH47">
        <f t="shared" si="15"/>
        <v>0</v>
      </c>
      <c r="AI47" s="373">
        <f t="array" ref="AI47">IF(C47="","",IFERROR((INDEX(終値!$E:$E,MATCH(TEXT(C47,"0"),終値!$A:$A,0))-INDEX(終値!$E:$CZ,MATCH(TEXT(C47,"0"),終値!$A:$A,0),$AN$2))/INDEX(終値!$E:$CZ,MATCH(TEXT(C47,"0"),終値!$A:$A,0),$AN$2)*100,""))</f>
        <v>3.5456870495233668</v>
      </c>
      <c r="AJ47" s="373">
        <f t="array" ref="AJ47">IFERROR((終値!$E$5-INDEX(終値!$E$5:$CZ$5,1,$AN$2))/INDEX(終値!$E$5:$CZ$5,1,$AN$2)*100,"")</f>
        <v>1.0179378228534113</v>
      </c>
      <c r="AK47" s="374">
        <f t="shared" si="16"/>
        <v>2.5277492266699557</v>
      </c>
      <c r="AL47" s="372">
        <f t="shared" si="17"/>
        <v>-1</v>
      </c>
      <c r="AO47" s="376" t="str">
        <f t="shared" si="18"/>
        <v>通常</v>
      </c>
      <c r="AP47" s="377">
        <f t="shared" si="19"/>
        <v>0</v>
      </c>
      <c r="AQ47">
        <f>IF(C47&lt;&gt;"",始値!F10,"")</f>
        <v>8347</v>
      </c>
      <c r="AR47">
        <f>IF(C47&lt;&gt;"",高値!F10,"")</f>
        <v>8628</v>
      </c>
      <c r="AS47">
        <f>IF(C47&lt;&gt;"",安値!F10,"")</f>
        <v>8330</v>
      </c>
      <c r="AT47" t="str">
        <f t="shared" si="20"/>
        <v>通常</v>
      </c>
      <c r="AU47">
        <f t="shared" si="21"/>
        <v>0</v>
      </c>
      <c r="BA47">
        <f>IFERROR((SUM(OFFSET(高値!$E$6,IFERROR(MATCH($C47,銘柄管理!$B$6:$B$305,0),MATCH(TEXT($C47,"0"),銘柄管理!$B$6:$B$305,0))-1,0,1,14))-SUM(OFFSET(安値!$E$6,IFERROR(MATCH($C47,銘柄管理!$B$6:$B$305,0),MATCH(TEXT($C47,"0"),銘柄管理!$B$6:$B$305,0))-1,0,1,14)))/SUM(OFFSET(終値!$E$6,IFERROR(MATCH($C47,銘柄管理!$B$6:$B$305,0),MATCH(TEXT($C47,"0"),銘柄管理!$B$6:$B$305,0))-1,0,1,14))*100,"")</f>
      </c>
      <c r="BB47">
        <f>IFERROR((MAX(OFFSET(高値!$E$6,IFERROR(MATCH($C47,銘柄管理!$B$6:$B$305,0),MATCH(TEXT($C47,"0"),銘柄管理!$B$6:$B$305,0))-1,0,1,25))-MIN(OFFSET(安値!$E$6,IFERROR(MATCH($C47,銘柄管理!$B$6:$B$305,0),MATCH(TEXT($C47,"0"),銘柄管理!$B$6:$B$305,0))-1,0,1,25)))/$E47*100,"")</f>
      </c>
      <c r="BC47">
        <f>IFERROR(($F47-$G47)/$G47*100,"")</f>
      </c>
      <c r="BD47">
        <f>IFERROR(($E47-MAX(OFFSET(高値!$E$6,IFERROR(MATCH($C47,銘柄管理!$B$6:$B$305,0),MATCH(TEXT($C47,"0"),銘柄管理!$B$6:$B$305,0))-1,0,1,25)))/MAX(OFFSET(高値!$E$6,IFERROR(MATCH($C47,銘柄管理!$B$6:$B$305,0),MATCH(TEXT($C47,"0"),銘柄管理!$B$6:$B$305,0))-1,0,1,25))*100,"")</f>
      </c>
      <c r="BE47">
        <f>IFERROR(($H47-$I47)/$F47*100,"")</f>
      </c>
      <c r="BF47">
        <f>IFERROR(-(($BA47-AVERAGE($BA$3:$BA$206))/STDEV($BA$3:$BA$206))-(($BE47-AVERAGE($BE$3:$BE$206))/STDEV($BE$3:$BE$206))-(($BB47-AVERAGE($BB$3:$BB$206))/STDEV($BB$3:$BB$206))-(($Z47-AVERAGE($Z$3:$Z$206))/STDEV($Z$3:$Z$206))-(($BC47-AVERAGE($BC$3:$BC$206))/STDEV($BC$3:$BC$206)),"")</f>
      </c>
      <c r="BG47">
        <f>IF(OR($C47="",$C47="TOPX",$BA47="",$BF47=""),0,IF(AND($BK$10=1,$BA47&lt;=$BK$2,$BB47&lt;=$BK$3,$BC47&lt;=$BK$4,$Z47&lt;=$BK$5,$Z47&gt;=$BK$6,$BD47&gt;=$BK$7,$BE47&lt;=$BK$8),1,0))</f>
      </c>
      <c r="BH47">
        <f>IF($C47="","",IF($BG47=1,"○ゲート通過",IF($BK$10&lt;&gt;1,"― この方向は停止中",IF($BA47&gt;$BK$2,"×値動きが荒い",IF($BB47&gt;$BK$3,"×レンジが広い",IF($BC47&gt;$BK$4,"×窓を開けて上昇",IF($Z47&gt;$BK$5,"×前日に急騰",IF($Z47&lt;$BK$6,"×前日に急落",IF($BD47&lt;$BK$7,"×高値から離れすぎ",IF($BE47&gt;$BK$8,"×当日の値幅が大きい","×")))))))))</f>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 t="shared" si="0"/>
        <v>-11.831831831831833</v>
      </c>
      <c r="M48" s="333">
        <f>IF(C48&lt;&gt;"",IFERROR(AVERAGE(出来高!E13:I13),""),"")</f>
        <v>622000</v>
      </c>
      <c r="N48" s="333">
        <f>IF(C48&lt;&gt;"",IFERROR(AVERAGE(出来高!E13:AC13),""),"")</f>
        <v>390060</v>
      </c>
      <c r="O48" s="335">
        <f t="shared" si="1"/>
        <v>0.45241157556270095</v>
      </c>
      <c r="P48" s="212" t="str">
        <f t="shared" si="2"/>
        <v>減少↓</v>
      </c>
      <c r="Q48" s="212" t="str">
        <f t="shared" si="3"/>
        <v>様子見▲</v>
      </c>
      <c r="R48" s="333">
        <f t="shared" si="4"/>
        <v>2701</v>
      </c>
      <c r="S48" s="333">
        <f t="shared" si="5"/>
        <v>3053</v>
      </c>
      <c r="T48" s="325">
        <f>IF(C48="","",IFERROR(IF(W48&lt;=22,-4,IF(W48&lt;=28,-2,IF(W48&lt;=45,2,IF(W48&lt;=55,1,0))))+IF(X48&lt;0,2,0)+IF(AD48="下降トレンド▼",3,IF(AD48="もみ合い→",1,0))+IF(V48="年初来安値圏●",3,IF(V48="安値圏",2,0))+IF(Q48="売り▼",2,0)+IF(P48="急増↑↑",2,IF(P48="増加↑",1,0))+IF(Z48&lt;0,1,0)+IF(L48&lt;=-30,2,IF(L48&lt;=-15,1,0))+IF(AE48="25日戻り売り★",2,IF(AE48="5日戻り売り○",1,0))+N(AL48)+N(AP48)+N(AU48),0))</f>
      </c>
      <c r="U48" s="212" t="str">
        <f t="shared" si="7"/>
        <v>除外</v>
      </c>
      <c r="V48" s="212" t="str">
        <f t="shared" si="8"/>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 t="shared" si="9"/>
        <v>相場上昇・見送り | パーフェクト▲ MACD+ RSI:60.1 前日比:+0.7% [0点]</v>
      </c>
      <c r="Z48" s="338">
        <f t="shared" si="10"/>
        <v>0.65135413095646211</v>
      </c>
      <c r="AA48" s="212" t="str">
        <f t="shared" si="11"/>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 t="shared" si="12"/>
        <v>パーフェクト▲</v>
      </c>
      <c r="AE48" s="212" t="str">
        <f t="shared" si="13"/>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 t="shared" si="14"/>
        <v>0</v>
      </c>
      <c r="AH48">
        <f t="shared" si="15"/>
        <v>0</v>
      </c>
      <c r="AI48" s="373">
        <f t="array" ref="AI48">IF(C48="","",IFERROR((INDEX(終値!$E:$E,MATCH(TEXT(C48,"0"),終値!$A:$A,0))-INDEX(終値!$E:$CZ,MATCH(TEXT(C48,"0"),終値!$A:$A,0),$AN$2))/INDEX(終値!$E:$CZ,MATCH(TEXT(C48,"0"),終値!$A:$A,0),$AN$2)*100,""))</f>
        <v>7.0751276440554349</v>
      </c>
      <c r="AJ48" s="373">
        <f t="array" ref="AJ48">IFERROR((終値!$E$5-INDEX(終値!$E$5:$CZ$5,1,$AN$2))/INDEX(終値!$E$5:$CZ$5,1,$AN$2)*100,"")</f>
        <v>1.0179378228534113</v>
      </c>
      <c r="AK48" s="374">
        <f t="shared" si="16"/>
        <v>6.0571898212020239</v>
      </c>
      <c r="AL48" s="372">
        <f t="shared" si="17"/>
        <v>-2</v>
      </c>
      <c r="AO48" s="376" t="str">
        <f t="shared" si="18"/>
        <v>通常</v>
      </c>
      <c r="AP48" s="377">
        <f t="shared" si="19"/>
        <v>0</v>
      </c>
      <c r="AQ48">
        <f>IF(C48&lt;&gt;"",始値!F13,"")</f>
        <v>2841</v>
      </c>
      <c r="AR48">
        <f>IF(C48&lt;&gt;"",高値!F13,"")</f>
        <v>2917</v>
      </c>
      <c r="AS48">
        <f>IF(C48&lt;&gt;"",安値!F13,"")</f>
        <v>2811</v>
      </c>
      <c r="AT48" t="str">
        <f t="shared" si="20"/>
        <v>通常</v>
      </c>
      <c r="AU48">
        <f t="shared" si="21"/>
        <v>0</v>
      </c>
      <c r="BA48">
        <f>IFERROR((SUM(OFFSET(高値!$E$6,IFERROR(MATCH($C48,銘柄管理!$B$6:$B$305,0),MATCH(TEXT($C48,"0"),銘柄管理!$B$6:$B$305,0))-1,0,1,14))-SUM(OFFSET(安値!$E$6,IFERROR(MATCH($C48,銘柄管理!$B$6:$B$305,0),MATCH(TEXT($C48,"0"),銘柄管理!$B$6:$B$305,0))-1,0,1,14)))/SUM(OFFSET(終値!$E$6,IFERROR(MATCH($C48,銘柄管理!$B$6:$B$305,0),MATCH(TEXT($C48,"0"),銘柄管理!$B$6:$B$305,0))-1,0,1,14))*100,"")</f>
      </c>
      <c r="BB48">
        <f>IFERROR((MAX(OFFSET(高値!$E$6,IFERROR(MATCH($C48,銘柄管理!$B$6:$B$305,0),MATCH(TEXT($C48,"0"),銘柄管理!$B$6:$B$305,0))-1,0,1,25))-MIN(OFFSET(安値!$E$6,IFERROR(MATCH($C48,銘柄管理!$B$6:$B$305,0),MATCH(TEXT($C48,"0"),銘柄管理!$B$6:$B$305,0))-1,0,1,25)))/$E48*100,"")</f>
      </c>
      <c r="BC48">
        <f>IFERROR(($F48-$G48)/$G48*100,"")</f>
      </c>
      <c r="BD48">
        <f>IFERROR(($E48-MAX(OFFSET(高値!$E$6,IFERROR(MATCH($C48,銘柄管理!$B$6:$B$305,0),MATCH(TEXT($C48,"0"),銘柄管理!$B$6:$B$305,0))-1,0,1,25)))/MAX(OFFSET(高値!$E$6,IFERROR(MATCH($C48,銘柄管理!$B$6:$B$305,0),MATCH(TEXT($C48,"0"),銘柄管理!$B$6:$B$305,0))-1,0,1,25))*100,"")</f>
      </c>
      <c r="BE48">
        <f>IFERROR(($H48-$I48)/$F48*100,"")</f>
      </c>
      <c r="BF48">
        <f>IFERROR(-(($BA48-AVERAGE($BA$3:$BA$206))/STDEV($BA$3:$BA$206))-(($BE48-AVERAGE($BE$3:$BE$206))/STDEV($BE$3:$BE$206))-(($BB48-AVERAGE($BB$3:$BB$206))/STDEV($BB$3:$BB$206))-(($Z48-AVERAGE($Z$3:$Z$206))/STDEV($Z$3:$Z$206))-(($BC48-AVERAGE($BC$3:$BC$206))/STDEV($BC$3:$BC$206)),"")</f>
      </c>
      <c r="BG48">
        <f>IF(OR($C48="",$C48="TOPX",$BA48="",$BF48=""),0,IF(AND($BK$10=1,$BA48&lt;=$BK$2,$BB48&lt;=$BK$3,$BC48&lt;=$BK$4,$Z48&lt;=$BK$5,$Z48&gt;=$BK$6,$BD48&gt;=$BK$7,$BE48&lt;=$BK$8),1,0))</f>
      </c>
      <c r="BH48">
        <f>IF($C48="","",IF($BG48=1,"○ゲート通過",IF($BK$10&lt;&gt;1,"― この方向は停止中",IF($BA48&gt;$BK$2,"×値動きが荒い",IF($BB48&gt;$BK$3,"×レンジが広い",IF($BC48&gt;$BK$4,"×窓を開けて上昇",IF($Z48&gt;$BK$5,"×前日に急騰",IF($Z48&lt;$BK$6,"×前日に急落",IF($BD48&lt;$BK$7,"×高値から離れすぎ",IF($BE48&gt;$BK$8,"×当日の値幅が大きい","×")))))))))</f>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 t="shared" si="0"/>
        <v>1.6274338854984016</v>
      </c>
      <c r="M49" s="326">
        <f>IF(C49&lt;&gt;"",IFERROR(AVERAGE(出来高!E25:I25),""),"")</f>
        <v>16820420</v>
      </c>
      <c r="N49" s="326">
        <f>IF(C49&lt;&gt;"",IFERROR(AVERAGE(出来高!E25:AC25),""),"")</f>
        <v>12169588</v>
      </c>
      <c r="O49" s="328">
        <f t="shared" si="1"/>
        <v>0.60042495966212495</v>
      </c>
      <c r="P49" s="325" t="str">
        <f t="shared" si="2"/>
        <v>減少↓</v>
      </c>
      <c r="Q49" s="325" t="str">
        <f t="shared" si="3"/>
        <v>様子見▲</v>
      </c>
      <c r="R49" s="326">
        <f t="shared" si="4"/>
        <v>1609</v>
      </c>
      <c r="S49" s="326">
        <f t="shared" si="5"/>
        <v>1818</v>
      </c>
      <c r="T49" s="325">
        <f>IF(C49="","",IFERROR(IF(W49&lt;=22,-4,IF(W49&lt;=28,-2,IF(W49&lt;=45,2,IF(W49&lt;=55,1,0))))+IF(X49&lt;0,2,0)+IF(AD49="下降トレンド▼",3,IF(AD49="もみ合い→",1,0))+IF(V49="年初来安値圏●",3,IF(V49="安値圏",2,0))+IF(Q49="売り▼",2,0)+IF(P49="急増↑↑",2,IF(P49="増加↑",1,0))+IF(Z49&lt;0,1,0)+IF(L49&lt;=-30,2,IF(L49&lt;=-15,1,0))+IF(AE49="25日戻り売り★",2,IF(AE49="5日戻り売り○",1,0))+N(AL49)+N(AP49)+N(AU49),0))</f>
      </c>
      <c r="U49" s="325" t="str">
        <f t="shared" si="7"/>
        <v>除外</v>
      </c>
      <c r="V49" s="325" t="str">
        <f t="shared" si="8"/>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 t="shared" si="9"/>
        <v>相場上昇・見送り | パーフェクト▲ MACD+ RSI:66.1 前日比:+1.6% [0点]</v>
      </c>
      <c r="Z49" s="331">
        <f t="shared" si="10"/>
        <v>1.6274338854984016</v>
      </c>
      <c r="AA49" s="325" t="str">
        <f t="shared" si="11"/>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 t="shared" si="12"/>
        <v>パーフェクト▲</v>
      </c>
      <c r="AE49" s="325" t="str">
        <f t="shared" si="13"/>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 t="shared" si="14"/>
        <v>0</v>
      </c>
      <c r="AH49">
        <f t="shared" si="15"/>
        <v>0</v>
      </c>
      <c r="AI49" s="373">
        <f t="array" ref="AI49">IF(C49="","",IFERROR((INDEX(終値!$E:$E,MATCH(TEXT(C49,"0"),終値!$A:$A,0))-INDEX(終値!$E:$CZ,MATCH(TEXT(C49,"0"),終値!$A:$A,0),$AN$2))/INDEX(終値!$E:$CZ,MATCH(TEXT(C49,"0"),終値!$A:$A,0),$AN$2)*100,""))</f>
        <v>11.68955605237943</v>
      </c>
      <c r="AJ49" s="373">
        <f t="array" ref="AJ49">IFERROR((終値!$E$5-INDEX(終値!$E$5:$CZ$5,1,$AN$2))/INDEX(終値!$E$5:$CZ$5,1,$AN$2)*100,"")</f>
        <v>1.0179378228534113</v>
      </c>
      <c r="AK49" s="374">
        <f t="shared" si="16"/>
        <v>10.671618229526018</v>
      </c>
      <c r="AL49" s="372">
        <f t="shared" si="17"/>
        <v>-2</v>
      </c>
      <c r="AO49" s="376" t="str">
        <f t="shared" si="18"/>
        <v>通常</v>
      </c>
      <c r="AP49" s="377">
        <f t="shared" si="19"/>
        <v>0</v>
      </c>
      <c r="AQ49">
        <f>IF(C49&lt;&gt;"",始値!F25,"")</f>
        <v>1660</v>
      </c>
      <c r="AR49">
        <f>IF(C49&lt;&gt;"",高値!F25,"")</f>
        <v>1720.5</v>
      </c>
      <c r="AS49">
        <f>IF(C49&lt;&gt;"",安値!F25,"")</f>
        <v>1657.5</v>
      </c>
      <c r="AT49" t="str">
        <f t="shared" si="20"/>
        <v>通常</v>
      </c>
      <c r="AU49">
        <f t="shared" si="21"/>
        <v>0</v>
      </c>
      <c r="BA49">
        <f>IFERROR((SUM(OFFSET(高値!$E$6,IFERROR(MATCH($C49,銘柄管理!$B$6:$B$305,0),MATCH(TEXT($C49,"0"),銘柄管理!$B$6:$B$305,0))-1,0,1,14))-SUM(OFFSET(安値!$E$6,IFERROR(MATCH($C49,銘柄管理!$B$6:$B$305,0),MATCH(TEXT($C49,"0"),銘柄管理!$B$6:$B$305,0))-1,0,1,14)))/SUM(OFFSET(終値!$E$6,IFERROR(MATCH($C49,銘柄管理!$B$6:$B$305,0),MATCH(TEXT($C49,"0"),銘柄管理!$B$6:$B$305,0))-1,0,1,14))*100,"")</f>
      </c>
      <c r="BB49">
        <f>IFERROR((MAX(OFFSET(高値!$E$6,IFERROR(MATCH($C49,銘柄管理!$B$6:$B$305,0),MATCH(TEXT($C49,"0"),銘柄管理!$B$6:$B$305,0))-1,0,1,25))-MIN(OFFSET(安値!$E$6,IFERROR(MATCH($C49,銘柄管理!$B$6:$B$305,0),MATCH(TEXT($C49,"0"),銘柄管理!$B$6:$B$305,0))-1,0,1,25)))/$E49*100,"")</f>
      </c>
      <c r="BC49">
        <f>IFERROR(($F49-$G49)/$G49*100,"")</f>
      </c>
      <c r="BD49">
        <f>IFERROR(($E49-MAX(OFFSET(高値!$E$6,IFERROR(MATCH($C49,銘柄管理!$B$6:$B$305,0),MATCH(TEXT($C49,"0"),銘柄管理!$B$6:$B$305,0))-1,0,1,25)))/MAX(OFFSET(高値!$E$6,IFERROR(MATCH($C49,銘柄管理!$B$6:$B$305,0),MATCH(TEXT($C49,"0"),銘柄管理!$B$6:$B$305,0))-1,0,1,25))*100,"")</f>
      </c>
      <c r="BE49">
        <f>IFERROR(($H49-$I49)/$F49*100,"")</f>
      </c>
      <c r="BF49">
        <f>IFERROR(-(($BA49-AVERAGE($BA$3:$BA$206))/STDEV($BA$3:$BA$206))-(($BE49-AVERAGE($BE$3:$BE$206))/STDEV($BE$3:$BE$206))-(($BB49-AVERAGE($BB$3:$BB$206))/STDEV($BB$3:$BB$206))-(($Z49-AVERAGE($Z$3:$Z$206))/STDEV($Z$3:$Z$206))-(($BC49-AVERAGE($BC$3:$BC$206))/STDEV($BC$3:$BC$206)),"")</f>
      </c>
      <c r="BG49">
        <f>IF(OR($C49="",$C49="TOPX",$BA49="",$BF49=""),0,IF(AND($BK$10=1,$BA49&lt;=$BK$2,$BB49&lt;=$BK$3,$BC49&lt;=$BK$4,$Z49&lt;=$BK$5,$Z49&gt;=$BK$6,$BD49&gt;=$BK$7,$BE49&lt;=$BK$8),1,0))</f>
      </c>
      <c r="BH49">
        <f>IF($C49="","",IF($BG49=1,"○ゲート通過",IF($BK$10&lt;&gt;1,"― この方向は停止中",IF($BA49&gt;$BK$2,"×値動きが荒い",IF($BB49&gt;$BK$3,"×レンジが広い",IF($BC49&gt;$BK$4,"×窓を開けて上昇",IF($Z49&gt;$BK$5,"×前日に急騰",IF($Z49&lt;$BK$6,"×前日に急落",IF($BD49&lt;$BK$7,"×高値から離れすぎ",IF($BE49&gt;$BK$8,"×当日の値幅が大きい","×")))))))))</f>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 t="shared" si="0"/>
        <v>-28.128078817733993</v>
      </c>
      <c r="M50" s="333">
        <f>IF(C50&lt;&gt;"",IFERROR(AVERAGE(出来高!E57:I57),""),"")</f>
        <v>273240</v>
      </c>
      <c r="N50" s="333">
        <f>IF(C50&lt;&gt;"",IFERROR(AVERAGE(出来高!E57:AC57),""),"")</f>
        <v>338720</v>
      </c>
      <c r="O50" s="335">
        <f t="shared" si="1"/>
        <v>1.5532132923437272</v>
      </c>
      <c r="P50" s="212" t="str">
        <f t="shared" si="2"/>
        <v>増加↑</v>
      </c>
      <c r="Q50" s="212" t="str">
        <f t="shared" si="3"/>
        <v>売り▼</v>
      </c>
      <c r="R50" s="333">
        <f t="shared" si="4"/>
        <v>1342</v>
      </c>
      <c r="S50" s="333">
        <f t="shared" si="5"/>
        <v>1517</v>
      </c>
      <c r="T50" s="325">
        <f>IF(C50="","",IFERROR(IF(W50&lt;=22,-4,IF(W50&lt;=28,-2,IF(W50&lt;=45,2,IF(W50&lt;=55,1,0))))+IF(X50&lt;0,2,0)+IF(AD50="下降トレンド▼",3,IF(AD50="もみ合い→",1,0))+IF(V50="年初来安値圏●",3,IF(V50="安値圏",2,0))+IF(Q50="売り▼",2,0)+IF(P50="急増↑↑",2,IF(P50="増加↑",1,0))+IF(Z50&lt;0,1,0)+IF(L50&lt;=-30,2,IF(L50&lt;=-15,1,0))+IF(AE50="25日戻り売り★",2,IF(AE50="5日戻り売り○",1,0))+N(AL50)+N(AP50)+N(AU50),0))</f>
      </c>
      <c r="U50" s="212" t="str">
        <f t="shared" si="7"/>
        <v>有効</v>
      </c>
      <c r="V50" s="212" t="str">
        <f t="shared" si="8"/>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 t="shared" si="9"/>
        <v>相場上昇・見送り | 上昇トレンド▲ MACD- RSI:35.5 前日比:-1.1% [安値圏] [10点]</v>
      </c>
      <c r="Z50" s="338">
        <f t="shared" si="10"/>
        <v>-1.0847457627118644</v>
      </c>
      <c r="AA50" s="212" t="str">
        <f t="shared" si="11"/>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 t="shared" si="12"/>
        <v>上昇トレンド▲</v>
      </c>
      <c r="AE50" s="212" t="str">
        <f t="shared" si="13"/>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 t="shared" si="14"/>
        <v>10</v>
      </c>
      <c r="AH50">
        <f t="shared" si="15"/>
        <v>99950</v>
      </c>
      <c r="AI50" s="373">
        <f t="array" ref="AI50">IF(C50="","",IFERROR((INDEX(終値!$E:$E,MATCH(TEXT(C50,"0"),終値!$A:$A,0))-INDEX(終値!$E:$CZ,MATCH(TEXT(C50,"0"),終値!$A:$A,0),$AN$2))/INDEX(終値!$E:$CZ,MATCH(TEXT(C50,"0"),終値!$A:$A,0),$AN$2)*100,""))</f>
        <v>-3.56906807666887</v>
      </c>
      <c r="AJ50" s="373">
        <f t="array" ref="AJ50">IFERROR((終値!$E$5-INDEX(終値!$E$5:$CZ$5,1,$AN$2))/INDEX(終値!$E$5:$CZ$5,1,$AN$2)*100,"")</f>
        <v>1.0179378228534113</v>
      </c>
      <c r="AK50" s="374">
        <f t="shared" si="16"/>
        <v>-4.5870058995222811</v>
      </c>
      <c r="AL50" s="372">
        <f t="shared" si="17"/>
        <v>1</v>
      </c>
      <c r="AO50" s="376" t="str">
        <f t="shared" si="18"/>
        <v>通常</v>
      </c>
      <c r="AP50" s="377">
        <f t="shared" si="19"/>
        <v>0</v>
      </c>
      <c r="AQ50">
        <f>IF(C50&lt;&gt;"",始値!F57,"")</f>
        <v>1405</v>
      </c>
      <c r="AR50">
        <f>IF(C50&lt;&gt;"",高値!F57,"")</f>
        <v>1475</v>
      </c>
      <c r="AS50">
        <f>IF(C50&lt;&gt;"",安値!F57,"")</f>
        <v>1405</v>
      </c>
      <c r="AT50" t="str">
        <f t="shared" si="20"/>
        <v>通常</v>
      </c>
      <c r="AU50">
        <f t="shared" si="21"/>
        <v>0</v>
      </c>
      <c r="BA50">
        <f>IFERROR((SUM(OFFSET(高値!$E$6,IFERROR(MATCH($C50,銘柄管理!$B$6:$B$305,0),MATCH(TEXT($C50,"0"),銘柄管理!$B$6:$B$305,0))-1,0,1,14))-SUM(OFFSET(安値!$E$6,IFERROR(MATCH($C50,銘柄管理!$B$6:$B$305,0),MATCH(TEXT($C50,"0"),銘柄管理!$B$6:$B$305,0))-1,0,1,14)))/SUM(OFFSET(終値!$E$6,IFERROR(MATCH($C50,銘柄管理!$B$6:$B$305,0),MATCH(TEXT($C50,"0"),銘柄管理!$B$6:$B$305,0))-1,0,1,14))*100,"")</f>
      </c>
      <c r="BB50">
        <f>IFERROR((MAX(OFFSET(高値!$E$6,IFERROR(MATCH($C50,銘柄管理!$B$6:$B$305,0),MATCH(TEXT($C50,"0"),銘柄管理!$B$6:$B$305,0))-1,0,1,25))-MIN(OFFSET(安値!$E$6,IFERROR(MATCH($C50,銘柄管理!$B$6:$B$305,0),MATCH(TEXT($C50,"0"),銘柄管理!$B$6:$B$305,0))-1,0,1,25)))/$E50*100,"")</f>
      </c>
      <c r="BC50">
        <f>IFERROR(($F50-$G50)/$G50*100,"")</f>
      </c>
      <c r="BD50">
        <f>IFERROR(($E50-MAX(OFFSET(高値!$E$6,IFERROR(MATCH($C50,銘柄管理!$B$6:$B$305,0),MATCH(TEXT($C50,"0"),銘柄管理!$B$6:$B$305,0))-1,0,1,25)))/MAX(OFFSET(高値!$E$6,IFERROR(MATCH($C50,銘柄管理!$B$6:$B$305,0),MATCH(TEXT($C50,"0"),銘柄管理!$B$6:$B$305,0))-1,0,1,25))*100,"")</f>
      </c>
      <c r="BE50">
        <f>IFERROR(($H50-$I50)/$F50*100,"")</f>
      </c>
      <c r="BF50">
        <f>IFERROR(-(($BA50-AVERAGE($BA$3:$BA$206))/STDEV($BA$3:$BA$206))-(($BE50-AVERAGE($BE$3:$BE$206))/STDEV($BE$3:$BE$206))-(($BB50-AVERAGE($BB$3:$BB$206))/STDEV($BB$3:$BB$206))-(($Z50-AVERAGE($Z$3:$Z$206))/STDEV($Z$3:$Z$206))-(($BC50-AVERAGE($BC$3:$BC$206))/STDEV($BC$3:$BC$206)),"")</f>
      </c>
      <c r="BG50">
        <f>IF(OR($C50="",$C50="TOPX",$BA50="",$BF50=""),0,IF(AND($BK$10=1,$BA50&lt;=$BK$2,$BB50&lt;=$BK$3,$BC50&lt;=$BK$4,$Z50&lt;=$BK$5,$Z50&gt;=$BK$6,$BD50&gt;=$BK$7,$BE50&lt;=$BK$8),1,0))</f>
      </c>
      <c r="BH50">
        <f>IF($C50="","",IF($BG50=1,"○ゲート通過",IF($BK$10&lt;&gt;1,"― この方向は停止中",IF($BA50&gt;$BK$2,"×値動きが荒い",IF($BB50&gt;$BK$3,"×レンジが広い",IF($BC50&gt;$BK$4,"×窓を開けて上昇",IF($Z50&gt;$BK$5,"×前日に急騰",IF($Z50&lt;$BK$6,"×前日に急落",IF($BD50&lt;$BK$7,"×高値から離れすぎ",IF($BE50&gt;$BK$8,"×当日の値幅が大きい","×")))))))))</f>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 t="shared" si="0"/>
        <v>-26.900763358778622</v>
      </c>
      <c r="M51" s="326">
        <f>IF(C51&lt;&gt;"",IFERROR(AVERAGE(出来高!E59:I59),""),"")</f>
        <v>1046000</v>
      </c>
      <c r="N51" s="326">
        <f>IF(C51&lt;&gt;"",IFERROR(AVERAGE(出来高!E59:AC59),""),"")</f>
        <v>780276</v>
      </c>
      <c r="O51" s="328">
        <f t="shared" si="1"/>
        <v>0.9140535372848948</v>
      </c>
      <c r="P51" s="325" t="str">
        <f t="shared" si="2"/>
        <v>減少↓</v>
      </c>
      <c r="Q51" s="325" t="str">
        <f t="shared" si="3"/>
        <v>中立→</v>
      </c>
      <c r="R51" s="326">
        <f t="shared" si="4"/>
        <v>2202</v>
      </c>
      <c r="S51" s="326">
        <f t="shared" si="5"/>
        <v>2490</v>
      </c>
      <c r="T51" s="325">
        <f>IF(C51="","",IFERROR(IF(W51&lt;=22,-4,IF(W51&lt;=28,-2,IF(W51&lt;=45,2,IF(W51&lt;=55,1,0))))+IF(X51&lt;0,2,0)+IF(AD51="下降トレンド▼",3,IF(AD51="もみ合い→",1,0))+IF(V51="年初来安値圏●",3,IF(V51="安値圏",2,0))+IF(Q51="売り▼",2,0)+IF(P51="急増↑↑",2,IF(P51="増加↑",1,0))+IF(Z51&lt;0,1,0)+IF(L51&lt;=-30,2,IF(L51&lt;=-15,1,0))+IF(AE51="25日戻り売り★",2,IF(AE51="5日戻り売り○",1,0))+N(AL51)+N(AP51)+N(AU51),0))</f>
      </c>
      <c r="U51" s="325" t="str">
        <f t="shared" si="7"/>
        <v>要確認</v>
      </c>
      <c r="V51" s="325" t="str">
        <f t="shared" si="8"/>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 t="shared" si="9"/>
        <v>○逆張り売り | もみ合い→ 25日戻り売り★ MACD- RSI:41.0 前日比:-2.5% [安値圏] [12点]</v>
      </c>
      <c r="Z51" s="331">
        <f t="shared" si="10"/>
        <v>-2.5244299674267103</v>
      </c>
      <c r="AA51" s="325" t="str">
        <f t="shared" si="11"/>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 t="shared" si="12"/>
        <v>もみ合い→</v>
      </c>
      <c r="AE51" s="325" t="str">
        <f t="shared" si="13"/>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 t="shared" si="14"/>
        <v>12</v>
      </c>
      <c r="AH51">
        <f t="shared" si="15"/>
        <v>119949</v>
      </c>
      <c r="AI51" s="373">
        <f t="array" ref="AI51">IF(C51="","",IFERROR((INDEX(終値!$E:$E,MATCH(TEXT(C51,"0"),終値!$A:$A,0))-INDEX(終値!$E:$CZ,MATCH(TEXT(C51,"0"),終値!$A:$A,0),$AN$2))/INDEX(終値!$E:$CZ,MATCH(TEXT(C51,"0"),終値!$A:$A,0),$AN$2)*100,""))</f>
        <v>-16.498081618416464</v>
      </c>
      <c r="AJ51" s="373">
        <f t="array" ref="AJ51">IFERROR((終値!$E$5-INDEX(終値!$E$5:$CZ$5,1,$AN$2))/INDEX(終値!$E$5:$CZ$5,1,$AN$2)*100,"")</f>
        <v>1.0179378228534113</v>
      </c>
      <c r="AK51" s="374">
        <f t="shared" si="16"/>
        <v>-17.516019441269876</v>
      </c>
      <c r="AL51" s="372">
        <f t="shared" si="17"/>
        <v>3</v>
      </c>
      <c r="AO51" s="376" t="str">
        <f t="shared" si="18"/>
        <v>通常</v>
      </c>
      <c r="AP51" s="377">
        <f t="shared" si="19"/>
        <v>0</v>
      </c>
      <c r="AQ51">
        <f>IF(C51&lt;&gt;"",始値!F59,"")</f>
        <v>2291</v>
      </c>
      <c r="AR51">
        <f>IF(C51&lt;&gt;"",高値!F59,"")</f>
        <v>2472</v>
      </c>
      <c r="AS51">
        <f>IF(C51&lt;&gt;"",安値!F59,"")</f>
        <v>2282</v>
      </c>
      <c r="AT51" t="str">
        <f t="shared" si="20"/>
        <v>通常</v>
      </c>
      <c r="AU51">
        <f t="shared" si="21"/>
        <v>0</v>
      </c>
      <c r="BA51">
        <f>IFERROR((SUM(OFFSET(高値!$E$6,IFERROR(MATCH($C51,銘柄管理!$B$6:$B$305,0),MATCH(TEXT($C51,"0"),銘柄管理!$B$6:$B$305,0))-1,0,1,14))-SUM(OFFSET(安値!$E$6,IFERROR(MATCH($C51,銘柄管理!$B$6:$B$305,0),MATCH(TEXT($C51,"0"),銘柄管理!$B$6:$B$305,0))-1,0,1,14)))/SUM(OFFSET(終値!$E$6,IFERROR(MATCH($C51,銘柄管理!$B$6:$B$305,0),MATCH(TEXT($C51,"0"),銘柄管理!$B$6:$B$305,0))-1,0,1,14))*100,"")</f>
      </c>
      <c r="BB51">
        <f>IFERROR((MAX(OFFSET(高値!$E$6,IFERROR(MATCH($C51,銘柄管理!$B$6:$B$305,0),MATCH(TEXT($C51,"0"),銘柄管理!$B$6:$B$305,0))-1,0,1,25))-MIN(OFFSET(安値!$E$6,IFERROR(MATCH($C51,銘柄管理!$B$6:$B$305,0),MATCH(TEXT($C51,"0"),銘柄管理!$B$6:$B$305,0))-1,0,1,25)))/$E51*100,"")</f>
      </c>
      <c r="BC51">
        <f>IFERROR(($F51-$G51)/$G51*100,"")</f>
      </c>
      <c r="BD51">
        <f>IFERROR(($E51-MAX(OFFSET(高値!$E$6,IFERROR(MATCH($C51,銘柄管理!$B$6:$B$305,0),MATCH(TEXT($C51,"0"),銘柄管理!$B$6:$B$305,0))-1,0,1,25)))/MAX(OFFSET(高値!$E$6,IFERROR(MATCH($C51,銘柄管理!$B$6:$B$305,0),MATCH(TEXT($C51,"0"),銘柄管理!$B$6:$B$305,0))-1,0,1,25))*100,"")</f>
      </c>
      <c r="BE51">
        <f>IFERROR(($H51-$I51)/$F51*100,"")</f>
      </c>
      <c r="BF51">
        <f>IFERROR(-(($BA51-AVERAGE($BA$3:$BA$206))/STDEV($BA$3:$BA$206))-(($BE51-AVERAGE($BE$3:$BE$206))/STDEV($BE$3:$BE$206))-(($BB51-AVERAGE($BB$3:$BB$206))/STDEV($BB$3:$BB$206))-(($Z51-AVERAGE($Z$3:$Z$206))/STDEV($Z$3:$Z$206))-(($BC51-AVERAGE($BC$3:$BC$206))/STDEV($BC$3:$BC$206)),"")</f>
      </c>
      <c r="BG51">
        <f>IF(OR($C51="",$C51="TOPX",$BA51="",$BF51=""),0,IF(AND($BK$10=1,$BA51&lt;=$BK$2,$BB51&lt;=$BK$3,$BC51&lt;=$BK$4,$Z51&lt;=$BK$5,$Z51&gt;=$BK$6,$BD51&gt;=$BK$7,$BE51&lt;=$BK$8),1,0))</f>
      </c>
      <c r="BH51">
        <f>IF($C51="","",IF($BG51=1,"○ゲート通過",IF($BK$10&lt;&gt;1,"― この方向は停止中",IF($BA51&gt;$BK$2,"×値動きが荒い",IF($BB51&gt;$BK$3,"×レンジが広い",IF($BC51&gt;$BK$4,"×窓を開けて上昇",IF($Z51&gt;$BK$5,"×前日に急騰",IF($Z51&lt;$BK$6,"×前日に急落",IF($BD51&lt;$BK$7,"×高値から離れすぎ",IF($BE51&gt;$BK$8,"×当日の値幅が大きい","×")))))))))</f>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 t="shared" si="0"/>
        <v>-26.694915254237291</v>
      </c>
      <c r="M52" s="333">
        <f>IF(C52&lt;&gt;"",IFERROR(AVERAGE(出来高!E62:I62),""),"")</f>
        <v>915560</v>
      </c>
      <c r="N52" s="333">
        <f>IF(C52&lt;&gt;"",IFERROR(AVERAGE(出来高!E62:AC62),""),"")</f>
        <v>698424</v>
      </c>
      <c r="O52" s="335">
        <f t="shared" si="1"/>
        <v>1.3824326095504391</v>
      </c>
      <c r="P52" s="212" t="str">
        <f t="shared" si="2"/>
        <v>普通→</v>
      </c>
      <c r="Q52" s="212" t="str">
        <f t="shared" si="3"/>
        <v>様子見▲</v>
      </c>
      <c r="R52" s="333">
        <f t="shared" si="4"/>
        <v>3183</v>
      </c>
      <c r="S52" s="333">
        <f t="shared" si="5"/>
        <v>3598</v>
      </c>
      <c r="T52" s="325">
        <f>IF(C52="","",IFERROR(IF(W52&lt;=22,-4,IF(W52&lt;=28,-2,IF(W52&lt;=45,2,IF(W52&lt;=55,1,0))))+IF(X52&lt;0,2,0)+IF(AD52="下降トレンド▼",3,IF(AD52="もみ合い→",1,0))+IF(V52="年初来安値圏●",3,IF(V52="安値圏",2,0))+IF(Q52="売り▼",2,0)+IF(P52="急増↑↑",2,IF(P52="増加↑",1,0))+IF(Z52&lt;0,1,0)+IF(L52&lt;=-30,2,IF(L52&lt;=-15,1,0))+IF(AE52="25日戻り売り★",2,IF(AE52="5日戻り売り○",1,0))+N(AL52)+N(AP52)+N(AU52),0))</f>
      </c>
      <c r="U52" s="212" t="str">
        <f t="shared" si="7"/>
        <v>除外</v>
      </c>
      <c r="V52" s="212" t="str">
        <f t="shared" si="8"/>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 t="shared" si="9"/>
        <v>相場上昇・見送り | パーフェクト▲ MACD+ RSI:59.9 前日比:+5.2% [安値圏] [2点]</v>
      </c>
      <c r="Z52" s="338">
        <f t="shared" si="10"/>
        <v>5.1671732522796354</v>
      </c>
      <c r="AA52" s="212" t="str">
        <f t="shared" si="11"/>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 t="shared" si="12"/>
        <v>パーフェクト▲</v>
      </c>
      <c r="AE52" s="212" t="str">
        <f t="shared" si="13"/>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 t="shared" si="14"/>
        <v>0</v>
      </c>
      <c r="AH52">
        <f t="shared" si="15"/>
        <v>0</v>
      </c>
      <c r="AI52" s="373">
        <f t="array" ref="AI52">IF(C52="","",IFERROR((INDEX(終値!$E:$E,MATCH(TEXT(C52,"0"),終値!$A:$A,0))-INDEX(終値!$E:$CZ,MATCH(TEXT(C52,"0"),終値!$A:$A,0),$AN$2))/INDEX(終値!$E:$CZ,MATCH(TEXT(C52,"0"),終値!$A:$A,0),$AN$2)*100,""))</f>
        <v>18.737131091283459</v>
      </c>
      <c r="AJ52" s="373">
        <f t="array" ref="AJ52">IFERROR((終値!$E$5-INDEX(終値!$E$5:$CZ$5,1,$AN$2))/INDEX(終値!$E$5:$CZ$5,1,$AN$2)*100,"")</f>
        <v>1.0179378228534113</v>
      </c>
      <c r="AK52" s="374">
        <f t="shared" si="16"/>
        <v>17.719193268430047</v>
      </c>
      <c r="AL52" s="372">
        <f t="shared" si="17"/>
        <v>-2</v>
      </c>
      <c r="AO52" s="376" t="str">
        <f t="shared" si="18"/>
        <v>通常</v>
      </c>
      <c r="AP52" s="377">
        <f t="shared" si="19"/>
        <v>0</v>
      </c>
      <c r="AQ52">
        <f>IF(C52&lt;&gt;"",始値!F62,"")</f>
        <v>3160</v>
      </c>
      <c r="AR52">
        <f>IF(C52&lt;&gt;"",高値!F62,"")</f>
        <v>3305</v>
      </c>
      <c r="AS52">
        <f>IF(C52&lt;&gt;"",安値!F62,"")</f>
        <v>3160</v>
      </c>
      <c r="AT52" t="str">
        <f t="shared" si="20"/>
        <v>通常</v>
      </c>
      <c r="AU52">
        <f t="shared" si="21"/>
        <v>0</v>
      </c>
      <c r="BA52">
        <f>IFERROR((SUM(OFFSET(高値!$E$6,IFERROR(MATCH($C52,銘柄管理!$B$6:$B$305,0),MATCH(TEXT($C52,"0"),銘柄管理!$B$6:$B$305,0))-1,0,1,14))-SUM(OFFSET(安値!$E$6,IFERROR(MATCH($C52,銘柄管理!$B$6:$B$305,0),MATCH(TEXT($C52,"0"),銘柄管理!$B$6:$B$305,0))-1,0,1,14)))/SUM(OFFSET(終値!$E$6,IFERROR(MATCH($C52,銘柄管理!$B$6:$B$305,0),MATCH(TEXT($C52,"0"),銘柄管理!$B$6:$B$305,0))-1,0,1,14))*100,"")</f>
      </c>
      <c r="BB52">
        <f>IFERROR((MAX(OFFSET(高値!$E$6,IFERROR(MATCH($C52,銘柄管理!$B$6:$B$305,0),MATCH(TEXT($C52,"0"),銘柄管理!$B$6:$B$305,0))-1,0,1,25))-MIN(OFFSET(安値!$E$6,IFERROR(MATCH($C52,銘柄管理!$B$6:$B$305,0),MATCH(TEXT($C52,"0"),銘柄管理!$B$6:$B$305,0))-1,0,1,25)))/$E52*100,"")</f>
      </c>
      <c r="BC52">
        <f>IFERROR(($F52-$G52)/$G52*100,"")</f>
      </c>
      <c r="BD52">
        <f>IFERROR(($E52-MAX(OFFSET(高値!$E$6,IFERROR(MATCH($C52,銘柄管理!$B$6:$B$305,0),MATCH(TEXT($C52,"0"),銘柄管理!$B$6:$B$305,0))-1,0,1,25)))/MAX(OFFSET(高値!$E$6,IFERROR(MATCH($C52,銘柄管理!$B$6:$B$305,0),MATCH(TEXT($C52,"0"),銘柄管理!$B$6:$B$305,0))-1,0,1,25))*100,"")</f>
      </c>
      <c r="BE52">
        <f>IFERROR(($H52-$I52)/$F52*100,"")</f>
      </c>
      <c r="BF52">
        <f>IFERROR(-(($BA52-AVERAGE($BA$3:$BA$206))/STDEV($BA$3:$BA$206))-(($BE52-AVERAGE($BE$3:$BE$206))/STDEV($BE$3:$BE$206))-(($BB52-AVERAGE($BB$3:$BB$206))/STDEV($BB$3:$BB$206))-(($Z52-AVERAGE($Z$3:$Z$206))/STDEV($Z$3:$Z$206))-(($BC52-AVERAGE($BC$3:$BC$206))/STDEV($BC$3:$BC$206)),"")</f>
      </c>
      <c r="BG52">
        <f>IF(OR($C52="",$C52="TOPX",$BA52="",$BF52=""),0,IF(AND($BK$10=1,$BA52&lt;=$BK$2,$BB52&lt;=$BK$3,$BC52&lt;=$BK$4,$Z52&lt;=$BK$5,$Z52&gt;=$BK$6,$BD52&gt;=$BK$7,$BE52&lt;=$BK$8),1,0))</f>
      </c>
      <c r="BH52">
        <f>IF($C52="","",IF($BG52=1,"○ゲート通過",IF($BK$10&lt;&gt;1,"― この方向は停止中",IF($BA52&gt;$BK$2,"×値動きが荒い",IF($BB52&gt;$BK$3,"×レンジが広い",IF($BC52&gt;$BK$4,"×窓を開けて上昇",IF($Z52&gt;$BK$5,"×前日に急騰",IF($Z52&lt;$BK$6,"×前日に急落",IF($BD52&lt;$BK$7,"×高値から離れすぎ",IF($BE52&gt;$BK$8,"×当日の値幅が大きい","×")))))))))</f>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 t="shared" si="0"/>
        <v>-37.238263169495262</v>
      </c>
      <c r="M53" s="326">
        <f>IF(C53&lt;&gt;"",IFERROR(AVERAGE(出来高!E65:I65),""),"")</f>
        <v>53510180</v>
      </c>
      <c r="N53" s="326">
        <f>IF(C53&lt;&gt;"",IFERROR(AVERAGE(出来高!E65:AC65),""),"")</f>
        <v>52209192</v>
      </c>
      <c r="O53" s="328">
        <f t="shared" si="1"/>
        <v>0.87750966264736918</v>
      </c>
      <c r="P53" s="325" t="str">
        <f t="shared" si="2"/>
        <v>減少↓</v>
      </c>
      <c r="Q53" s="325" t="str">
        <f t="shared" si="3"/>
        <v>中立→</v>
      </c>
      <c r="R53" s="326">
        <f t="shared" si="4"/>
        <v>5239</v>
      </c>
      <c r="S53" s="326">
        <f t="shared" si="5"/>
        <v>5923</v>
      </c>
      <c r="T53" s="325">
        <f>IF(C53="","",IFERROR(IF(W53&lt;=22,-4,IF(W53&lt;=28,-2,IF(W53&lt;=45,2,IF(W53&lt;=55,1,0))))+IF(X53&lt;0,2,0)+IF(AD53="下降トレンド▼",3,IF(AD53="もみ合い→",1,0))+IF(V53="年初来安値圏●",3,IF(V53="安値圏",2,0))+IF(Q53="売り▼",2,0)+IF(P53="急増↑↑",2,IF(P53="増加↑",1,0))+IF(Z53&lt;0,1,0)+IF(L53&lt;=-30,2,IF(L53&lt;=-15,1,0))+IF(AE53="25日戻り売り★",2,IF(AE53="5日戻り売り○",1,0))+N(AL53)+N(AP53)+N(AU53),0))</f>
      </c>
      <c r="U53" s="325" t="str">
        <f t="shared" si="7"/>
        <v>要確認</v>
      </c>
      <c r="V53" s="325" t="str">
        <f t="shared" si="8"/>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 t="shared" si="9"/>
        <v>相場上昇・見送り | パーフェクト▲ MACD- RSI:45.5 前日比:-4.4% [安値圏] [10点]</v>
      </c>
      <c r="Z53" s="331">
        <f t="shared" si="10"/>
        <v>-4.4142329640819069</v>
      </c>
      <c r="AA53" s="325" t="str">
        <f t="shared" si="11"/>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 t="shared" si="12"/>
        <v>パーフェクト▲</v>
      </c>
      <c r="AE53" s="325" t="str">
        <f t="shared" si="13"/>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 t="shared" si="14"/>
        <v>10</v>
      </c>
      <c r="AH53">
        <f t="shared" si="15"/>
        <v>99947</v>
      </c>
      <c r="AI53" s="373">
        <f t="array" ref="AI53">IF(C53="","",IFERROR((INDEX(終値!$E:$E,MATCH(TEXT(C53,"0"),終値!$A:$A,0))-INDEX(終値!$E:$CZ,MATCH(TEXT(C53,"0"),終値!$A:$A,0),$AN$2))/INDEX(終値!$E:$CZ,MATCH(TEXT(C53,"0"),終値!$A:$A,0),$AN$2)*100,""))</f>
        <v>-5.083333333333333</v>
      </c>
      <c r="AJ53" s="373">
        <f t="array" ref="AJ53">IFERROR((終値!$E$5-INDEX(終値!$E$5:$CZ$5,1,$AN$2))/INDEX(終値!$E$5:$CZ$5,1,$AN$2)*100,"")</f>
        <v>1.0179378228534113</v>
      </c>
      <c r="AK53" s="374">
        <f t="shared" si="16"/>
        <v>-6.1012711561867441</v>
      </c>
      <c r="AL53" s="372">
        <f t="shared" si="17"/>
        <v>3</v>
      </c>
      <c r="AO53" s="376" t="str">
        <f t="shared" si="18"/>
        <v>通常</v>
      </c>
      <c r="AP53" s="377">
        <f t="shared" si="19"/>
        <v>0</v>
      </c>
      <c r="AQ53">
        <f>IF(C53&lt;&gt;"",始値!F65,"")</f>
        <v>5628</v>
      </c>
      <c r="AR53">
        <f>IF(C53&lt;&gt;"",高値!F65,"")</f>
        <v>5958</v>
      </c>
      <c r="AS53">
        <f>IF(C53&lt;&gt;"",安値!F65,"")</f>
        <v>5605</v>
      </c>
      <c r="AT53" t="str">
        <f t="shared" si="20"/>
        <v>通常</v>
      </c>
      <c r="AU53">
        <f t="shared" si="21"/>
        <v>0</v>
      </c>
      <c r="BA53">
        <f>IFERROR((SUM(OFFSET(高値!$E$6,IFERROR(MATCH($C53,銘柄管理!$B$6:$B$305,0),MATCH(TEXT($C53,"0"),銘柄管理!$B$6:$B$305,0))-1,0,1,14))-SUM(OFFSET(安値!$E$6,IFERROR(MATCH($C53,銘柄管理!$B$6:$B$305,0),MATCH(TEXT($C53,"0"),銘柄管理!$B$6:$B$305,0))-1,0,1,14)))/SUM(OFFSET(終値!$E$6,IFERROR(MATCH($C53,銘柄管理!$B$6:$B$305,0),MATCH(TEXT($C53,"0"),銘柄管理!$B$6:$B$305,0))-1,0,1,14))*100,"")</f>
      </c>
      <c r="BB53">
        <f>IFERROR((MAX(OFFSET(高値!$E$6,IFERROR(MATCH($C53,銘柄管理!$B$6:$B$305,0),MATCH(TEXT($C53,"0"),銘柄管理!$B$6:$B$305,0))-1,0,1,25))-MIN(OFFSET(安値!$E$6,IFERROR(MATCH($C53,銘柄管理!$B$6:$B$305,0),MATCH(TEXT($C53,"0"),銘柄管理!$B$6:$B$305,0))-1,0,1,25)))/$E53*100,"")</f>
      </c>
      <c r="BC53">
        <f>IFERROR(($F53-$G53)/$G53*100,"")</f>
      </c>
      <c r="BD53">
        <f>IFERROR(($E53-MAX(OFFSET(高値!$E$6,IFERROR(MATCH($C53,銘柄管理!$B$6:$B$305,0),MATCH(TEXT($C53,"0"),銘柄管理!$B$6:$B$305,0))-1,0,1,25)))/MAX(OFFSET(高値!$E$6,IFERROR(MATCH($C53,銘柄管理!$B$6:$B$305,0),MATCH(TEXT($C53,"0"),銘柄管理!$B$6:$B$305,0))-1,0,1,25))*100,"")</f>
      </c>
      <c r="BE53">
        <f>IFERROR(($H53-$I53)/$F53*100,"")</f>
      </c>
      <c r="BF53">
        <f>IFERROR(-(($BA53-AVERAGE($BA$3:$BA$206))/STDEV($BA$3:$BA$206))-(($BE53-AVERAGE($BE$3:$BE$206))/STDEV($BE$3:$BE$206))-(($BB53-AVERAGE($BB$3:$BB$206))/STDEV($BB$3:$BB$206))-(($Z53-AVERAGE($Z$3:$Z$206))/STDEV($Z$3:$Z$206))-(($BC53-AVERAGE($BC$3:$BC$206))/STDEV($BC$3:$BC$206)),"")</f>
      </c>
      <c r="BG53">
        <f>IF(OR($C53="",$C53="TOPX",$BA53="",$BF53=""),0,IF(AND($BK$10=1,$BA53&lt;=$BK$2,$BB53&lt;=$BK$3,$BC53&lt;=$BK$4,$Z53&lt;=$BK$5,$Z53&gt;=$BK$6,$BD53&gt;=$BK$7,$BE53&lt;=$BK$8),1,0))</f>
      </c>
      <c r="BH53">
        <f>IF($C53="","",IF($BG53=1,"○ゲート通過",IF($BK$10&lt;&gt;1,"― この方向は停止中",IF($BA53&gt;$BK$2,"×値動きが荒い",IF($BB53&gt;$BK$3,"×レンジが広い",IF($BC53&gt;$BK$4,"×窓を開けて上昇",IF($Z53&gt;$BK$5,"×前日に急騰",IF($Z53&lt;$BK$6,"×前日に急落",IF($BD53&lt;$BK$7,"×高値から離れすぎ",IF($BE53&gt;$BK$8,"×当日の値幅が大きい","×")))))))))</f>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 t="shared" si="0"/>
        <v>-16.50961176027139</v>
      </c>
      <c r="M54" s="333">
        <f>IF(C54&lt;&gt;"",IFERROR(AVERAGE(出来高!E71:I71),""),"")</f>
        <v>78980</v>
      </c>
      <c r="N54" s="333">
        <f>IF(C54&lt;&gt;"",IFERROR(AVERAGE(出来高!E71:AC71),""),"")</f>
        <v>92764</v>
      </c>
      <c r="O54" s="335">
        <f t="shared" si="1"/>
        <v>0.8166624461889086</v>
      </c>
      <c r="P54" s="212" t="str">
        <f t="shared" si="2"/>
        <v>減少↓</v>
      </c>
      <c r="Q54" s="212" t="str">
        <f t="shared" si="3"/>
        <v>様子見▲</v>
      </c>
      <c r="R54" s="333">
        <f t="shared" si="4"/>
        <v>2038</v>
      </c>
      <c r="S54" s="333">
        <f t="shared" si="5"/>
        <v>2304</v>
      </c>
      <c r="T54" s="325">
        <f>IF(C54="","",IFERROR(IF(W54&lt;=22,-4,IF(W54&lt;=28,-2,IF(W54&lt;=45,2,IF(W54&lt;=55,1,0))))+IF(X54&lt;0,2,0)+IF(AD54="下降トレンド▼",3,IF(AD54="もみ合い→",1,0))+IF(V54="年初来安値圏●",3,IF(V54="安値圏",2,0))+IF(Q54="売り▼",2,0)+IF(P54="急増↑↑",2,IF(P54="増加↑",1,0))+IF(Z54&lt;0,1,0)+IF(L54&lt;=-30,2,IF(L54&lt;=-15,1,0))+IF(AE54="25日戻り売り★",2,IF(AE54="5日戻り売り○",1,0))+N(AL54)+N(AP54)+N(AU54),0))</f>
      </c>
      <c r="U54" s="212" t="str">
        <f t="shared" si="7"/>
        <v>要確認</v>
      </c>
      <c r="V54" s="212" t="str">
        <f t="shared" si="8"/>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 t="shared" si="9"/>
        <v>相場上昇・見送り | もみ合い→ MACD- RSI:26.8 [売られ過ぎ] 前日比:+0.8% [5点]</v>
      </c>
      <c r="Z54" s="338">
        <f t="shared" si="10"/>
        <v>0.77343039126478619</v>
      </c>
      <c r="AA54" s="212" t="str">
        <f t="shared" si="11"/>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 t="shared" si="12"/>
        <v>もみ合い→</v>
      </c>
      <c r="AE54" s="212" t="str">
        <f t="shared" si="13"/>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 t="shared" si="14"/>
        <v>0</v>
      </c>
      <c r="AH54">
        <f t="shared" si="15"/>
        <v>0</v>
      </c>
      <c r="AI54" s="373">
        <f t="array" ref="AI54">IF(C54="","",IFERROR((INDEX(終値!$E:$E,MATCH(TEXT(C54,"0"),終値!$A:$A,0))-INDEX(終値!$E:$CZ,MATCH(TEXT(C54,"0"),終値!$A:$A,0),$AN$2))/INDEX(終値!$E:$CZ,MATCH(TEXT(C54,"0"),終値!$A:$A,0),$AN$2)*100,""))</f>
        <v>-0.44943820224719105</v>
      </c>
      <c r="AJ54" s="373">
        <f t="array" ref="AJ54">IFERROR((終値!$E$5-INDEX(終値!$E$5:$CZ$5,1,$AN$2))/INDEX(終値!$E$5:$CZ$5,1,$AN$2)*100,"")</f>
        <v>1.0179378228534113</v>
      </c>
      <c r="AK54" s="374">
        <f t="shared" si="16"/>
        <v>-1.4673760251006023</v>
      </c>
      <c r="AL54" s="372">
        <f t="shared" si="17"/>
        <v>1</v>
      </c>
      <c r="AO54" s="376" t="str">
        <f t="shared" si="18"/>
        <v>通常</v>
      </c>
      <c r="AP54" s="377">
        <f t="shared" si="19"/>
        <v>0</v>
      </c>
      <c r="AQ54">
        <f>IF(C54&lt;&gt;"",始値!F71,"")</f>
        <v>2225</v>
      </c>
      <c r="AR54">
        <f>IF(C54&lt;&gt;"",高値!F71,"")</f>
        <v>2243</v>
      </c>
      <c r="AS54">
        <f>IF(C54&lt;&gt;"",安値!F71,"")</f>
        <v>2198</v>
      </c>
      <c r="AT54" t="str">
        <f t="shared" si="20"/>
        <v>通常</v>
      </c>
      <c r="AU54">
        <f t="shared" si="21"/>
        <v>0</v>
      </c>
      <c r="BA54">
        <f>IFERROR((SUM(OFFSET(高値!$E$6,IFERROR(MATCH($C54,銘柄管理!$B$6:$B$305,0),MATCH(TEXT($C54,"0"),銘柄管理!$B$6:$B$305,0))-1,0,1,14))-SUM(OFFSET(安値!$E$6,IFERROR(MATCH($C54,銘柄管理!$B$6:$B$305,0),MATCH(TEXT($C54,"0"),銘柄管理!$B$6:$B$305,0))-1,0,1,14)))/SUM(OFFSET(終値!$E$6,IFERROR(MATCH($C54,銘柄管理!$B$6:$B$305,0),MATCH(TEXT($C54,"0"),銘柄管理!$B$6:$B$305,0))-1,0,1,14))*100,"")</f>
      </c>
      <c r="BB54">
        <f>IFERROR((MAX(OFFSET(高値!$E$6,IFERROR(MATCH($C54,銘柄管理!$B$6:$B$305,0),MATCH(TEXT($C54,"0"),銘柄管理!$B$6:$B$305,0))-1,0,1,25))-MIN(OFFSET(安値!$E$6,IFERROR(MATCH($C54,銘柄管理!$B$6:$B$305,0),MATCH(TEXT($C54,"0"),銘柄管理!$B$6:$B$305,0))-1,0,1,25)))/$E54*100,"")</f>
      </c>
      <c r="BC54">
        <f>IFERROR(($F54-$G54)/$G54*100,"")</f>
      </c>
      <c r="BD54">
        <f>IFERROR(($E54-MAX(OFFSET(高値!$E$6,IFERROR(MATCH($C54,銘柄管理!$B$6:$B$305,0),MATCH(TEXT($C54,"0"),銘柄管理!$B$6:$B$305,0))-1,0,1,25)))/MAX(OFFSET(高値!$E$6,IFERROR(MATCH($C54,銘柄管理!$B$6:$B$305,0),MATCH(TEXT($C54,"0"),銘柄管理!$B$6:$B$305,0))-1,0,1,25))*100,"")</f>
      </c>
      <c r="BE54">
        <f>IFERROR(($H54-$I54)/$F54*100,"")</f>
      </c>
      <c r="BF54">
        <f>IFERROR(-(($BA54-AVERAGE($BA$3:$BA$206))/STDEV($BA$3:$BA$206))-(($BE54-AVERAGE($BE$3:$BE$206))/STDEV($BE$3:$BE$206))-(($BB54-AVERAGE($BB$3:$BB$206))/STDEV($BB$3:$BB$206))-(($Z54-AVERAGE($Z$3:$Z$206))/STDEV($Z$3:$Z$206))-(($BC54-AVERAGE($BC$3:$BC$206))/STDEV($BC$3:$BC$206)),"")</f>
      </c>
      <c r="BG54">
        <f>IF(OR($C54="",$C54="TOPX",$BA54="",$BF54=""),0,IF(AND($BK$10=1,$BA54&lt;=$BK$2,$BB54&lt;=$BK$3,$BC54&lt;=$BK$4,$Z54&lt;=$BK$5,$Z54&gt;=$BK$6,$BD54&gt;=$BK$7,$BE54&lt;=$BK$8),1,0))</f>
      </c>
      <c r="BH54">
        <f>IF($C54="","",IF($BG54=1,"○ゲート通過",IF($BK$10&lt;&gt;1,"― この方向は停止中",IF($BA54&gt;$BK$2,"×値動きが荒い",IF($BB54&gt;$BK$3,"×レンジが広い",IF($BC54&gt;$BK$4,"×窓を開けて上昇",IF($Z54&gt;$BK$5,"×前日に急騰",IF($Z54&lt;$BK$6,"×前日に急落",IF($BD54&lt;$BK$7,"×高値から離れすぎ",IF($BE54&gt;$BK$8,"×当日の値幅が大きい","×")))))))))</f>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 t="shared" si="0"/>
        <v>-7.9952267303102618</v>
      </c>
      <c r="M55" s="326">
        <f>IF(C55&lt;&gt;"",IFERROR(AVERAGE(出来高!E73:I73),""),"")</f>
        <v>222980</v>
      </c>
      <c r="N55" s="326">
        <f>IF(C55&lt;&gt;"",IFERROR(AVERAGE(出来高!E73:AC73),""),"")</f>
        <v>135392</v>
      </c>
      <c r="O55" s="328">
        <f t="shared" si="1"/>
        <v>1.2265674051484439</v>
      </c>
      <c r="P55" s="325" t="str">
        <f t="shared" si="2"/>
        <v>普通→</v>
      </c>
      <c r="Q55" s="325" t="str">
        <f t="shared" si="3"/>
        <v>様子見▲</v>
      </c>
      <c r="R55" s="326">
        <f t="shared" si="4"/>
        <v>7093</v>
      </c>
      <c r="S55" s="326">
        <f t="shared" si="5"/>
        <v>8018</v>
      </c>
      <c r="T55" s="325">
        <f>IF(C55="","",IFERROR(IF(W55&lt;=22,-4,IF(W55&lt;=28,-2,IF(W55&lt;=45,2,IF(W55&lt;=55,1,0))))+IF(X55&lt;0,2,0)+IF(AD55="下降トレンド▼",3,IF(AD55="もみ合い→",1,0))+IF(V55="年初来安値圏●",3,IF(V55="安値圏",2,0))+IF(Q55="売り▼",2,0)+IF(P55="急増↑↑",2,IF(P55="増加↑",1,0))+IF(Z55&lt;0,1,0)+IF(L55&lt;=-30,2,IF(L55&lt;=-15,1,0))+IF(AE55="25日戻り売り★",2,IF(AE55="5日戻り売り○",1,0))+N(AL55)+N(AP55)+N(AU55),0))</f>
      </c>
      <c r="U55" s="325" t="str">
        <f t="shared" si="7"/>
        <v>除外</v>
      </c>
      <c r="V55" s="325" t="str">
        <f t="shared" si="8"/>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 t="shared" si="9"/>
        <v>相場上昇・見送り | パーフェクト▲ MACD- RSI:46.6 前日比:+2.7% [1点]</v>
      </c>
      <c r="Z55" s="331">
        <f t="shared" si="10"/>
        <v>2.6631158455392807</v>
      </c>
      <c r="AA55" s="325" t="str">
        <f t="shared" si="11"/>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 t="shared" si="12"/>
        <v>パーフェクト▲</v>
      </c>
      <c r="AE55" s="325" t="str">
        <f t="shared" si="13"/>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 t="shared" si="14"/>
        <v>0</v>
      </c>
      <c r="AH55">
        <f t="shared" si="15"/>
        <v>0</v>
      </c>
      <c r="AI55" s="373">
        <f t="array" ref="AI55">IF(C55="","",IFERROR((INDEX(終値!$E:$E,MATCH(TEXT(C55,"0"),終値!$A:$A,0))-INDEX(終値!$E:$CZ,MATCH(TEXT(C55,"0"),終値!$A:$A,0),$AN$2))/INDEX(終値!$E:$CZ,MATCH(TEXT(C55,"0"),終値!$A:$A,0),$AN$2)*100,""))</f>
        <v>2.5265957446808507</v>
      </c>
      <c r="AJ55" s="373">
        <f t="array" ref="AJ55">IFERROR((終値!$E$5-INDEX(終値!$E$5:$CZ$5,1,$AN$2))/INDEX(終値!$E$5:$CZ$5,1,$AN$2)*100,"")</f>
        <v>1.0179378228534113</v>
      </c>
      <c r="AK55" s="374">
        <f t="shared" si="16"/>
        <v>1.5086579218274394</v>
      </c>
      <c r="AL55" s="372">
        <f t="shared" si="17"/>
        <v>-1</v>
      </c>
      <c r="AO55" s="376" t="str">
        <f t="shared" si="18"/>
        <v>通常</v>
      </c>
      <c r="AP55" s="377">
        <f t="shared" si="19"/>
        <v>0</v>
      </c>
      <c r="AQ55">
        <f>IF(C55&lt;&gt;"",始値!F73,"")</f>
        <v>7850</v>
      </c>
      <c r="AR55">
        <f>IF(C55&lt;&gt;"",高値!F73,"")</f>
        <v>7940</v>
      </c>
      <c r="AS55">
        <f>IF(C55&lt;&gt;"",安値!F73,"")</f>
        <v>7120</v>
      </c>
      <c r="AT55" t="str">
        <f t="shared" si="20"/>
        <v>通常</v>
      </c>
      <c r="AU55">
        <f t="shared" si="21"/>
        <v>0</v>
      </c>
      <c r="BA55">
        <f>IFERROR((SUM(OFFSET(高値!$E$6,IFERROR(MATCH($C55,銘柄管理!$B$6:$B$305,0),MATCH(TEXT($C55,"0"),銘柄管理!$B$6:$B$305,0))-1,0,1,14))-SUM(OFFSET(安値!$E$6,IFERROR(MATCH($C55,銘柄管理!$B$6:$B$305,0),MATCH(TEXT($C55,"0"),銘柄管理!$B$6:$B$305,0))-1,0,1,14)))/SUM(OFFSET(終値!$E$6,IFERROR(MATCH($C55,銘柄管理!$B$6:$B$305,0),MATCH(TEXT($C55,"0"),銘柄管理!$B$6:$B$305,0))-1,0,1,14))*100,"")</f>
      </c>
      <c r="BB55">
        <f>IFERROR((MAX(OFFSET(高値!$E$6,IFERROR(MATCH($C55,銘柄管理!$B$6:$B$305,0),MATCH(TEXT($C55,"0"),銘柄管理!$B$6:$B$305,0))-1,0,1,25))-MIN(OFFSET(安値!$E$6,IFERROR(MATCH($C55,銘柄管理!$B$6:$B$305,0),MATCH(TEXT($C55,"0"),銘柄管理!$B$6:$B$305,0))-1,0,1,25)))/$E55*100,"")</f>
      </c>
      <c r="BC55">
        <f>IFERROR(($F55-$G55)/$G55*100,"")</f>
      </c>
      <c r="BD55">
        <f>IFERROR(($E55-MAX(OFFSET(高値!$E$6,IFERROR(MATCH($C55,銘柄管理!$B$6:$B$305,0),MATCH(TEXT($C55,"0"),銘柄管理!$B$6:$B$305,0))-1,0,1,25)))/MAX(OFFSET(高値!$E$6,IFERROR(MATCH($C55,銘柄管理!$B$6:$B$305,0),MATCH(TEXT($C55,"0"),銘柄管理!$B$6:$B$305,0))-1,0,1,25))*100,"")</f>
      </c>
      <c r="BE55">
        <f>IFERROR(($H55-$I55)/$F55*100,"")</f>
      </c>
      <c r="BF55">
        <f>IFERROR(-(($BA55-AVERAGE($BA$3:$BA$206))/STDEV($BA$3:$BA$206))-(($BE55-AVERAGE($BE$3:$BE$206))/STDEV($BE$3:$BE$206))-(($BB55-AVERAGE($BB$3:$BB$206))/STDEV($BB$3:$BB$206))-(($Z55-AVERAGE($Z$3:$Z$206))/STDEV($Z$3:$Z$206))-(($BC55-AVERAGE($BC$3:$BC$206))/STDEV($BC$3:$BC$206)),"")</f>
      </c>
      <c r="BG55">
        <f>IF(OR($C55="",$C55="TOPX",$BA55="",$BF55=""),0,IF(AND($BK$10=1,$BA55&lt;=$BK$2,$BB55&lt;=$BK$3,$BC55&lt;=$BK$4,$Z55&lt;=$BK$5,$Z55&gt;=$BK$6,$BD55&gt;=$BK$7,$BE55&lt;=$BK$8),1,0))</f>
      </c>
      <c r="BH55">
        <f>IF($C55="","",IF($BG55=1,"○ゲート通過",IF($BK$10&lt;&gt;1,"― この方向は停止中",IF($BA55&gt;$BK$2,"×値動きが荒い",IF($BB55&gt;$BK$3,"×レンジが広い",IF($BC55&gt;$BK$4,"×窓を開けて上昇",IF($Z55&gt;$BK$5,"×前日に急騰",IF($Z55&lt;$BK$6,"×前日に急落",IF($BD55&lt;$BK$7,"×高値から離れすぎ",IF($BE55&gt;$BK$8,"×当日の値幅が大きい","×")))))))))</f>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 t="shared" si="0"/>
        <v>-30.822416302765649</v>
      </c>
      <c r="M56" s="333">
        <f>IF(C56&lt;&gt;"",IFERROR(AVERAGE(出来高!E96:I96),""),"")</f>
        <v>8193800</v>
      </c>
      <c r="N56" s="333">
        <f>IF(C56&lt;&gt;"",IFERROR(AVERAGE(出来高!E96:AC96),""),"")</f>
        <v>8632500</v>
      </c>
      <c r="O56" s="335">
        <f t="shared" si="1"/>
        <v>1.5480973418926505</v>
      </c>
      <c r="P56" s="212" t="str">
        <f t="shared" si="2"/>
        <v>増加↑</v>
      </c>
      <c r="Q56" s="212" t="str">
        <f t="shared" si="3"/>
        <v>売り▼</v>
      </c>
      <c r="R56" s="333">
        <f t="shared" si="4"/>
        <v>17489</v>
      </c>
      <c r="S56" s="333">
        <f t="shared" si="5"/>
        <v>19770</v>
      </c>
      <c r="T56" s="325">
        <f>IF(C56="","",IFERROR(IF(W56&lt;=22,-4,IF(W56&lt;=28,-2,IF(W56&lt;=45,2,IF(W56&lt;=55,1,0))))+IF(X56&lt;0,2,0)+IF(AD56="下降トレンド▼",3,IF(AD56="もみ合い→",1,0))+IF(V56="年初来安値圏●",3,IF(V56="安値圏",2,0))+IF(Q56="売り▼",2,0)+IF(P56="急増↑↑",2,IF(P56="増加↑",1,0))+IF(Z56&lt;0,1,0)+IF(L56&lt;=-30,2,IF(L56&lt;=-15,1,0))+IF(AE56="25日戻り売り★",2,IF(AE56="5日戻り売り○",1,0))+N(AL56)+N(AP56)+N(AU56),0))</f>
      </c>
      <c r="U56" s="212" t="str">
        <f t="shared" si="7"/>
        <v>有効</v>
      </c>
      <c r="V56" s="212" t="str">
        <f t="shared" si="8"/>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 t="shared" si="9"/>
        <v>相場上昇・見送り | パーフェクト▲ MACD- RSI:52.5 前日比:-6.5% [安値圏]前日[長い下ヒゲ(反発)] [12点]</v>
      </c>
      <c r="Z56" s="338">
        <f t="shared" si="10"/>
        <v>-6.4928676832267582</v>
      </c>
      <c r="AA56" s="212" t="str">
        <f t="shared" si="11"/>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 t="shared" si="12"/>
        <v>パーフェクト▲</v>
      </c>
      <c r="AE56" s="212" t="str">
        <f t="shared" si="13"/>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 t="shared" si="14"/>
        <v>12</v>
      </c>
      <c r="AH56">
        <f t="shared" si="15"/>
        <v>119944</v>
      </c>
      <c r="AI56" s="373">
        <f t="array" ref="AI56">IF(C56="","",IFERROR((INDEX(終値!$E:$E,MATCH(TEXT(C56,"0"),終値!$A:$A,0))-INDEX(終値!$E:$CZ,MATCH(TEXT(C56,"0"),終値!$A:$A,0),$AN$2))/INDEX(終値!$E:$CZ,MATCH(TEXT(C56,"0"),終値!$A:$A,0),$AN$2)*100,""))</f>
        <v>-26.274966065541982</v>
      </c>
      <c r="AJ56" s="373">
        <f t="array" ref="AJ56">IFERROR((終値!$E$5-INDEX(終値!$E$5:$CZ$5,1,$AN$2))/INDEX(終値!$E$5:$CZ$5,1,$AN$2)*100,"")</f>
        <v>1.0179378228534113</v>
      </c>
      <c r="AK56" s="374">
        <f t="shared" si="16"/>
        <v>-27.292903888395394</v>
      </c>
      <c r="AL56" s="372">
        <f t="shared" si="17"/>
        <v>3</v>
      </c>
      <c r="AO56" s="376" t="str">
        <f t="shared" si="18"/>
        <v>通常</v>
      </c>
      <c r="AP56" s="377">
        <f t="shared" si="19"/>
        <v>0</v>
      </c>
      <c r="AQ56">
        <f>IF(C56&lt;&gt;"",始値!F96,"")</f>
        <v>19930</v>
      </c>
      <c r="AR56">
        <f>IF(C56&lt;&gt;"",高値!F96,"")</f>
        <v>20330</v>
      </c>
      <c r="AS56">
        <f>IF(C56&lt;&gt;"",安値!F96,"")</f>
        <v>19155</v>
      </c>
      <c r="AT56" t="str">
        <f t="shared" si="20"/>
        <v>長い下ヒゲ(反発)</v>
      </c>
      <c r="AU56">
        <f t="shared" si="21"/>
        <v>-2</v>
      </c>
      <c r="BA56">
        <f>IFERROR((SUM(OFFSET(高値!$E$6,IFERROR(MATCH($C56,銘柄管理!$B$6:$B$305,0),MATCH(TEXT($C56,"0"),銘柄管理!$B$6:$B$305,0))-1,0,1,14))-SUM(OFFSET(安値!$E$6,IFERROR(MATCH($C56,銘柄管理!$B$6:$B$305,0),MATCH(TEXT($C56,"0"),銘柄管理!$B$6:$B$305,0))-1,0,1,14)))/SUM(OFFSET(終値!$E$6,IFERROR(MATCH($C56,銘柄管理!$B$6:$B$305,0),MATCH(TEXT($C56,"0"),銘柄管理!$B$6:$B$305,0))-1,0,1,14))*100,"")</f>
      </c>
      <c r="BB56">
        <f>IFERROR((MAX(OFFSET(高値!$E$6,IFERROR(MATCH($C56,銘柄管理!$B$6:$B$305,0),MATCH(TEXT($C56,"0"),銘柄管理!$B$6:$B$305,0))-1,0,1,25))-MIN(OFFSET(安値!$E$6,IFERROR(MATCH($C56,銘柄管理!$B$6:$B$305,0),MATCH(TEXT($C56,"0"),銘柄管理!$B$6:$B$305,0))-1,0,1,25)))/$E56*100,"")</f>
      </c>
      <c r="BC56">
        <f>IFERROR(($F56-$G56)/$G56*100,"")</f>
      </c>
      <c r="BD56">
        <f>IFERROR(($E56-MAX(OFFSET(高値!$E$6,IFERROR(MATCH($C56,銘柄管理!$B$6:$B$305,0),MATCH(TEXT($C56,"0"),銘柄管理!$B$6:$B$305,0))-1,0,1,25)))/MAX(OFFSET(高値!$E$6,IFERROR(MATCH($C56,銘柄管理!$B$6:$B$305,0),MATCH(TEXT($C56,"0"),銘柄管理!$B$6:$B$305,0))-1,0,1,25))*100,"")</f>
      </c>
      <c r="BE56">
        <f>IFERROR(($H56-$I56)/$F56*100,"")</f>
      </c>
      <c r="BF56">
        <f>IFERROR(-(($BA56-AVERAGE($BA$3:$BA$206))/STDEV($BA$3:$BA$206))-(($BE56-AVERAGE($BE$3:$BE$206))/STDEV($BE$3:$BE$206))-(($BB56-AVERAGE($BB$3:$BB$206))/STDEV($BB$3:$BB$206))-(($Z56-AVERAGE($Z$3:$Z$206))/STDEV($Z$3:$Z$206))-(($BC56-AVERAGE($BC$3:$BC$206))/STDEV($BC$3:$BC$206)),"")</f>
      </c>
      <c r="BG56">
        <f>IF(OR($C56="",$C56="TOPX",$BA56="",$BF56=""),0,IF(AND($BK$10=1,$BA56&lt;=$BK$2,$BB56&lt;=$BK$3,$BC56&lt;=$BK$4,$Z56&lt;=$BK$5,$Z56&gt;=$BK$6,$BD56&gt;=$BK$7,$BE56&lt;=$BK$8),1,0))</f>
      </c>
      <c r="BH56">
        <f>IF($C56="","",IF($BG56=1,"○ゲート通過",IF($BK$10&lt;&gt;1,"― この方向は停止中",IF($BA56&gt;$BK$2,"×値動きが荒い",IF($BB56&gt;$BK$3,"×レンジが広い",IF($BC56&gt;$BK$4,"×窓を開けて上昇",IF($Z56&gt;$BK$5,"×前日に急騰",IF($Z56&lt;$BK$6,"×前日に急落",IF($BD56&lt;$BK$7,"×高値から離れすぎ",IF($BE56&gt;$BK$8,"×当日の値幅が大きい","×")))))))))</f>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 t="shared" si="0"/>
        <v>-28.502815501821793</v>
      </c>
      <c r="M57" s="326">
        <f>IF(C57&lt;&gt;"",IFERROR(AVERAGE(出来高!E102:I102),""),"")</f>
        <v>31458650</v>
      </c>
      <c r="N57" s="326">
        <f>IF(C57&lt;&gt;"",IFERROR(AVERAGE(出来高!E102:AC102),""),"")</f>
        <v>31458650</v>
      </c>
      <c r="O57" s="328">
        <f t="shared" si="1"/>
        <v>1.0162038103987299</v>
      </c>
      <c r="P57" s="325" t="str">
        <f t="shared" si="2"/>
        <v>普通→</v>
      </c>
      <c r="Q57" s="325" t="str">
        <f t="shared" si="3"/>
        <v>中立→</v>
      </c>
      <c r="R57" s="326">
        <f t="shared" si="4"/>
        <v>1986</v>
      </c>
      <c r="S57" s="326">
        <f t="shared" si="5"/>
        <v>2245</v>
      </c>
      <c r="T57" s="325">
        <f>IF(C57="","",IFERROR(IF(W57&lt;=22,-4,IF(W57&lt;=28,-2,IF(W57&lt;=45,2,IF(W57&lt;=55,1,0))))+IF(X57&lt;0,2,0)+IF(AD57="下降トレンド▼",3,IF(AD57="もみ合い→",1,0))+IF(V57="年初来安値圏●",3,IF(V57="安値圏",2,0))+IF(Q57="売り▼",2,0)+IF(P57="急増↑↑",2,IF(P57="増加↑",1,0))+IF(Z57&lt;0,1,0)+IF(L57&lt;=-30,2,IF(L57&lt;=-15,1,0))+IF(AE57="25日戻り売り★",2,IF(AE57="5日戻り売り○",1,0))+N(AL57)+N(AP57)+N(AU57),0))</f>
      </c>
      <c r="U57" s="325" t="str">
        <f t="shared" si="7"/>
        <v>要確認</v>
      </c>
      <c r="V57" s="325" t="str">
        <f t="shared" si="8"/>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 t="shared" si="9"/>
        <v>相場上昇・見送り | パーフェクト▲ MACD+ RSI:50.0 前日比:-9.0% [安値圏] [5点]</v>
      </c>
      <c r="Z57" s="331">
        <f t="shared" si="10"/>
        <v>-8.9816571790006314</v>
      </c>
      <c r="AA57" s="325" t="str">
        <f t="shared" si="11"/>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 t="shared" si="12"/>
        <v>パーフェクト▲</v>
      </c>
      <c r="AE57" s="325" t="str">
        <f t="shared" si="13"/>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 t="shared" si="14"/>
        <v>0</v>
      </c>
      <c r="AH57">
        <f t="shared" si="15"/>
        <v>0</v>
      </c>
      <c r="AI57" s="373" t="str">
        <f t="array" ref="AI57">IF(C57="","",IFERROR((INDEX(終値!$E:$E,MATCH(TEXT(C57,"0"),終値!$A:$A,0))-INDEX(終値!$E:$CZ,MATCH(TEXT(C57,"0"),終値!$A:$A,0),$AN$2))/INDEX(終値!$E:$CZ,MATCH(TEXT(C57,"0"),終値!$A:$A,0),$AN$2)*100,""))</f>
        <v/>
      </c>
      <c r="AJ57" s="373">
        <f t="array" ref="AJ57">IFERROR((終値!$E$5-INDEX(終値!$E$5:$CZ$5,1,$AN$2))/INDEX(終値!$E$5:$CZ$5,1,$AN$2)*100,"")</f>
        <v>1.0179378228534113</v>
      </c>
      <c r="AK57" s="374" t="str">
        <f t="shared" si="16"/>
        <v/>
      </c>
      <c r="AL57" s="372" t="str">
        <f t="shared" si="17"/>
        <v/>
      </c>
      <c r="AO57" s="376" t="str">
        <f t="shared" si="18"/>
        <v>通常</v>
      </c>
      <c r="AP57" s="377">
        <f t="shared" si="19"/>
        <v>0</v>
      </c>
      <c r="AQ57">
        <f>IF(C57&lt;&gt;"",始値!F102,"")</f>
        <v>2352</v>
      </c>
      <c r="AR57">
        <f>IF(C57&lt;&gt;"",高値!F102,"")</f>
        <v>2395</v>
      </c>
      <c r="AS57">
        <f>IF(C57&lt;&gt;"",安値!F102,"")</f>
        <v>2294</v>
      </c>
      <c r="AT57" t="str">
        <f t="shared" si="20"/>
        <v>通常</v>
      </c>
      <c r="AU57">
        <f t="shared" si="21"/>
        <v>0</v>
      </c>
      <c r="BA57">
        <f>IFERROR((SUM(OFFSET(高値!$E$6,IFERROR(MATCH($C57,銘柄管理!$B$6:$B$305,0),MATCH(TEXT($C57,"0"),銘柄管理!$B$6:$B$305,0))-1,0,1,14))-SUM(OFFSET(安値!$E$6,IFERROR(MATCH($C57,銘柄管理!$B$6:$B$305,0),MATCH(TEXT($C57,"0"),銘柄管理!$B$6:$B$305,0))-1,0,1,14)))/SUM(OFFSET(終値!$E$6,IFERROR(MATCH($C57,銘柄管理!$B$6:$B$305,0),MATCH(TEXT($C57,"0"),銘柄管理!$B$6:$B$305,0))-1,0,1,14))*100,"")</f>
      </c>
      <c r="BB57">
        <f>IFERROR((MAX(OFFSET(高値!$E$6,IFERROR(MATCH($C57,銘柄管理!$B$6:$B$305,0),MATCH(TEXT($C57,"0"),銘柄管理!$B$6:$B$305,0))-1,0,1,25))-MIN(OFFSET(安値!$E$6,IFERROR(MATCH($C57,銘柄管理!$B$6:$B$305,0),MATCH(TEXT($C57,"0"),銘柄管理!$B$6:$B$305,0))-1,0,1,25)))/$E57*100,"")</f>
      </c>
      <c r="BC57">
        <f>IFERROR(($F57-$G57)/$G57*100,"")</f>
      </c>
      <c r="BD57">
        <f>IFERROR(($E57-MAX(OFFSET(高値!$E$6,IFERROR(MATCH($C57,銘柄管理!$B$6:$B$305,0),MATCH(TEXT($C57,"0"),銘柄管理!$B$6:$B$305,0))-1,0,1,25)))/MAX(OFFSET(高値!$E$6,IFERROR(MATCH($C57,銘柄管理!$B$6:$B$305,0),MATCH(TEXT($C57,"0"),銘柄管理!$B$6:$B$305,0))-1,0,1,25))*100,"")</f>
      </c>
      <c r="BE57">
        <f>IFERROR(($H57-$I57)/$F57*100,"")</f>
      </c>
      <c r="BF57">
        <f>IFERROR(-(($BA57-AVERAGE($BA$3:$BA$206))/STDEV($BA$3:$BA$206))-(($BE57-AVERAGE($BE$3:$BE$206))/STDEV($BE$3:$BE$206))-(($BB57-AVERAGE($BB$3:$BB$206))/STDEV($BB$3:$BB$206))-(($Z57-AVERAGE($Z$3:$Z$206))/STDEV($Z$3:$Z$206))-(($BC57-AVERAGE($BC$3:$BC$206))/STDEV($BC$3:$BC$206)),"")</f>
      </c>
      <c r="BG57">
        <f>IF(OR($C57="",$C57="TOPX",$BA57="",$BF57=""),0,IF(AND($BK$10=1,$BA57&lt;=$BK$2,$BB57&lt;=$BK$3,$BC57&lt;=$BK$4,$Z57&lt;=$BK$5,$Z57&gt;=$BK$6,$BD57&gt;=$BK$7,$BE57&lt;=$BK$8),1,0))</f>
      </c>
      <c r="BH57">
        <f>IF($C57="","",IF($BG57=1,"○ゲート通過",IF($BK$10&lt;&gt;1,"― この方向は停止中",IF($BA57&gt;$BK$2,"×値動きが荒い",IF($BB57&gt;$BK$3,"×レンジが広い",IF($BC57&gt;$BK$4,"×窓を開けて上昇",IF($Z57&gt;$BK$5,"×前日に急騰",IF($Z57&lt;$BK$6,"×前日に急落",IF($BD57&lt;$BK$7,"×高値から離れすぎ",IF($BE57&gt;$BK$8,"×当日の値幅が大きい","×")))))))))</f>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 t="shared" si="0"/>
        <v>-42.064792638346148</v>
      </c>
      <c r="M58" s="333">
        <f>IF(C58&lt;&gt;"",IFERROR(AVERAGE(出来高!E103:I103),""),"")</f>
        <v>54445500</v>
      </c>
      <c r="N58" s="333">
        <f>IF(C58&lt;&gt;"",IFERROR(AVERAGE(出来高!E103:AC103),""),"")</f>
        <v>42442200</v>
      </c>
      <c r="O58" s="335">
        <f t="shared" si="1"/>
        <v>1.05723338016916</v>
      </c>
      <c r="P58" s="212" t="str">
        <f t="shared" si="2"/>
        <v>普通→</v>
      </c>
      <c r="Q58" s="212" t="str">
        <f t="shared" si="3"/>
        <v>中立→</v>
      </c>
      <c r="R58" s="333">
        <f t="shared" si="4"/>
        <v>4228</v>
      </c>
      <c r="S58" s="333">
        <f t="shared" si="5"/>
        <v>4780</v>
      </c>
      <c r="T58" s="325">
        <f>IF(C58="","",IFERROR(IF(W58&lt;=22,-4,IF(W58&lt;=28,-2,IF(W58&lt;=45,2,IF(W58&lt;=55,1,0))))+IF(X58&lt;0,2,0)+IF(AD58="下降トレンド▼",3,IF(AD58="もみ合い→",1,0))+IF(V58="年初来安値圏●",3,IF(V58="安値圏",2,0))+IF(Q58="売り▼",2,0)+IF(P58="急増↑↑",2,IF(P58="増加↑",1,0))+IF(Z58&lt;0,1,0)+IF(L58&lt;=-30,2,IF(L58&lt;=-15,1,0))+IF(AE58="25日戻り売り★",2,IF(AE58="5日戻り売り○",1,0))+N(AL58)+N(AP58)+N(AU58),0))</f>
      </c>
      <c r="U58" s="212" t="str">
        <f t="shared" si="7"/>
        <v>要確認</v>
      </c>
      <c r="V58" s="212" t="str">
        <f t="shared" si="8"/>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 t="shared" si="9"/>
        <v>相場上昇・見送り | 上昇トレンド▲ MACD- RSI:48.9 前日比:-9.4% [年初来安値圏] [11点]</v>
      </c>
      <c r="Z58" s="338">
        <f t="shared" si="10"/>
        <v>-9.4027202838557056</v>
      </c>
      <c r="AA58" s="212" t="str">
        <f t="shared" si="11"/>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 t="shared" si="12"/>
        <v>上昇トレンド▲</v>
      </c>
      <c r="AE58" s="212" t="str">
        <f t="shared" si="13"/>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 t="shared" si="14"/>
        <v>11</v>
      </c>
      <c r="AH58">
        <f t="shared" si="15"/>
        <v>109942</v>
      </c>
      <c r="AI58" s="373">
        <f t="array" ref="AI58">IF(C58="","",IFERROR((INDEX(終値!$E:$E,MATCH(TEXT(C58,"0"),終値!$A:$A,0))-INDEX(終値!$E:$CZ,MATCH(TEXT(C58,"0"),終値!$A:$A,0),$AN$2))/INDEX(終値!$E:$CZ,MATCH(TEXT(C58,"0"),終値!$A:$A,0),$AN$2)*100,""))</f>
        <v>-21.112255406797118</v>
      </c>
      <c r="AJ58" s="373">
        <f t="array" ref="AJ58">IFERROR((終値!$E$5-INDEX(終値!$E$5:$CZ$5,1,$AN$2))/INDEX(終値!$E$5:$CZ$5,1,$AN$2)*100,"")</f>
        <v>1.0179378228534113</v>
      </c>
      <c r="AK58" s="374">
        <f t="shared" si="16"/>
        <v>-22.13019322965053</v>
      </c>
      <c r="AL58" s="372">
        <f t="shared" si="17"/>
        <v>3</v>
      </c>
      <c r="AO58" s="376" t="str">
        <f t="shared" si="18"/>
        <v>通常</v>
      </c>
      <c r="AP58" s="377">
        <f t="shared" si="19"/>
        <v>0</v>
      </c>
      <c r="AQ58">
        <f>IF(C58&lt;&gt;"",始値!F103,"")</f>
        <v>4830</v>
      </c>
      <c r="AR58">
        <f>IF(C58&lt;&gt;"",高値!F103,"")</f>
        <v>5110</v>
      </c>
      <c r="AS58">
        <f>IF(C58&lt;&gt;"",安値!F103,"")</f>
        <v>4799</v>
      </c>
      <c r="AT58" t="str">
        <f t="shared" si="20"/>
        <v>通常</v>
      </c>
      <c r="AU58">
        <f t="shared" si="21"/>
        <v>0</v>
      </c>
      <c r="BA58">
        <f>IFERROR((SUM(OFFSET(高値!$E$6,IFERROR(MATCH($C58,銘柄管理!$B$6:$B$305,0),MATCH(TEXT($C58,"0"),銘柄管理!$B$6:$B$305,0))-1,0,1,14))-SUM(OFFSET(安値!$E$6,IFERROR(MATCH($C58,銘柄管理!$B$6:$B$305,0),MATCH(TEXT($C58,"0"),銘柄管理!$B$6:$B$305,0))-1,0,1,14)))/SUM(OFFSET(終値!$E$6,IFERROR(MATCH($C58,銘柄管理!$B$6:$B$305,0),MATCH(TEXT($C58,"0"),銘柄管理!$B$6:$B$305,0))-1,0,1,14))*100,"")</f>
      </c>
      <c r="BB58">
        <f>IFERROR((MAX(OFFSET(高値!$E$6,IFERROR(MATCH($C58,銘柄管理!$B$6:$B$305,0),MATCH(TEXT($C58,"0"),銘柄管理!$B$6:$B$305,0))-1,0,1,25))-MIN(OFFSET(安値!$E$6,IFERROR(MATCH($C58,銘柄管理!$B$6:$B$305,0),MATCH(TEXT($C58,"0"),銘柄管理!$B$6:$B$305,0))-1,0,1,25)))/$E58*100,"")</f>
      </c>
      <c r="BC58">
        <f>IFERROR(($F58-$G58)/$G58*100,"")</f>
      </c>
      <c r="BD58">
        <f>IFERROR(($E58-MAX(OFFSET(高値!$E$6,IFERROR(MATCH($C58,銘柄管理!$B$6:$B$305,0),MATCH(TEXT($C58,"0"),銘柄管理!$B$6:$B$305,0))-1,0,1,25)))/MAX(OFFSET(高値!$E$6,IFERROR(MATCH($C58,銘柄管理!$B$6:$B$305,0),MATCH(TEXT($C58,"0"),銘柄管理!$B$6:$B$305,0))-1,0,1,25))*100,"")</f>
      </c>
      <c r="BE58">
        <f>IFERROR(($H58-$I58)/$F58*100,"")</f>
      </c>
      <c r="BF58">
        <f>IFERROR(-(($BA58-AVERAGE($BA$3:$BA$206))/STDEV($BA$3:$BA$206))-(($BE58-AVERAGE($BE$3:$BE$206))/STDEV($BE$3:$BE$206))-(($BB58-AVERAGE($BB$3:$BB$206))/STDEV($BB$3:$BB$206))-(($Z58-AVERAGE($Z$3:$Z$206))/STDEV($Z$3:$Z$206))-(($BC58-AVERAGE($BC$3:$BC$206))/STDEV($BC$3:$BC$206)),"")</f>
      </c>
      <c r="BG58">
        <f>IF(OR($C58="",$C58="TOPX",$BA58="",$BF58=""),0,IF(AND($BK$10=1,$BA58&lt;=$BK$2,$BB58&lt;=$BK$3,$BC58&lt;=$BK$4,$Z58&lt;=$BK$5,$Z58&gt;=$BK$6,$BD58&gt;=$BK$7,$BE58&lt;=$BK$8),1,0))</f>
      </c>
      <c r="BH58">
        <f>IF($C58="","",IF($BG58=1,"○ゲート通過",IF($BK$10&lt;&gt;1,"― この方向は停止中",IF($BA58&gt;$BK$2,"×値動きが荒い",IF($BB58&gt;$BK$3,"×レンジが広い",IF($BC58&gt;$BK$4,"×窓を開けて上昇",IF($Z58&gt;$BK$5,"×前日に急騰",IF($Z58&lt;$BK$6,"×前日に急落",IF($BD58&lt;$BK$7,"×高値から離れすぎ",IF($BE58&gt;$BK$8,"×当日の値幅が大きい","×")))))))))</f>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 t="shared" si="0"/>
        <v>-5.6900964756841903</v>
      </c>
      <c r="M59" s="326">
        <f>IF(C59&lt;&gt;"",IFERROR(AVERAGE(出来高!E104:I104),""),"")</f>
        <v>5159220</v>
      </c>
      <c r="N59" s="326">
        <f>IF(C59&lt;&gt;"",IFERROR(AVERAGE(出来高!E104:AC104),""),"")</f>
        <v>5511388</v>
      </c>
      <c r="O59" s="328">
        <f t="shared" si="1"/>
        <v>0.76015366663953077</v>
      </c>
      <c r="P59" s="325" t="str">
        <f t="shared" si="2"/>
        <v>減少↓</v>
      </c>
      <c r="Q59" s="325" t="str">
        <f t="shared" si="3"/>
        <v>様子見▲</v>
      </c>
      <c r="R59" s="326">
        <f t="shared" si="4"/>
        <v>2203</v>
      </c>
      <c r="S59" s="326">
        <f t="shared" si="5"/>
        <v>2491</v>
      </c>
      <c r="T59" s="325">
        <f>IF(C59="","",IFERROR(IF(W59&lt;=22,-4,IF(W59&lt;=28,-2,IF(W59&lt;=45,2,IF(W59&lt;=55,1,0))))+IF(X59&lt;0,2,0)+IF(AD59="下降トレンド▼",3,IF(AD59="もみ合い→",1,0))+IF(V59="年初来安値圏●",3,IF(V59="安値圏",2,0))+IF(Q59="売り▼",2,0)+IF(P59="急増↑↑",2,IF(P59="増加↑",1,0))+IF(Z59&lt;0,1,0)+IF(L59&lt;=-30,2,IF(L59&lt;=-15,1,0))+IF(AE59="25日戻り売り★",2,IF(AE59="5日戻り売り○",1,0))+N(AL59)+N(AP59)+N(AU59),0))</f>
      </c>
      <c r="U59" s="325" t="str">
        <f t="shared" si="7"/>
        <v>除外</v>
      </c>
      <c r="V59" s="325" t="str">
        <f t="shared" si="8"/>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 t="shared" si="9"/>
        <v>相場上昇・見送り | 上昇トレンド▲ MACD+ RSI:45.2 前日比:+1.6%前日[長い下ヒゲ(反発)] [-4点]</v>
      </c>
      <c r="Z59" s="331">
        <f t="shared" si="10"/>
        <v>1.6122189223589309</v>
      </c>
      <c r="AA59" s="325" t="str">
        <f t="shared" si="11"/>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 t="shared" si="12"/>
        <v>上昇トレンド▲</v>
      </c>
      <c r="AE59" s="325" t="str">
        <f t="shared" si="13"/>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 t="shared" si="14"/>
        <v>0</v>
      </c>
      <c r="AH59">
        <f t="shared" si="15"/>
        <v>0</v>
      </c>
      <c r="AI59" s="373">
        <f t="array" ref="AI59">IF(C59="","",IFERROR((INDEX(終値!$E:$E,MATCH(TEXT(C59,"0"),終値!$A:$A,0))-INDEX(終値!$E:$CZ,MATCH(TEXT(C59,"0"),終値!$A:$A,0),$AN$2))/INDEX(終値!$E:$CZ,MATCH(TEXT(C59,"0"),終値!$A:$A,0),$AN$2)*100,""))</f>
        <v>10.445008070094536</v>
      </c>
      <c r="AJ59" s="373">
        <f t="array" ref="AJ59">IFERROR((終値!$E$5-INDEX(終値!$E$5:$CZ$5,1,$AN$2))/INDEX(終値!$E$5:$CZ$5,1,$AN$2)*100,"")</f>
        <v>1.0179378228534113</v>
      </c>
      <c r="AK59" s="374">
        <f t="shared" si="16"/>
        <v>9.4270702472411241</v>
      </c>
      <c r="AL59" s="372">
        <f t="shared" si="17"/>
        <v>-2</v>
      </c>
      <c r="AO59" s="376" t="str">
        <f t="shared" si="18"/>
        <v>通常</v>
      </c>
      <c r="AP59" s="377">
        <f t="shared" si="19"/>
        <v>0</v>
      </c>
      <c r="AQ59">
        <f>IF(C59&lt;&gt;"",始値!F104,"")</f>
        <v>2340</v>
      </c>
      <c r="AR59">
        <f>IF(C59&lt;&gt;"",高値!F104,"")</f>
        <v>2357</v>
      </c>
      <c r="AS59">
        <f>IF(C59&lt;&gt;"",安値!F104,"")</f>
        <v>2316.5</v>
      </c>
      <c r="AT59" t="str">
        <f t="shared" si="20"/>
        <v>長い下ヒゲ(反発)</v>
      </c>
      <c r="AU59">
        <f t="shared" si="21"/>
        <v>-2</v>
      </c>
      <c r="BA59">
        <f>IFERROR((SUM(OFFSET(高値!$E$6,IFERROR(MATCH($C59,銘柄管理!$B$6:$B$305,0),MATCH(TEXT($C59,"0"),銘柄管理!$B$6:$B$305,0))-1,0,1,14))-SUM(OFFSET(安値!$E$6,IFERROR(MATCH($C59,銘柄管理!$B$6:$B$305,0),MATCH(TEXT($C59,"0"),銘柄管理!$B$6:$B$305,0))-1,0,1,14)))/SUM(OFFSET(終値!$E$6,IFERROR(MATCH($C59,銘柄管理!$B$6:$B$305,0),MATCH(TEXT($C59,"0"),銘柄管理!$B$6:$B$305,0))-1,0,1,14))*100,"")</f>
      </c>
      <c r="BB59">
        <f>IFERROR((MAX(OFFSET(高値!$E$6,IFERROR(MATCH($C59,銘柄管理!$B$6:$B$305,0),MATCH(TEXT($C59,"0"),銘柄管理!$B$6:$B$305,0))-1,0,1,25))-MIN(OFFSET(安値!$E$6,IFERROR(MATCH($C59,銘柄管理!$B$6:$B$305,0),MATCH(TEXT($C59,"0"),銘柄管理!$B$6:$B$305,0))-1,0,1,25)))/$E59*100,"")</f>
      </c>
      <c r="BC59">
        <f>IFERROR(($F59-$G59)/$G59*100,"")</f>
      </c>
      <c r="BD59">
        <f>IFERROR(($E59-MAX(OFFSET(高値!$E$6,IFERROR(MATCH($C59,銘柄管理!$B$6:$B$305,0),MATCH(TEXT($C59,"0"),銘柄管理!$B$6:$B$305,0))-1,0,1,25)))/MAX(OFFSET(高値!$E$6,IFERROR(MATCH($C59,銘柄管理!$B$6:$B$305,0),MATCH(TEXT($C59,"0"),銘柄管理!$B$6:$B$305,0))-1,0,1,25))*100,"")</f>
      </c>
      <c r="BE59">
        <f>IFERROR(($H59-$I59)/$F59*100,"")</f>
      </c>
      <c r="BF59">
        <f>IFERROR(-(($BA59-AVERAGE($BA$3:$BA$206))/STDEV($BA$3:$BA$206))-(($BE59-AVERAGE($BE$3:$BE$206))/STDEV($BE$3:$BE$206))-(($BB59-AVERAGE($BB$3:$BB$206))/STDEV($BB$3:$BB$206))-(($Z59-AVERAGE($Z$3:$Z$206))/STDEV($Z$3:$Z$206))-(($BC59-AVERAGE($BC$3:$BC$206))/STDEV($BC$3:$BC$206)),"")</f>
      </c>
      <c r="BG59">
        <f>IF(OR($C59="",$C59="TOPX",$BA59="",$BF59=""),0,IF(AND($BK$10=1,$BA59&lt;=$BK$2,$BB59&lt;=$BK$3,$BC59&lt;=$BK$4,$Z59&lt;=$BK$5,$Z59&gt;=$BK$6,$BD59&gt;=$BK$7,$BE59&lt;=$BK$8),1,0))</f>
      </c>
      <c r="BH59">
        <f>IF($C59="","",IF($BG59=1,"○ゲート通過",IF($BK$10&lt;&gt;1,"― この方向は停止中",IF($BA59&gt;$BK$2,"×値動きが荒い",IF($BB59&gt;$BK$3,"×レンジが広い",IF($BC59&gt;$BK$4,"×窓を開けて上昇",IF($Z59&gt;$BK$5,"×前日に急騰",IF($Z59&lt;$BK$6,"×前日に急落",IF($BD59&lt;$BK$7,"×高値から離れすぎ",IF($BE59&gt;$BK$8,"×当日の値幅が大きい","×")))))))))</f>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 t="shared" si="0"/>
        <v>-2.5725593667546174</v>
      </c>
      <c r="M60" s="333">
        <f>IF(C60&lt;&gt;"",IFERROR(AVERAGE(出来高!E110:I110),""),"")</f>
        <v>509460</v>
      </c>
      <c r="N60" s="333">
        <f>IF(C60&lt;&gt;"",IFERROR(AVERAGE(出来高!E110:AC110),""),"")</f>
        <v>410856</v>
      </c>
      <c r="O60" s="335">
        <f t="shared" si="1"/>
        <v>1.0835001766576375</v>
      </c>
      <c r="P60" s="212" t="str">
        <f t="shared" si="2"/>
        <v>普通→</v>
      </c>
      <c r="Q60" s="212" t="str">
        <f t="shared" si="3"/>
        <v>様子見▲</v>
      </c>
      <c r="R60" s="333">
        <f t="shared" si="4"/>
        <v>2038</v>
      </c>
      <c r="S60" s="333">
        <f t="shared" si="5"/>
        <v>2304</v>
      </c>
      <c r="T60" s="325">
        <f>IF(C60="","",IFERROR(IF(W60&lt;=22,-4,IF(W60&lt;=28,-2,IF(W60&lt;=45,2,IF(W60&lt;=55,1,0))))+IF(X60&lt;0,2,0)+IF(AD60="下降トレンド▼",3,IF(AD60="もみ合い→",1,0))+IF(V60="年初来安値圏●",3,IF(V60="安値圏",2,0))+IF(Q60="売り▼",2,0)+IF(P60="急増↑↑",2,IF(P60="増加↑",1,0))+IF(Z60&lt;0,1,0)+IF(L60&lt;=-30,2,IF(L60&lt;=-15,1,0))+IF(AE60="25日戻り売り★",2,IF(AE60="5日戻り売り○",1,0))+N(AL60)+N(AP60)+N(AU60),0))</f>
      </c>
      <c r="U60" s="212" t="str">
        <f t="shared" si="7"/>
        <v>除外</v>
      </c>
      <c r="V60" s="212" t="str">
        <f t="shared" si="8"/>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 t="shared" si="9"/>
        <v>相場上昇・見送り | パーフェクト▲ MACD+ RSI:59.9 前日比:+0.9% [-1点]</v>
      </c>
      <c r="Z60" s="338">
        <f t="shared" si="10"/>
        <v>0.88797814207650272</v>
      </c>
      <c r="AA60" s="212" t="str">
        <f t="shared" si="11"/>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 t="shared" si="12"/>
        <v>パーフェクト▲</v>
      </c>
      <c r="AE60" s="212" t="str">
        <f t="shared" si="13"/>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 t="shared" si="14"/>
        <v>0</v>
      </c>
      <c r="AH60">
        <f t="shared" si="15"/>
        <v>0</v>
      </c>
      <c r="AI60" s="373">
        <f t="array" ref="AI60">IF(C60="","",IFERROR((INDEX(終値!$E:$E,MATCH(TEXT(C60,"0"),終値!$A:$A,0))-INDEX(終値!$E:$CZ,MATCH(TEXT(C60,"0"),終値!$A:$A,0),$AN$2))/INDEX(終値!$E:$CZ,MATCH(TEXT(C60,"0"),終値!$A:$A,0),$AN$2)*100,""))</f>
        <v>16.605263157894736</v>
      </c>
      <c r="AJ60" s="373">
        <f t="array" ref="AJ60">IFERROR((終値!$E$5-INDEX(終値!$E$5:$CZ$5,1,$AN$2))/INDEX(終値!$E$5:$CZ$5,1,$AN$2)*100,"")</f>
        <v>1.0179378228534113</v>
      </c>
      <c r="AK60" s="374">
        <f t="shared" si="16"/>
        <v>15.587325335041324</v>
      </c>
      <c r="AL60" s="372">
        <f t="shared" si="17"/>
        <v>-2</v>
      </c>
      <c r="AO60" s="376" t="str">
        <f t="shared" si="18"/>
        <v>通常</v>
      </c>
      <c r="AP60" s="377">
        <f t="shared" si="19"/>
        <v>0</v>
      </c>
      <c r="AQ60">
        <f>IF(C60&lt;&gt;"",始値!F110,"")</f>
        <v>2202.5</v>
      </c>
      <c r="AR60">
        <f>IF(C60&lt;&gt;"",高値!F110,"")</f>
        <v>2218.5</v>
      </c>
      <c r="AS60">
        <f>IF(C60&lt;&gt;"",安値!F110,"")</f>
        <v>2186</v>
      </c>
      <c r="AT60" t="str">
        <f t="shared" si="20"/>
        <v>通常</v>
      </c>
      <c r="AU60">
        <f t="shared" si="21"/>
        <v>0</v>
      </c>
      <c r="BA60">
        <f>IFERROR((SUM(OFFSET(高値!$E$6,IFERROR(MATCH($C60,銘柄管理!$B$6:$B$305,0),MATCH(TEXT($C60,"0"),銘柄管理!$B$6:$B$305,0))-1,0,1,14))-SUM(OFFSET(安値!$E$6,IFERROR(MATCH($C60,銘柄管理!$B$6:$B$305,0),MATCH(TEXT($C60,"0"),銘柄管理!$B$6:$B$305,0))-1,0,1,14)))/SUM(OFFSET(終値!$E$6,IFERROR(MATCH($C60,銘柄管理!$B$6:$B$305,0),MATCH(TEXT($C60,"0"),銘柄管理!$B$6:$B$305,0))-1,0,1,14))*100,"")</f>
      </c>
      <c r="BB60">
        <f>IFERROR((MAX(OFFSET(高値!$E$6,IFERROR(MATCH($C60,銘柄管理!$B$6:$B$305,0),MATCH(TEXT($C60,"0"),銘柄管理!$B$6:$B$305,0))-1,0,1,25))-MIN(OFFSET(安値!$E$6,IFERROR(MATCH($C60,銘柄管理!$B$6:$B$305,0),MATCH(TEXT($C60,"0"),銘柄管理!$B$6:$B$305,0))-1,0,1,25)))/$E60*100,"")</f>
      </c>
      <c r="BC60">
        <f>IFERROR(($F60-$G60)/$G60*100,"")</f>
      </c>
      <c r="BD60">
        <f>IFERROR(($E60-MAX(OFFSET(高値!$E$6,IFERROR(MATCH($C60,銘柄管理!$B$6:$B$305,0),MATCH(TEXT($C60,"0"),銘柄管理!$B$6:$B$305,0))-1,0,1,25)))/MAX(OFFSET(高値!$E$6,IFERROR(MATCH($C60,銘柄管理!$B$6:$B$305,0),MATCH(TEXT($C60,"0"),銘柄管理!$B$6:$B$305,0))-1,0,1,25))*100,"")</f>
      </c>
      <c r="BE60">
        <f>IFERROR(($H60-$I60)/$F60*100,"")</f>
      </c>
      <c r="BF60">
        <f>IFERROR(-(($BA60-AVERAGE($BA$3:$BA$206))/STDEV($BA$3:$BA$206))-(($BE60-AVERAGE($BE$3:$BE$206))/STDEV($BE$3:$BE$206))-(($BB60-AVERAGE($BB$3:$BB$206))/STDEV($BB$3:$BB$206))-(($Z60-AVERAGE($Z$3:$Z$206))/STDEV($Z$3:$Z$206))-(($BC60-AVERAGE($BC$3:$BC$206))/STDEV($BC$3:$BC$206)),"")</f>
      </c>
      <c r="BG60">
        <f>IF(OR($C60="",$C60="TOPX",$BA60="",$BF60=""),0,IF(AND($BK$10=1,$BA60&lt;=$BK$2,$BB60&lt;=$BK$3,$BC60&lt;=$BK$4,$Z60&lt;=$BK$5,$Z60&gt;=$BK$6,$BD60&gt;=$BK$7,$BE60&lt;=$BK$8),1,0))</f>
      </c>
      <c r="BH60">
        <f>IF($C60="","",IF($BG60=1,"○ゲート通過",IF($BK$10&lt;&gt;1,"― この方向は停止中",IF($BA60&gt;$BK$2,"×値動きが荒い",IF($BB60&gt;$BK$3,"×レンジが広い",IF($BC60&gt;$BK$4,"×窓を開けて上昇",IF($Z60&gt;$BK$5,"×前日に急騰",IF($Z60&lt;$BK$6,"×前日に急落",IF($BD60&lt;$BK$7,"×高値から離れすぎ",IF($BE60&gt;$BK$8,"×当日の値幅が大きい","×")))))))))</f>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 t="shared" si="0"/>
        <v>-5.3169734151329244</v>
      </c>
      <c r="M61" s="326">
        <f>IF(C61&lt;&gt;"",IFERROR(AVERAGE(出来高!E118:I118),""),"")</f>
        <v>1132180</v>
      </c>
      <c r="N61" s="326">
        <f>IF(C61&lt;&gt;"",IFERROR(AVERAGE(出来高!E118:AC118),""),"")</f>
        <v>972772</v>
      </c>
      <c r="O61" s="328">
        <f t="shared" si="1"/>
        <v>0.79943118585383954</v>
      </c>
      <c r="P61" s="325" t="str">
        <f t="shared" si="2"/>
        <v>減少↓</v>
      </c>
      <c r="Q61" s="325" t="str">
        <f t="shared" si="3"/>
        <v>中立→</v>
      </c>
      <c r="R61" s="326">
        <f t="shared" si="4"/>
        <v>4260</v>
      </c>
      <c r="S61" s="326">
        <f t="shared" si="5"/>
        <v>4815</v>
      </c>
      <c r="T61" s="325">
        <f>IF(C61="","",IFERROR(IF(W61&lt;=22,-4,IF(W61&lt;=28,-2,IF(W61&lt;=45,2,IF(W61&lt;=55,1,0))))+IF(X61&lt;0,2,0)+IF(AD61="下降トレンド▼",3,IF(AD61="もみ合い→",1,0))+IF(V61="年初来安値圏●",3,IF(V61="安値圏",2,0))+IF(Q61="売り▼",2,0)+IF(P61="急増↑↑",2,IF(P61="増加↑",1,0))+IF(Z61&lt;0,1,0)+IF(L61&lt;=-30,2,IF(L61&lt;=-15,1,0))+IF(AE61="25日戻り売り★",2,IF(AE61="5日戻り売り○",1,0))+N(AL61)+N(AP61)+N(AU61),0))</f>
      </c>
      <c r="U61" s="325" t="str">
        <f t="shared" si="7"/>
        <v>除外</v>
      </c>
      <c r="V61" s="325" t="str">
        <f t="shared" si="8"/>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 t="shared" si="9"/>
        <v>相場上昇・見送り | パーフェクト▲ MACD- RSI:46.3 前日比:-1.0% [2点]</v>
      </c>
      <c r="Z61" s="331">
        <f t="shared" si="10"/>
        <v>-1.0049176822749626</v>
      </c>
      <c r="AA61" s="325" t="str">
        <f t="shared" si="11"/>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 t="shared" si="12"/>
        <v>パーフェクト▲</v>
      </c>
      <c r="AE61" s="325" t="str">
        <f t="shared" si="13"/>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 t="shared" si="14"/>
        <v>0</v>
      </c>
      <c r="AH61">
        <f t="shared" si="15"/>
        <v>0</v>
      </c>
      <c r="AI61" s="373">
        <f t="array" ref="AI61">IF(C61="","",IFERROR((INDEX(終値!$E:$E,MATCH(TEXT(C61,"0"),終値!$A:$A,0))-INDEX(終値!$E:$CZ,MATCH(TEXT(C61,"0"),終値!$A:$A,0),$AN$2))/INDEX(終値!$E:$CZ,MATCH(TEXT(C61,"0"),終値!$A:$A,0),$AN$2)*100,""))</f>
        <v>1.2464465340039361</v>
      </c>
      <c r="AJ61" s="373">
        <f t="array" ref="AJ61">IFERROR((終値!$E$5-INDEX(終値!$E$5:$CZ$5,1,$AN$2))/INDEX(終値!$E$5:$CZ$5,1,$AN$2)*100,"")</f>
        <v>1.0179378228534113</v>
      </c>
      <c r="AK61" s="374">
        <f t="shared" si="16"/>
        <v>0.22850871115052485</v>
      </c>
      <c r="AL61" s="372">
        <f t="shared" si="17"/>
        <v>-1</v>
      </c>
      <c r="AO61" s="376" t="str">
        <f t="shared" si="18"/>
        <v>通常</v>
      </c>
      <c r="AP61" s="377">
        <f t="shared" si="19"/>
        <v>0</v>
      </c>
      <c r="AQ61">
        <f>IF(C61&lt;&gt;"",始値!F118,"")</f>
        <v>4540</v>
      </c>
      <c r="AR61">
        <f>IF(C61&lt;&gt;"",高値!F118,"")</f>
        <v>4677</v>
      </c>
      <c r="AS61">
        <f>IF(C61&lt;&gt;"",安値!F118,"")</f>
        <v>4535</v>
      </c>
      <c r="AT61" t="str">
        <f t="shared" si="20"/>
        <v>通常</v>
      </c>
      <c r="AU61">
        <f t="shared" si="21"/>
        <v>0</v>
      </c>
      <c r="BA61">
        <f>IFERROR((SUM(OFFSET(高値!$E$6,IFERROR(MATCH($C61,銘柄管理!$B$6:$B$305,0),MATCH(TEXT($C61,"0"),銘柄管理!$B$6:$B$305,0))-1,0,1,14))-SUM(OFFSET(安値!$E$6,IFERROR(MATCH($C61,銘柄管理!$B$6:$B$305,0),MATCH(TEXT($C61,"0"),銘柄管理!$B$6:$B$305,0))-1,0,1,14)))/SUM(OFFSET(終値!$E$6,IFERROR(MATCH($C61,銘柄管理!$B$6:$B$305,0),MATCH(TEXT($C61,"0"),銘柄管理!$B$6:$B$305,0))-1,0,1,14))*100,"")</f>
      </c>
      <c r="BB61">
        <f>IFERROR((MAX(OFFSET(高値!$E$6,IFERROR(MATCH($C61,銘柄管理!$B$6:$B$305,0),MATCH(TEXT($C61,"0"),銘柄管理!$B$6:$B$305,0))-1,0,1,25))-MIN(OFFSET(安値!$E$6,IFERROR(MATCH($C61,銘柄管理!$B$6:$B$305,0),MATCH(TEXT($C61,"0"),銘柄管理!$B$6:$B$305,0))-1,0,1,25)))/$E61*100,"")</f>
      </c>
      <c r="BC61">
        <f>IFERROR(($F61-$G61)/$G61*100,"")</f>
      </c>
      <c r="BD61">
        <f>IFERROR(($E61-MAX(OFFSET(高値!$E$6,IFERROR(MATCH($C61,銘柄管理!$B$6:$B$305,0),MATCH(TEXT($C61,"0"),銘柄管理!$B$6:$B$305,0))-1,0,1,25)))/MAX(OFFSET(高値!$E$6,IFERROR(MATCH($C61,銘柄管理!$B$6:$B$305,0),MATCH(TEXT($C61,"0"),銘柄管理!$B$6:$B$305,0))-1,0,1,25))*100,"")</f>
      </c>
      <c r="BE61">
        <f>IFERROR(($H61-$I61)/$F61*100,"")</f>
      </c>
      <c r="BF61">
        <f>IFERROR(-(($BA61-AVERAGE($BA$3:$BA$206))/STDEV($BA$3:$BA$206))-(($BE61-AVERAGE($BE$3:$BE$206))/STDEV($BE$3:$BE$206))-(($BB61-AVERAGE($BB$3:$BB$206))/STDEV($BB$3:$BB$206))-(($Z61-AVERAGE($Z$3:$Z$206))/STDEV($Z$3:$Z$206))-(($BC61-AVERAGE($BC$3:$BC$206))/STDEV($BC$3:$BC$206)),"")</f>
      </c>
      <c r="BG61">
        <f>IF(OR($C61="",$C61="TOPX",$BA61="",$BF61=""),0,IF(AND($BK$10=1,$BA61&lt;=$BK$2,$BB61&lt;=$BK$3,$BC61&lt;=$BK$4,$Z61&lt;=$BK$5,$Z61&gt;=$BK$6,$BD61&gt;=$BK$7,$BE61&lt;=$BK$8),1,0))</f>
      </c>
      <c r="BH61">
        <f>IF($C61="","",IF($BG61=1,"○ゲート通過",IF($BK$10&lt;&gt;1,"― この方向は停止中",IF($BA61&gt;$BK$2,"×値動きが荒い",IF($BB61&gt;$BK$3,"×レンジが広い",IF($BC61&gt;$BK$4,"×窓を開けて上昇",IF($Z61&gt;$BK$5,"×前日に急騰",IF($Z61&lt;$BK$6,"×前日に急落",IF($BD61&lt;$BK$7,"×高値から離れすぎ",IF($BE61&gt;$BK$8,"×当日の値幅が大きい","×")))))))))</f>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 t="shared" si="0"/>
        <v>-45.126993502658003</v>
      </c>
      <c r="M62" s="333">
        <f>IF(C62&lt;&gt;"",IFERROR(AVERAGE(出来高!E147:I147),""),"")</f>
        <v>155040</v>
      </c>
      <c r="N62" s="333">
        <f>IF(C62&lt;&gt;"",IFERROR(AVERAGE(出来高!E147:AC147),""),"")</f>
        <v>114808.33333333333</v>
      </c>
      <c r="O62" s="335">
        <f t="shared" si="1"/>
        <v>0.59726522187822495</v>
      </c>
      <c r="P62" s="212" t="str">
        <f t="shared" si="2"/>
        <v>減少↓</v>
      </c>
      <c r="Q62" s="212" t="str">
        <f t="shared" si="3"/>
        <v>中立→</v>
      </c>
      <c r="R62" s="333">
        <f t="shared" si="4"/>
        <v>8547</v>
      </c>
      <c r="S62" s="333">
        <f t="shared" si="5"/>
        <v>9662</v>
      </c>
      <c r="T62" s="325">
        <f>IF(C62="","",IFERROR(IF(W62&lt;=22,-4,IF(W62&lt;=28,-2,IF(W62&lt;=45,2,IF(W62&lt;=55,1,0))))+IF(X62&lt;0,2,0)+IF(AD62="下降トレンド▼",3,IF(AD62="もみ合い→",1,0))+IF(V62="年初来安値圏●",3,IF(V62="安値圏",2,0))+IF(Q62="売り▼",2,0)+IF(P62="急増↑↑",2,IF(P62="増加↑",1,0))+IF(Z62&lt;0,1,0)+IF(L62&lt;=-30,2,IF(L62&lt;=-15,1,0))+IF(AE62="25日戻り売り★",2,IF(AE62="5日戻り売り○",1,0))+N(AL62)+N(AP62)+N(AU62),0))</f>
      </c>
      <c r="U62" s="212" t="str">
        <f t="shared" si="7"/>
        <v>要確認</v>
      </c>
      <c r="V62" s="212" t="str">
        <f t="shared" si="8"/>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 t="shared" si="9"/>
        <v>★逆張り売り | 下降トレンド▼ 25日戻り売り★ MACD- RSI:45.2 前日比:-5.8% [年初来安値圏]前日[長い下ヒゲ(反発)] [14点]</v>
      </c>
      <c r="Z62" s="338">
        <f t="shared" si="10"/>
        <v>-5.7809330628803242</v>
      </c>
      <c r="AA62" s="212" t="str">
        <f t="shared" si="11"/>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 t="shared" si="12"/>
        <v>下降トレンド▼</v>
      </c>
      <c r="AE62" s="212" t="str">
        <f t="shared" si="13"/>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 t="shared" si="14"/>
        <v>14</v>
      </c>
      <c r="AH62">
        <f t="shared" si="15"/>
        <v>139938</v>
      </c>
      <c r="AI62" s="373">
        <f t="array" ref="AI62">IF(C62="","",IFERROR((INDEX(終値!$E:$E,MATCH(TEXT(C62,"0"),終値!$A:$A,0))-INDEX(終値!$E:$CZ,MATCH(TEXT(C62,"0"),終値!$A:$A,0),$AN$2))/INDEX(終値!$E:$CZ,MATCH(TEXT(C62,"0"),終値!$A:$A,0),$AN$2)*100,""))</f>
        <v>-33.926031294452343</v>
      </c>
      <c r="AJ62" s="373">
        <f t="array" ref="AJ62">IFERROR((終値!$E$5-INDEX(終値!$E$5:$CZ$5,1,$AN$2))/INDEX(終値!$E$5:$CZ$5,1,$AN$2)*100,"")</f>
        <v>1.0179378228534113</v>
      </c>
      <c r="AK62" s="374">
        <f t="shared" si="16"/>
        <v>-34.943969117305755</v>
      </c>
      <c r="AL62" s="372">
        <f t="shared" si="17"/>
        <v>3</v>
      </c>
      <c r="AO62" s="376" t="str">
        <f t="shared" si="18"/>
        <v>通常</v>
      </c>
      <c r="AP62" s="377">
        <f t="shared" si="19"/>
        <v>0</v>
      </c>
      <c r="AQ62">
        <f>IF(C62&lt;&gt;"",始値!F147,"")</f>
        <v>9950</v>
      </c>
      <c r="AR62">
        <f>IF(C62&lt;&gt;"",高値!F147,"")</f>
        <v>9960</v>
      </c>
      <c r="AS62">
        <f>IF(C62&lt;&gt;"",安値!F147,"")</f>
        <v>9460</v>
      </c>
      <c r="AT62" t="str">
        <f t="shared" si="20"/>
        <v>長い下ヒゲ(反発)</v>
      </c>
      <c r="AU62">
        <f t="shared" si="21"/>
        <v>-2</v>
      </c>
      <c r="BA62">
        <f>IFERROR((SUM(OFFSET(高値!$E$6,IFERROR(MATCH($C62,銘柄管理!$B$6:$B$305,0),MATCH(TEXT($C62,"0"),銘柄管理!$B$6:$B$305,0))-1,0,1,14))-SUM(OFFSET(安値!$E$6,IFERROR(MATCH($C62,銘柄管理!$B$6:$B$305,0),MATCH(TEXT($C62,"0"),銘柄管理!$B$6:$B$305,0))-1,0,1,14)))/SUM(OFFSET(終値!$E$6,IFERROR(MATCH($C62,銘柄管理!$B$6:$B$305,0),MATCH(TEXT($C62,"0"),銘柄管理!$B$6:$B$305,0))-1,0,1,14))*100,"")</f>
      </c>
      <c r="BB62">
        <f>IFERROR((MAX(OFFSET(高値!$E$6,IFERROR(MATCH($C62,銘柄管理!$B$6:$B$305,0),MATCH(TEXT($C62,"0"),銘柄管理!$B$6:$B$305,0))-1,0,1,25))-MIN(OFFSET(安値!$E$6,IFERROR(MATCH($C62,銘柄管理!$B$6:$B$305,0),MATCH(TEXT($C62,"0"),銘柄管理!$B$6:$B$305,0))-1,0,1,25)))/$E62*100,"")</f>
      </c>
      <c r="BC62">
        <f>IFERROR(($F62-$G62)/$G62*100,"")</f>
      </c>
      <c r="BD62">
        <f>IFERROR(($E62-MAX(OFFSET(高値!$E$6,IFERROR(MATCH($C62,銘柄管理!$B$6:$B$305,0),MATCH(TEXT($C62,"0"),銘柄管理!$B$6:$B$305,0))-1,0,1,25)))/MAX(OFFSET(高値!$E$6,IFERROR(MATCH($C62,銘柄管理!$B$6:$B$305,0),MATCH(TEXT($C62,"0"),銘柄管理!$B$6:$B$305,0))-1,0,1,25))*100,"")</f>
      </c>
      <c r="BE62">
        <f>IFERROR(($H62-$I62)/$F62*100,"")</f>
      </c>
      <c r="BF62">
        <f>IFERROR(-(($BA62-AVERAGE($BA$3:$BA$206))/STDEV($BA$3:$BA$206))-(($BE62-AVERAGE($BE$3:$BE$206))/STDEV($BE$3:$BE$206))-(($BB62-AVERAGE($BB$3:$BB$206))/STDEV($BB$3:$BB$206))-(($Z62-AVERAGE($Z$3:$Z$206))/STDEV($Z$3:$Z$206))-(($BC62-AVERAGE($BC$3:$BC$206))/STDEV($BC$3:$BC$206)),"")</f>
      </c>
      <c r="BG62">
        <f>IF(OR($C62="",$C62="TOPX",$BA62="",$BF62=""),0,IF(AND($BK$10=1,$BA62&lt;=$BK$2,$BB62&lt;=$BK$3,$BC62&lt;=$BK$4,$Z62&lt;=$BK$5,$Z62&gt;=$BK$6,$BD62&gt;=$BK$7,$BE62&lt;=$BK$8),1,0))</f>
      </c>
      <c r="BH62">
        <f>IF($C62="","",IF($BG62=1,"○ゲート通過",IF($BK$10&lt;&gt;1,"― この方向は停止中",IF($BA62&gt;$BK$2,"×値動きが荒い",IF($BB62&gt;$BK$3,"×レンジが広い",IF($BC62&gt;$BK$4,"×窓を開けて上昇",IF($Z62&gt;$BK$5,"×前日に急騰",IF($Z62&lt;$BK$6,"×前日に急落",IF($BD62&lt;$BK$7,"×高値から離れすぎ",IF($BE62&gt;$BK$8,"×当日の値幅が大きい","×")))))))))</f>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 t="shared" si="0"/>
        <v>2.1867115222876365</v>
      </c>
      <c r="M63" s="326">
        <f>IF(C63&lt;&gt;"",IFERROR(AVERAGE(出来高!E152:I152),""),"")</f>
        <v>639940</v>
      </c>
      <c r="N63" s="326">
        <f>IF(C63&lt;&gt;"",IFERROR(AVERAGE(出来高!E152:AC152),""),"")</f>
        <v>543020</v>
      </c>
      <c r="O63" s="328">
        <f t="shared" si="1"/>
        <v>0.8997718536112761</v>
      </c>
      <c r="P63" s="325" t="str">
        <f t="shared" si="2"/>
        <v>減少↓</v>
      </c>
      <c r="Q63" s="325" t="str">
        <f t="shared" si="3"/>
        <v>様子見▲</v>
      </c>
      <c r="R63" s="326">
        <f t="shared" si="4"/>
        <v>1118</v>
      </c>
      <c r="S63" s="326">
        <f t="shared" si="5"/>
        <v>1264</v>
      </c>
      <c r="T63" s="325">
        <f>IF(C63="","",IFERROR(IF(W63&lt;=22,-4,IF(W63&lt;=28,-2,IF(W63&lt;=45,2,IF(W63&lt;=55,1,0))))+IF(X63&lt;0,2,0)+IF(AD63="下降トレンド▼",3,IF(AD63="もみ合い→",1,0))+IF(V63="年初来安値圏●",3,IF(V63="安値圏",2,0))+IF(Q63="売り▼",2,0)+IF(P63="急増↑↑",2,IF(P63="増加↑",1,0))+IF(Z63&lt;0,1,0)+IF(L63&lt;=-30,2,IF(L63&lt;=-15,1,0))+IF(AE63="25日戻り売り★",2,IF(AE63="5日戻り売り○",1,0))+N(AL63)+N(AP63)+N(AU63),0))</f>
      </c>
      <c r="U63" s="325" t="str">
        <f t="shared" si="7"/>
        <v>除外</v>
      </c>
      <c r="V63" s="325" t="str">
        <f t="shared" si="8"/>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 t="shared" si="9"/>
        <v>相場上昇・見送り | パーフェクト▲ MACD+ RSI:55.1 前日比:+4.2% [-1点]</v>
      </c>
      <c r="Z63" s="331">
        <f t="shared" si="10"/>
        <v>4.2024013722126927</v>
      </c>
      <c r="AA63" s="325" t="str">
        <f t="shared" si="11"/>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 t="shared" si="12"/>
        <v>パーフェクト▲</v>
      </c>
      <c r="AE63" s="325" t="str">
        <f t="shared" si="13"/>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 t="shared" si="14"/>
        <v>0</v>
      </c>
      <c r="AH63">
        <f t="shared" si="15"/>
        <v>0</v>
      </c>
      <c r="AI63" s="373">
        <f t="array" ref="AI63">IF(C63="","",IFERROR((INDEX(終値!$E:$E,MATCH(TEXT(C63,"0"),終値!$A:$A,0))-INDEX(終値!$E:$CZ,MATCH(TEXT(C63,"0"),終値!$A:$A,0),$AN$2))/INDEX(終値!$E:$CZ,MATCH(TEXT(C63,"0"),終値!$A:$A,0),$AN$2)*100,""))</f>
        <v>18.421052631578945</v>
      </c>
      <c r="AJ63" s="373">
        <f t="array" ref="AJ63">IFERROR((終値!$E$5-INDEX(終値!$E$5:$CZ$5,1,$AN$2))/INDEX(終値!$E$5:$CZ$5,1,$AN$2)*100,"")</f>
        <v>1.0179378228534113</v>
      </c>
      <c r="AK63" s="374">
        <f t="shared" si="16"/>
        <v>17.403114808725533</v>
      </c>
      <c r="AL63" s="372">
        <f t="shared" si="17"/>
        <v>-2</v>
      </c>
      <c r="AO63" s="376" t="str">
        <f t="shared" si="18"/>
        <v>通常</v>
      </c>
      <c r="AP63" s="377">
        <f t="shared" si="19"/>
        <v>0</v>
      </c>
      <c r="AQ63">
        <f>IF(C63&lt;&gt;"",始値!F152,"")</f>
        <v>1138</v>
      </c>
      <c r="AR63">
        <f>IF(C63&lt;&gt;"",高値!F152,"")</f>
        <v>1178</v>
      </c>
      <c r="AS63">
        <f>IF(C63&lt;&gt;"",安値!F152,"")</f>
        <v>1138</v>
      </c>
      <c r="AT63" t="str">
        <f t="shared" si="20"/>
        <v>通常</v>
      </c>
      <c r="AU63">
        <f t="shared" si="21"/>
        <v>0</v>
      </c>
      <c r="BA63">
        <f>IFERROR((SUM(OFFSET(高値!$E$6,IFERROR(MATCH($C63,銘柄管理!$B$6:$B$305,0),MATCH(TEXT($C63,"0"),銘柄管理!$B$6:$B$305,0))-1,0,1,14))-SUM(OFFSET(安値!$E$6,IFERROR(MATCH($C63,銘柄管理!$B$6:$B$305,0),MATCH(TEXT($C63,"0"),銘柄管理!$B$6:$B$305,0))-1,0,1,14)))/SUM(OFFSET(終値!$E$6,IFERROR(MATCH($C63,銘柄管理!$B$6:$B$305,0),MATCH(TEXT($C63,"0"),銘柄管理!$B$6:$B$305,0))-1,0,1,14))*100,"")</f>
      </c>
      <c r="BB63">
        <f>IFERROR((MAX(OFFSET(高値!$E$6,IFERROR(MATCH($C63,銘柄管理!$B$6:$B$305,0),MATCH(TEXT($C63,"0"),銘柄管理!$B$6:$B$305,0))-1,0,1,25))-MIN(OFFSET(安値!$E$6,IFERROR(MATCH($C63,銘柄管理!$B$6:$B$305,0),MATCH(TEXT($C63,"0"),銘柄管理!$B$6:$B$305,0))-1,0,1,25)))/$E63*100,"")</f>
      </c>
      <c r="BC63">
        <f>IFERROR(($F63-$G63)/$G63*100,"")</f>
      </c>
      <c r="BD63">
        <f>IFERROR(($E63-MAX(OFFSET(高値!$E$6,IFERROR(MATCH($C63,銘柄管理!$B$6:$B$305,0),MATCH(TEXT($C63,"0"),銘柄管理!$B$6:$B$305,0))-1,0,1,25)))/MAX(OFFSET(高値!$E$6,IFERROR(MATCH($C63,銘柄管理!$B$6:$B$305,0),MATCH(TEXT($C63,"0"),銘柄管理!$B$6:$B$305,0))-1,0,1,25))*100,"")</f>
      </c>
      <c r="BE63">
        <f>IFERROR(($H63-$I63)/$F63*100,"")</f>
      </c>
      <c r="BF63">
        <f>IFERROR(-(($BA63-AVERAGE($BA$3:$BA$206))/STDEV($BA$3:$BA$206))-(($BE63-AVERAGE($BE$3:$BE$206))/STDEV($BE$3:$BE$206))-(($BB63-AVERAGE($BB$3:$BB$206))/STDEV($BB$3:$BB$206))-(($Z63-AVERAGE($Z$3:$Z$206))/STDEV($Z$3:$Z$206))-(($BC63-AVERAGE($BC$3:$BC$206))/STDEV($BC$3:$BC$206)),"")</f>
      </c>
      <c r="BG63">
        <f>IF(OR($C63="",$C63="TOPX",$BA63="",$BF63=""),0,IF(AND($BK$10=1,$BA63&lt;=$BK$2,$BB63&lt;=$BK$3,$BC63&lt;=$BK$4,$Z63&lt;=$BK$5,$Z63&gt;=$BK$6,$BD63&gt;=$BK$7,$BE63&lt;=$BK$8),1,0))</f>
      </c>
      <c r="BH63">
        <f>IF($C63="","",IF($BG63=1,"○ゲート通過",IF($BK$10&lt;&gt;1,"― この方向は停止中",IF($BA63&gt;$BK$2,"×値動きが荒い",IF($BB63&gt;$BK$3,"×レンジが広い",IF($BC63&gt;$BK$4,"×窓を開けて上昇",IF($Z63&gt;$BK$5,"×前日に急騰",IF($Z63&lt;$BK$6,"×前日に急落",IF($BD63&lt;$BK$7,"×高値から離れすぎ",IF($BE63&gt;$BK$8,"×当日の値幅が大きい","×")))))))))</f>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 t="shared" si="0"/>
        <v>-17.041420118343193</v>
      </c>
      <c r="M64" s="333">
        <f>IF(C64&lt;&gt;"",IFERROR(AVERAGE(出来高!E183:I183),""),"")</f>
        <v>199660</v>
      </c>
      <c r="N64" s="333">
        <f>IF(C64&lt;&gt;"",IFERROR(AVERAGE(出来高!E183:AC183),""),"")</f>
        <v>158780</v>
      </c>
      <c r="O64" s="335">
        <f t="shared" si="1"/>
        <v>0.75528398277071018</v>
      </c>
      <c r="P64" s="212" t="str">
        <f t="shared" si="2"/>
        <v>減少↓</v>
      </c>
      <c r="Q64" s="212" t="str">
        <f t="shared" si="3"/>
        <v>中立→</v>
      </c>
      <c r="R64" s="333">
        <f t="shared" si="4"/>
        <v>12898</v>
      </c>
      <c r="S64" s="333">
        <f t="shared" si="5"/>
        <v>14581</v>
      </c>
      <c r="T64" s="325">
        <f>IF(C64="","",IFERROR(IF(W64&lt;=22,-4,IF(W64&lt;=28,-2,IF(W64&lt;=45,2,IF(W64&lt;=55,1,0))))+IF(X64&lt;0,2,0)+IF(AD64="下降トレンド▼",3,IF(AD64="もみ合い→",1,0))+IF(V64="年初来安値圏●",3,IF(V64="安値圏",2,0))+IF(Q64="売り▼",2,0)+IF(P64="急増↑↑",2,IF(P64="増加↑",1,0))+IF(Z64&lt;0,1,0)+IF(L64&lt;=-30,2,IF(L64&lt;=-15,1,0))+IF(AE64="25日戻り売り★",2,IF(AE64="5日戻り売り○",1,0))+N(AL64)+N(AP64)+N(AU64),0))</f>
      </c>
      <c r="U64" s="212" t="str">
        <f t="shared" si="7"/>
        <v>要確認</v>
      </c>
      <c r="V64" s="212" t="str">
        <f t="shared" si="8"/>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 t="shared" si="9"/>
        <v>相場上昇・見送り | 上昇トレンド▲ 5日戻り売り○ MACD- RSI:49.4 前日比:-5.4% [8点]</v>
      </c>
      <c r="Z64" s="338">
        <f t="shared" si="10"/>
        <v>-5.3981106612685563</v>
      </c>
      <c r="AA64" s="212" t="str">
        <f t="shared" si="11"/>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 t="shared" si="12"/>
        <v>上昇トレンド▲</v>
      </c>
      <c r="AE64" s="212" t="str">
        <f t="shared" si="13"/>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 t="shared" si="14"/>
        <v>8</v>
      </c>
      <c r="AH64">
        <f t="shared" si="15"/>
        <v>79936</v>
      </c>
      <c r="AI64" s="373">
        <f t="array" ref="AI64">IF(C64="","",IFERROR((INDEX(終値!$E:$E,MATCH(TEXT(C64,"0"),終値!$A:$A,0))-INDEX(終値!$E:$CZ,MATCH(TEXT(C64,"0"),終値!$A:$A,0),$AN$2))/INDEX(終値!$E:$CZ,MATCH(TEXT(C64,"0"),終値!$A:$A,0),$AN$2)*100,""))</f>
        <v>-14.927184466019416</v>
      </c>
      <c r="AJ64" s="373">
        <f t="array" ref="AJ64">IFERROR((終値!$E$5-INDEX(終値!$E$5:$CZ$5,1,$AN$2))/INDEX(終値!$E$5:$CZ$5,1,$AN$2)*100,"")</f>
        <v>1.0179378228534113</v>
      </c>
      <c r="AK64" s="374">
        <f t="shared" si="16"/>
        <v>-15.945122288872827</v>
      </c>
      <c r="AL64" s="372">
        <f t="shared" si="17"/>
        <v>3</v>
      </c>
      <c r="AO64" s="376" t="str">
        <f t="shared" si="18"/>
        <v>通常</v>
      </c>
      <c r="AP64" s="377">
        <f t="shared" si="19"/>
        <v>0</v>
      </c>
      <c r="AQ64">
        <f>IF(C64&lt;&gt;"",始値!F183,"")</f>
        <v>14450</v>
      </c>
      <c r="AR64">
        <f>IF(C64&lt;&gt;"",高値!F183,"")</f>
        <v>15060</v>
      </c>
      <c r="AS64">
        <f>IF(C64&lt;&gt;"",安値!F183,"")</f>
        <v>14150</v>
      </c>
      <c r="AT64" t="str">
        <f t="shared" si="20"/>
        <v>通常</v>
      </c>
      <c r="AU64">
        <f t="shared" si="21"/>
        <v>0</v>
      </c>
      <c r="BA64">
        <f>IFERROR((SUM(OFFSET(高値!$E$6,IFERROR(MATCH($C64,銘柄管理!$B$6:$B$305,0),MATCH(TEXT($C64,"0"),銘柄管理!$B$6:$B$305,0))-1,0,1,14))-SUM(OFFSET(安値!$E$6,IFERROR(MATCH($C64,銘柄管理!$B$6:$B$305,0),MATCH(TEXT($C64,"0"),銘柄管理!$B$6:$B$305,0))-1,0,1,14)))/SUM(OFFSET(終値!$E$6,IFERROR(MATCH($C64,銘柄管理!$B$6:$B$305,0),MATCH(TEXT($C64,"0"),銘柄管理!$B$6:$B$305,0))-1,0,1,14))*100,"")</f>
      </c>
      <c r="BB64">
        <f>IFERROR((MAX(OFFSET(高値!$E$6,IFERROR(MATCH($C64,銘柄管理!$B$6:$B$305,0),MATCH(TEXT($C64,"0"),銘柄管理!$B$6:$B$305,0))-1,0,1,25))-MIN(OFFSET(安値!$E$6,IFERROR(MATCH($C64,銘柄管理!$B$6:$B$305,0),MATCH(TEXT($C64,"0"),銘柄管理!$B$6:$B$305,0))-1,0,1,25)))/$E64*100,"")</f>
      </c>
      <c r="BC64">
        <f>IFERROR(($F64-$G64)/$G64*100,"")</f>
      </c>
      <c r="BD64">
        <f>IFERROR(($E64-MAX(OFFSET(高値!$E$6,IFERROR(MATCH($C64,銘柄管理!$B$6:$B$305,0),MATCH(TEXT($C64,"0"),銘柄管理!$B$6:$B$305,0))-1,0,1,25)))/MAX(OFFSET(高値!$E$6,IFERROR(MATCH($C64,銘柄管理!$B$6:$B$305,0),MATCH(TEXT($C64,"0"),銘柄管理!$B$6:$B$305,0))-1,0,1,25))*100,"")</f>
      </c>
      <c r="BE64">
        <f>IFERROR(($H64-$I64)/$F64*100,"")</f>
      </c>
      <c r="BF64">
        <f>IFERROR(-(($BA64-AVERAGE($BA$3:$BA$206))/STDEV($BA$3:$BA$206))-(($BE64-AVERAGE($BE$3:$BE$206))/STDEV($BE$3:$BE$206))-(($BB64-AVERAGE($BB$3:$BB$206))/STDEV($BB$3:$BB$206))-(($Z64-AVERAGE($Z$3:$Z$206))/STDEV($Z$3:$Z$206))-(($BC64-AVERAGE($BC$3:$BC$206))/STDEV($BC$3:$BC$206)),"")</f>
      </c>
      <c r="BG64">
        <f>IF(OR($C64="",$C64="TOPX",$BA64="",$BF64=""),0,IF(AND($BK$10=1,$BA64&lt;=$BK$2,$BB64&lt;=$BK$3,$BC64&lt;=$BK$4,$Z64&lt;=$BK$5,$Z64&gt;=$BK$6,$BD64&gt;=$BK$7,$BE64&lt;=$BK$8),1,0))</f>
      </c>
      <c r="BH64">
        <f>IF($C64="","",IF($BG64=1,"○ゲート通過",IF($BK$10&lt;&gt;1,"― この方向は停止中",IF($BA64&gt;$BK$2,"×値動きが荒い",IF($BB64&gt;$BK$3,"×レンジが広い",IF($BC64&gt;$BK$4,"×窓を開けて上昇",IF($Z64&gt;$BK$5,"×前日に急騰",IF($Z64&lt;$BK$6,"×前日に急落",IF($BD64&lt;$BK$7,"×高値から離れすぎ",IF($BE64&gt;$BK$8,"×当日の値幅が大きい","×")))))))))</f>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 t="shared" si="0"/>
        <v>-1.3096970498743219</v>
      </c>
      <c r="M65" s="326">
        <f>IF(C65&lt;&gt;"",IFERROR(AVERAGE(出来高!E204:I204),""),"")</f>
        <v>3735360</v>
      </c>
      <c r="N65" s="326">
        <f>IF(C65&lt;&gt;"",IFERROR(AVERAGE(出来高!E204:AC204),""),"")</f>
        <v>2956032</v>
      </c>
      <c r="O65" s="328">
        <f t="shared" si="1"/>
        <v>0.85962263342756784</v>
      </c>
      <c r="P65" s="325" t="str">
        <f t="shared" si="2"/>
        <v>減少↓</v>
      </c>
      <c r="Q65" s="325" t="str">
        <f t="shared" si="3"/>
        <v>様子見▲</v>
      </c>
      <c r="R65" s="326">
        <f t="shared" si="4"/>
        <v>6863</v>
      </c>
      <c r="S65" s="326">
        <f t="shared" si="5"/>
        <v>7758</v>
      </c>
      <c r="T65" s="325">
        <f>IF(C65="","",IFERROR(IF(W65&lt;=22,-4,IF(W65&lt;=28,-2,IF(W65&lt;=45,2,IF(W65&lt;=55,1,0))))+IF(X65&lt;0,2,0)+IF(AD65="下降トレンド▼",3,IF(AD65="もみ合い→",1,0))+IF(V65="年初来安値圏●",3,IF(V65="安値圏",2,0))+IF(Q65="売り▼",2,0)+IF(P65="急増↑↑",2,IF(P65="増加↑",1,0))+IF(Z65&lt;0,1,0)+IF(L65&lt;=-30,2,IF(L65&lt;=-15,1,0))+IF(AE65="25日戻り売り★",2,IF(AE65="5日戻り売り○",1,0))+N(AL65)+N(AP65)+N(AU65),0))</f>
      </c>
      <c r="U65" s="325" t="str">
        <f t="shared" si="7"/>
        <v>除外</v>
      </c>
      <c r="V65" s="325" t="str">
        <f t="shared" si="8"/>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 t="shared" si="9"/>
        <v>△過熱・様子見 | パーフェクト▲ MACD+ RSI:75.0 [過熱] 前日比:+3.0% [1点]</v>
      </c>
      <c r="Z65" s="331">
        <f t="shared" si="10"/>
        <v>2.9959961341985366</v>
      </c>
      <c r="AA65" s="325" t="str">
        <f t="shared" si="11"/>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 t="shared" si="12"/>
        <v>パーフェクト▲</v>
      </c>
      <c r="AE65" s="325" t="str">
        <f t="shared" si="13"/>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 t="shared" si="14"/>
        <v>0</v>
      </c>
      <c r="AH65">
        <f t="shared" si="15"/>
        <v>0</v>
      </c>
      <c r="AI65" s="373">
        <f t="array" ref="AI65">IF(C65="","",IFERROR((INDEX(終値!$E:$E,MATCH(TEXT(C65,"0"),終値!$A:$A,0))-INDEX(終値!$E:$CZ,MATCH(TEXT(C65,"0"),終値!$A:$A,0),$AN$2))/INDEX(終値!$E:$CZ,MATCH(TEXT(C65,"0"),終値!$A:$A,0),$AN$2)*100,""))</f>
        <v>24.023275145469658</v>
      </c>
      <c r="AJ65" s="373">
        <f t="array" ref="AJ65">IFERROR((終値!$E$5-INDEX(終値!$E$5:$CZ$5,1,$AN$2))/INDEX(終値!$E$5:$CZ$5,1,$AN$2)*100,"")</f>
        <v>1.0179378228534113</v>
      </c>
      <c r="AK65" s="374">
        <f t="shared" si="16"/>
        <v>23.005337322616246</v>
      </c>
      <c r="AL65" s="372">
        <f t="shared" si="17"/>
        <v>-2</v>
      </c>
      <c r="AO65" s="376" t="str">
        <f t="shared" si="18"/>
        <v>通常</v>
      </c>
      <c r="AP65" s="377">
        <f t="shared" si="19"/>
        <v>0</v>
      </c>
      <c r="AQ65">
        <f>IF(C65&lt;&gt;"",始値!F204,"")</f>
        <v>6990</v>
      </c>
      <c r="AR65">
        <f>IF(C65&lt;&gt;"",高値!F204,"")</f>
        <v>7243</v>
      </c>
      <c r="AS65">
        <f>IF(C65&lt;&gt;"",安値!F204,"")</f>
        <v>6868</v>
      </c>
      <c r="AT65" t="str">
        <f t="shared" si="20"/>
        <v>通常</v>
      </c>
      <c r="AU65">
        <f t="shared" si="21"/>
        <v>0</v>
      </c>
      <c r="BA65">
        <f>IFERROR((SUM(OFFSET(高値!$E$6,IFERROR(MATCH($C65,銘柄管理!$B$6:$B$305,0),MATCH(TEXT($C65,"0"),銘柄管理!$B$6:$B$305,0))-1,0,1,14))-SUM(OFFSET(安値!$E$6,IFERROR(MATCH($C65,銘柄管理!$B$6:$B$305,0),MATCH(TEXT($C65,"0"),銘柄管理!$B$6:$B$305,0))-1,0,1,14)))/SUM(OFFSET(終値!$E$6,IFERROR(MATCH($C65,銘柄管理!$B$6:$B$305,0),MATCH(TEXT($C65,"0"),銘柄管理!$B$6:$B$305,0))-1,0,1,14))*100,"")</f>
      </c>
      <c r="BB65">
        <f>IFERROR((MAX(OFFSET(高値!$E$6,IFERROR(MATCH($C65,銘柄管理!$B$6:$B$305,0),MATCH(TEXT($C65,"0"),銘柄管理!$B$6:$B$305,0))-1,0,1,25))-MIN(OFFSET(安値!$E$6,IFERROR(MATCH($C65,銘柄管理!$B$6:$B$305,0),MATCH(TEXT($C65,"0"),銘柄管理!$B$6:$B$305,0))-1,0,1,25)))/$E65*100,"")</f>
      </c>
      <c r="BC65">
        <f>IFERROR(($F65-$G65)/$G65*100,"")</f>
      </c>
      <c r="BD65">
        <f>IFERROR(($E65-MAX(OFFSET(高値!$E$6,IFERROR(MATCH($C65,銘柄管理!$B$6:$B$305,0),MATCH(TEXT($C65,"0"),銘柄管理!$B$6:$B$305,0))-1,0,1,25)))/MAX(OFFSET(高値!$E$6,IFERROR(MATCH($C65,銘柄管理!$B$6:$B$305,0),MATCH(TEXT($C65,"0"),銘柄管理!$B$6:$B$305,0))-1,0,1,25))*100,"")</f>
      </c>
      <c r="BE65">
        <f>IFERROR(($H65-$I65)/$F65*100,"")</f>
      </c>
      <c r="BF65">
        <f>IFERROR(-(($BA65-AVERAGE($BA$3:$BA$206))/STDEV($BA$3:$BA$206))-(($BE65-AVERAGE($BE$3:$BE$206))/STDEV($BE$3:$BE$206))-(($BB65-AVERAGE($BB$3:$BB$206))/STDEV($BB$3:$BB$206))-(($Z65-AVERAGE($Z$3:$Z$206))/STDEV($Z$3:$Z$206))-(($BC65-AVERAGE($BC$3:$BC$206))/STDEV($BC$3:$BC$206)),"")</f>
      </c>
      <c r="BG65">
        <f>IF(OR($C65="",$C65="TOPX",$BA65="",$BF65=""),0,IF(AND($BK$10=1,$BA65&lt;=$BK$2,$BB65&lt;=$BK$3,$BC65&lt;=$BK$4,$Z65&lt;=$BK$5,$Z65&gt;=$BK$6,$BD65&gt;=$BK$7,$BE65&lt;=$BK$8),1,0))</f>
      </c>
      <c r="BH65">
        <f>IF($C65="","",IF($BG65=1,"○ゲート通過",IF($BK$10&lt;&gt;1,"― この方向は停止中",IF($BA65&gt;$BK$2,"×値動きが荒い",IF($BB65&gt;$BK$3,"×レンジが広い",IF($BC65&gt;$BK$4,"×窓を開けて上昇",IF($Z65&gt;$BK$5,"×前日に急騰",IF($Z65&lt;$BK$6,"×前日に急落",IF($BD65&lt;$BK$7,"×高値から離れすぎ",IF($BE65&gt;$BK$8,"×当日の値幅が大きい","×")))))))))</f>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 t="shared" si="0"/>
        <v>-3.5957350272232307</v>
      </c>
      <c r="M66" s="333">
        <f>IF(C66&lt;&gt;"",IFERROR(AVERAGE(出来高!E19:I19),""),"")</f>
        <v>10416060</v>
      </c>
      <c r="N66" s="333">
        <f>IF(C66&lt;&gt;"",IFERROR(AVERAGE(出来高!E19:AC19),""),"")</f>
        <v>9841340</v>
      </c>
      <c r="O66" s="335">
        <f t="shared" si="1"/>
        <v>0.8944840947536784</v>
      </c>
      <c r="P66" s="212" t="str">
        <f t="shared" si="2"/>
        <v>減少↓</v>
      </c>
      <c r="Q66" s="212" t="str">
        <f t="shared" si="3"/>
        <v>様子見▲</v>
      </c>
      <c r="R66" s="333">
        <f t="shared" si="4"/>
        <v>7819</v>
      </c>
      <c r="S66" s="333">
        <f t="shared" si="5"/>
        <v>8839</v>
      </c>
      <c r="T66" s="325">
        <f>IF(C66="","",IFERROR(IF(W66&lt;=22,-4,IF(W66&lt;=28,-2,IF(W66&lt;=45,2,IF(W66&lt;=55,1,0))))+IF(X66&lt;0,2,0)+IF(AD66="下降トレンド▼",3,IF(AD66="もみ合い→",1,0))+IF(V66="年初来安値圏●",3,IF(V66="安値圏",2,0))+IF(Q66="売り▼",2,0)+IF(P66="急増↑↑",2,IF(P66="増加↑",1,0))+IF(Z66&lt;0,1,0)+IF(L66&lt;=-30,2,IF(L66&lt;=-15,1,0))+IF(AE66="25日戻り売り★",2,IF(AE66="5日戻り売り○",1,0))+N(AL66)+N(AP66)+N(AU66),0))</f>
      </c>
      <c r="U66" s="212" t="str">
        <f t="shared" si="7"/>
        <v>除外</v>
      </c>
      <c r="V66" s="212" t="str">
        <f t="shared" si="8"/>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 t="shared" si="9"/>
        <v>相場上昇・見送り | パーフェクト▲ MACD+ RSI:47.6 前日比:+0.3% [上ヒゲ陰線▼] [0点]</v>
      </c>
      <c r="Z66" s="338">
        <f t="shared" si="10"/>
        <v>0.34238488783943333</v>
      </c>
      <c r="AA66" s="212" t="str">
        <f t="shared" si="11"/>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 t="shared" si="12"/>
        <v>パーフェクト▲</v>
      </c>
      <c r="AE66" s="212" t="str">
        <f t="shared" si="13"/>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 t="shared" si="14"/>
        <v>0</v>
      </c>
      <c r="AH66">
        <f t="shared" si="15"/>
        <v>0</v>
      </c>
      <c r="AI66" s="373">
        <f t="array" ref="AI66">IF(C66="","",IFERROR((INDEX(終値!$E:$E,MATCH(TEXT(C66,"0"),終値!$A:$A,0))-INDEX(終値!$E:$CZ,MATCH(TEXT(C66,"0"),終値!$A:$A,0),$AN$2))/INDEX(終値!$E:$CZ,MATCH(TEXT(C66,"0"),終値!$A:$A,0),$AN$2)*100,""))</f>
        <v>8.766316867161505</v>
      </c>
      <c r="AJ66" s="373">
        <f t="array" ref="AJ66">IFERROR((終値!$E$5-INDEX(終値!$E$5:$CZ$5,1,$AN$2))/INDEX(終値!$E$5:$CZ$5,1,$AN$2)*100,"")</f>
        <v>1.0179378228534113</v>
      </c>
      <c r="AK66" s="374">
        <f t="shared" si="16"/>
        <v>7.748379044308094</v>
      </c>
      <c r="AL66" s="372">
        <f t="shared" si="17"/>
        <v>-2</v>
      </c>
      <c r="AO66" s="376" t="str">
        <f t="shared" si="18"/>
        <v>上ヒゲ陰線▼</v>
      </c>
      <c r="AP66" s="377">
        <f t="shared" si="19"/>
        <v>2</v>
      </c>
      <c r="AQ66">
        <f>IF(C66&lt;&gt;"",始値!F19,"")</f>
        <v>8188</v>
      </c>
      <c r="AR66">
        <f>IF(C66&lt;&gt;"",高値!F19,"")</f>
        <v>8479</v>
      </c>
      <c r="AS66">
        <f>IF(C66&lt;&gt;"",安値!F19,"")</f>
        <v>8137</v>
      </c>
      <c r="AT66" t="str">
        <f t="shared" si="20"/>
        <v>通常</v>
      </c>
      <c r="AU66">
        <f t="shared" si="21"/>
        <v>0</v>
      </c>
      <c r="BA66">
        <f>IFERROR((SUM(OFFSET(高値!$E$6,IFERROR(MATCH($C66,銘柄管理!$B$6:$B$305,0),MATCH(TEXT($C66,"0"),銘柄管理!$B$6:$B$305,0))-1,0,1,14))-SUM(OFFSET(安値!$E$6,IFERROR(MATCH($C66,銘柄管理!$B$6:$B$305,0),MATCH(TEXT($C66,"0"),銘柄管理!$B$6:$B$305,0))-1,0,1,14)))/SUM(OFFSET(終値!$E$6,IFERROR(MATCH($C66,銘柄管理!$B$6:$B$305,0),MATCH(TEXT($C66,"0"),銘柄管理!$B$6:$B$305,0))-1,0,1,14))*100,"")</f>
      </c>
      <c r="BB66">
        <f>IFERROR((MAX(OFFSET(高値!$E$6,IFERROR(MATCH($C66,銘柄管理!$B$6:$B$305,0),MATCH(TEXT($C66,"0"),銘柄管理!$B$6:$B$305,0))-1,0,1,25))-MIN(OFFSET(安値!$E$6,IFERROR(MATCH($C66,銘柄管理!$B$6:$B$305,0),MATCH(TEXT($C66,"0"),銘柄管理!$B$6:$B$305,0))-1,0,1,25)))/$E66*100,"")</f>
      </c>
      <c r="BC66">
        <f>IFERROR(($F66-$G66)/$G66*100,"")</f>
      </c>
      <c r="BD66">
        <f>IFERROR(($E66-MAX(OFFSET(高値!$E$6,IFERROR(MATCH($C66,銘柄管理!$B$6:$B$305,0),MATCH(TEXT($C66,"0"),銘柄管理!$B$6:$B$305,0))-1,0,1,25)))/MAX(OFFSET(高値!$E$6,IFERROR(MATCH($C66,銘柄管理!$B$6:$B$305,0),MATCH(TEXT($C66,"0"),銘柄管理!$B$6:$B$305,0))-1,0,1,25))*100,"")</f>
      </c>
      <c r="BE66">
        <f>IFERROR(($H66-$I66)/$F66*100,"")</f>
      </c>
      <c r="BF66">
        <f>IFERROR(-(($BA66-AVERAGE($BA$3:$BA$206))/STDEV($BA$3:$BA$206))-(($BE66-AVERAGE($BE$3:$BE$206))/STDEV($BE$3:$BE$206))-(($BB66-AVERAGE($BB$3:$BB$206))/STDEV($BB$3:$BB$206))-(($Z66-AVERAGE($Z$3:$Z$206))/STDEV($Z$3:$Z$206))-(($BC66-AVERAGE($BC$3:$BC$206))/STDEV($BC$3:$BC$206)),"")</f>
      </c>
      <c r="BG66">
        <f>IF(OR($C66="",$C66="TOPX",$BA66="",$BF66=""),0,IF(AND($BK$10=1,$BA66&lt;=$BK$2,$BB66&lt;=$BK$3,$BC66&lt;=$BK$4,$Z66&lt;=$BK$5,$Z66&gt;=$BK$6,$BD66&gt;=$BK$7,$BE66&lt;=$BK$8),1,0))</f>
      </c>
      <c r="BH66">
        <f>IF($C66="","",IF($BG66=1,"○ゲート通過",IF($BK$10&lt;&gt;1,"― この方向は停止中",IF($BA66&gt;$BK$2,"×値動きが荒い",IF($BB66&gt;$BK$3,"×レンジが広い",IF($BC66&gt;$BK$4,"×窓を開けて上昇",IF($Z66&gt;$BK$5,"×前日に急騰",IF($Z66&lt;$BK$6,"×前日に急落",IF($BD66&lt;$BK$7,"×高値から離れすぎ",IF($BE66&gt;$BK$8,"×当日の値幅が大きい","×")))))))))</f>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 t="shared" ref="L67:L130" si="22">IF(AND(E67&lt;&gt;"",K67&lt;&gt;"",K67&lt;&gt;0),(E67-K67)/K67*100,"")</f>
        <v>-2.5</v>
      </c>
      <c r="M67" s="326">
        <f>IF(C67&lt;&gt;"",IFERROR(AVERAGE(出来高!E26:I26),""),"")</f>
        <v>3313460</v>
      </c>
      <c r="N67" s="326">
        <f>IF(C67&lt;&gt;"",IFERROR(AVERAGE(出来高!E26:AC26),""),"")</f>
        <v>3144688</v>
      </c>
      <c r="O67" s="328">
        <f t="shared" ref="O67:O130" si="23">IF(AND(J67&lt;&gt;"",M67&lt;&gt;"",M67&lt;&gt;0),J67/M67,"")</f>
        <v>0.86722036783302048</v>
      </c>
      <c r="P67" s="325" t="str">
        <f t="shared" ref="P67:P130" si="24">IF(O67="","",IF(O67&gt;=2,"急増↑↑",IF(O67&gt;=1.5,"増加↑",IF(O67&gt;=1,"普通→","減少↓"))))</f>
        <v>減少↓</v>
      </c>
      <c r="Q67" s="325" t="str">
        <f t="shared" ref="Q67:Q130" si="25">IF(E67="","",IF(AND(E67&lt;G67,O67&gt;=1.5),"売り▼",IF(E67&gt;G67,"様子見▲","中立→")))</f>
        <v>中立→</v>
      </c>
      <c r="R67" s="326">
        <f t="shared" ref="R67:R130" si="26">IF(E67&lt;&gt;"",ROUND(E67*0.92,0),"")</f>
        <v>5992</v>
      </c>
      <c r="S67" s="326">
        <f t="shared" ref="S67:S130" si="27">IF(E67&lt;&gt;"",ROUND(E67*1.04,0),"")</f>
        <v>6774</v>
      </c>
      <c r="T67" s="325">
        <f>IF(C67="","",IFERROR(IF(W67&lt;=22,-4,IF(W67&lt;=28,-2,IF(W67&lt;=45,2,IF(W67&lt;=55,1,0))))+IF(X67&lt;0,2,0)+IF(AD67="下降トレンド▼",3,IF(AD67="もみ合い→",1,0))+IF(V67="年初来安値圏●",3,IF(V67="安値圏",2,0))+IF(Q67="売り▼",2,0)+IF(P67="急増↑↑",2,IF(P67="増加↑",1,0))+IF(Z67&lt;0,1,0)+IF(L67&lt;=-30,2,IF(L67&lt;=-15,1,0))+IF(AE67="25日戻り売り★",2,IF(AE67="5日戻り売り○",1,0))+N(AL67)+N(AP67)+N(AU67),0))</f>
      </c>
      <c r="U67" s="325" t="str">
        <f t="shared" ref="U67:U130" si="29">IF(T67="","",IF(AND(T67&gt;=3,O67&gt;=1.5),"有効",IF(T67&gt;=3,"要確認","除外")))</f>
        <v>除外</v>
      </c>
      <c r="V67" s="325" t="str">
        <f t="shared" ref="V67:V130" si="30">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 t="shared" ref="Z67:Z130" si="32">IF(AND(E67&lt;&gt;"",G67&lt;&gt;"",G67&lt;&gt;0),(E67-G67)/G67*100,"")</f>
        <v>-0.51932182679089667</v>
      </c>
      <c r="AA67" s="325" t="str">
        <f t="shared" ref="AA67:AA130" si="33">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 t="shared" ref="AD67:AD130" si="34">IF(OR(C67="",AB67="",AC67="",AB67=0,AC67=0),"",IF(AND(E67&gt;AB67,AB67&gt;AC67),"パーフェクト▲",IF(E67&gt;AC67,"上昇トレンド▲",IF(AND(E67&lt;AB67,AB67&lt;AC67),"下降トレンド▼","もみ合い→"))))</f>
        <v>パーフェクト▲</v>
      </c>
      <c r="AE67" s="325" t="str">
        <f t="shared" ref="AE67:AE130" si="35">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 t="shared" ref="AG67:AG130" si="36">IF(AND(T67&gt;=7,C67&lt;&gt;""),T67,0)</f>
        <v>0</v>
      </c>
      <c r="AH67">
        <f t="shared" ref="AH67:AH130" si="37">IF(AG67&gt;0,AG67*10000-ROW(A67),0)</f>
        <v>0</v>
      </c>
      <c r="AI67" s="373">
        <f t="array" ref="AI67">IF(C67="","",IFERROR((INDEX(終値!$E:$E,MATCH(TEXT(C67,"0"),終値!$A:$A,0))-INDEX(終値!$E:$CZ,MATCH(TEXT(C67,"0"),終値!$A:$A,0),$AN$2))/INDEX(終値!$E:$CZ,MATCH(TEXT(C67,"0"),終値!$A:$A,0),$AN$2)*100,""))</f>
        <v>5.0653331182448778</v>
      </c>
      <c r="AJ67" s="373">
        <f t="array" ref="AJ67">IFERROR((終値!$E$5-INDEX(終値!$E$5:$CZ$5,1,$AN$2))/INDEX(終値!$E$5:$CZ$5,1,$AN$2)*100,"")</f>
        <v>1.0179378228534113</v>
      </c>
      <c r="AK67" s="374">
        <f t="shared" ref="AK67:AK130" si="38">IF(OR(AI67="",AJ67=""),"",AI67-AJ67)</f>
        <v>4.0473952953914667</v>
      </c>
      <c r="AL67" s="372">
        <f t="shared" ref="AL67:AL130" si="39">IF(AK67="","",IF(AK67&lt;-5,3,IF(AK67&lt;0,1,IF(AK67&lt;3,-1,-2))))</f>
        <v>-2</v>
      </c>
      <c r="AO67" s="376" t="str">
        <f t="shared" ref="AO67:AO130" si="40">IF(OR($C67="",$E67="",$F67="",$H67="",$I67="",$H67-$I67&lt;=0),"-",IF(AND($H67-MAX($F67,$E67)&gt;=ABS($E67-$F67)*2,MIN($F67,$E67)-$I67&lt;=ABS($E67-$F67)*0.5,ABS($E67-$F67)&gt;0),"上ヒゲ陰線▼",IF(AND($E67&lt;$F67,ABS($E67-$F67)&gt;=($H67-$I67)*0.7),"大陰線▼",IF(AND(MIN($F67,$E67)-$I67&gt;=($H67-$I67)*0.5,$H67-MAX($F67,$E67)&lt;=($H67-$I67)*0.2),"長い下ヒゲ(反発警戒)","通常"))))</f>
        <v>通常</v>
      </c>
      <c r="AP67" s="377">
        <f t="shared" ref="AP67:AP130" si="41">IF($AO67="上ヒゲ陰線▼",2,IF($AO67="大陰線▼",2,IF($AO67="長い下ヒゲ(反発警戒)",-2,0)))</f>
        <v>0</v>
      </c>
      <c r="AQ67">
        <f>IF(C67&lt;&gt;"",始値!F26,"")</f>
        <v>6384</v>
      </c>
      <c r="AR67">
        <f>IF(C67&lt;&gt;"",高値!F26,"")</f>
        <v>6547</v>
      </c>
      <c r="AS67">
        <f>IF(C67&lt;&gt;"",安値!F26,"")</f>
        <v>6384</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通常</v>
      </c>
      <c r="AU67">
        <f t="shared" ref="AU67:AU130" si="43">IF(AT67="上ヒゲ陰線▼",2,IF(AT67="大陰線▼",2,IF(AT67="長い下ヒゲ(反発)",-2,0)))</f>
        <v>0</v>
      </c>
      <c r="BA67">
        <f>IFERROR((SUM(OFFSET(高値!$E$6,IFERROR(MATCH($C67,銘柄管理!$B$6:$B$305,0),MATCH(TEXT($C67,"0"),銘柄管理!$B$6:$B$305,0))-1,0,1,14))-SUM(OFFSET(安値!$E$6,IFERROR(MATCH($C67,銘柄管理!$B$6:$B$305,0),MATCH(TEXT($C67,"0"),銘柄管理!$B$6:$B$305,0))-1,0,1,14)))/SUM(OFFSET(終値!$E$6,IFERROR(MATCH($C67,銘柄管理!$B$6:$B$305,0),MATCH(TEXT($C67,"0"),銘柄管理!$B$6:$B$305,0))-1,0,1,14))*100,"")</f>
      </c>
      <c r="BB67">
        <f>IFERROR((MAX(OFFSET(高値!$E$6,IFERROR(MATCH($C67,銘柄管理!$B$6:$B$305,0),MATCH(TEXT($C67,"0"),銘柄管理!$B$6:$B$305,0))-1,0,1,25))-MIN(OFFSET(安値!$E$6,IFERROR(MATCH($C67,銘柄管理!$B$6:$B$305,0),MATCH(TEXT($C67,"0"),銘柄管理!$B$6:$B$305,0))-1,0,1,25)))/$E67*100,"")</f>
      </c>
      <c r="BC67">
        <f>IFERROR(($F67-$G67)/$G67*100,"")</f>
      </c>
      <c r="BD67">
        <f>IFERROR(($E67-MAX(OFFSET(高値!$E$6,IFERROR(MATCH($C67,銘柄管理!$B$6:$B$305,0),MATCH(TEXT($C67,"0"),銘柄管理!$B$6:$B$305,0))-1,0,1,25)))/MAX(OFFSET(高値!$E$6,IFERROR(MATCH($C67,銘柄管理!$B$6:$B$305,0),MATCH(TEXT($C67,"0"),銘柄管理!$B$6:$B$305,0))-1,0,1,25))*100,"")</f>
      </c>
      <c r="BE67">
        <f>IFERROR(($H67-$I67)/$F67*100,"")</f>
      </c>
      <c r="BF67">
        <f>IFERROR(-(($BA67-AVERAGE($BA$3:$BA$206))/STDEV($BA$3:$BA$206))-(($BE67-AVERAGE($BE$3:$BE$206))/STDEV($BE$3:$BE$206))-(($BB67-AVERAGE($BB$3:$BB$206))/STDEV($BB$3:$BB$206))-(($Z67-AVERAGE($Z$3:$Z$206))/STDEV($Z$3:$Z$206))-(($BC67-AVERAGE($BC$3:$BC$206))/STDEV($BC$3:$BC$206)),"")</f>
      </c>
      <c r="BG67">
        <f>IF(OR($C67="",$C67="TOPX",$BA67="",$BF67=""),0,IF(AND($BK$10=1,$BA67&lt;=$BK$2,$BB67&lt;=$BK$3,$BC67&lt;=$BK$4,$Z67&lt;=$BK$5,$Z67&gt;=$BK$6,$BD67&gt;=$BK$7,$BE67&lt;=$BK$8),1,0))</f>
      </c>
      <c r="BH67">
        <f>IF($C67="","",IF($BG67=1,"○ゲート通過",IF($BK$10&lt;&gt;1,"― この方向は停止中",IF($BA67&gt;$BK$2,"×値動きが荒い",IF($BB67&gt;$BK$3,"×レンジが広い",IF($BC67&gt;$BK$4,"×窓を開けて上昇",IF($Z67&gt;$BK$5,"×前日に急騰",IF($Z67&lt;$BK$6,"×前日に急落",IF($BD67&lt;$BK$7,"×高値から離れすぎ",IF($BE67&gt;$BK$8,"×当日の値幅が大きい","×")))))))))</f>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 t="shared" si="22"/>
        <v>-1.5249266862170088</v>
      </c>
      <c r="M68" s="333">
        <f>IF(C68&lt;&gt;"",IFERROR(AVERAGE(出来高!E31:I31),""),"")</f>
        <v>11203700</v>
      </c>
      <c r="N68" s="333">
        <f>IF(C68&lt;&gt;"",IFERROR(AVERAGE(出来高!E31:AC31),""),"")</f>
        <v>4648868</v>
      </c>
      <c r="O68" s="335">
        <f t="shared" si="23"/>
        <v>0.68725510322482752</v>
      </c>
      <c r="P68" s="212" t="str">
        <f t="shared" si="24"/>
        <v>減少↓</v>
      </c>
      <c r="Q68" s="212" t="str">
        <f t="shared" si="25"/>
        <v>様子見▲</v>
      </c>
      <c r="R68" s="333">
        <f t="shared" si="26"/>
        <v>1545</v>
      </c>
      <c r="S68" s="333">
        <f t="shared" si="27"/>
        <v>1746</v>
      </c>
      <c r="T68" s="325">
        <f>IF(C68="","",IFERROR(IF(W68&lt;=22,-4,IF(W68&lt;=28,-2,IF(W68&lt;=45,2,IF(W68&lt;=55,1,0))))+IF(X68&lt;0,2,0)+IF(AD68="下降トレンド▼",3,IF(AD68="もみ合い→",1,0))+IF(V68="年初来安値圏●",3,IF(V68="安値圏",2,0))+IF(Q68="売り▼",2,0)+IF(P68="急増↑↑",2,IF(P68="増加↑",1,0))+IF(Z68&lt;0,1,0)+IF(L68&lt;=-30,2,IF(L68&lt;=-15,1,0))+IF(AE68="25日戻り売り★",2,IF(AE68="5日戻り売り○",1,0))+N(AL68)+N(AP68)+N(AU68),0))</f>
      </c>
      <c r="U68" s="212" t="str">
        <f t="shared" si="29"/>
        <v>除外</v>
      </c>
      <c r="V68" s="212" t="str">
        <f t="shared" si="30"/>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 t="shared" si="31"/>
        <v>相場上昇・見送り | 上昇トレンド▲ MACD+ RSI:46.1 前日比:+1.1% [-2点]</v>
      </c>
      <c r="Z68" s="338">
        <f t="shared" si="32"/>
        <v>1.0836845273931366</v>
      </c>
      <c r="AA68" s="212" t="str">
        <f t="shared" si="33"/>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 t="shared" si="34"/>
        <v>上昇トレンド▲</v>
      </c>
      <c r="AE68" s="212" t="str">
        <f t="shared" si="35"/>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 t="shared" si="36"/>
        <v>0</v>
      </c>
      <c r="AH68">
        <f t="shared" si="37"/>
        <v>0</v>
      </c>
      <c r="AI68" s="373">
        <f t="array" ref="AI68">IF(C68="","",IFERROR((INDEX(終値!$E:$E,MATCH(TEXT(C68,"0"),終値!$A:$A,0))-INDEX(終値!$E:$CZ,MATCH(TEXT(C68,"0"),終値!$A:$A,0),$AN$2))/INDEX(終値!$E:$CZ,MATCH(TEXT(C68,"0"),終値!$A:$A,0),$AN$2)*100,""))</f>
        <v>9.7385620915032689</v>
      </c>
      <c r="AJ68" s="373">
        <f t="array" ref="AJ68">IFERROR((終値!$E$5-INDEX(終値!$E$5:$CZ$5,1,$AN$2))/INDEX(終値!$E$5:$CZ$5,1,$AN$2)*100,"")</f>
        <v>1.0179378228534113</v>
      </c>
      <c r="AK68" s="374">
        <f t="shared" si="38"/>
        <v>8.720624268649857</v>
      </c>
      <c r="AL68" s="372">
        <f t="shared" si="39"/>
        <v>-2</v>
      </c>
      <c r="AO68" s="376" t="str">
        <f t="shared" si="40"/>
        <v>通常</v>
      </c>
      <c r="AP68" s="377">
        <f t="shared" si="41"/>
        <v>0</v>
      </c>
      <c r="AQ68">
        <f>IF(C68&lt;&gt;"",始値!F31,"")</f>
        <v>1642</v>
      </c>
      <c r="AR68">
        <f>IF(C68&lt;&gt;"",高値!F31,"")</f>
        <v>1666.5</v>
      </c>
      <c r="AS68">
        <f>IF(C68&lt;&gt;"",安値!F31,"")</f>
        <v>1621</v>
      </c>
      <c r="AT68" t="str">
        <f t="shared" si="42"/>
        <v>通常</v>
      </c>
      <c r="AU68">
        <f t="shared" si="43"/>
        <v>0</v>
      </c>
      <c r="BA68">
        <f>IFERROR((SUM(OFFSET(高値!$E$6,IFERROR(MATCH($C68,銘柄管理!$B$6:$B$305,0),MATCH(TEXT($C68,"0"),銘柄管理!$B$6:$B$305,0))-1,0,1,14))-SUM(OFFSET(安値!$E$6,IFERROR(MATCH($C68,銘柄管理!$B$6:$B$305,0),MATCH(TEXT($C68,"0"),銘柄管理!$B$6:$B$305,0))-1,0,1,14)))/SUM(OFFSET(終値!$E$6,IFERROR(MATCH($C68,銘柄管理!$B$6:$B$305,0),MATCH(TEXT($C68,"0"),銘柄管理!$B$6:$B$305,0))-1,0,1,14))*100,"")</f>
      </c>
      <c r="BB68">
        <f>IFERROR((MAX(OFFSET(高値!$E$6,IFERROR(MATCH($C68,銘柄管理!$B$6:$B$305,0),MATCH(TEXT($C68,"0"),銘柄管理!$B$6:$B$305,0))-1,0,1,25))-MIN(OFFSET(安値!$E$6,IFERROR(MATCH($C68,銘柄管理!$B$6:$B$305,0),MATCH(TEXT($C68,"0"),銘柄管理!$B$6:$B$305,0))-1,0,1,25)))/$E68*100,"")</f>
      </c>
      <c r="BC68">
        <f>IFERROR(($F68-$G68)/$G68*100,"")</f>
      </c>
      <c r="BD68">
        <f>IFERROR(($E68-MAX(OFFSET(高値!$E$6,IFERROR(MATCH($C68,銘柄管理!$B$6:$B$305,0),MATCH(TEXT($C68,"0"),銘柄管理!$B$6:$B$305,0))-1,0,1,25)))/MAX(OFFSET(高値!$E$6,IFERROR(MATCH($C68,銘柄管理!$B$6:$B$305,0),MATCH(TEXT($C68,"0"),銘柄管理!$B$6:$B$305,0))-1,0,1,25))*100,"")</f>
      </c>
      <c r="BE68">
        <f>IFERROR(($H68-$I68)/$F68*100,"")</f>
      </c>
      <c r="BF68">
        <f>IFERROR(-(($BA68-AVERAGE($BA$3:$BA$206))/STDEV($BA$3:$BA$206))-(($BE68-AVERAGE($BE$3:$BE$206))/STDEV($BE$3:$BE$206))-(($BB68-AVERAGE($BB$3:$BB$206))/STDEV($BB$3:$BB$206))-(($Z68-AVERAGE($Z$3:$Z$206))/STDEV($Z$3:$Z$206))-(($BC68-AVERAGE($BC$3:$BC$206))/STDEV($BC$3:$BC$206)),"")</f>
      </c>
      <c r="BG68">
        <f>IF(OR($C68="",$C68="TOPX",$BA68="",$BF68=""),0,IF(AND($BK$10=1,$BA68&lt;=$BK$2,$BB68&lt;=$BK$3,$BC68&lt;=$BK$4,$Z68&lt;=$BK$5,$Z68&gt;=$BK$6,$BD68&gt;=$BK$7,$BE68&lt;=$BK$8),1,0))</f>
      </c>
      <c r="BH68">
        <f>IF($C68="","",IF($BG68=1,"○ゲート通過",IF($BK$10&lt;&gt;1,"― この方向は停止中",IF($BA68&gt;$BK$2,"×値動きが荒い",IF($BB68&gt;$BK$3,"×レンジが広い",IF($BC68&gt;$BK$4,"×窓を開けて上昇",IF($Z68&gt;$BK$5,"×前日に急騰",IF($Z68&lt;$BK$6,"×前日に急落",IF($BD68&lt;$BK$7,"×高値から離れすぎ",IF($BE68&gt;$BK$8,"×当日の値幅が大きい","×")))))))))</f>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 t="shared" si="22"/>
        <v>-15.149393090569561</v>
      </c>
      <c r="M69" s="326">
        <f>IF(C69&lt;&gt;"",IFERROR(AVERAGE(出来高!E49:I49),""),"")</f>
        <v>1085400</v>
      </c>
      <c r="N69" s="326">
        <f>IF(C69&lt;&gt;"",IFERROR(AVERAGE(出来高!E49:AC49),""),"")</f>
        <v>670133.33333333337</v>
      </c>
      <c r="O69" s="328">
        <f t="shared" si="23"/>
        <v>0.56928321356182054</v>
      </c>
      <c r="P69" s="325" t="str">
        <f t="shared" si="24"/>
        <v>減少↓</v>
      </c>
      <c r="Q69" s="325" t="str">
        <f t="shared" si="25"/>
        <v>様子見▲</v>
      </c>
      <c r="R69" s="326">
        <f t="shared" si="26"/>
        <v>3344</v>
      </c>
      <c r="S69" s="326">
        <f t="shared" si="27"/>
        <v>3780</v>
      </c>
      <c r="T69" s="325">
        <f>IF(C69="","",IFERROR(IF(W69&lt;=22,-4,IF(W69&lt;=28,-2,IF(W69&lt;=45,2,IF(W69&lt;=55,1,0))))+IF(X69&lt;0,2,0)+IF(AD69="下降トレンド▼",3,IF(AD69="もみ合い→",1,0))+IF(V69="年初来安値圏●",3,IF(V69="安値圏",2,0))+IF(Q69="売り▼",2,0)+IF(P69="急増↑↑",2,IF(P69="増加↑",1,0))+IF(Z69&lt;0,1,0)+IF(L69&lt;=-30,2,IF(L69&lt;=-15,1,0))+IF(AE69="25日戻り売り★",2,IF(AE69="5日戻り売り○",1,0))+N(AL69)+N(AP69)+N(AU69),0))</f>
      </c>
      <c r="U69" s="325" t="str">
        <f t="shared" si="29"/>
        <v>要確認</v>
      </c>
      <c r="V69" s="325" t="str">
        <f t="shared" si="30"/>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 t="shared" si="31"/>
        <v>相場上昇・見送り | パーフェクト▲ MACD- RSI:49.4 前日比:+0.6% [4点]</v>
      </c>
      <c r="Z69" s="331">
        <f t="shared" si="32"/>
        <v>0.63676633444075303</v>
      </c>
      <c r="AA69" s="325" t="str">
        <f t="shared" si="33"/>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 t="shared" si="34"/>
        <v>パーフェクト▲</v>
      </c>
      <c r="AE69" s="325" t="str">
        <f t="shared" si="35"/>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 t="shared" si="36"/>
        <v>0</v>
      </c>
      <c r="AH69">
        <f t="shared" si="37"/>
        <v>0</v>
      </c>
      <c r="AI69" s="373">
        <f t="array" ref="AI69">IF(C69="","",IFERROR((INDEX(終値!$E:$E,MATCH(TEXT(C69,"0"),終値!$A:$A,0))-INDEX(終値!$E:$CZ,MATCH(TEXT(C69,"0"),終値!$A:$A,0),$AN$2))/INDEX(終値!$E:$CZ,MATCH(TEXT(C69,"0"),終値!$A:$A,0),$AN$2)*100,""))</f>
        <v>-2.859433458043827</v>
      </c>
      <c r="AJ69" s="373">
        <f t="array" ref="AJ69">IFERROR((終値!$E$5-INDEX(終値!$E$5:$CZ$5,1,$AN$2))/INDEX(終値!$E$5:$CZ$5,1,$AN$2)*100,"")</f>
        <v>1.0179378228534113</v>
      </c>
      <c r="AK69" s="374">
        <f t="shared" si="38"/>
        <v>-3.877371280897238</v>
      </c>
      <c r="AL69" s="372">
        <f t="shared" si="39"/>
        <v>1</v>
      </c>
      <c r="AO69" s="376" t="str">
        <f t="shared" si="40"/>
        <v>通常</v>
      </c>
      <c r="AP69" s="377">
        <f t="shared" si="41"/>
        <v>0</v>
      </c>
      <c r="AQ69">
        <f>IF(C69&lt;&gt;"",始値!F49,"")</f>
        <v>3516</v>
      </c>
      <c r="AR69">
        <f>IF(C69&lt;&gt;"",高値!F49,"")</f>
        <v>3629</v>
      </c>
      <c r="AS69">
        <f>IF(C69&lt;&gt;"",安値!F49,"")</f>
        <v>3516</v>
      </c>
      <c r="AT69" t="str">
        <f t="shared" si="42"/>
        <v>通常</v>
      </c>
      <c r="AU69">
        <f t="shared" si="43"/>
        <v>0</v>
      </c>
      <c r="BA69">
        <f>IFERROR((SUM(OFFSET(高値!$E$6,IFERROR(MATCH($C69,銘柄管理!$B$6:$B$305,0),MATCH(TEXT($C69,"0"),銘柄管理!$B$6:$B$305,0))-1,0,1,14))-SUM(OFFSET(安値!$E$6,IFERROR(MATCH($C69,銘柄管理!$B$6:$B$305,0),MATCH(TEXT($C69,"0"),銘柄管理!$B$6:$B$305,0))-1,0,1,14)))/SUM(OFFSET(終値!$E$6,IFERROR(MATCH($C69,銘柄管理!$B$6:$B$305,0),MATCH(TEXT($C69,"0"),銘柄管理!$B$6:$B$305,0))-1,0,1,14))*100,"")</f>
      </c>
      <c r="BB69">
        <f>IFERROR((MAX(OFFSET(高値!$E$6,IFERROR(MATCH($C69,銘柄管理!$B$6:$B$305,0),MATCH(TEXT($C69,"0"),銘柄管理!$B$6:$B$305,0))-1,0,1,25))-MIN(OFFSET(安値!$E$6,IFERROR(MATCH($C69,銘柄管理!$B$6:$B$305,0),MATCH(TEXT($C69,"0"),銘柄管理!$B$6:$B$305,0))-1,0,1,25)))/$E69*100,"")</f>
      </c>
      <c r="BC69">
        <f>IFERROR(($F69-$G69)/$G69*100,"")</f>
      </c>
      <c r="BD69">
        <f>IFERROR(($E69-MAX(OFFSET(高値!$E$6,IFERROR(MATCH($C69,銘柄管理!$B$6:$B$305,0),MATCH(TEXT($C69,"0"),銘柄管理!$B$6:$B$305,0))-1,0,1,25)))/MAX(OFFSET(高値!$E$6,IFERROR(MATCH($C69,銘柄管理!$B$6:$B$305,0),MATCH(TEXT($C69,"0"),銘柄管理!$B$6:$B$305,0))-1,0,1,25))*100,"")</f>
      </c>
      <c r="BE69">
        <f>IFERROR(($H69-$I69)/$F69*100,"")</f>
      </c>
      <c r="BF69">
        <f>IFERROR(-(($BA69-AVERAGE($BA$3:$BA$206))/STDEV($BA$3:$BA$206))-(($BE69-AVERAGE($BE$3:$BE$206))/STDEV($BE$3:$BE$206))-(($BB69-AVERAGE($BB$3:$BB$206))/STDEV($BB$3:$BB$206))-(($Z69-AVERAGE($Z$3:$Z$206))/STDEV($Z$3:$Z$206))-(($BC69-AVERAGE($BC$3:$BC$206))/STDEV($BC$3:$BC$206)),"")</f>
      </c>
      <c r="BG69">
        <f>IF(OR($C69="",$C69="TOPX",$BA69="",$BF69=""),0,IF(AND($BK$10=1,$BA69&lt;=$BK$2,$BB69&lt;=$BK$3,$BC69&lt;=$BK$4,$Z69&lt;=$BK$5,$Z69&gt;=$BK$6,$BD69&gt;=$BK$7,$BE69&lt;=$BK$8),1,0))</f>
      </c>
      <c r="BH69">
        <f>IF($C69="","",IF($BG69=1,"○ゲート通過",IF($BK$10&lt;&gt;1,"― この方向は停止中",IF($BA69&gt;$BK$2,"×値動きが荒い",IF($BB69&gt;$BK$3,"×レンジが広い",IF($BC69&gt;$BK$4,"×窓を開けて上昇",IF($Z69&gt;$BK$5,"×前日に急騰",IF($Z69&lt;$BK$6,"×前日に急落",IF($BD69&lt;$BK$7,"×高値から離れすぎ",IF($BE69&gt;$BK$8,"×当日の値幅が大きい","×")))))))))</f>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 t="shared" si="22"/>
        <v>-6.5977961432506893</v>
      </c>
      <c r="M70" s="333">
        <f>IF(C70&lt;&gt;"",IFERROR(AVERAGE(出来高!E50:I50),""),"")</f>
        <v>14272960</v>
      </c>
      <c r="N70" s="333">
        <f>IF(C70&lt;&gt;"",IFERROR(AVERAGE(出来高!E50:AC50),""),"")</f>
        <v>12951480</v>
      </c>
      <c r="O70" s="335">
        <f t="shared" si="23"/>
        <v>0.74868842902943744</v>
      </c>
      <c r="P70" s="212" t="str">
        <f t="shared" si="24"/>
        <v>減少↓</v>
      </c>
      <c r="Q70" s="212" t="str">
        <f t="shared" si="25"/>
        <v>様子見▲</v>
      </c>
      <c r="R70" s="333">
        <f t="shared" si="26"/>
        <v>6239</v>
      </c>
      <c r="S70" s="333">
        <f t="shared" si="27"/>
        <v>7052</v>
      </c>
      <c r="T70" s="325">
        <f>IF(C70="","",IFERROR(IF(W70&lt;=22,-4,IF(W70&lt;=28,-2,IF(W70&lt;=45,2,IF(W70&lt;=55,1,0))))+IF(X70&lt;0,2,0)+IF(AD70="下降トレンド▼",3,IF(AD70="もみ合い→",1,0))+IF(V70="年初来安値圏●",3,IF(V70="安値圏",2,0))+IF(Q70="売り▼",2,0)+IF(P70="急増↑↑",2,IF(P70="増加↑",1,0))+IF(Z70&lt;0,1,0)+IF(L70&lt;=-30,2,IF(L70&lt;=-15,1,0))+IF(AE70="25日戻り売り★",2,IF(AE70="5日戻り売り○",1,0))+N(AL70)+N(AP70)+N(AU70),0))</f>
      </c>
      <c r="U70" s="212" t="str">
        <f t="shared" si="29"/>
        <v>要確認</v>
      </c>
      <c r="V70" s="212" t="str">
        <f t="shared" si="30"/>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 t="shared" si="31"/>
        <v>○逆張り売り | もみ合い→ 25日戻り売り★ MACD- RSI:38.9 前日比:+1.7% [3点]</v>
      </c>
      <c r="Z70" s="338">
        <f t="shared" si="32"/>
        <v>1.7251725172517254</v>
      </c>
      <c r="AA70" s="212" t="str">
        <f t="shared" si="33"/>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 t="shared" si="34"/>
        <v>もみ合い→</v>
      </c>
      <c r="AE70" s="212" t="str">
        <f t="shared" si="35"/>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 t="shared" si="36"/>
        <v>0</v>
      </c>
      <c r="AH70">
        <f t="shared" si="37"/>
        <v>0</v>
      </c>
      <c r="AI70" s="373">
        <f t="array" ref="AI70">IF(C70="","",IFERROR((INDEX(終値!$E:$E,MATCH(TEXT(C70,"0"),終値!$A:$A,0))-INDEX(終値!$E:$CZ,MATCH(TEXT(C70,"0"),終値!$A:$A,0),$AN$2))/INDEX(終値!$E:$CZ,MATCH(TEXT(C70,"0"),終値!$A:$A,0),$AN$2)*100,""))</f>
        <v>5.4096067153738536</v>
      </c>
      <c r="AJ70" s="373">
        <f t="array" ref="AJ70">IFERROR((終値!$E$5-INDEX(終値!$E$5:$CZ$5,1,$AN$2))/INDEX(終値!$E$5:$CZ$5,1,$AN$2)*100,"")</f>
        <v>1.0179378228534113</v>
      </c>
      <c r="AK70" s="374">
        <f t="shared" si="38"/>
        <v>4.3916688925204426</v>
      </c>
      <c r="AL70" s="372">
        <f t="shared" si="39"/>
        <v>-2</v>
      </c>
      <c r="AO70" s="376" t="str">
        <f t="shared" si="40"/>
        <v>通常</v>
      </c>
      <c r="AP70" s="377">
        <f t="shared" si="41"/>
        <v>0</v>
      </c>
      <c r="AQ70">
        <f>IF(C70&lt;&gt;"",始値!F50,"")</f>
        <v>6560</v>
      </c>
      <c r="AR70">
        <f>IF(C70&lt;&gt;"",高値!F50,"")</f>
        <v>6670</v>
      </c>
      <c r="AS70">
        <f>IF(C70&lt;&gt;"",安値!F50,"")</f>
        <v>6474</v>
      </c>
      <c r="AT70" t="str">
        <f t="shared" si="42"/>
        <v>通常</v>
      </c>
      <c r="AU70">
        <f t="shared" si="43"/>
        <v>0</v>
      </c>
      <c r="BA70">
        <f>IFERROR((SUM(OFFSET(高値!$E$6,IFERROR(MATCH($C70,銘柄管理!$B$6:$B$305,0),MATCH(TEXT($C70,"0"),銘柄管理!$B$6:$B$305,0))-1,0,1,14))-SUM(OFFSET(安値!$E$6,IFERROR(MATCH($C70,銘柄管理!$B$6:$B$305,0),MATCH(TEXT($C70,"0"),銘柄管理!$B$6:$B$305,0))-1,0,1,14)))/SUM(OFFSET(終値!$E$6,IFERROR(MATCH($C70,銘柄管理!$B$6:$B$305,0),MATCH(TEXT($C70,"0"),銘柄管理!$B$6:$B$305,0))-1,0,1,14))*100,"")</f>
      </c>
      <c r="BB70">
        <f>IFERROR((MAX(OFFSET(高値!$E$6,IFERROR(MATCH($C70,銘柄管理!$B$6:$B$305,0),MATCH(TEXT($C70,"0"),銘柄管理!$B$6:$B$305,0))-1,0,1,25))-MIN(OFFSET(安値!$E$6,IFERROR(MATCH($C70,銘柄管理!$B$6:$B$305,0),MATCH(TEXT($C70,"0"),銘柄管理!$B$6:$B$305,0))-1,0,1,25)))/$E70*100,"")</f>
      </c>
      <c r="BC70">
        <f>IFERROR(($F70-$G70)/$G70*100,"")</f>
      </c>
      <c r="BD70">
        <f>IFERROR(($E70-MAX(OFFSET(高値!$E$6,IFERROR(MATCH($C70,銘柄管理!$B$6:$B$305,0),MATCH(TEXT($C70,"0"),銘柄管理!$B$6:$B$305,0))-1,0,1,25)))/MAX(OFFSET(高値!$E$6,IFERROR(MATCH($C70,銘柄管理!$B$6:$B$305,0),MATCH(TEXT($C70,"0"),銘柄管理!$B$6:$B$305,0))-1,0,1,25))*100,"")</f>
      </c>
      <c r="BE70">
        <f>IFERROR(($H70-$I70)/$F70*100,"")</f>
      </c>
      <c r="BF70">
        <f>IFERROR(-(($BA70-AVERAGE($BA$3:$BA$206))/STDEV($BA$3:$BA$206))-(($BE70-AVERAGE($BE$3:$BE$206))/STDEV($BE$3:$BE$206))-(($BB70-AVERAGE($BB$3:$BB$206))/STDEV($BB$3:$BB$206))-(($Z70-AVERAGE($Z$3:$Z$206))/STDEV($Z$3:$Z$206))-(($BC70-AVERAGE($BC$3:$BC$206))/STDEV($BC$3:$BC$206)),"")</f>
      </c>
      <c r="BG70">
        <f>IF(OR($C70="",$C70="TOPX",$BA70="",$BF70=""),0,IF(AND($BK$10=1,$BA70&lt;=$BK$2,$BB70&lt;=$BK$3,$BC70&lt;=$BK$4,$Z70&lt;=$BK$5,$Z70&gt;=$BK$6,$BD70&gt;=$BK$7,$BE70&lt;=$BK$8),1,0))</f>
      </c>
      <c r="BH70">
        <f>IF($C70="","",IF($BG70=1,"○ゲート通過",IF($BK$10&lt;&gt;1,"― この方向は停止中",IF($BA70&gt;$BK$2,"×値動きが荒い",IF($BB70&gt;$BK$3,"×レンジが広い",IF($BC70&gt;$BK$4,"×窓を開けて上昇",IF($Z70&gt;$BK$5,"×前日に急騰",IF($Z70&lt;$BK$6,"×前日に急落",IF($BD70&lt;$BK$7,"×高値から離れすぎ",IF($BE70&gt;$BK$8,"×当日の値幅が大きい","×")))))))))</f>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 t="shared" si="22"/>
        <v>-3.4968210717529522</v>
      </c>
      <c r="M71" s="326">
        <f>IF(C71&lt;&gt;"",IFERROR(AVERAGE(出来高!E55:I55),""),"")</f>
        <v>290760</v>
      </c>
      <c r="N71" s="326">
        <f>IF(C71&lt;&gt;"",IFERROR(AVERAGE(出来高!E55:AC55),""),"")</f>
        <v>225568</v>
      </c>
      <c r="O71" s="328">
        <f t="shared" si="23"/>
        <v>1.3186132893107718</v>
      </c>
      <c r="P71" s="325" t="str">
        <f t="shared" si="24"/>
        <v>普通→</v>
      </c>
      <c r="Q71" s="325" t="str">
        <f t="shared" si="25"/>
        <v>様子見▲</v>
      </c>
      <c r="R71" s="326">
        <f t="shared" si="26"/>
        <v>3910</v>
      </c>
      <c r="S71" s="326">
        <f t="shared" si="27"/>
        <v>4420</v>
      </c>
      <c r="T71" s="325">
        <f>IF(C71="","",IFERROR(IF(W71&lt;=22,-4,IF(W71&lt;=28,-2,IF(W71&lt;=45,2,IF(W71&lt;=55,1,0))))+IF(X71&lt;0,2,0)+IF(AD71="下降トレンド▼",3,IF(AD71="もみ合い→",1,0))+IF(V71="年初来安値圏●",3,IF(V71="安値圏",2,0))+IF(Q71="売り▼",2,0)+IF(P71="急増↑↑",2,IF(P71="増加↑",1,0))+IF(Z71&lt;0,1,0)+IF(L71&lt;=-30,2,IF(L71&lt;=-15,1,0))+IF(AE71="25日戻り売り★",2,IF(AE71="5日戻り売り○",1,0))+N(AL71)+N(AP71)+N(AU71),0))</f>
      </c>
      <c r="U71" s="325" t="str">
        <f t="shared" si="29"/>
        <v>除外</v>
      </c>
      <c r="V71" s="325" t="str">
        <f t="shared" si="30"/>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 t="shared" si="31"/>
        <v>相場上昇・見送り | パーフェクト▲ MACD+ RSI:64.9 前日比:+0.3% [0点]</v>
      </c>
      <c r="Z71" s="331">
        <f t="shared" si="32"/>
        <v>0.25949516395376265</v>
      </c>
      <c r="AA71" s="325" t="str">
        <f t="shared" si="33"/>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 t="shared" si="34"/>
        <v>パーフェクト▲</v>
      </c>
      <c r="AE71" s="325" t="str">
        <f t="shared" si="35"/>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 t="shared" si="36"/>
        <v>0</v>
      </c>
      <c r="AH71">
        <f t="shared" si="37"/>
        <v>0</v>
      </c>
      <c r="AI71" s="373">
        <f t="array" ref="AI71">IF(C71="","",IFERROR((INDEX(終値!$E:$E,MATCH(TEXT(C71,"0"),終値!$A:$A,0))-INDEX(終値!$E:$CZ,MATCH(TEXT(C71,"0"),終値!$A:$A,0),$AN$2))/INDEX(終値!$E:$CZ,MATCH(TEXT(C71,"0"),終値!$A:$A,0),$AN$2)*100,""))</f>
        <v>4.192203971561657</v>
      </c>
      <c r="AJ71" s="373">
        <f t="array" ref="AJ71">IFERROR((終値!$E$5-INDEX(終値!$E$5:$CZ$5,1,$AN$2))/INDEX(終値!$E$5:$CZ$5,1,$AN$2)*100,"")</f>
        <v>1.0179378228534113</v>
      </c>
      <c r="AK71" s="374">
        <f t="shared" si="38"/>
        <v>3.174266148708246</v>
      </c>
      <c r="AL71" s="372">
        <f t="shared" si="39"/>
        <v>-2</v>
      </c>
      <c r="AO71" s="376" t="str">
        <f t="shared" si="40"/>
        <v>通常</v>
      </c>
      <c r="AP71" s="377">
        <f t="shared" si="41"/>
        <v>0</v>
      </c>
      <c r="AQ71">
        <f>IF(C71&lt;&gt;"",始値!F55,"")</f>
        <v>4000</v>
      </c>
      <c r="AR71">
        <f>IF(C71&lt;&gt;"",高値!F55,"")</f>
        <v>4305</v>
      </c>
      <c r="AS71">
        <f>IF(C71&lt;&gt;"",安値!F55,"")</f>
        <v>3990</v>
      </c>
      <c r="AT71" t="str">
        <f t="shared" si="42"/>
        <v>通常</v>
      </c>
      <c r="AU71">
        <f t="shared" si="43"/>
        <v>0</v>
      </c>
      <c r="BA71">
        <f>IFERROR((SUM(OFFSET(高値!$E$6,IFERROR(MATCH($C71,銘柄管理!$B$6:$B$305,0),MATCH(TEXT($C71,"0"),銘柄管理!$B$6:$B$305,0))-1,0,1,14))-SUM(OFFSET(安値!$E$6,IFERROR(MATCH($C71,銘柄管理!$B$6:$B$305,0),MATCH(TEXT($C71,"0"),銘柄管理!$B$6:$B$305,0))-1,0,1,14)))/SUM(OFFSET(終値!$E$6,IFERROR(MATCH($C71,銘柄管理!$B$6:$B$305,0),MATCH(TEXT($C71,"0"),銘柄管理!$B$6:$B$305,0))-1,0,1,14))*100,"")</f>
      </c>
      <c r="BB71">
        <f>IFERROR((MAX(OFFSET(高値!$E$6,IFERROR(MATCH($C71,銘柄管理!$B$6:$B$305,0),MATCH(TEXT($C71,"0"),銘柄管理!$B$6:$B$305,0))-1,0,1,25))-MIN(OFFSET(安値!$E$6,IFERROR(MATCH($C71,銘柄管理!$B$6:$B$305,0),MATCH(TEXT($C71,"0"),銘柄管理!$B$6:$B$305,0))-1,0,1,25)))/$E71*100,"")</f>
      </c>
      <c r="BC71">
        <f>IFERROR(($F71-$G71)/$G71*100,"")</f>
      </c>
      <c r="BD71">
        <f>IFERROR(($E71-MAX(OFFSET(高値!$E$6,IFERROR(MATCH($C71,銘柄管理!$B$6:$B$305,0),MATCH(TEXT($C71,"0"),銘柄管理!$B$6:$B$305,0))-1,0,1,25)))/MAX(OFFSET(高値!$E$6,IFERROR(MATCH($C71,銘柄管理!$B$6:$B$305,0),MATCH(TEXT($C71,"0"),銘柄管理!$B$6:$B$305,0))-1,0,1,25))*100,"")</f>
      </c>
      <c r="BE71">
        <f>IFERROR(($H71-$I71)/$F71*100,"")</f>
      </c>
      <c r="BF71">
        <f>IFERROR(-(($BA71-AVERAGE($BA$3:$BA$206))/STDEV($BA$3:$BA$206))-(($BE71-AVERAGE($BE$3:$BE$206))/STDEV($BE$3:$BE$206))-(($BB71-AVERAGE($BB$3:$BB$206))/STDEV($BB$3:$BB$206))-(($Z71-AVERAGE($Z$3:$Z$206))/STDEV($Z$3:$Z$206))-(($BC71-AVERAGE($BC$3:$BC$206))/STDEV($BC$3:$BC$206)),"")</f>
      </c>
      <c r="BG71">
        <f>IF(OR($C71="",$C71="TOPX",$BA71="",$BF71=""),0,IF(AND($BK$10=1,$BA71&lt;=$BK$2,$BB71&lt;=$BK$3,$BC71&lt;=$BK$4,$Z71&lt;=$BK$5,$Z71&gt;=$BK$6,$BD71&gt;=$BK$7,$BE71&lt;=$BK$8),1,0))</f>
      </c>
      <c r="BH71">
        <f>IF($C71="","",IF($BG71=1,"○ゲート通過",IF($BK$10&lt;&gt;1,"― この方向は停止中",IF($BA71&gt;$BK$2,"×値動きが荒い",IF($BB71&gt;$BK$3,"×レンジが広い",IF($BC71&gt;$BK$4,"×窓を開けて上昇",IF($Z71&gt;$BK$5,"×前日に急騰",IF($Z71&lt;$BK$6,"×前日に急落",IF($BD71&lt;$BK$7,"×高値から離れすぎ",IF($BE71&gt;$BK$8,"×当日の値幅が大きい","×")))))))))</f>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 t="shared" si="22"/>
        <v>-40.780413159908186</v>
      </c>
      <c r="M72" s="333">
        <f>IF(C72&lt;&gt;"",IFERROR(AVERAGE(出来高!E69:I69),""),"")</f>
        <v>2912260</v>
      </c>
      <c r="N72" s="333">
        <f>IF(C72&lt;&gt;"",IFERROR(AVERAGE(出来高!E69:AC69),""),"")</f>
        <v>1896376</v>
      </c>
      <c r="O72" s="335">
        <f t="shared" si="23"/>
        <v>1.0803980413836676</v>
      </c>
      <c r="P72" s="212" t="str">
        <f t="shared" si="24"/>
        <v>普通→</v>
      </c>
      <c r="Q72" s="212" t="str">
        <f t="shared" si="25"/>
        <v>中立→</v>
      </c>
      <c r="R72" s="333">
        <f t="shared" si="26"/>
        <v>2848</v>
      </c>
      <c r="S72" s="333">
        <f t="shared" si="27"/>
        <v>3220</v>
      </c>
      <c r="T72" s="325">
        <f>IF(C72="","",IFERROR(IF(W72&lt;=22,-4,IF(W72&lt;=28,-2,IF(W72&lt;=45,2,IF(W72&lt;=55,1,0))))+IF(X72&lt;0,2,0)+IF(AD72="下降トレンド▼",3,IF(AD72="もみ合い→",1,0))+IF(V72="年初来安値圏●",3,IF(V72="安値圏",2,0))+IF(Q72="売り▼",2,0)+IF(P72="急増↑↑",2,IF(P72="増加↑",1,0))+IF(Z72&lt;0,1,0)+IF(L72&lt;=-30,2,IF(L72&lt;=-15,1,0))+IF(AE72="25日戻り売り★",2,IF(AE72="5日戻り売り○",1,0))+N(AL72)+N(AP72)+N(AU72),0))</f>
      </c>
      <c r="U72" s="212" t="str">
        <f t="shared" si="29"/>
        <v>要確認</v>
      </c>
      <c r="V72" s="212" t="str">
        <f t="shared" si="30"/>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 t="shared" si="31"/>
        <v>相場上昇・見送り | 下降トレンド▼ MACD- RSI:32.5 前日比:-5.9% [年初来安値圏] [14点]</v>
      </c>
      <c r="Z72" s="338">
        <f t="shared" si="32"/>
        <v>-5.9252506836827719</v>
      </c>
      <c r="AA72" s="212" t="str">
        <f t="shared" si="33"/>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 t="shared" si="34"/>
        <v>下降トレンド▼</v>
      </c>
      <c r="AE72" s="212" t="str">
        <f t="shared" si="35"/>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 t="shared" si="36"/>
        <v>14</v>
      </c>
      <c r="AH72">
        <f t="shared" si="37"/>
        <v>139928</v>
      </c>
      <c r="AI72" s="373">
        <f t="array" ref="AI72">IF(C72="","",IFERROR((INDEX(終値!$E:$E,MATCH(TEXT(C72,"0"),終値!$A:$A,0))-INDEX(終値!$E:$CZ,MATCH(TEXT(C72,"0"),終値!$A:$A,0),$AN$2))/INDEX(終値!$E:$CZ,MATCH(TEXT(C72,"0"),終値!$A:$A,0),$AN$2)*100,""))</f>
        <v>-26.33832976445396</v>
      </c>
      <c r="AJ72" s="373">
        <f t="array" ref="AJ72">IFERROR((終値!$E$5-INDEX(終値!$E$5:$CZ$5,1,$AN$2))/INDEX(終値!$E$5:$CZ$5,1,$AN$2)*100,"")</f>
        <v>1.0179378228534113</v>
      </c>
      <c r="AK72" s="374">
        <f t="shared" si="38"/>
        <v>-27.356267587307372</v>
      </c>
      <c r="AL72" s="372">
        <f t="shared" si="39"/>
        <v>3</v>
      </c>
      <c r="AO72" s="376" t="str">
        <f t="shared" si="40"/>
        <v>通常</v>
      </c>
      <c r="AP72" s="377">
        <f t="shared" si="41"/>
        <v>0</v>
      </c>
      <c r="AQ72">
        <f>IF(C72&lt;&gt;"",始値!F69,"")</f>
        <v>3271</v>
      </c>
      <c r="AR72">
        <f>IF(C72&lt;&gt;"",高値!F69,"")</f>
        <v>3349</v>
      </c>
      <c r="AS72">
        <f>IF(C72&lt;&gt;"",安値!F69,"")</f>
        <v>3170</v>
      </c>
      <c r="AT72" t="str">
        <f t="shared" si="42"/>
        <v>通常</v>
      </c>
      <c r="AU72">
        <f t="shared" si="43"/>
        <v>0</v>
      </c>
      <c r="BA72">
        <f>IFERROR((SUM(OFFSET(高値!$E$6,IFERROR(MATCH($C72,銘柄管理!$B$6:$B$305,0),MATCH(TEXT($C72,"0"),銘柄管理!$B$6:$B$305,0))-1,0,1,14))-SUM(OFFSET(安値!$E$6,IFERROR(MATCH($C72,銘柄管理!$B$6:$B$305,0),MATCH(TEXT($C72,"0"),銘柄管理!$B$6:$B$305,0))-1,0,1,14)))/SUM(OFFSET(終値!$E$6,IFERROR(MATCH($C72,銘柄管理!$B$6:$B$305,0),MATCH(TEXT($C72,"0"),銘柄管理!$B$6:$B$305,0))-1,0,1,14))*100,"")</f>
      </c>
      <c r="BB72">
        <f>IFERROR((MAX(OFFSET(高値!$E$6,IFERROR(MATCH($C72,銘柄管理!$B$6:$B$305,0),MATCH(TEXT($C72,"0"),銘柄管理!$B$6:$B$305,0))-1,0,1,25))-MIN(OFFSET(安値!$E$6,IFERROR(MATCH($C72,銘柄管理!$B$6:$B$305,0),MATCH(TEXT($C72,"0"),銘柄管理!$B$6:$B$305,0))-1,0,1,25)))/$E72*100,"")</f>
      </c>
      <c r="BC72">
        <f>IFERROR(($F72-$G72)/$G72*100,"")</f>
      </c>
      <c r="BD72">
        <f>IFERROR(($E72-MAX(OFFSET(高値!$E$6,IFERROR(MATCH($C72,銘柄管理!$B$6:$B$305,0),MATCH(TEXT($C72,"0"),銘柄管理!$B$6:$B$305,0))-1,0,1,25)))/MAX(OFFSET(高値!$E$6,IFERROR(MATCH($C72,銘柄管理!$B$6:$B$305,0),MATCH(TEXT($C72,"0"),銘柄管理!$B$6:$B$305,0))-1,0,1,25))*100,"")</f>
      </c>
      <c r="BE72">
        <f>IFERROR(($H72-$I72)/$F72*100,"")</f>
      </c>
      <c r="BF72">
        <f>IFERROR(-(($BA72-AVERAGE($BA$3:$BA$206))/STDEV($BA$3:$BA$206))-(($BE72-AVERAGE($BE$3:$BE$206))/STDEV($BE$3:$BE$206))-(($BB72-AVERAGE($BB$3:$BB$206))/STDEV($BB$3:$BB$206))-(($Z72-AVERAGE($Z$3:$Z$206))/STDEV($Z$3:$Z$206))-(($BC72-AVERAGE($BC$3:$BC$206))/STDEV($BC$3:$BC$206)),"")</f>
      </c>
      <c r="BG72">
        <f>IF(OR($C72="",$C72="TOPX",$BA72="",$BF72=""),0,IF(AND($BK$10=1,$BA72&lt;=$BK$2,$BB72&lt;=$BK$3,$BC72&lt;=$BK$4,$Z72&lt;=$BK$5,$Z72&gt;=$BK$6,$BD72&gt;=$BK$7,$BE72&lt;=$BK$8),1,0))</f>
      </c>
      <c r="BH72">
        <f>IF($C72="","",IF($BG72=1,"○ゲート通過",IF($BK$10&lt;&gt;1,"― この方向は停止中",IF($BA72&gt;$BK$2,"×値動きが荒い",IF($BB72&gt;$BK$3,"×レンジが広い",IF($BC72&gt;$BK$4,"×窓を開けて上昇",IF($Z72&gt;$BK$5,"×前日に急騰",IF($Z72&lt;$BK$6,"×前日に急落",IF($BD72&lt;$BK$7,"×高値から離れすぎ",IF($BE72&gt;$BK$8,"×当日の値幅が大きい","×")))))))))</f>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 t="shared" si="22"/>
        <v>-25.412499999999998</v>
      </c>
      <c r="M73" s="326">
        <f>IF(C73&lt;&gt;"",IFERROR(AVERAGE(出来高!E77:I77),""),"")</f>
        <v>46197340</v>
      </c>
      <c r="N73" s="326">
        <f>IF(C73&lt;&gt;"",IFERROR(AVERAGE(出来高!E77:AC77),""),"")</f>
        <v>34860832</v>
      </c>
      <c r="O73" s="328">
        <f t="shared" si="23"/>
        <v>0.69202902158435964</v>
      </c>
      <c r="P73" s="325" t="str">
        <f t="shared" si="24"/>
        <v>減少↓</v>
      </c>
      <c r="Q73" s="325" t="str">
        <f t="shared" si="25"/>
        <v>様子見▲</v>
      </c>
      <c r="R73" s="326">
        <f t="shared" si="26"/>
        <v>2745</v>
      </c>
      <c r="S73" s="326">
        <f t="shared" si="27"/>
        <v>3103</v>
      </c>
      <c r="T73" s="325">
        <f>IF(C73="","",IFERROR(IF(W73&lt;=22,-4,IF(W73&lt;=28,-2,IF(W73&lt;=45,2,IF(W73&lt;=55,1,0))))+IF(X73&lt;0,2,0)+IF(AD73="下降トレンド▼",3,IF(AD73="もみ合い→",1,0))+IF(V73="年初来安値圏●",3,IF(V73="安値圏",2,0))+IF(Q73="売り▼",2,0)+IF(P73="急増↑↑",2,IF(P73="増加↑",1,0))+IF(Z73&lt;0,1,0)+IF(L73&lt;=-30,2,IF(L73&lt;=-15,1,0))+IF(AE73="25日戻り売り★",2,IF(AE73="5日戻り売り○",1,0))+N(AL73)+N(AP73)+N(AU73),0))</f>
      </c>
      <c r="U73" s="325" t="str">
        <f t="shared" si="29"/>
        <v>除外</v>
      </c>
      <c r="V73" s="325" t="str">
        <f t="shared" si="30"/>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 t="shared" si="31"/>
        <v>相場上昇・見送り | 上昇トレンド▲ MACD+ RSI:52.5 前日比:+2.4% [安値圏]前日[長い下ヒゲ(反発)] [0点]</v>
      </c>
      <c r="Z73" s="331">
        <f t="shared" si="32"/>
        <v>2.3674729799279466</v>
      </c>
      <c r="AA73" s="325" t="str">
        <f t="shared" si="33"/>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 t="shared" si="34"/>
        <v>上昇トレンド▲</v>
      </c>
      <c r="AE73" s="325" t="str">
        <f t="shared" si="35"/>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 t="shared" si="36"/>
        <v>0</v>
      </c>
      <c r="AH73">
        <f t="shared" si="37"/>
        <v>0</v>
      </c>
      <c r="AI73" s="373">
        <f t="array" ref="AI73">IF(C73="","",IFERROR((INDEX(終値!$E:$E,MATCH(TEXT(C73,"0"),終値!$A:$A,0))-INDEX(終値!$E:$CZ,MATCH(TEXT(C73,"0"),終値!$A:$A,0),$AN$2))/INDEX(終値!$E:$CZ,MATCH(TEXT(C73,"0"),終値!$A:$A,0),$AN$2)*100,""))</f>
        <v>9.5063314369609095</v>
      </c>
      <c r="AJ73" s="373">
        <f t="array" ref="AJ73">IFERROR((終値!$E$5-INDEX(終値!$E$5:$CZ$5,1,$AN$2))/INDEX(終値!$E$5:$CZ$5,1,$AN$2)*100,"")</f>
        <v>1.0179378228534113</v>
      </c>
      <c r="AK73" s="374">
        <f t="shared" si="38"/>
        <v>8.4883936141074976</v>
      </c>
      <c r="AL73" s="372">
        <f t="shared" si="39"/>
        <v>-2</v>
      </c>
      <c r="AO73" s="376" t="str">
        <f t="shared" si="40"/>
        <v>通常</v>
      </c>
      <c r="AP73" s="377">
        <f t="shared" si="41"/>
        <v>0</v>
      </c>
      <c r="AQ73">
        <f>IF(C73&lt;&gt;"",始値!F77,"")</f>
        <v>2903</v>
      </c>
      <c r="AR73">
        <f>IF(C73&lt;&gt;"",高値!F77,"")</f>
        <v>2924.5</v>
      </c>
      <c r="AS73">
        <f>IF(C73&lt;&gt;"",安値!F77,"")</f>
        <v>2869.5</v>
      </c>
      <c r="AT73" t="str">
        <f t="shared" si="42"/>
        <v>長い下ヒゲ(反発)</v>
      </c>
      <c r="AU73">
        <f t="shared" si="43"/>
        <v>-2</v>
      </c>
      <c r="BA73">
        <f>IFERROR((SUM(OFFSET(高値!$E$6,IFERROR(MATCH($C73,銘柄管理!$B$6:$B$305,0),MATCH(TEXT($C73,"0"),銘柄管理!$B$6:$B$305,0))-1,0,1,14))-SUM(OFFSET(安値!$E$6,IFERROR(MATCH($C73,銘柄管理!$B$6:$B$305,0),MATCH(TEXT($C73,"0"),銘柄管理!$B$6:$B$305,0))-1,0,1,14)))/SUM(OFFSET(終値!$E$6,IFERROR(MATCH($C73,銘柄管理!$B$6:$B$305,0),MATCH(TEXT($C73,"0"),銘柄管理!$B$6:$B$305,0))-1,0,1,14))*100,"")</f>
      </c>
      <c r="BB73">
        <f>IFERROR((MAX(OFFSET(高値!$E$6,IFERROR(MATCH($C73,銘柄管理!$B$6:$B$305,0),MATCH(TEXT($C73,"0"),銘柄管理!$B$6:$B$305,0))-1,0,1,25))-MIN(OFFSET(安値!$E$6,IFERROR(MATCH($C73,銘柄管理!$B$6:$B$305,0),MATCH(TEXT($C73,"0"),銘柄管理!$B$6:$B$305,0))-1,0,1,25)))/$E73*100,"")</f>
      </c>
      <c r="BC73">
        <f>IFERROR(($F73-$G73)/$G73*100,"")</f>
      </c>
      <c r="BD73">
        <f>IFERROR(($E73-MAX(OFFSET(高値!$E$6,IFERROR(MATCH($C73,銘柄管理!$B$6:$B$305,0),MATCH(TEXT($C73,"0"),銘柄管理!$B$6:$B$305,0))-1,0,1,25)))/MAX(OFFSET(高値!$E$6,IFERROR(MATCH($C73,銘柄管理!$B$6:$B$305,0),MATCH(TEXT($C73,"0"),銘柄管理!$B$6:$B$305,0))-1,0,1,25))*100,"")</f>
      </c>
      <c r="BE73">
        <f>IFERROR(($H73-$I73)/$F73*100,"")</f>
      </c>
      <c r="BF73">
        <f>IFERROR(-(($BA73-AVERAGE($BA$3:$BA$206))/STDEV($BA$3:$BA$206))-(($BE73-AVERAGE($BE$3:$BE$206))/STDEV($BE$3:$BE$206))-(($BB73-AVERAGE($BB$3:$BB$206))/STDEV($BB$3:$BB$206))-(($Z73-AVERAGE($Z$3:$Z$206))/STDEV($Z$3:$Z$206))-(($BC73-AVERAGE($BC$3:$BC$206))/STDEV($BC$3:$BC$206)),"")</f>
      </c>
      <c r="BG73">
        <f>IF(OR($C73="",$C73="TOPX",$BA73="",$BF73=""),0,IF(AND($BK$10=1,$BA73&lt;=$BK$2,$BB73&lt;=$BK$3,$BC73&lt;=$BK$4,$Z73&lt;=$BK$5,$Z73&gt;=$BK$6,$BD73&gt;=$BK$7,$BE73&lt;=$BK$8),1,0))</f>
      </c>
      <c r="BH73">
        <f>IF($C73="","",IF($BG73=1,"○ゲート通過",IF($BK$10&lt;&gt;1,"― この方向は停止中",IF($BA73&gt;$BK$2,"×値動きが荒い",IF($BB73&gt;$BK$3,"×レンジが広い",IF($BC73&gt;$BK$4,"×窓を開けて上昇",IF($Z73&gt;$BK$5,"×前日に急騰",IF($Z73&lt;$BK$6,"×前日に急落",IF($BD73&lt;$BK$7,"×高値から離れすぎ",IF($BE73&gt;$BK$8,"×当日の値幅が大きい","×")))))))))</f>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 t="shared" si="22"/>
        <v>-25.626461744069495</v>
      </c>
      <c r="M74" s="333">
        <f>IF(C74&lt;&gt;"",IFERROR(AVERAGE(出来高!E89:I89),""),"")</f>
        <v>33440</v>
      </c>
      <c r="N74" s="333">
        <f>IF(C74&lt;&gt;"",IFERROR(AVERAGE(出来高!E89:AC89),""),"")</f>
        <v>46228</v>
      </c>
      <c r="O74" s="335">
        <f t="shared" si="23"/>
        <v>0.83433014354066981</v>
      </c>
      <c r="P74" s="212" t="str">
        <f t="shared" si="24"/>
        <v>減少↓</v>
      </c>
      <c r="Q74" s="212" t="str">
        <f t="shared" si="25"/>
        <v>様子見▲</v>
      </c>
      <c r="R74" s="333">
        <f t="shared" si="26"/>
        <v>2048</v>
      </c>
      <c r="S74" s="333">
        <f t="shared" si="27"/>
        <v>2315</v>
      </c>
      <c r="T74" s="325">
        <f>IF(C74="","",IFERROR(IF(W74&lt;=22,-4,IF(W74&lt;=28,-2,IF(W74&lt;=45,2,IF(W74&lt;=55,1,0))))+IF(X74&lt;0,2,0)+IF(AD74="下降トレンド▼",3,IF(AD74="もみ合い→",1,0))+IF(V74="年初来安値圏●",3,IF(V74="安値圏",2,0))+IF(Q74="売り▼",2,0)+IF(P74="急増↑↑",2,IF(P74="増加↑",1,0))+IF(Z74&lt;0,1,0)+IF(L74&lt;=-30,2,IF(L74&lt;=-15,1,0))+IF(AE74="25日戻り売り★",2,IF(AE74="5日戻り売り○",1,0))+N(AL74)+N(AP74)+N(AU74),0))</f>
      </c>
      <c r="U74" s="212" t="str">
        <f t="shared" si="29"/>
        <v>要確認</v>
      </c>
      <c r="V74" s="212" t="str">
        <f t="shared" si="30"/>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 t="shared" si="31"/>
        <v>相場上昇・見送り | パーフェクト▲ MACD+ RSI:62.4 前日比:+0.6% [安値圏] [3点]</v>
      </c>
      <c r="Z74" s="338">
        <f t="shared" si="32"/>
        <v>0.58743786714866697</v>
      </c>
      <c r="AA74" s="212" t="str">
        <f t="shared" si="33"/>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 t="shared" si="34"/>
        <v>パーフェクト▲</v>
      </c>
      <c r="AE74" s="212" t="str">
        <f t="shared" si="35"/>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 t="shared" si="36"/>
        <v>0</v>
      </c>
      <c r="AH74">
        <f t="shared" si="37"/>
        <v>0</v>
      </c>
      <c r="AI74" s="373">
        <f t="array" ref="AI74">IF(C74="","",IFERROR((INDEX(終値!$E:$E,MATCH(TEXT(C74,"0"),終値!$A:$A,0))-INDEX(終値!$E:$CZ,MATCH(TEXT(C74,"0"),終値!$A:$A,0),$AN$2))/INDEX(終値!$E:$CZ,MATCH(TEXT(C74,"0"),終値!$A:$A,0),$AN$2)*100,""))</f>
        <v>9.5472440944881889</v>
      </c>
      <c r="AJ74" s="373">
        <f t="array" ref="AJ74">IFERROR((終値!$E$5-INDEX(終値!$E$5:$CZ$5,1,$AN$2))/INDEX(終値!$E$5:$CZ$5,1,$AN$2)*100,"")</f>
        <v>1.0179378228534113</v>
      </c>
      <c r="AK74" s="374">
        <f t="shared" si="38"/>
        <v>8.5293062716347769</v>
      </c>
      <c r="AL74" s="372">
        <f t="shared" si="39"/>
        <v>-2</v>
      </c>
      <c r="AO74" s="376" t="str">
        <f t="shared" si="40"/>
        <v>通常</v>
      </c>
      <c r="AP74" s="377">
        <f t="shared" si="41"/>
        <v>0</v>
      </c>
      <c r="AQ74">
        <f>IF(C74&lt;&gt;"",始値!F89,"")</f>
        <v>2124</v>
      </c>
      <c r="AR74">
        <f>IF(C74&lt;&gt;"",高値!F89,"")</f>
        <v>2213</v>
      </c>
      <c r="AS74">
        <f>IF(C74&lt;&gt;"",安値!F89,"")</f>
        <v>2120</v>
      </c>
      <c r="AT74" t="str">
        <f t="shared" si="42"/>
        <v>通常</v>
      </c>
      <c r="AU74">
        <f t="shared" si="43"/>
        <v>0</v>
      </c>
      <c r="BA74">
        <f>IFERROR((SUM(OFFSET(高値!$E$6,IFERROR(MATCH($C74,銘柄管理!$B$6:$B$305,0),MATCH(TEXT($C74,"0"),銘柄管理!$B$6:$B$305,0))-1,0,1,14))-SUM(OFFSET(安値!$E$6,IFERROR(MATCH($C74,銘柄管理!$B$6:$B$305,0),MATCH(TEXT($C74,"0"),銘柄管理!$B$6:$B$305,0))-1,0,1,14)))/SUM(OFFSET(終値!$E$6,IFERROR(MATCH($C74,銘柄管理!$B$6:$B$305,0),MATCH(TEXT($C74,"0"),銘柄管理!$B$6:$B$305,0))-1,0,1,14))*100,"")</f>
      </c>
      <c r="BB74">
        <f>IFERROR((MAX(OFFSET(高値!$E$6,IFERROR(MATCH($C74,銘柄管理!$B$6:$B$305,0),MATCH(TEXT($C74,"0"),銘柄管理!$B$6:$B$305,0))-1,0,1,25))-MIN(OFFSET(安値!$E$6,IFERROR(MATCH($C74,銘柄管理!$B$6:$B$305,0),MATCH(TEXT($C74,"0"),銘柄管理!$B$6:$B$305,0))-1,0,1,25)))/$E74*100,"")</f>
      </c>
      <c r="BC74">
        <f>IFERROR(($F74-$G74)/$G74*100,"")</f>
      </c>
      <c r="BD74">
        <f>IFERROR(($E74-MAX(OFFSET(高値!$E$6,IFERROR(MATCH($C74,銘柄管理!$B$6:$B$305,0),MATCH(TEXT($C74,"0"),銘柄管理!$B$6:$B$305,0))-1,0,1,25)))/MAX(OFFSET(高値!$E$6,IFERROR(MATCH($C74,銘柄管理!$B$6:$B$305,0),MATCH(TEXT($C74,"0"),銘柄管理!$B$6:$B$305,0))-1,0,1,25))*100,"")</f>
      </c>
      <c r="BE74">
        <f>IFERROR(($H74-$I74)/$F74*100,"")</f>
      </c>
      <c r="BF74">
        <f>IFERROR(-(($BA74-AVERAGE($BA$3:$BA$206))/STDEV($BA$3:$BA$206))-(($BE74-AVERAGE($BE$3:$BE$206))/STDEV($BE$3:$BE$206))-(($BB74-AVERAGE($BB$3:$BB$206))/STDEV($BB$3:$BB$206))-(($Z74-AVERAGE($Z$3:$Z$206))/STDEV($Z$3:$Z$206))-(($BC74-AVERAGE($BC$3:$BC$206))/STDEV($BC$3:$BC$206)),"")</f>
      </c>
      <c r="BG74">
        <f>IF(OR($C74="",$C74="TOPX",$BA74="",$BF74=""),0,IF(AND($BK$10=1,$BA74&lt;=$BK$2,$BB74&lt;=$BK$3,$BC74&lt;=$BK$4,$Z74&lt;=$BK$5,$Z74&gt;=$BK$6,$BD74&gt;=$BK$7,$BE74&lt;=$BK$8),1,0))</f>
      </c>
      <c r="BH74">
        <f>IF($C74="","",IF($BG74=1,"○ゲート通過",IF($BK$10&lt;&gt;1,"― この方向は停止中",IF($BA74&gt;$BK$2,"×値動きが荒い",IF($BB74&gt;$BK$3,"×レンジが広い",IF($BC74&gt;$BK$4,"×窓を開けて上昇",IF($Z74&gt;$BK$5,"×前日に急騰",IF($Z74&lt;$BK$6,"×前日に急落",IF($BD74&lt;$BK$7,"×高値から離れすぎ",IF($BE74&gt;$BK$8,"×当日の値幅が大きい","×")))))))))</f>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 t="shared" si="22"/>
        <v>-21.610317183687698</v>
      </c>
      <c r="M75" s="326">
        <f>IF(C75&lt;&gt;"",IFERROR(AVERAGE(出来高!E97:I97),""),"")</f>
        <v>1463180</v>
      </c>
      <c r="N75" s="326">
        <f>IF(C75&lt;&gt;"",IFERROR(AVERAGE(出来高!E97:AC97),""),"")</f>
        <v>1115108</v>
      </c>
      <c r="O75" s="328">
        <f t="shared" si="23"/>
        <v>0.71788843477904296</v>
      </c>
      <c r="P75" s="325" t="str">
        <f t="shared" si="24"/>
        <v>減少↓</v>
      </c>
      <c r="Q75" s="325" t="str">
        <f t="shared" si="25"/>
        <v>中立→</v>
      </c>
      <c r="R75" s="326">
        <f t="shared" si="26"/>
        <v>4138</v>
      </c>
      <c r="S75" s="326">
        <f t="shared" si="27"/>
        <v>4678</v>
      </c>
      <c r="T75" s="325">
        <f>IF(C75="","",IFERROR(IF(W75&lt;=22,-4,IF(W75&lt;=28,-2,IF(W75&lt;=45,2,IF(W75&lt;=55,1,0))))+IF(X75&lt;0,2,0)+IF(AD75="下降トレンド▼",3,IF(AD75="もみ合い→",1,0))+IF(V75="年初来安値圏●",3,IF(V75="安値圏",2,0))+IF(Q75="売り▼",2,0)+IF(P75="急増↑↑",2,IF(P75="増加↑",1,0))+IF(Z75&lt;0,1,0)+IF(L75&lt;=-30,2,IF(L75&lt;=-15,1,0))+IF(AE75="25日戻り売り★",2,IF(AE75="5日戻り売り○",1,0))+N(AL75)+N(AP75)+N(AU75),0))</f>
      </c>
      <c r="U75" s="325" t="str">
        <f t="shared" si="29"/>
        <v>要確認</v>
      </c>
      <c r="V75" s="325" t="str">
        <f t="shared" si="30"/>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 t="shared" si="31"/>
        <v>相場上昇・見送り | パーフェクト▲ MACD- RSI:48.5 前日比:-4.1% [7点]</v>
      </c>
      <c r="Z75" s="331">
        <f t="shared" si="32"/>
        <v>-4.1142613515241955</v>
      </c>
      <c r="AA75" s="325" t="str">
        <f t="shared" si="33"/>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 t="shared" si="34"/>
        <v>パーフェクト▲</v>
      </c>
      <c r="AE75" s="325" t="str">
        <f t="shared" si="35"/>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 t="shared" si="36"/>
        <v>7</v>
      </c>
      <c r="AH75">
        <f t="shared" si="37"/>
        <v>69925</v>
      </c>
      <c r="AI75" s="373">
        <f t="array" ref="AI75">IF(C75="","",IFERROR((INDEX(終値!$E:$E,MATCH(TEXT(C75,"0"),終値!$A:$A,0))-INDEX(終値!$E:$CZ,MATCH(TEXT(C75,"0"),終値!$A:$A,0),$AN$2))/INDEX(終値!$E:$CZ,MATCH(TEXT(C75,"0"),終値!$A:$A,0),$AN$2)*100,""))</f>
        <v>-12.795657231485071</v>
      </c>
      <c r="AJ75" s="373">
        <f t="array" ref="AJ75">IFERROR((終値!$E$5-INDEX(終値!$E$5:$CZ$5,1,$AN$2))/INDEX(終値!$E$5:$CZ$5,1,$AN$2)*100,"")</f>
        <v>1.0179378228534113</v>
      </c>
      <c r="AK75" s="374">
        <f t="shared" si="38"/>
        <v>-13.813595054338483</v>
      </c>
      <c r="AL75" s="372">
        <f t="shared" si="39"/>
        <v>3</v>
      </c>
      <c r="AO75" s="376" t="str">
        <f t="shared" si="40"/>
        <v>通常</v>
      </c>
      <c r="AP75" s="377">
        <f t="shared" si="41"/>
        <v>0</v>
      </c>
      <c r="AQ75">
        <f>IF(C75&lt;&gt;"",始値!F97,"")</f>
        <v>4590</v>
      </c>
      <c r="AR75">
        <f>IF(C75&lt;&gt;"",高値!F97,"")</f>
        <v>4720</v>
      </c>
      <c r="AS75">
        <f>IF(C75&lt;&gt;"",安値!F97,"")</f>
        <v>4539</v>
      </c>
      <c r="AT75" t="str">
        <f t="shared" si="42"/>
        <v>通常</v>
      </c>
      <c r="AU75">
        <f t="shared" si="43"/>
        <v>0</v>
      </c>
      <c r="BA75">
        <f>IFERROR((SUM(OFFSET(高値!$E$6,IFERROR(MATCH($C75,銘柄管理!$B$6:$B$305,0),MATCH(TEXT($C75,"0"),銘柄管理!$B$6:$B$305,0))-1,0,1,14))-SUM(OFFSET(安値!$E$6,IFERROR(MATCH($C75,銘柄管理!$B$6:$B$305,0),MATCH(TEXT($C75,"0"),銘柄管理!$B$6:$B$305,0))-1,0,1,14)))/SUM(OFFSET(終値!$E$6,IFERROR(MATCH($C75,銘柄管理!$B$6:$B$305,0),MATCH(TEXT($C75,"0"),銘柄管理!$B$6:$B$305,0))-1,0,1,14))*100,"")</f>
      </c>
      <c r="BB75">
        <f>IFERROR((MAX(OFFSET(高値!$E$6,IFERROR(MATCH($C75,銘柄管理!$B$6:$B$305,0),MATCH(TEXT($C75,"0"),銘柄管理!$B$6:$B$305,0))-1,0,1,25))-MIN(OFFSET(安値!$E$6,IFERROR(MATCH($C75,銘柄管理!$B$6:$B$305,0),MATCH(TEXT($C75,"0"),銘柄管理!$B$6:$B$305,0))-1,0,1,25)))/$E75*100,"")</f>
      </c>
      <c r="BC75">
        <f>IFERROR(($F75-$G75)/$G75*100,"")</f>
      </c>
      <c r="BD75">
        <f>IFERROR(($E75-MAX(OFFSET(高値!$E$6,IFERROR(MATCH($C75,銘柄管理!$B$6:$B$305,0),MATCH(TEXT($C75,"0"),銘柄管理!$B$6:$B$305,0))-1,0,1,25)))/MAX(OFFSET(高値!$E$6,IFERROR(MATCH($C75,銘柄管理!$B$6:$B$305,0),MATCH(TEXT($C75,"0"),銘柄管理!$B$6:$B$305,0))-1,0,1,25))*100,"")</f>
      </c>
      <c r="BE75">
        <f>IFERROR(($H75-$I75)/$F75*100,"")</f>
      </c>
      <c r="BF75">
        <f>IFERROR(-(($BA75-AVERAGE($BA$3:$BA$206))/STDEV($BA$3:$BA$206))-(($BE75-AVERAGE($BE$3:$BE$206))/STDEV($BE$3:$BE$206))-(($BB75-AVERAGE($BB$3:$BB$206))/STDEV($BB$3:$BB$206))-(($Z75-AVERAGE($Z$3:$Z$206))/STDEV($Z$3:$Z$206))-(($BC75-AVERAGE($BC$3:$BC$206))/STDEV($BC$3:$BC$206)),"")</f>
      </c>
      <c r="BG75">
        <f>IF(OR($C75="",$C75="TOPX",$BA75="",$BF75=""),0,IF(AND($BK$10=1,$BA75&lt;=$BK$2,$BB75&lt;=$BK$3,$BC75&lt;=$BK$4,$Z75&lt;=$BK$5,$Z75&gt;=$BK$6,$BD75&gt;=$BK$7,$BE75&lt;=$BK$8),1,0))</f>
      </c>
      <c r="BH75">
        <f>IF($C75="","",IF($BG75=1,"○ゲート通過",IF($BK$10&lt;&gt;1,"― この方向は停止中",IF($BA75&gt;$BK$2,"×値動きが荒い",IF($BB75&gt;$BK$3,"×レンジが広い",IF($BC75&gt;$BK$4,"×窓を開けて上昇",IF($Z75&gt;$BK$5,"×前日に急騰",IF($Z75&lt;$BK$6,"×前日に急落",IF($BD75&lt;$BK$7,"×高値から離れすぎ",IF($BE75&gt;$BK$8,"×当日の値幅が大きい","×")))))))))</f>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 t="shared" si="22"/>
        <v>-17.723513194170934</v>
      </c>
      <c r="M76" s="333">
        <f>IF(C76&lt;&gt;"",IFERROR(AVERAGE(出来高!E106:I106),""),"")</f>
        <v>1480</v>
      </c>
      <c r="N76" s="333">
        <f>IF(C76&lt;&gt;"",IFERROR(AVERAGE(出来高!E106:AC106),""),"")</f>
        <v>1556</v>
      </c>
      <c r="O76" s="335">
        <f t="shared" si="23"/>
        <v>0.94594594594594594</v>
      </c>
      <c r="P76" s="212" t="str">
        <f t="shared" si="24"/>
        <v>減少↓</v>
      </c>
      <c r="Q76" s="212" t="str">
        <f t="shared" si="25"/>
        <v>様子見▲</v>
      </c>
      <c r="R76" s="333">
        <f t="shared" si="26"/>
        <v>1922</v>
      </c>
      <c r="S76" s="333">
        <f t="shared" si="27"/>
        <v>2173</v>
      </c>
      <c r="T76" s="325">
        <f>IF(C76="","",IFERROR(IF(W76&lt;=22,-4,IF(W76&lt;=28,-2,IF(W76&lt;=45,2,IF(W76&lt;=55,1,0))))+IF(X76&lt;0,2,0)+IF(AD76="下降トレンド▼",3,IF(AD76="もみ合い→",1,0))+IF(V76="年初来安値圏●",3,IF(V76="安値圏",2,0))+IF(Q76="売り▼",2,0)+IF(P76="急増↑↑",2,IF(P76="増加↑",1,0))+IF(Z76&lt;0,1,0)+IF(L76&lt;=-30,2,IF(L76&lt;=-15,1,0))+IF(AE76="25日戻り売り★",2,IF(AE76="5日戻り売り○",1,0))+N(AL76)+N(AP76)+N(AU76),0))</f>
      </c>
      <c r="U76" s="212" t="str">
        <f t="shared" si="29"/>
        <v>除外</v>
      </c>
      <c r="V76" s="212" t="str">
        <f t="shared" si="30"/>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 t="shared" si="31"/>
        <v>△過熱・様子見 | パーフェクト▲ MACD+ RSI:88.1 [過熱] 前日比:+1.9% [長い下ヒゲ(反発警戒)] [0点]</v>
      </c>
      <c r="Z76" s="338">
        <f t="shared" si="32"/>
        <v>1.9024390243902438</v>
      </c>
      <c r="AA76" s="212" t="str">
        <f t="shared" si="33"/>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 t="shared" si="34"/>
        <v>パーフェクト▲</v>
      </c>
      <c r="AE76" s="212" t="str">
        <f t="shared" si="35"/>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 t="shared" si="36"/>
        <v>0</v>
      </c>
      <c r="AH76">
        <f t="shared" si="37"/>
        <v>0</v>
      </c>
      <c r="AI76" s="373">
        <f t="array" ref="AI76">IF(C76="","",IFERROR((INDEX(終値!$E:$E,MATCH(TEXT(C76,"0"),終値!$A:$A,0))-INDEX(終値!$E:$CZ,MATCH(TEXT(C76,"0"),終値!$A:$A,0),$AN$2))/INDEX(終値!$E:$CZ,MATCH(TEXT(C76,"0"),終値!$A:$A,0),$AN$2)*100,""))</f>
        <v>16.120066703724291</v>
      </c>
      <c r="AJ76" s="373">
        <f t="array" ref="AJ76">IFERROR((終値!$E$5-INDEX(終値!$E$5:$CZ$5,1,$AN$2))/INDEX(終値!$E$5:$CZ$5,1,$AN$2)*100,"")</f>
        <v>1.0179378228534113</v>
      </c>
      <c r="AK76" s="374">
        <f t="shared" si="38"/>
        <v>15.102128880870879</v>
      </c>
      <c r="AL76" s="372">
        <f t="shared" si="39"/>
        <v>-2</v>
      </c>
      <c r="AO76" s="376" t="str">
        <f t="shared" si="40"/>
        <v>長い下ヒゲ(反発警戒)</v>
      </c>
      <c r="AP76" s="377">
        <f t="shared" si="41"/>
        <v>-2</v>
      </c>
      <c r="AQ76">
        <f>IF(C76&lt;&gt;"",始値!F106,"")</f>
        <v>2101</v>
      </c>
      <c r="AR76">
        <f>IF(C76&lt;&gt;"",高値!F106,"")</f>
        <v>2149</v>
      </c>
      <c r="AS76">
        <f>IF(C76&lt;&gt;"",安値!F106,"")</f>
        <v>2050</v>
      </c>
      <c r="AT76" t="str">
        <f t="shared" si="42"/>
        <v>通常</v>
      </c>
      <c r="AU76">
        <f t="shared" si="43"/>
        <v>0</v>
      </c>
      <c r="BA76">
        <f>IFERROR((SUM(OFFSET(高値!$E$6,IFERROR(MATCH($C76,銘柄管理!$B$6:$B$305,0),MATCH(TEXT($C76,"0"),銘柄管理!$B$6:$B$305,0))-1,0,1,14))-SUM(OFFSET(安値!$E$6,IFERROR(MATCH($C76,銘柄管理!$B$6:$B$305,0),MATCH(TEXT($C76,"0"),銘柄管理!$B$6:$B$305,0))-1,0,1,14)))/SUM(OFFSET(終値!$E$6,IFERROR(MATCH($C76,銘柄管理!$B$6:$B$305,0),MATCH(TEXT($C76,"0"),銘柄管理!$B$6:$B$305,0))-1,0,1,14))*100,"")</f>
      </c>
      <c r="BB76">
        <f>IFERROR((MAX(OFFSET(高値!$E$6,IFERROR(MATCH($C76,銘柄管理!$B$6:$B$305,0),MATCH(TEXT($C76,"0"),銘柄管理!$B$6:$B$305,0))-1,0,1,25))-MIN(OFFSET(安値!$E$6,IFERROR(MATCH($C76,銘柄管理!$B$6:$B$305,0),MATCH(TEXT($C76,"0"),銘柄管理!$B$6:$B$305,0))-1,0,1,25)))/$E76*100,"")</f>
      </c>
      <c r="BC76">
        <f>IFERROR(($F76-$G76)/$G76*100,"")</f>
      </c>
      <c r="BD76">
        <f>IFERROR(($E76-MAX(OFFSET(高値!$E$6,IFERROR(MATCH($C76,銘柄管理!$B$6:$B$305,0),MATCH(TEXT($C76,"0"),銘柄管理!$B$6:$B$305,0))-1,0,1,25)))/MAX(OFFSET(高値!$E$6,IFERROR(MATCH($C76,銘柄管理!$B$6:$B$305,0),MATCH(TEXT($C76,"0"),銘柄管理!$B$6:$B$305,0))-1,0,1,25))*100,"")</f>
      </c>
      <c r="BE76">
        <f>IFERROR(($H76-$I76)/$F76*100,"")</f>
      </c>
      <c r="BF76">
        <f>IFERROR(-(($BA76-AVERAGE($BA$3:$BA$206))/STDEV($BA$3:$BA$206))-(($BE76-AVERAGE($BE$3:$BE$206))/STDEV($BE$3:$BE$206))-(($BB76-AVERAGE($BB$3:$BB$206))/STDEV($BB$3:$BB$206))-(($Z76-AVERAGE($Z$3:$Z$206))/STDEV($Z$3:$Z$206))-(($BC76-AVERAGE($BC$3:$BC$206))/STDEV($BC$3:$BC$206)),"")</f>
      </c>
      <c r="BG76">
        <f>IF(OR($C76="",$C76="TOPX",$BA76="",$BF76=""),0,IF(AND($BK$10=1,$BA76&lt;=$BK$2,$BB76&lt;=$BK$3,$BC76&lt;=$BK$4,$Z76&lt;=$BK$5,$Z76&gt;=$BK$6,$BD76&gt;=$BK$7,$BE76&lt;=$BK$8),1,0))</f>
      </c>
      <c r="BH76">
        <f>IF($C76="","",IF($BG76=1,"○ゲート通過",IF($BK$10&lt;&gt;1,"― この方向は停止中",IF($BA76&gt;$BK$2,"×値動きが荒い",IF($BB76&gt;$BK$3,"×レンジが広い",IF($BC76&gt;$BK$4,"×窓を開けて上昇",IF($Z76&gt;$BK$5,"×前日に急騰",IF($Z76&lt;$BK$6,"×前日に急落",IF($BD76&lt;$BK$7,"×高値から離れすぎ",IF($BE76&gt;$BK$8,"×当日の値幅が大きい","×")))))))))</f>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 t="shared" si="22"/>
        <v>-2.4639702463970248</v>
      </c>
      <c r="M77" s="326">
        <f>IF(C77&lt;&gt;"",IFERROR(AVERAGE(出来高!E113:I113),""),"")</f>
        <v>464320</v>
      </c>
      <c r="N77" s="326">
        <f>IF(C77&lt;&gt;"",IFERROR(AVERAGE(出来高!E113:AC113),""),"")</f>
        <v>509904</v>
      </c>
      <c r="O77" s="328">
        <f t="shared" si="23"/>
        <v>0.80461750516884911</v>
      </c>
      <c r="P77" s="325" t="str">
        <f t="shared" si="24"/>
        <v>減少↓</v>
      </c>
      <c r="Q77" s="325" t="str">
        <f t="shared" si="25"/>
        <v>様子見▲</v>
      </c>
      <c r="R77" s="326">
        <f t="shared" si="26"/>
        <v>3860</v>
      </c>
      <c r="S77" s="326">
        <f t="shared" si="27"/>
        <v>4364</v>
      </c>
      <c r="T77" s="325">
        <f>IF(C77="","",IFERROR(IF(W77&lt;=22,-4,IF(W77&lt;=28,-2,IF(W77&lt;=45,2,IF(W77&lt;=55,1,0))))+IF(X77&lt;0,2,0)+IF(AD77="下降トレンド▼",3,IF(AD77="もみ合い→",1,0))+IF(V77="年初来安値圏●",3,IF(V77="安値圏",2,0))+IF(Q77="売り▼",2,0)+IF(P77="急増↑↑",2,IF(P77="増加↑",1,0))+IF(Z77&lt;0,1,0)+IF(L77&lt;=-30,2,IF(L77&lt;=-15,1,0))+IF(AE77="25日戻り売り★",2,IF(AE77="5日戻り売り○",1,0))+N(AL77)+N(AP77)+N(AU77),0))</f>
      </c>
      <c r="U77" s="325" t="str">
        <f t="shared" si="29"/>
        <v>除外</v>
      </c>
      <c r="V77" s="325" t="str">
        <f t="shared" si="30"/>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 t="shared" si="31"/>
        <v>相場上昇・見送り | パーフェクト▲ MACD+ RSI:59.1 前日比:+0.3% [長い下ヒゲ(反発警戒)] [-3点]</v>
      </c>
      <c r="Z77" s="331">
        <f t="shared" si="32"/>
        <v>0.28680688336520077</v>
      </c>
      <c r="AA77" s="325" t="str">
        <f t="shared" si="33"/>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 t="shared" si="34"/>
        <v>パーフェクト▲</v>
      </c>
      <c r="AE77" s="325" t="str">
        <f t="shared" si="35"/>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 t="shared" si="36"/>
        <v>0</v>
      </c>
      <c r="AH77">
        <f t="shared" si="37"/>
        <v>0</v>
      </c>
      <c r="AI77" s="373">
        <f t="array" ref="AI77">IF(C77="","",IFERROR((INDEX(終値!$E:$E,MATCH(TEXT(C77,"0"),終値!$A:$A,0))-INDEX(終値!$E:$CZ,MATCH(TEXT(C77,"0"),終値!$A:$A,0),$AN$2))/INDEX(終値!$E:$CZ,MATCH(TEXT(C77,"0"),終値!$A:$A,0),$AN$2)*100,""))</f>
        <v>24.510385756676559</v>
      </c>
      <c r="AJ77" s="373">
        <f t="array" ref="AJ77">IFERROR((終値!$E$5-INDEX(終値!$E$5:$CZ$5,1,$AN$2))/INDEX(終値!$E$5:$CZ$5,1,$AN$2)*100,"")</f>
        <v>1.0179378228534113</v>
      </c>
      <c r="AK77" s="374">
        <f t="shared" si="38"/>
        <v>23.492447933823147</v>
      </c>
      <c r="AL77" s="372">
        <f t="shared" si="39"/>
        <v>-2</v>
      </c>
      <c r="AO77" s="376" t="str">
        <f t="shared" si="40"/>
        <v>長い下ヒゲ(反発警戒)</v>
      </c>
      <c r="AP77" s="377">
        <f t="shared" si="41"/>
        <v>-2</v>
      </c>
      <c r="AQ77">
        <f>IF(C77&lt;&gt;"",始値!F113,"")</f>
        <v>4218</v>
      </c>
      <c r="AR77">
        <f>IF(C77&lt;&gt;"",高値!F113,"")</f>
        <v>4274</v>
      </c>
      <c r="AS77">
        <f>IF(C77&lt;&gt;"",安値!F113,"")</f>
        <v>4151</v>
      </c>
      <c r="AT77" t="str">
        <f t="shared" si="42"/>
        <v>通常</v>
      </c>
      <c r="AU77">
        <f t="shared" si="43"/>
        <v>0</v>
      </c>
      <c r="BA77">
        <f>IFERROR((SUM(OFFSET(高値!$E$6,IFERROR(MATCH($C77,銘柄管理!$B$6:$B$305,0),MATCH(TEXT($C77,"0"),銘柄管理!$B$6:$B$305,0))-1,0,1,14))-SUM(OFFSET(安値!$E$6,IFERROR(MATCH($C77,銘柄管理!$B$6:$B$305,0),MATCH(TEXT($C77,"0"),銘柄管理!$B$6:$B$305,0))-1,0,1,14)))/SUM(OFFSET(終値!$E$6,IFERROR(MATCH($C77,銘柄管理!$B$6:$B$305,0),MATCH(TEXT($C77,"0"),銘柄管理!$B$6:$B$305,0))-1,0,1,14))*100,"")</f>
      </c>
      <c r="BB77">
        <f>IFERROR((MAX(OFFSET(高値!$E$6,IFERROR(MATCH($C77,銘柄管理!$B$6:$B$305,0),MATCH(TEXT($C77,"0"),銘柄管理!$B$6:$B$305,0))-1,0,1,25))-MIN(OFFSET(安値!$E$6,IFERROR(MATCH($C77,銘柄管理!$B$6:$B$305,0),MATCH(TEXT($C77,"0"),銘柄管理!$B$6:$B$305,0))-1,0,1,25)))/$E77*100,"")</f>
      </c>
      <c r="BC77">
        <f>IFERROR(($F77-$G77)/$G77*100,"")</f>
      </c>
      <c r="BD77">
        <f>IFERROR(($E77-MAX(OFFSET(高値!$E$6,IFERROR(MATCH($C77,銘柄管理!$B$6:$B$305,0),MATCH(TEXT($C77,"0"),銘柄管理!$B$6:$B$305,0))-1,0,1,25)))/MAX(OFFSET(高値!$E$6,IFERROR(MATCH($C77,銘柄管理!$B$6:$B$305,0),MATCH(TEXT($C77,"0"),銘柄管理!$B$6:$B$305,0))-1,0,1,25))*100,"")</f>
      </c>
      <c r="BE77">
        <f>IFERROR(($H77-$I77)/$F77*100,"")</f>
      </c>
      <c r="BF77">
        <f>IFERROR(-(($BA77-AVERAGE($BA$3:$BA$206))/STDEV($BA$3:$BA$206))-(($BE77-AVERAGE($BE$3:$BE$206))/STDEV($BE$3:$BE$206))-(($BB77-AVERAGE($BB$3:$BB$206))/STDEV($BB$3:$BB$206))-(($Z77-AVERAGE($Z$3:$Z$206))/STDEV($Z$3:$Z$206))-(($BC77-AVERAGE($BC$3:$BC$206))/STDEV($BC$3:$BC$206)),"")</f>
      </c>
      <c r="BG77">
        <f>IF(OR($C77="",$C77="TOPX",$BA77="",$BF77=""),0,IF(AND($BK$10=1,$BA77&lt;=$BK$2,$BB77&lt;=$BK$3,$BC77&lt;=$BK$4,$Z77&lt;=$BK$5,$Z77&gt;=$BK$6,$BD77&gt;=$BK$7,$BE77&lt;=$BK$8),1,0))</f>
      </c>
      <c r="BH77">
        <f>IF($C77="","",IF($BG77=1,"○ゲート通過",IF($BK$10&lt;&gt;1,"― この方向は停止中",IF($BA77&gt;$BK$2,"×値動きが荒い",IF($BB77&gt;$BK$3,"×レンジが広い",IF($BC77&gt;$BK$4,"×窓を開けて上昇",IF($Z77&gt;$BK$5,"×前日に急騰",IF($Z77&lt;$BK$6,"×前日に急落",IF($BD77&lt;$BK$7,"×高値から離れすぎ",IF($BE77&gt;$BK$8,"×当日の値幅が大きい","×")))))))))</f>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 t="shared" si="22"/>
        <v>-27.371616493802176</v>
      </c>
      <c r="M78" s="333">
        <f>IF(C78&lt;&gt;"",IFERROR(AVERAGE(出来高!E119:I119),""),"")</f>
        <v>674800</v>
      </c>
      <c r="N78" s="333">
        <f>IF(C78&lt;&gt;"",IFERROR(AVERAGE(出来高!E119:AC119),""),"")</f>
        <v>510732</v>
      </c>
      <c r="O78" s="335">
        <f t="shared" si="23"/>
        <v>0.8934499110847659</v>
      </c>
      <c r="P78" s="212" t="str">
        <f t="shared" si="24"/>
        <v>減少↓</v>
      </c>
      <c r="Q78" s="212" t="str">
        <f t="shared" si="25"/>
        <v>様子見▲</v>
      </c>
      <c r="R78" s="333">
        <f t="shared" si="26"/>
        <v>2641</v>
      </c>
      <c r="S78" s="333">
        <f t="shared" si="27"/>
        <v>2986</v>
      </c>
      <c r="T78" s="325">
        <f>IF(C78="","",IFERROR(IF(W78&lt;=22,-4,IF(W78&lt;=28,-2,IF(W78&lt;=45,2,IF(W78&lt;=55,1,0))))+IF(X78&lt;0,2,0)+IF(AD78="下降トレンド▼",3,IF(AD78="もみ合い→",1,0))+IF(V78="年初来安値圏●",3,IF(V78="安値圏",2,0))+IF(Q78="売り▼",2,0)+IF(P78="急増↑↑",2,IF(P78="増加↑",1,0))+IF(Z78&lt;0,1,0)+IF(L78&lt;=-30,2,IF(L78&lt;=-15,1,0))+IF(AE78="25日戻り売り★",2,IF(AE78="5日戻り売り○",1,0))+N(AL78)+N(AP78)+N(AU78),0))</f>
      </c>
      <c r="U78" s="212" t="str">
        <f t="shared" si="29"/>
        <v>要確認</v>
      </c>
      <c r="V78" s="212" t="str">
        <f t="shared" si="30"/>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 t="shared" si="31"/>
        <v>○逆張り売り | もみ合い→ 25日戻り売り★ MACD- RSI:43.2 前日比:+3.5% [安値圏] [7点]</v>
      </c>
      <c r="Z78" s="338">
        <f t="shared" si="32"/>
        <v>3.5154137371552192</v>
      </c>
      <c r="AA78" s="212" t="str">
        <f t="shared" si="33"/>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 t="shared" si="34"/>
        <v>もみ合い→</v>
      </c>
      <c r="AE78" s="212" t="str">
        <f t="shared" si="35"/>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 t="shared" si="36"/>
        <v>7</v>
      </c>
      <c r="AH78">
        <f t="shared" si="37"/>
        <v>69922</v>
      </c>
      <c r="AI78" s="373">
        <f t="array" ref="AI78">IF(C78="","",IFERROR((INDEX(終値!$E:$E,MATCH(TEXT(C78,"0"),終値!$A:$A,0))-INDEX(終値!$E:$CZ,MATCH(TEXT(C78,"0"),終値!$A:$A,0),$AN$2))/INDEX(終値!$E:$CZ,MATCH(TEXT(C78,"0"),終値!$A:$A,0),$AN$2)*100,""))</f>
        <v>1.7543859649122806</v>
      </c>
      <c r="AJ78" s="373">
        <f t="array" ref="AJ78">IFERROR((終値!$E$5-INDEX(終値!$E$5:$CZ$5,1,$AN$2))/INDEX(終値!$E$5:$CZ$5,1,$AN$2)*100,"")</f>
        <v>1.0179378228534113</v>
      </c>
      <c r="AK78" s="374">
        <f t="shared" si="38"/>
        <v>0.73644814205886933</v>
      </c>
      <c r="AL78" s="372">
        <f t="shared" si="39"/>
        <v>-1</v>
      </c>
      <c r="AO78" s="376" t="str">
        <f t="shared" si="40"/>
        <v>通常</v>
      </c>
      <c r="AP78" s="377">
        <f t="shared" si="41"/>
        <v>0</v>
      </c>
      <c r="AQ78">
        <f>IF(C78&lt;&gt;"",始値!F119,"")</f>
        <v>2833.5</v>
      </c>
      <c r="AR78">
        <f>IF(C78&lt;&gt;"",高値!F119,"")</f>
        <v>2844</v>
      </c>
      <c r="AS78">
        <f>IF(C78&lt;&gt;"",安値!F119,"")</f>
        <v>2753</v>
      </c>
      <c r="AT78" t="str">
        <f t="shared" si="42"/>
        <v>通常</v>
      </c>
      <c r="AU78">
        <f t="shared" si="43"/>
        <v>0</v>
      </c>
      <c r="BA78">
        <f>IFERROR((SUM(OFFSET(高値!$E$6,IFERROR(MATCH($C78,銘柄管理!$B$6:$B$305,0),MATCH(TEXT($C78,"0"),銘柄管理!$B$6:$B$305,0))-1,0,1,14))-SUM(OFFSET(安値!$E$6,IFERROR(MATCH($C78,銘柄管理!$B$6:$B$305,0),MATCH(TEXT($C78,"0"),銘柄管理!$B$6:$B$305,0))-1,0,1,14)))/SUM(OFFSET(終値!$E$6,IFERROR(MATCH($C78,銘柄管理!$B$6:$B$305,0),MATCH(TEXT($C78,"0"),銘柄管理!$B$6:$B$305,0))-1,0,1,14))*100,"")</f>
      </c>
      <c r="BB78">
        <f>IFERROR((MAX(OFFSET(高値!$E$6,IFERROR(MATCH($C78,銘柄管理!$B$6:$B$305,0),MATCH(TEXT($C78,"0"),銘柄管理!$B$6:$B$305,0))-1,0,1,25))-MIN(OFFSET(安値!$E$6,IFERROR(MATCH($C78,銘柄管理!$B$6:$B$305,0),MATCH(TEXT($C78,"0"),銘柄管理!$B$6:$B$305,0))-1,0,1,25)))/$E78*100,"")</f>
      </c>
      <c r="BC78">
        <f>IFERROR(($F78-$G78)/$G78*100,"")</f>
      </c>
      <c r="BD78">
        <f>IFERROR(($E78-MAX(OFFSET(高値!$E$6,IFERROR(MATCH($C78,銘柄管理!$B$6:$B$305,0),MATCH(TEXT($C78,"0"),銘柄管理!$B$6:$B$305,0))-1,0,1,25)))/MAX(OFFSET(高値!$E$6,IFERROR(MATCH($C78,銘柄管理!$B$6:$B$305,0),MATCH(TEXT($C78,"0"),銘柄管理!$B$6:$B$305,0))-1,0,1,25))*100,"")</f>
      </c>
      <c r="BE78">
        <f>IFERROR(($H78-$I78)/$F78*100,"")</f>
      </c>
      <c r="BF78">
        <f>IFERROR(-(($BA78-AVERAGE($BA$3:$BA$206))/STDEV($BA$3:$BA$206))-(($BE78-AVERAGE($BE$3:$BE$206))/STDEV($BE$3:$BE$206))-(($BB78-AVERAGE($BB$3:$BB$206))/STDEV($BB$3:$BB$206))-(($Z78-AVERAGE($Z$3:$Z$206))/STDEV($Z$3:$Z$206))-(($BC78-AVERAGE($BC$3:$BC$206))/STDEV($BC$3:$BC$206)),"")</f>
      </c>
      <c r="BG78">
        <f>IF(OR($C78="",$C78="TOPX",$BA78="",$BF78=""),0,IF(AND($BK$10=1,$BA78&lt;=$BK$2,$BB78&lt;=$BK$3,$BC78&lt;=$BK$4,$Z78&lt;=$BK$5,$Z78&gt;=$BK$6,$BD78&gt;=$BK$7,$BE78&lt;=$BK$8),1,0))</f>
      </c>
      <c r="BH78">
        <f>IF($C78="","",IF($BG78=1,"○ゲート通過",IF($BK$10&lt;&gt;1,"― この方向は停止中",IF($BA78&gt;$BK$2,"×値動きが荒い",IF($BB78&gt;$BK$3,"×レンジが広い",IF($BC78&gt;$BK$4,"×窓を開けて上昇",IF($Z78&gt;$BK$5,"×前日に急騰",IF($Z78&lt;$BK$6,"×前日に急落",IF($BD78&lt;$BK$7,"×高値から離れすぎ",IF($BE78&gt;$BK$8,"×当日の値幅が大きい","×")))))))))</f>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 t="shared" si="22"/>
        <v>-21.045694200351495</v>
      </c>
      <c r="M79" s="326">
        <f>IF(C79&lt;&gt;"",IFERROR(AVERAGE(出来高!E127:I127),""),"")</f>
        <v>1011680</v>
      </c>
      <c r="N79" s="326">
        <f>IF(C79&lt;&gt;"",IFERROR(AVERAGE(出来高!E127:AC127),""),"")</f>
        <v>926596</v>
      </c>
      <c r="O79" s="328">
        <f t="shared" si="23"/>
        <v>0.99735094100901467</v>
      </c>
      <c r="P79" s="325" t="str">
        <f t="shared" si="24"/>
        <v>減少↓</v>
      </c>
      <c r="Q79" s="325" t="str">
        <f t="shared" si="25"/>
        <v>様子見▲</v>
      </c>
      <c r="R79" s="326">
        <f t="shared" si="26"/>
        <v>4960</v>
      </c>
      <c r="S79" s="326">
        <f t="shared" si="27"/>
        <v>5607</v>
      </c>
      <c r="T79" s="325">
        <f>IF(C79="","",IFERROR(IF(W79&lt;=22,-4,IF(W79&lt;=28,-2,IF(W79&lt;=45,2,IF(W79&lt;=55,1,0))))+IF(X79&lt;0,2,0)+IF(AD79="下降トレンド▼",3,IF(AD79="もみ合い→",1,0))+IF(V79="年初来安値圏●",3,IF(V79="安値圏",2,0))+IF(Q79="売り▼",2,0)+IF(P79="急増↑↑",2,IF(P79="増加↑",1,0))+IF(Z79&lt;0,1,0)+IF(L79&lt;=-30,2,IF(L79&lt;=-15,1,0))+IF(AE79="25日戻り売り★",2,IF(AE79="5日戻り売り○",1,0))+N(AL79)+N(AP79)+N(AU79),0))</f>
      </c>
      <c r="U79" s="325" t="str">
        <f t="shared" si="29"/>
        <v>要確認</v>
      </c>
      <c r="V79" s="325" t="str">
        <f t="shared" si="30"/>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 t="shared" si="31"/>
        <v>○逆張り売り | もみ合い→ 25日戻り売り★ MACD+ RSI:44.1 前日比:+1.5% [3点]</v>
      </c>
      <c r="Z79" s="331">
        <f t="shared" si="32"/>
        <v>1.5254237288135595</v>
      </c>
      <c r="AA79" s="325" t="str">
        <f t="shared" si="33"/>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 t="shared" si="34"/>
        <v>もみ合い→</v>
      </c>
      <c r="AE79" s="325" t="str">
        <f t="shared" si="35"/>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 t="shared" si="36"/>
        <v>0</v>
      </c>
      <c r="AH79">
        <f t="shared" si="37"/>
        <v>0</v>
      </c>
      <c r="AI79" s="373">
        <f t="array" ref="AI79">IF(C79="","",IFERROR((INDEX(終値!$E:$E,MATCH(TEXT(C79,"0"),終値!$A:$A,0))-INDEX(終値!$E:$CZ,MATCH(TEXT(C79,"0"),終値!$A:$A,0),$AN$2))/INDEX(終値!$E:$CZ,MATCH(TEXT(C79,"0"),終値!$A:$A,0),$AN$2)*100,""))</f>
        <v>1.7553793884484712</v>
      </c>
      <c r="AJ79" s="373">
        <f t="array" ref="AJ79">IFERROR((終値!$E$5-INDEX(終値!$E$5:$CZ$5,1,$AN$2))/INDEX(終値!$E$5:$CZ$5,1,$AN$2)*100,"")</f>
        <v>1.0179378228534113</v>
      </c>
      <c r="AK79" s="374">
        <f t="shared" si="38"/>
        <v>0.73744156559505991</v>
      </c>
      <c r="AL79" s="372">
        <f t="shared" si="39"/>
        <v>-1</v>
      </c>
      <c r="AO79" s="376" t="str">
        <f t="shared" si="40"/>
        <v>通常</v>
      </c>
      <c r="AP79" s="377">
        <f t="shared" si="41"/>
        <v>0</v>
      </c>
      <c r="AQ79">
        <f>IF(C79&lt;&gt;"",始値!F127,"")</f>
        <v>5375</v>
      </c>
      <c r="AR79">
        <f>IF(C79&lt;&gt;"",高値!F127,"")</f>
        <v>5389</v>
      </c>
      <c r="AS79">
        <f>IF(C79&lt;&gt;"",安値!F127,"")</f>
        <v>5266</v>
      </c>
      <c r="AT79" t="str">
        <f t="shared" si="42"/>
        <v>通常</v>
      </c>
      <c r="AU79">
        <f t="shared" si="43"/>
        <v>0</v>
      </c>
      <c r="BA79">
        <f>IFERROR((SUM(OFFSET(高値!$E$6,IFERROR(MATCH($C79,銘柄管理!$B$6:$B$305,0),MATCH(TEXT($C79,"0"),銘柄管理!$B$6:$B$305,0))-1,0,1,14))-SUM(OFFSET(安値!$E$6,IFERROR(MATCH($C79,銘柄管理!$B$6:$B$305,0),MATCH(TEXT($C79,"0"),銘柄管理!$B$6:$B$305,0))-1,0,1,14)))/SUM(OFFSET(終値!$E$6,IFERROR(MATCH($C79,銘柄管理!$B$6:$B$305,0),MATCH(TEXT($C79,"0"),銘柄管理!$B$6:$B$305,0))-1,0,1,14))*100,"")</f>
      </c>
      <c r="BB79">
        <f>IFERROR((MAX(OFFSET(高値!$E$6,IFERROR(MATCH($C79,銘柄管理!$B$6:$B$305,0),MATCH(TEXT($C79,"0"),銘柄管理!$B$6:$B$305,0))-1,0,1,25))-MIN(OFFSET(安値!$E$6,IFERROR(MATCH($C79,銘柄管理!$B$6:$B$305,0),MATCH(TEXT($C79,"0"),銘柄管理!$B$6:$B$305,0))-1,0,1,25)))/$E79*100,"")</f>
      </c>
      <c r="BC79">
        <f>IFERROR(($F79-$G79)/$G79*100,"")</f>
      </c>
      <c r="BD79">
        <f>IFERROR(($E79-MAX(OFFSET(高値!$E$6,IFERROR(MATCH($C79,銘柄管理!$B$6:$B$305,0),MATCH(TEXT($C79,"0"),銘柄管理!$B$6:$B$305,0))-1,0,1,25)))/MAX(OFFSET(高値!$E$6,IFERROR(MATCH($C79,銘柄管理!$B$6:$B$305,0),MATCH(TEXT($C79,"0"),銘柄管理!$B$6:$B$305,0))-1,0,1,25))*100,"")</f>
      </c>
      <c r="BE79">
        <f>IFERROR(($H79-$I79)/$F79*100,"")</f>
      </c>
      <c r="BF79">
        <f>IFERROR(-(($BA79-AVERAGE($BA$3:$BA$206))/STDEV($BA$3:$BA$206))-(($BE79-AVERAGE($BE$3:$BE$206))/STDEV($BE$3:$BE$206))-(($BB79-AVERAGE($BB$3:$BB$206))/STDEV($BB$3:$BB$206))-(($Z79-AVERAGE($Z$3:$Z$206))/STDEV($Z$3:$Z$206))-(($BC79-AVERAGE($BC$3:$BC$206))/STDEV($BC$3:$BC$206)),"")</f>
      </c>
      <c r="BG79">
        <f>IF(OR($C79="",$C79="TOPX",$BA79="",$BF79=""),0,IF(AND($BK$10=1,$BA79&lt;=$BK$2,$BB79&lt;=$BK$3,$BC79&lt;=$BK$4,$Z79&lt;=$BK$5,$Z79&gt;=$BK$6,$BD79&gt;=$BK$7,$BE79&lt;=$BK$8),1,0))</f>
      </c>
      <c r="BH79">
        <f>IF($C79="","",IF($BG79=1,"○ゲート通過",IF($BK$10&lt;&gt;1,"― この方向は停止中",IF($BA79&gt;$BK$2,"×値動きが荒い",IF($BB79&gt;$BK$3,"×レンジが広い",IF($BC79&gt;$BK$4,"×窓を開けて上昇",IF($Z79&gt;$BK$5,"×前日に急騰",IF($Z79&lt;$BK$6,"×前日に急落",IF($BD79&lt;$BK$7,"×高値から離れすぎ",IF($BE79&gt;$BK$8,"×当日の値幅が大きい","×")))))))))</f>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 t="shared" si="22"/>
        <v>-71.806451612903217</v>
      </c>
      <c r="M80" s="333">
        <f>IF(C80&lt;&gt;"",IFERROR(AVERAGE(出来高!E136:I136),""),"")</f>
        <v>343580</v>
      </c>
      <c r="N80" s="333">
        <f>IF(C80&lt;&gt;"",IFERROR(AVERAGE(出来高!E136:AC136),""),"")</f>
        <v>341495.83333333331</v>
      </c>
      <c r="O80" s="335">
        <f t="shared" si="23"/>
        <v>0.61004715059083769</v>
      </c>
      <c r="P80" s="212" t="str">
        <f t="shared" si="24"/>
        <v>減少↓</v>
      </c>
      <c r="Q80" s="212" t="str">
        <f t="shared" si="25"/>
        <v>中立→</v>
      </c>
      <c r="R80" s="333">
        <f t="shared" si="26"/>
        <v>804</v>
      </c>
      <c r="S80" s="333">
        <f t="shared" si="27"/>
        <v>909</v>
      </c>
      <c r="T80" s="325">
        <f>IF(C80="","",IFERROR(IF(W80&lt;=22,-4,IF(W80&lt;=28,-2,IF(W80&lt;=45,2,IF(W80&lt;=55,1,0))))+IF(X80&lt;0,2,0)+IF(AD80="下降トレンド▼",3,IF(AD80="もみ合い→",1,0))+IF(V80="年初来安値圏●",3,IF(V80="安値圏",2,0))+IF(Q80="売り▼",2,0)+IF(P80="急増↑↑",2,IF(P80="増加↑",1,0))+IF(Z80&lt;0,1,0)+IF(L80&lt;=-30,2,IF(L80&lt;=-15,1,0))+IF(AE80="25日戻り売り★",2,IF(AE80="5日戻り売り○",1,0))+N(AL80)+N(AP80)+N(AU80),0))</f>
      </c>
      <c r="U80" s="212" t="str">
        <f t="shared" si="29"/>
        <v>要確認</v>
      </c>
      <c r="V80" s="212" t="str">
        <f t="shared" si="30"/>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 t="shared" si="31"/>
        <v>★逆張り売り | 下降トレンド▼ 25日戻り売り★ MACD- RSI:47.2 前日比:-2.6% [年初来安値圏] [大陰線▼] [18点]</v>
      </c>
      <c r="Z80" s="338">
        <f t="shared" si="32"/>
        <v>-2.5641025641025639</v>
      </c>
      <c r="AA80" s="212" t="str">
        <f t="shared" si="33"/>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 t="shared" si="34"/>
        <v>下降トレンド▼</v>
      </c>
      <c r="AE80" s="212" t="str">
        <f t="shared" si="35"/>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 t="shared" si="36"/>
        <v>18</v>
      </c>
      <c r="AH80">
        <f t="shared" si="37"/>
        <v>179920</v>
      </c>
      <c r="AI80" s="373">
        <f t="array" ref="AI80">IF(C80="","",IFERROR((INDEX(終値!$E:$E,MATCH(TEXT(C80,"0"),終値!$A:$A,0))-INDEX(終値!$E:$CZ,MATCH(TEXT(C80,"0"),終値!$A:$A,0),$AN$2))/INDEX(終値!$E:$CZ,MATCH(TEXT(C80,"0"),終値!$A:$A,0),$AN$2)*100,""))</f>
        <v>-28.18405916187346</v>
      </c>
      <c r="AJ80" s="373">
        <f t="array" ref="AJ80">IFERROR((終値!$E$5-INDEX(終値!$E$5:$CZ$5,1,$AN$2))/INDEX(終値!$E$5:$CZ$5,1,$AN$2)*100,"")</f>
        <v>1.0179378228534113</v>
      </c>
      <c r="AK80" s="374">
        <f t="shared" si="38"/>
        <v>-29.201996984726872</v>
      </c>
      <c r="AL80" s="372">
        <f t="shared" si="39"/>
        <v>3</v>
      </c>
      <c r="AO80" s="376" t="str">
        <f t="shared" si="40"/>
        <v>大陰線▼</v>
      </c>
      <c r="AP80" s="377">
        <f t="shared" si="41"/>
        <v>2</v>
      </c>
      <c r="AQ80">
        <f>IF(C80&lt;&gt;"",始値!F136,"")</f>
        <v>886</v>
      </c>
      <c r="AR80">
        <f>IF(C80&lt;&gt;"",高値!F136,"")</f>
        <v>909</v>
      </c>
      <c r="AS80">
        <f>IF(C80&lt;&gt;"",安値!F136,"")</f>
        <v>871</v>
      </c>
      <c r="AT80" t="str">
        <f t="shared" si="42"/>
        <v>通常</v>
      </c>
      <c r="AU80">
        <f t="shared" si="43"/>
        <v>0</v>
      </c>
      <c r="BA80">
        <f>IFERROR((SUM(OFFSET(高値!$E$6,IFERROR(MATCH($C80,銘柄管理!$B$6:$B$305,0),MATCH(TEXT($C80,"0"),銘柄管理!$B$6:$B$305,0))-1,0,1,14))-SUM(OFFSET(安値!$E$6,IFERROR(MATCH($C80,銘柄管理!$B$6:$B$305,0),MATCH(TEXT($C80,"0"),銘柄管理!$B$6:$B$305,0))-1,0,1,14)))/SUM(OFFSET(終値!$E$6,IFERROR(MATCH($C80,銘柄管理!$B$6:$B$305,0),MATCH(TEXT($C80,"0"),銘柄管理!$B$6:$B$305,0))-1,0,1,14))*100,"")</f>
      </c>
      <c r="BB80">
        <f>IFERROR((MAX(OFFSET(高値!$E$6,IFERROR(MATCH($C80,銘柄管理!$B$6:$B$305,0),MATCH(TEXT($C80,"0"),銘柄管理!$B$6:$B$305,0))-1,0,1,25))-MIN(OFFSET(安値!$E$6,IFERROR(MATCH($C80,銘柄管理!$B$6:$B$305,0),MATCH(TEXT($C80,"0"),銘柄管理!$B$6:$B$305,0))-1,0,1,25)))/$E80*100,"")</f>
      </c>
      <c r="BC80">
        <f>IFERROR(($F80-$G80)/$G80*100,"")</f>
      </c>
      <c r="BD80">
        <f>IFERROR(($E80-MAX(OFFSET(高値!$E$6,IFERROR(MATCH($C80,銘柄管理!$B$6:$B$305,0),MATCH(TEXT($C80,"0"),銘柄管理!$B$6:$B$305,0))-1,0,1,25)))/MAX(OFFSET(高値!$E$6,IFERROR(MATCH($C80,銘柄管理!$B$6:$B$305,0),MATCH(TEXT($C80,"0"),銘柄管理!$B$6:$B$305,0))-1,0,1,25))*100,"")</f>
      </c>
      <c r="BE80">
        <f>IFERROR(($H80-$I80)/$F80*100,"")</f>
      </c>
      <c r="BF80">
        <f>IFERROR(-(($BA80-AVERAGE($BA$3:$BA$206))/STDEV($BA$3:$BA$206))-(($BE80-AVERAGE($BE$3:$BE$206))/STDEV($BE$3:$BE$206))-(($BB80-AVERAGE($BB$3:$BB$206))/STDEV($BB$3:$BB$206))-(($Z80-AVERAGE($Z$3:$Z$206))/STDEV($Z$3:$Z$206))-(($BC80-AVERAGE($BC$3:$BC$206))/STDEV($BC$3:$BC$206)),"")</f>
      </c>
      <c r="BG80">
        <f>IF(OR($C80="",$C80="TOPX",$BA80="",$BF80=""),0,IF(AND($BK$10=1,$BA80&lt;=$BK$2,$BB80&lt;=$BK$3,$BC80&lt;=$BK$4,$Z80&lt;=$BK$5,$Z80&gt;=$BK$6,$BD80&gt;=$BK$7,$BE80&lt;=$BK$8),1,0))</f>
      </c>
      <c r="BH80">
        <f>IF($C80="","",IF($BG80=1,"○ゲート通過",IF($BK$10&lt;&gt;1,"― この方向は停止中",IF($BA80&gt;$BK$2,"×値動きが荒い",IF($BB80&gt;$BK$3,"×レンジが広い",IF($BC80&gt;$BK$4,"×窓を開けて上昇",IF($Z80&gt;$BK$5,"×前日に急騰",IF($Z80&lt;$BK$6,"×前日に急落",IF($BD80&lt;$BK$7,"×高値から離れすぎ",IF($BE80&gt;$BK$8,"×当日の値幅が大きい","×")))))))))</f>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 t="shared" si="22"/>
        <v>-71.278538812785385</v>
      </c>
      <c r="M81" s="326">
        <f>IF(C81&lt;&gt;"",IFERROR(AVERAGE(出来高!E138:I138),""),"")</f>
        <v>8521560</v>
      </c>
      <c r="N81" s="326">
        <f>IF(C81&lt;&gt;"",IFERROR(AVERAGE(出来高!E138:AC138),""),"")</f>
        <v>3725828</v>
      </c>
      <c r="O81" s="328">
        <f t="shared" si="23"/>
        <v>3.4863217532939976</v>
      </c>
      <c r="P81" s="325" t="str">
        <f t="shared" si="24"/>
        <v>急増↑↑</v>
      </c>
      <c r="Q81" s="325" t="str">
        <f t="shared" si="25"/>
        <v>様子見▲</v>
      </c>
      <c r="R81" s="326">
        <f t="shared" si="26"/>
        <v>1157</v>
      </c>
      <c r="S81" s="326">
        <f t="shared" si="27"/>
        <v>1308</v>
      </c>
      <c r="T81" s="325">
        <f>IF(C81="","",IFERROR(IF(W81&lt;=22,-4,IF(W81&lt;=28,-2,IF(W81&lt;=45,2,IF(W81&lt;=55,1,0))))+IF(X81&lt;0,2,0)+IF(AD81="下降トレンド▼",3,IF(AD81="もみ合い→",1,0))+IF(V81="年初来安値圏●",3,IF(V81="安値圏",2,0))+IF(Q81="売り▼",2,0)+IF(P81="急増↑↑",2,IF(P81="増加↑",1,0))+IF(Z81&lt;0,1,0)+IF(L81&lt;=-30,2,IF(L81&lt;=-15,1,0))+IF(AE81="25日戻り売り★",2,IF(AE81="5日戻り売り○",1,0))+N(AL81)+N(AP81)+N(AU81),0))</f>
      </c>
      <c r="U81" s="325" t="str">
        <f t="shared" si="29"/>
        <v>有効</v>
      </c>
      <c r="V81" s="325" t="str">
        <f t="shared" si="30"/>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 t="shared" si="31"/>
        <v>相場上昇・見送り | パーフェクト▲ MACD+ RSI:53.1 前日比:+24.7% [年初来安値圏] [6点]</v>
      </c>
      <c r="Z81" s="331">
        <f t="shared" si="32"/>
        <v>24.677898909811695</v>
      </c>
      <c r="AA81" s="325" t="str">
        <f t="shared" si="33"/>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 t="shared" si="34"/>
        <v>パーフェクト▲</v>
      </c>
      <c r="AE81" s="325" t="str">
        <f t="shared" si="35"/>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 t="shared" si="36"/>
        <v>0</v>
      </c>
      <c r="AH81">
        <f t="shared" si="37"/>
        <v>0</v>
      </c>
      <c r="AI81" s="373">
        <f t="array" ref="AI81">IF(C81="","",IFERROR((INDEX(終値!$E:$E,MATCH(TEXT(C81,"0"),終値!$A:$A,0))-INDEX(終値!$E:$CZ,MATCH(TEXT(C81,"0"),終値!$A:$A,0),$AN$2))/INDEX(終値!$E:$CZ,MATCH(TEXT(C81,"0"),終値!$A:$A,0),$AN$2)*100,""))</f>
        <v>25.049701789264411</v>
      </c>
      <c r="AJ81" s="373">
        <f t="array" ref="AJ81">IFERROR((終値!$E$5-INDEX(終値!$E$5:$CZ$5,1,$AN$2))/INDEX(終値!$E$5:$CZ$5,1,$AN$2)*100,"")</f>
        <v>1.0179378228534113</v>
      </c>
      <c r="AK81" s="374">
        <f t="shared" si="38"/>
        <v>24.031763966410999</v>
      </c>
      <c r="AL81" s="372">
        <f t="shared" si="39"/>
        <v>-2</v>
      </c>
      <c r="AO81" s="376" t="str">
        <f t="shared" si="40"/>
        <v>通常</v>
      </c>
      <c r="AP81" s="377">
        <f t="shared" si="41"/>
        <v>0</v>
      </c>
      <c r="AQ81">
        <f>IF(C81&lt;&gt;"",始値!F138,"")</f>
        <v>914</v>
      </c>
      <c r="AR81">
        <f>IF(C81&lt;&gt;"",高値!F138,"")</f>
        <v>1025</v>
      </c>
      <c r="AS81">
        <f>IF(C81&lt;&gt;"",安値!F138,"")</f>
        <v>914</v>
      </c>
      <c r="AT81" t="str">
        <f t="shared" si="42"/>
        <v>通常</v>
      </c>
      <c r="AU81">
        <f t="shared" si="43"/>
        <v>0</v>
      </c>
      <c r="BA81">
        <f>IFERROR((SUM(OFFSET(高値!$E$6,IFERROR(MATCH($C81,銘柄管理!$B$6:$B$305,0),MATCH(TEXT($C81,"0"),銘柄管理!$B$6:$B$305,0))-1,0,1,14))-SUM(OFFSET(安値!$E$6,IFERROR(MATCH($C81,銘柄管理!$B$6:$B$305,0),MATCH(TEXT($C81,"0"),銘柄管理!$B$6:$B$305,0))-1,0,1,14)))/SUM(OFFSET(終値!$E$6,IFERROR(MATCH($C81,銘柄管理!$B$6:$B$305,0),MATCH(TEXT($C81,"0"),銘柄管理!$B$6:$B$305,0))-1,0,1,14))*100,"")</f>
      </c>
      <c r="BB81">
        <f>IFERROR((MAX(OFFSET(高値!$E$6,IFERROR(MATCH($C81,銘柄管理!$B$6:$B$305,0),MATCH(TEXT($C81,"0"),銘柄管理!$B$6:$B$305,0))-1,0,1,25))-MIN(OFFSET(安値!$E$6,IFERROR(MATCH($C81,銘柄管理!$B$6:$B$305,0),MATCH(TEXT($C81,"0"),銘柄管理!$B$6:$B$305,0))-1,0,1,25)))/$E81*100,"")</f>
      </c>
      <c r="BC81">
        <f>IFERROR(($F81-$G81)/$G81*100,"")</f>
      </c>
      <c r="BD81">
        <f>IFERROR(($E81-MAX(OFFSET(高値!$E$6,IFERROR(MATCH($C81,銘柄管理!$B$6:$B$305,0),MATCH(TEXT($C81,"0"),銘柄管理!$B$6:$B$305,0))-1,0,1,25)))/MAX(OFFSET(高値!$E$6,IFERROR(MATCH($C81,銘柄管理!$B$6:$B$305,0),MATCH(TEXT($C81,"0"),銘柄管理!$B$6:$B$305,0))-1,0,1,25))*100,"")</f>
      </c>
      <c r="BE81">
        <f>IFERROR(($H81-$I81)/$F81*100,"")</f>
      </c>
      <c r="BF81">
        <f>IFERROR(-(($BA81-AVERAGE($BA$3:$BA$206))/STDEV($BA$3:$BA$206))-(($BE81-AVERAGE($BE$3:$BE$206))/STDEV($BE$3:$BE$206))-(($BB81-AVERAGE($BB$3:$BB$206))/STDEV($BB$3:$BB$206))-(($Z81-AVERAGE($Z$3:$Z$206))/STDEV($Z$3:$Z$206))-(($BC81-AVERAGE($BC$3:$BC$206))/STDEV($BC$3:$BC$206)),"")</f>
      </c>
      <c r="BG81">
        <f>IF(OR($C81="",$C81="TOPX",$BA81="",$BF81=""),0,IF(AND($BK$10=1,$BA81&lt;=$BK$2,$BB81&lt;=$BK$3,$BC81&lt;=$BK$4,$Z81&lt;=$BK$5,$Z81&gt;=$BK$6,$BD81&gt;=$BK$7,$BE81&lt;=$BK$8),1,0))</f>
      </c>
      <c r="BH81">
        <f>IF($C81="","",IF($BG81=1,"○ゲート通過",IF($BK$10&lt;&gt;1,"― この方向は停止中",IF($BA81&gt;$BK$2,"×値動きが荒い",IF($BB81&gt;$BK$3,"×レンジが広い",IF($BC81&gt;$BK$4,"×窓を開けて上昇",IF($Z81&gt;$BK$5,"×前日に急騰",IF($Z81&lt;$BK$6,"×前日に急落",IF($BD81&lt;$BK$7,"×高値から離れすぎ",IF($BE81&gt;$BK$8,"×当日の値幅が大きい","×")))))))))</f>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 t="shared" si="22"/>
        <v>-10.643564356435643</v>
      </c>
      <c r="M82" s="333">
        <f>IF(C82&lt;&gt;"",IFERROR(AVERAGE(出来高!E160:I160),""),"")</f>
        <v>1175520</v>
      </c>
      <c r="N82" s="333">
        <f>IF(C82&lt;&gt;"",IFERROR(AVERAGE(出来高!E160:AC160),""),"")</f>
        <v>1149560</v>
      </c>
      <c r="O82" s="335">
        <f t="shared" si="23"/>
        <v>0.95608751871512176</v>
      </c>
      <c r="P82" s="212" t="str">
        <f t="shared" si="24"/>
        <v>減少↓</v>
      </c>
      <c r="Q82" s="212" t="str">
        <f t="shared" si="25"/>
        <v>様子見▲</v>
      </c>
      <c r="R82" s="333">
        <f t="shared" si="26"/>
        <v>996</v>
      </c>
      <c r="S82" s="333">
        <f t="shared" si="27"/>
        <v>1126</v>
      </c>
      <c r="T82" s="325">
        <f>IF(C82="","",IFERROR(IF(W82&lt;=22,-4,IF(W82&lt;=28,-2,IF(W82&lt;=45,2,IF(W82&lt;=55,1,0))))+IF(X82&lt;0,2,0)+IF(AD82="下降トレンド▼",3,IF(AD82="もみ合い→",1,0))+IF(V82="年初来安値圏●",3,IF(V82="安値圏",2,0))+IF(Q82="売り▼",2,0)+IF(P82="急増↑↑",2,IF(P82="増加↑",1,0))+IF(Z82&lt;0,1,0)+IF(L82&lt;=-30,2,IF(L82&lt;=-15,1,0))+IF(AE82="25日戻り売り★",2,IF(AE82="5日戻り売り○",1,0))+N(AL82)+N(AP82)+N(AU82),0))</f>
      </c>
      <c r="U82" s="212" t="str">
        <f t="shared" si="29"/>
        <v>要確認</v>
      </c>
      <c r="V82" s="212" t="str">
        <f t="shared" si="30"/>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 t="shared" si="31"/>
        <v>★逆張り売り | 下降トレンド▼ 25日戻り売り★ MACD+ RSI:55.3 前日比:+1.3% [4点]</v>
      </c>
      <c r="Z82" s="338">
        <f t="shared" si="32"/>
        <v>1.3096351730589337</v>
      </c>
      <c r="AA82" s="212" t="str">
        <f t="shared" si="33"/>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 t="shared" si="34"/>
        <v>下降トレンド▼</v>
      </c>
      <c r="AE82" s="212" t="str">
        <f t="shared" si="35"/>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 t="shared" si="36"/>
        <v>0</v>
      </c>
      <c r="AH82">
        <f t="shared" si="37"/>
        <v>0</v>
      </c>
      <c r="AI82" s="373">
        <f t="array" ref="AI82">IF(C82="","",IFERROR((INDEX(終値!$E:$E,MATCH(TEXT(C82,"0"),終値!$A:$A,0))-INDEX(終値!$E:$CZ,MATCH(TEXT(C82,"0"),終値!$A:$A,0),$AN$2))/INDEX(終値!$E:$CZ,MATCH(TEXT(C82,"0"),終値!$A:$A,0),$AN$2)*100,""))</f>
        <v>14.603174603174605</v>
      </c>
      <c r="AJ82" s="373">
        <f t="array" ref="AJ82">IFERROR((終値!$E$5-INDEX(終値!$E$5:$CZ$5,1,$AN$2))/INDEX(終値!$E$5:$CZ$5,1,$AN$2)*100,"")</f>
        <v>1.0179378228534113</v>
      </c>
      <c r="AK82" s="374">
        <f t="shared" si="38"/>
        <v>13.585236780321193</v>
      </c>
      <c r="AL82" s="372">
        <f t="shared" si="39"/>
        <v>-2</v>
      </c>
      <c r="AO82" s="376" t="str">
        <f t="shared" si="40"/>
        <v>通常</v>
      </c>
      <c r="AP82" s="377">
        <f t="shared" si="41"/>
        <v>0</v>
      </c>
      <c r="AQ82">
        <f>IF(C82&lt;&gt;"",始値!F160,"")</f>
        <v>1100</v>
      </c>
      <c r="AR82">
        <f>IF(C82&lt;&gt;"",高値!F160,"")</f>
        <v>1105</v>
      </c>
      <c r="AS82">
        <f>IF(C82&lt;&gt;"",安値!F160,"")</f>
        <v>1055</v>
      </c>
      <c r="AT82" t="str">
        <f t="shared" si="42"/>
        <v>通常</v>
      </c>
      <c r="AU82">
        <f t="shared" si="43"/>
        <v>0</v>
      </c>
      <c r="BA82">
        <f>IFERROR((SUM(OFFSET(高値!$E$6,IFERROR(MATCH($C82,銘柄管理!$B$6:$B$305,0),MATCH(TEXT($C82,"0"),銘柄管理!$B$6:$B$305,0))-1,0,1,14))-SUM(OFFSET(安値!$E$6,IFERROR(MATCH($C82,銘柄管理!$B$6:$B$305,0),MATCH(TEXT($C82,"0"),銘柄管理!$B$6:$B$305,0))-1,0,1,14)))/SUM(OFFSET(終値!$E$6,IFERROR(MATCH($C82,銘柄管理!$B$6:$B$305,0),MATCH(TEXT($C82,"0"),銘柄管理!$B$6:$B$305,0))-1,0,1,14))*100,"")</f>
      </c>
      <c r="BB82">
        <f>IFERROR((MAX(OFFSET(高値!$E$6,IFERROR(MATCH($C82,銘柄管理!$B$6:$B$305,0),MATCH(TEXT($C82,"0"),銘柄管理!$B$6:$B$305,0))-1,0,1,25))-MIN(OFFSET(安値!$E$6,IFERROR(MATCH($C82,銘柄管理!$B$6:$B$305,0),MATCH(TEXT($C82,"0"),銘柄管理!$B$6:$B$305,0))-1,0,1,25)))/$E82*100,"")</f>
      </c>
      <c r="BC82">
        <f>IFERROR(($F82-$G82)/$G82*100,"")</f>
      </c>
      <c r="BD82">
        <f>IFERROR(($E82-MAX(OFFSET(高値!$E$6,IFERROR(MATCH($C82,銘柄管理!$B$6:$B$305,0),MATCH(TEXT($C82,"0"),銘柄管理!$B$6:$B$305,0))-1,0,1,25)))/MAX(OFFSET(高値!$E$6,IFERROR(MATCH($C82,銘柄管理!$B$6:$B$305,0),MATCH(TEXT($C82,"0"),銘柄管理!$B$6:$B$305,0))-1,0,1,25))*100,"")</f>
      </c>
      <c r="BE82">
        <f>IFERROR(($H82-$I82)/$F82*100,"")</f>
      </c>
      <c r="BF82">
        <f>IFERROR(-(($BA82-AVERAGE($BA$3:$BA$206))/STDEV($BA$3:$BA$206))-(($BE82-AVERAGE($BE$3:$BE$206))/STDEV($BE$3:$BE$206))-(($BB82-AVERAGE($BB$3:$BB$206))/STDEV($BB$3:$BB$206))-(($Z82-AVERAGE($Z$3:$Z$206))/STDEV($Z$3:$Z$206))-(($BC82-AVERAGE($BC$3:$BC$206))/STDEV($BC$3:$BC$206)),"")</f>
      </c>
      <c r="BG82">
        <f>IF(OR($C82="",$C82="TOPX",$BA82="",$BF82=""),0,IF(AND($BK$10=1,$BA82&lt;=$BK$2,$BB82&lt;=$BK$3,$BC82&lt;=$BK$4,$Z82&lt;=$BK$5,$Z82&gt;=$BK$6,$BD82&gt;=$BK$7,$BE82&lt;=$BK$8),1,0))</f>
      </c>
      <c r="BH82">
        <f>IF($C82="","",IF($BG82=1,"○ゲート通過",IF($BK$10&lt;&gt;1,"― この方向は停止中",IF($BA82&gt;$BK$2,"×値動きが荒い",IF($BB82&gt;$BK$3,"×レンジが広い",IF($BC82&gt;$BK$4,"×窓を開けて上昇",IF($Z82&gt;$BK$5,"×前日に急騰",IF($Z82&lt;$BK$6,"×前日に急落",IF($BD82&lt;$BK$7,"×高値から離れすぎ",IF($BE82&gt;$BK$8,"×当日の値幅が大きい","×")))))))))</f>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 t="shared" si="22"/>
        <v>-16.474464579901152</v>
      </c>
      <c r="M83" s="326">
        <f>IF(C83&lt;&gt;"",IFERROR(AVERAGE(出来高!E163:I163),""),"")</f>
        <v>98880</v>
      </c>
      <c r="N83" s="326">
        <f>IF(C83&lt;&gt;"",IFERROR(AVERAGE(出来高!E163:AC163),""),"")</f>
        <v>111920</v>
      </c>
      <c r="O83" s="328">
        <f t="shared" si="23"/>
        <v>0.60578478964401294</v>
      </c>
      <c r="P83" s="325" t="str">
        <f t="shared" si="24"/>
        <v>減少↓</v>
      </c>
      <c r="Q83" s="325" t="str">
        <f t="shared" si="25"/>
        <v>中立→</v>
      </c>
      <c r="R83" s="326">
        <f t="shared" si="26"/>
        <v>1399</v>
      </c>
      <c r="S83" s="326">
        <f t="shared" si="27"/>
        <v>1582</v>
      </c>
      <c r="T83" s="325">
        <f>IF(C83="","",IFERROR(IF(W83&lt;=22,-4,IF(W83&lt;=28,-2,IF(W83&lt;=45,2,IF(W83&lt;=55,1,0))))+IF(X83&lt;0,2,0)+IF(AD83="下降トレンド▼",3,IF(AD83="もみ合い→",1,0))+IF(V83="年初来安値圏●",3,IF(V83="安値圏",2,0))+IF(Q83="売り▼",2,0)+IF(P83="急増↑↑",2,IF(P83="増加↑",1,0))+IF(Z83&lt;0,1,0)+IF(L83&lt;=-30,2,IF(L83&lt;=-15,1,0))+IF(AE83="25日戻り売り★",2,IF(AE83="5日戻り売り○",1,0))+N(AL83)+N(AP83)+N(AU83),0))</f>
      </c>
      <c r="U83" s="325" t="str">
        <f t="shared" si="29"/>
        <v>要確認</v>
      </c>
      <c r="V83" s="325" t="str">
        <f t="shared" si="30"/>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 t="shared" si="31"/>
        <v>○逆張り売り | もみ合い→ 25日戻り売り★ MACD- RSI:39.3 前日比:-0.6% [10点]</v>
      </c>
      <c r="Z83" s="331">
        <f t="shared" si="32"/>
        <v>-0.58823529411764708</v>
      </c>
      <c r="AA83" s="325" t="str">
        <f t="shared" si="33"/>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 t="shared" si="34"/>
        <v>もみ合い→</v>
      </c>
      <c r="AE83" s="325" t="str">
        <f t="shared" si="35"/>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 t="shared" si="36"/>
        <v>10</v>
      </c>
      <c r="AH83">
        <f t="shared" si="37"/>
        <v>99917</v>
      </c>
      <c r="AI83" s="373">
        <f t="array" ref="AI83">IF(C83="","",IFERROR((INDEX(終値!$E:$E,MATCH(TEXT(C83,"0"),終値!$A:$A,0))-INDEX(終値!$E:$CZ,MATCH(TEXT(C83,"0"),終値!$A:$A,0),$AN$2))/INDEX(終値!$E:$CZ,MATCH(TEXT(C83,"0"),終値!$A:$A,0),$AN$2)*100,""))</f>
        <v>-9.3563766388557799</v>
      </c>
      <c r="AJ83" s="373">
        <f t="array" ref="AJ83">IFERROR((終値!$E$5-INDEX(終値!$E$5:$CZ$5,1,$AN$2))/INDEX(終値!$E$5:$CZ$5,1,$AN$2)*100,"")</f>
        <v>1.0179378228534113</v>
      </c>
      <c r="AK83" s="374">
        <f t="shared" si="38"/>
        <v>-10.374314461709192</v>
      </c>
      <c r="AL83" s="372">
        <f t="shared" si="39"/>
        <v>3</v>
      </c>
      <c r="AO83" s="376" t="str">
        <f t="shared" si="40"/>
        <v>通常</v>
      </c>
      <c r="AP83" s="377">
        <f t="shared" si="41"/>
        <v>0</v>
      </c>
      <c r="AQ83">
        <f>IF(C83&lt;&gt;"",始値!F163,"")</f>
        <v>1493</v>
      </c>
      <c r="AR83">
        <f>IF(C83&lt;&gt;"",高値!F163,"")</f>
        <v>1530</v>
      </c>
      <c r="AS83">
        <f>IF(C83&lt;&gt;"",安値!F163,"")</f>
        <v>1484</v>
      </c>
      <c r="AT83" t="str">
        <f t="shared" si="42"/>
        <v>通常</v>
      </c>
      <c r="AU83">
        <f t="shared" si="43"/>
        <v>0</v>
      </c>
      <c r="BA83">
        <f>IFERROR((SUM(OFFSET(高値!$E$6,IFERROR(MATCH($C83,銘柄管理!$B$6:$B$305,0),MATCH(TEXT($C83,"0"),銘柄管理!$B$6:$B$305,0))-1,0,1,14))-SUM(OFFSET(安値!$E$6,IFERROR(MATCH($C83,銘柄管理!$B$6:$B$305,0),MATCH(TEXT($C83,"0"),銘柄管理!$B$6:$B$305,0))-1,0,1,14)))/SUM(OFFSET(終値!$E$6,IFERROR(MATCH($C83,銘柄管理!$B$6:$B$305,0),MATCH(TEXT($C83,"0"),銘柄管理!$B$6:$B$305,0))-1,0,1,14))*100,"")</f>
      </c>
      <c r="BB83">
        <f>IFERROR((MAX(OFFSET(高値!$E$6,IFERROR(MATCH($C83,銘柄管理!$B$6:$B$305,0),MATCH(TEXT($C83,"0"),銘柄管理!$B$6:$B$305,0))-1,0,1,25))-MIN(OFFSET(安値!$E$6,IFERROR(MATCH($C83,銘柄管理!$B$6:$B$305,0),MATCH(TEXT($C83,"0"),銘柄管理!$B$6:$B$305,0))-1,0,1,25)))/$E83*100,"")</f>
      </c>
      <c r="BC83">
        <f>IFERROR(($F83-$G83)/$G83*100,"")</f>
      </c>
      <c r="BD83">
        <f>IFERROR(($E83-MAX(OFFSET(高値!$E$6,IFERROR(MATCH($C83,銘柄管理!$B$6:$B$305,0),MATCH(TEXT($C83,"0"),銘柄管理!$B$6:$B$305,0))-1,0,1,25)))/MAX(OFFSET(高値!$E$6,IFERROR(MATCH($C83,銘柄管理!$B$6:$B$305,0),MATCH(TEXT($C83,"0"),銘柄管理!$B$6:$B$305,0))-1,0,1,25))*100,"")</f>
      </c>
      <c r="BE83">
        <f>IFERROR(($H83-$I83)/$F83*100,"")</f>
      </c>
      <c r="BF83">
        <f>IFERROR(-(($BA83-AVERAGE($BA$3:$BA$206))/STDEV($BA$3:$BA$206))-(($BE83-AVERAGE($BE$3:$BE$206))/STDEV($BE$3:$BE$206))-(($BB83-AVERAGE($BB$3:$BB$206))/STDEV($BB$3:$BB$206))-(($Z83-AVERAGE($Z$3:$Z$206))/STDEV($Z$3:$Z$206))-(($BC83-AVERAGE($BC$3:$BC$206))/STDEV($BC$3:$BC$206)),"")</f>
      </c>
      <c r="BG83">
        <f>IF(OR($C83="",$C83="TOPX",$BA83="",$BF83=""),0,IF(AND($BK$10=1,$BA83&lt;=$BK$2,$BB83&lt;=$BK$3,$BC83&lt;=$BK$4,$Z83&lt;=$BK$5,$Z83&gt;=$BK$6,$BD83&gt;=$BK$7,$BE83&lt;=$BK$8),1,0))</f>
      </c>
      <c r="BH83">
        <f>IF($C83="","",IF($BG83=1,"○ゲート通過",IF($BK$10&lt;&gt;1,"― この方向は停止中",IF($BA83&gt;$BK$2,"×値動きが荒い",IF($BB83&gt;$BK$3,"×レンジが広い",IF($BC83&gt;$BK$4,"×窓を開けて上昇",IF($Z83&gt;$BK$5,"×前日に急騰",IF($Z83&lt;$BK$6,"×前日に急落",IF($BD83&lt;$BK$7,"×高値から離れすぎ",IF($BE83&gt;$BK$8,"×当日の値幅が大きい","×")))))))))</f>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 t="shared" si="22"/>
        <v>-26.032775691362243</v>
      </c>
      <c r="M84" s="333">
        <f>IF(C84&lt;&gt;"",IFERROR(AVERAGE(出来高!E199:I199),""),"")</f>
        <v>4306560</v>
      </c>
      <c r="N84" s="333">
        <f>IF(C84&lt;&gt;"",IFERROR(AVERAGE(出来高!E199:AC199),""),"")</f>
        <v>3538468</v>
      </c>
      <c r="O84" s="335">
        <f t="shared" si="23"/>
        <v>0.64220630851538119</v>
      </c>
      <c r="P84" s="212" t="str">
        <f t="shared" si="24"/>
        <v>減少↓</v>
      </c>
      <c r="Q84" s="212" t="str">
        <f t="shared" si="25"/>
        <v>中立→</v>
      </c>
      <c r="R84" s="333">
        <f t="shared" si="26"/>
        <v>39864</v>
      </c>
      <c r="S84" s="333">
        <f t="shared" si="27"/>
        <v>45063</v>
      </c>
      <c r="T84" s="325">
        <f>IF(C84="","",IFERROR(IF(W84&lt;=22,-4,IF(W84&lt;=28,-2,IF(W84&lt;=45,2,IF(W84&lt;=55,1,0))))+IF(X84&lt;0,2,0)+IF(AD84="下降トレンド▼",3,IF(AD84="もみ合い→",1,0))+IF(V84="年初来安値圏●",3,IF(V84="安値圏",2,0))+IF(Q84="売り▼",2,0)+IF(P84="急増↑↑",2,IF(P84="増加↑",1,0))+IF(Z84&lt;0,1,0)+IF(L84&lt;=-30,2,IF(L84&lt;=-15,1,0))+IF(AE84="25日戻り売り★",2,IF(AE84="5日戻り売り○",1,0))+N(AL84)+N(AP84)+N(AU84),0))</f>
      </c>
      <c r="U84" s="212" t="str">
        <f t="shared" si="29"/>
        <v>要確認</v>
      </c>
      <c r="V84" s="212" t="str">
        <f t="shared" si="30"/>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 t="shared" si="31"/>
        <v>相場上昇・見送り | 上昇トレンド▲ 5日戻り売り○ MACD- RSI:45.9 前日比:-7.2% [安値圏] [大陰線▼] [12点]</v>
      </c>
      <c r="Z84" s="338">
        <f t="shared" si="32"/>
        <v>-7.1765209940017147</v>
      </c>
      <c r="AA84" s="212" t="str">
        <f t="shared" si="33"/>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 t="shared" si="34"/>
        <v>上昇トレンド▲</v>
      </c>
      <c r="AE84" s="212" t="str">
        <f t="shared" si="35"/>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 t="shared" si="36"/>
        <v>12</v>
      </c>
      <c r="AH84">
        <f t="shared" si="37"/>
        <v>119916</v>
      </c>
      <c r="AI84" s="373">
        <f t="array" ref="AI84">IF(C84="","",IFERROR((INDEX(終値!$E:$E,MATCH(TEXT(C84,"0"),終値!$A:$A,0))-INDEX(終値!$E:$CZ,MATCH(TEXT(C84,"0"),終値!$A:$A,0),$AN$2))/INDEX(終値!$E:$CZ,MATCH(TEXT(C84,"0"),終値!$A:$A,0),$AN$2)*100,""))</f>
        <v>-14.687930695018705</v>
      </c>
      <c r="AJ84" s="373">
        <f t="array" ref="AJ84">IFERROR((終値!$E$5-INDEX(終値!$E$5:$CZ$5,1,$AN$2))/INDEX(終値!$E$5:$CZ$5,1,$AN$2)*100,"")</f>
        <v>1.0179378228534113</v>
      </c>
      <c r="AK84" s="374">
        <f t="shared" si="38"/>
        <v>-15.705868517872117</v>
      </c>
      <c r="AL84" s="372">
        <f t="shared" si="39"/>
        <v>3</v>
      </c>
      <c r="AO84" s="376" t="str">
        <f t="shared" si="40"/>
        <v>大陰線▼</v>
      </c>
      <c r="AP84" s="377">
        <f t="shared" si="41"/>
        <v>2</v>
      </c>
      <c r="AQ84">
        <f>IF(C84&lt;&gt;"",始値!F199,"")</f>
        <v>45140</v>
      </c>
      <c r="AR84">
        <f>IF(C84&lt;&gt;"",高値!F199,"")</f>
        <v>46870</v>
      </c>
      <c r="AS84">
        <f>IF(C84&lt;&gt;"",安値!F199,"")</f>
        <v>44560</v>
      </c>
      <c r="AT84" t="str">
        <f t="shared" si="42"/>
        <v>通常</v>
      </c>
      <c r="AU84">
        <f t="shared" si="43"/>
        <v>0</v>
      </c>
      <c r="BA84">
        <f>IFERROR((SUM(OFFSET(高値!$E$6,IFERROR(MATCH($C84,銘柄管理!$B$6:$B$305,0),MATCH(TEXT($C84,"0"),銘柄管理!$B$6:$B$305,0))-1,0,1,14))-SUM(OFFSET(安値!$E$6,IFERROR(MATCH($C84,銘柄管理!$B$6:$B$305,0),MATCH(TEXT($C84,"0"),銘柄管理!$B$6:$B$305,0))-1,0,1,14)))/SUM(OFFSET(終値!$E$6,IFERROR(MATCH($C84,銘柄管理!$B$6:$B$305,0),MATCH(TEXT($C84,"0"),銘柄管理!$B$6:$B$305,0))-1,0,1,14))*100,"")</f>
      </c>
      <c r="BB84">
        <f>IFERROR((MAX(OFFSET(高値!$E$6,IFERROR(MATCH($C84,銘柄管理!$B$6:$B$305,0),MATCH(TEXT($C84,"0"),銘柄管理!$B$6:$B$305,0))-1,0,1,25))-MIN(OFFSET(安値!$E$6,IFERROR(MATCH($C84,銘柄管理!$B$6:$B$305,0),MATCH(TEXT($C84,"0"),銘柄管理!$B$6:$B$305,0))-1,0,1,25)))/$E84*100,"")</f>
      </c>
      <c r="BC84">
        <f>IFERROR(($F84-$G84)/$G84*100,"")</f>
      </c>
      <c r="BD84">
        <f>IFERROR(($E84-MAX(OFFSET(高値!$E$6,IFERROR(MATCH($C84,銘柄管理!$B$6:$B$305,0),MATCH(TEXT($C84,"0"),銘柄管理!$B$6:$B$305,0))-1,0,1,25)))/MAX(OFFSET(高値!$E$6,IFERROR(MATCH($C84,銘柄管理!$B$6:$B$305,0),MATCH(TEXT($C84,"0"),銘柄管理!$B$6:$B$305,0))-1,0,1,25))*100,"")</f>
      </c>
      <c r="BE84">
        <f>IFERROR(($H84-$I84)/$F84*100,"")</f>
      </c>
      <c r="BF84">
        <f>IFERROR(-(($BA84-AVERAGE($BA$3:$BA$206))/STDEV($BA$3:$BA$206))-(($BE84-AVERAGE($BE$3:$BE$206))/STDEV($BE$3:$BE$206))-(($BB84-AVERAGE($BB$3:$BB$206))/STDEV($BB$3:$BB$206))-(($Z84-AVERAGE($Z$3:$Z$206))/STDEV($Z$3:$Z$206))-(($BC84-AVERAGE($BC$3:$BC$206))/STDEV($BC$3:$BC$206)),"")</f>
      </c>
      <c r="BG84">
        <f>IF(OR($C84="",$C84="TOPX",$BA84="",$BF84=""),0,IF(AND($BK$10=1,$BA84&lt;=$BK$2,$BB84&lt;=$BK$3,$BC84&lt;=$BK$4,$Z84&lt;=$BK$5,$Z84&gt;=$BK$6,$BD84&gt;=$BK$7,$BE84&lt;=$BK$8),1,0))</f>
      </c>
      <c r="BH84">
        <f>IF($C84="","",IF($BG84=1,"○ゲート通過",IF($BK$10&lt;&gt;1,"― この方向は停止中",IF($BA84&gt;$BK$2,"×値動きが荒い",IF($BB84&gt;$BK$3,"×レンジが広い",IF($BC84&gt;$BK$4,"×窓を開けて上昇",IF($Z84&gt;$BK$5,"×前日に急騰",IF($Z84&lt;$BK$6,"×前日に急落",IF($BD84&lt;$BK$7,"×高値から離れすぎ",IF($BE84&gt;$BK$8,"×当日の値幅が大きい","×")))))))))</f>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 t="shared" si="22"/>
        <v>-21.979238754325259</v>
      </c>
      <c r="M85" s="326">
        <f>IF(C85&lt;&gt;"",IFERROR(AVERAGE(出来高!E203:I203),""),"")</f>
        <v>2126040</v>
      </c>
      <c r="N85" s="326">
        <f>IF(C85&lt;&gt;"",IFERROR(AVERAGE(出来高!E203:AC203),""),"")</f>
        <v>1188620</v>
      </c>
      <c r="O85" s="328">
        <f t="shared" si="23"/>
        <v>0.53921845308648941</v>
      </c>
      <c r="P85" s="325" t="str">
        <f t="shared" si="24"/>
        <v>減少↓</v>
      </c>
      <c r="Q85" s="325" t="str">
        <f t="shared" si="25"/>
        <v>様子見▲</v>
      </c>
      <c r="R85" s="326">
        <f t="shared" si="26"/>
        <v>5186</v>
      </c>
      <c r="S85" s="326">
        <f t="shared" si="27"/>
        <v>5862</v>
      </c>
      <c r="T85" s="325">
        <f>IF(C85="","",IFERROR(IF(W85&lt;=22,-4,IF(W85&lt;=28,-2,IF(W85&lt;=45,2,IF(W85&lt;=55,1,0))))+IF(X85&lt;0,2,0)+IF(AD85="下降トレンド▼",3,IF(AD85="もみ合い→",1,0))+IF(V85="年初来安値圏●",3,IF(V85="安値圏",2,0))+IF(Q85="売り▼",2,0)+IF(P85="急増↑↑",2,IF(P85="増加↑",1,0))+IF(Z85&lt;0,1,0)+IF(L85&lt;=-30,2,IF(L85&lt;=-15,1,0))+IF(AE85="25日戻り売り★",2,IF(AE85="5日戻り売り○",1,0))+N(AL85)+N(AP85)+N(AU85),0))</f>
      </c>
      <c r="U85" s="325" t="str">
        <f t="shared" si="29"/>
        <v>除外</v>
      </c>
      <c r="V85" s="325" t="str">
        <f t="shared" si="30"/>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 t="shared" si="31"/>
        <v>相場上昇・見送り | パーフェクト▲ MACD+ RSI:56.3 前日比:+2.8% [安値圏] [2点]</v>
      </c>
      <c r="Z85" s="331">
        <f t="shared" si="32"/>
        <v>2.8461959496442253</v>
      </c>
      <c r="AA85" s="325" t="str">
        <f t="shared" si="33"/>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 t="shared" si="34"/>
        <v>パーフェクト▲</v>
      </c>
      <c r="AE85" s="325" t="str">
        <f t="shared" si="35"/>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 t="shared" si="36"/>
        <v>0</v>
      </c>
      <c r="AH85">
        <f t="shared" si="37"/>
        <v>0</v>
      </c>
      <c r="AI85" s="373">
        <f t="array" ref="AI85">IF(C85="","",IFERROR((INDEX(終値!$E:$E,MATCH(TEXT(C85,"0"),終値!$A:$A,0))-INDEX(終値!$E:$CZ,MATCH(TEXT(C85,"0"),終値!$A:$A,0),$AN$2))/INDEX(終値!$E:$CZ,MATCH(TEXT(C85,"0"),終値!$A:$A,0),$AN$2)*100,""))</f>
        <v>8.278908951210143</v>
      </c>
      <c r="AJ85" s="373">
        <f t="array" ref="AJ85">IFERROR((終値!$E$5-INDEX(終値!$E$5:$CZ$5,1,$AN$2))/INDEX(終値!$E$5:$CZ$5,1,$AN$2)*100,"")</f>
        <v>1.0179378228534113</v>
      </c>
      <c r="AK85" s="374">
        <f t="shared" si="38"/>
        <v>7.260971128356732</v>
      </c>
      <c r="AL85" s="372">
        <f t="shared" si="39"/>
        <v>-2</v>
      </c>
      <c r="AO85" s="376" t="str">
        <f t="shared" si="40"/>
        <v>通常</v>
      </c>
      <c r="AP85" s="377">
        <f t="shared" si="41"/>
        <v>0</v>
      </c>
      <c r="AQ85">
        <f>IF(C85&lt;&gt;"",始値!F203,"")</f>
        <v>5318</v>
      </c>
      <c r="AR85">
        <f>IF(C85&lt;&gt;"",高値!F203,"")</f>
        <v>5487</v>
      </c>
      <c r="AS85">
        <f>IF(C85&lt;&gt;"",安値!F203,"")</f>
        <v>5312</v>
      </c>
      <c r="AT85" t="str">
        <f t="shared" si="42"/>
        <v>通常</v>
      </c>
      <c r="AU85">
        <f t="shared" si="43"/>
        <v>0</v>
      </c>
      <c r="BA85">
        <f>IFERROR((SUM(OFFSET(高値!$E$6,IFERROR(MATCH($C85,銘柄管理!$B$6:$B$305,0),MATCH(TEXT($C85,"0"),銘柄管理!$B$6:$B$305,0))-1,0,1,14))-SUM(OFFSET(安値!$E$6,IFERROR(MATCH($C85,銘柄管理!$B$6:$B$305,0),MATCH(TEXT($C85,"0"),銘柄管理!$B$6:$B$305,0))-1,0,1,14)))/SUM(OFFSET(終値!$E$6,IFERROR(MATCH($C85,銘柄管理!$B$6:$B$305,0),MATCH(TEXT($C85,"0"),銘柄管理!$B$6:$B$305,0))-1,0,1,14))*100,"")</f>
      </c>
      <c r="BB85">
        <f>IFERROR((MAX(OFFSET(高値!$E$6,IFERROR(MATCH($C85,銘柄管理!$B$6:$B$305,0),MATCH(TEXT($C85,"0"),銘柄管理!$B$6:$B$305,0))-1,0,1,25))-MIN(OFFSET(安値!$E$6,IFERROR(MATCH($C85,銘柄管理!$B$6:$B$305,0),MATCH(TEXT($C85,"0"),銘柄管理!$B$6:$B$305,0))-1,0,1,25)))/$E85*100,"")</f>
      </c>
      <c r="BC85">
        <f>IFERROR(($F85-$G85)/$G85*100,"")</f>
      </c>
      <c r="BD85">
        <f>IFERROR(($E85-MAX(OFFSET(高値!$E$6,IFERROR(MATCH($C85,銘柄管理!$B$6:$B$305,0),MATCH(TEXT($C85,"0"),銘柄管理!$B$6:$B$305,0))-1,0,1,25)))/MAX(OFFSET(高値!$E$6,IFERROR(MATCH($C85,銘柄管理!$B$6:$B$305,0),MATCH(TEXT($C85,"0"),銘柄管理!$B$6:$B$305,0))-1,0,1,25))*100,"")</f>
      </c>
      <c r="BE85">
        <f>IFERROR(($H85-$I85)/$F85*100,"")</f>
      </c>
      <c r="BF85">
        <f>IFERROR(-(($BA85-AVERAGE($BA$3:$BA$206))/STDEV($BA$3:$BA$206))-(($BE85-AVERAGE($BE$3:$BE$206))/STDEV($BE$3:$BE$206))-(($BB85-AVERAGE($BB$3:$BB$206))/STDEV($BB$3:$BB$206))-(($Z85-AVERAGE($Z$3:$Z$206))/STDEV($Z$3:$Z$206))-(($BC85-AVERAGE($BC$3:$BC$206))/STDEV($BC$3:$BC$206)),"")</f>
      </c>
      <c r="BG85">
        <f>IF(OR($C85="",$C85="TOPX",$BA85="",$BF85=""),0,IF(AND($BK$10=1,$BA85&lt;=$BK$2,$BB85&lt;=$BK$3,$BC85&lt;=$BK$4,$Z85&lt;=$BK$5,$Z85&gt;=$BK$6,$BD85&gt;=$BK$7,$BE85&lt;=$BK$8),1,0))</f>
      </c>
      <c r="BH85">
        <f>IF($C85="","",IF($BG85=1,"○ゲート通過",IF($BK$10&lt;&gt;1,"― この方向は停止中",IF($BA85&gt;$BK$2,"×値動きが荒い",IF($BB85&gt;$BK$3,"×レンジが広い",IF($BC85&gt;$BK$4,"×窓を開けて上昇",IF($Z85&gt;$BK$5,"×前日に急騰",IF($Z85&lt;$BK$6,"×前日に急落",IF($BD85&lt;$BK$7,"×高値から離れすぎ",IF($BE85&gt;$BK$8,"×当日の値幅が大きい","×")))))))))</f>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 t="shared" si="22"/>
        <v>-12.075654704170708</v>
      </c>
      <c r="M86" s="333">
        <f>IF(C86&lt;&gt;"",IFERROR(AVERAGE(出来高!E205:I205),""),"")</f>
        <v>17147100</v>
      </c>
      <c r="N86" s="333">
        <f>IF(C86&lt;&gt;"",IFERROR(AVERAGE(出来高!E205:AC205),""),"")</f>
        <v>17147100</v>
      </c>
      <c r="O86" s="335">
        <f t="shared" si="23"/>
        <v>1.0222428282333456</v>
      </c>
      <c r="P86" s="212" t="str">
        <f t="shared" si="24"/>
        <v>普通→</v>
      </c>
      <c r="Q86" s="212" t="str">
        <f t="shared" si="25"/>
        <v>様子見▲</v>
      </c>
      <c r="R86" s="333">
        <f t="shared" si="26"/>
        <v>3336</v>
      </c>
      <c r="S86" s="333">
        <f t="shared" si="27"/>
        <v>3771</v>
      </c>
      <c r="T86" s="325">
        <f>IF(C86="","",IFERROR(IF(W86&lt;=22,-4,IF(W86&lt;=28,-2,IF(W86&lt;=45,2,IF(W86&lt;=55,1,0))))+IF(X86&lt;0,2,0)+IF(AD86="下降トレンド▼",3,IF(AD86="もみ合い→",1,0))+IF(V86="年初来安値圏●",3,IF(V86="安値圏",2,0))+IF(Q86="売り▼",2,0)+IF(P86="急増↑↑",2,IF(P86="増加↑",1,0))+IF(Z86&lt;0,1,0)+IF(L86&lt;=-30,2,IF(L86&lt;=-15,1,0))+IF(AE86="25日戻り売り★",2,IF(AE86="5日戻り売り○",1,0))+N(AL86)+N(AP86)+N(AU86),0))</f>
      </c>
      <c r="U86" s="212" t="str">
        <f t="shared" si="29"/>
        <v>除外</v>
      </c>
      <c r="V86" s="212" t="str">
        <f t="shared" si="30"/>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 t="shared" si="31"/>
        <v>相場上昇・見送り | パーフェクト▲ MACD+ RSI:50.0 前日比:+1.7% [1点]</v>
      </c>
      <c r="Z86" s="338">
        <f t="shared" si="32"/>
        <v>1.7110799438990183</v>
      </c>
      <c r="AA86" s="212" t="str">
        <f t="shared" si="33"/>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 t="shared" si="34"/>
        <v>パーフェクト▲</v>
      </c>
      <c r="AE86" s="212" t="str">
        <f t="shared" si="35"/>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 t="shared" si="36"/>
        <v>0</v>
      </c>
      <c r="AH86">
        <f t="shared" si="37"/>
        <v>0</v>
      </c>
      <c r="AI86" s="373" t="str">
        <f t="array" ref="AI86">IF(C86="","",IFERROR((INDEX(終値!$E:$E,MATCH(TEXT(C86,"0"),終値!$A:$A,0))-INDEX(終値!$E:$CZ,MATCH(TEXT(C86,"0"),終値!$A:$A,0),$AN$2))/INDEX(終値!$E:$CZ,MATCH(TEXT(C86,"0"),終値!$A:$A,0),$AN$2)*100,""))</f>
        <v/>
      </c>
      <c r="AJ86" s="373">
        <f t="array" ref="AJ86">IFERROR((終値!$E$5-INDEX(終値!$E$5:$CZ$5,1,$AN$2))/INDEX(終値!$E$5:$CZ$5,1,$AN$2)*100,"")</f>
        <v>1.0179378228534113</v>
      </c>
      <c r="AK86" s="374" t="str">
        <f t="shared" si="38"/>
        <v/>
      </c>
      <c r="AL86" s="372" t="str">
        <f t="shared" si="39"/>
        <v/>
      </c>
      <c r="AO86" s="376" t="str">
        <f t="shared" si="40"/>
        <v>通常</v>
      </c>
      <c r="AP86" s="377">
        <f t="shared" si="41"/>
        <v>0</v>
      </c>
      <c r="AQ86">
        <f>IF(C86&lt;&gt;"",始値!F205,"")</f>
        <v>3522</v>
      </c>
      <c r="AR86">
        <f>IF(C86&lt;&gt;"",高値!F205,"")</f>
        <v>3642</v>
      </c>
      <c r="AS86">
        <f>IF(C86&lt;&gt;"",安値!F205,"")</f>
        <v>3515</v>
      </c>
      <c r="AT86" t="str">
        <f t="shared" si="42"/>
        <v>通常</v>
      </c>
      <c r="AU86">
        <f t="shared" si="43"/>
        <v>0</v>
      </c>
      <c r="BA86">
        <f>IFERROR((SUM(OFFSET(高値!$E$6,IFERROR(MATCH($C86,銘柄管理!$B$6:$B$305,0),MATCH(TEXT($C86,"0"),銘柄管理!$B$6:$B$305,0))-1,0,1,14))-SUM(OFFSET(安値!$E$6,IFERROR(MATCH($C86,銘柄管理!$B$6:$B$305,0),MATCH(TEXT($C86,"0"),銘柄管理!$B$6:$B$305,0))-1,0,1,14)))/SUM(OFFSET(終値!$E$6,IFERROR(MATCH($C86,銘柄管理!$B$6:$B$305,0),MATCH(TEXT($C86,"0"),銘柄管理!$B$6:$B$305,0))-1,0,1,14))*100,"")</f>
      </c>
      <c r="BB86">
        <f>IFERROR((MAX(OFFSET(高値!$E$6,IFERROR(MATCH($C86,銘柄管理!$B$6:$B$305,0),MATCH(TEXT($C86,"0"),銘柄管理!$B$6:$B$305,0))-1,0,1,25))-MIN(OFFSET(安値!$E$6,IFERROR(MATCH($C86,銘柄管理!$B$6:$B$305,0),MATCH(TEXT($C86,"0"),銘柄管理!$B$6:$B$305,0))-1,0,1,25)))/$E86*100,"")</f>
      </c>
      <c r="BC86">
        <f>IFERROR(($F86-$G86)/$G86*100,"")</f>
      </c>
      <c r="BD86">
        <f>IFERROR(($E86-MAX(OFFSET(高値!$E$6,IFERROR(MATCH($C86,銘柄管理!$B$6:$B$305,0),MATCH(TEXT($C86,"0"),銘柄管理!$B$6:$B$305,0))-1,0,1,25)))/MAX(OFFSET(高値!$E$6,IFERROR(MATCH($C86,銘柄管理!$B$6:$B$305,0),MATCH(TEXT($C86,"0"),銘柄管理!$B$6:$B$305,0))-1,0,1,25))*100,"")</f>
      </c>
      <c r="BE86">
        <f>IFERROR(($H86-$I86)/$F86*100,"")</f>
      </c>
      <c r="BF86">
        <f>IFERROR(-(($BA86-AVERAGE($BA$3:$BA$206))/STDEV($BA$3:$BA$206))-(($BE86-AVERAGE($BE$3:$BE$206))/STDEV($BE$3:$BE$206))-(($BB86-AVERAGE($BB$3:$BB$206))/STDEV($BB$3:$BB$206))-(($Z86-AVERAGE($Z$3:$Z$206))/STDEV($Z$3:$Z$206))-(($BC86-AVERAGE($BC$3:$BC$206))/STDEV($BC$3:$BC$206)),"")</f>
      </c>
      <c r="BG86">
        <f>IF(OR($C86="",$C86="TOPX",$BA86="",$BF86=""),0,IF(AND($BK$10=1,$BA86&lt;=$BK$2,$BB86&lt;=$BK$3,$BC86&lt;=$BK$4,$Z86&lt;=$BK$5,$Z86&gt;=$BK$6,$BD86&gt;=$BK$7,$BE86&lt;=$BK$8),1,0))</f>
      </c>
      <c r="BH86">
        <f>IF($C86="","",IF($BG86=1,"○ゲート通過",IF($BK$10&lt;&gt;1,"― この方向は停止中",IF($BA86&gt;$BK$2,"×値動きが荒い",IF($BB86&gt;$BK$3,"×レンジが広い",IF($BC86&gt;$BK$4,"×窓を開けて上昇",IF($Z86&gt;$BK$5,"×前日に急騰",IF($Z86&lt;$BK$6,"×前日に急落",IF($BD86&lt;$BK$7,"×高値から離れすぎ",IF($BE86&gt;$BK$8,"×当日の値幅が大きい","×")))))))))</f>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 t="shared" si="22"/>
        <v>-27.244531505060397</v>
      </c>
      <c r="M87" s="326">
        <f>IF(C87&lt;&gt;"",IFERROR(AVERAGE(出来高!E9:I9),""),"")</f>
        <v>1324120</v>
      </c>
      <c r="N87" s="326">
        <f>IF(C87&lt;&gt;"",IFERROR(AVERAGE(出来高!E9:AC9),""),"")</f>
        <v>1442080</v>
      </c>
      <c r="O87" s="328">
        <f t="shared" si="23"/>
        <v>1.0483188834848804</v>
      </c>
      <c r="P87" s="325" t="str">
        <f t="shared" si="24"/>
        <v>普通→</v>
      </c>
      <c r="Q87" s="325" t="str">
        <f t="shared" si="25"/>
        <v>様子見▲</v>
      </c>
      <c r="R87" s="326">
        <f t="shared" si="26"/>
        <v>4100</v>
      </c>
      <c r="S87" s="326">
        <f t="shared" si="27"/>
        <v>4635</v>
      </c>
      <c r="T87" s="325">
        <f>IF(C87="","",IFERROR(IF(W87&lt;=22,-4,IF(W87&lt;=28,-2,IF(W87&lt;=45,2,IF(W87&lt;=55,1,0))))+IF(X87&lt;0,2,0)+IF(AD87="下降トレンド▼",3,IF(AD87="もみ合い→",1,0))+IF(V87="年初来安値圏●",3,IF(V87="安値圏",2,0))+IF(Q87="売り▼",2,0)+IF(P87="急増↑↑",2,IF(P87="増加↑",1,0))+IF(Z87&lt;0,1,0)+IF(L87&lt;=-30,2,IF(L87&lt;=-15,1,0))+IF(AE87="25日戻り売り★",2,IF(AE87="5日戻り売り○",1,0))+N(AL87)+N(AP87)+N(AU87),0))</f>
      </c>
      <c r="U87" s="325" t="str">
        <f t="shared" si="29"/>
        <v>要確認</v>
      </c>
      <c r="V87" s="325" t="str">
        <f t="shared" si="30"/>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 t="shared" si="31"/>
        <v>相場上昇・見送り | パーフェクト▲ MACD+ RSI:54.4 前日比:+1.7% [安値圏] [3点]</v>
      </c>
      <c r="Z87" s="331">
        <f t="shared" si="32"/>
        <v>1.711547238703788</v>
      </c>
      <c r="AA87" s="325" t="str">
        <f t="shared" si="33"/>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 t="shared" si="34"/>
        <v>パーフェクト▲</v>
      </c>
      <c r="AE87" s="325" t="str">
        <f t="shared" si="35"/>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 t="shared" si="36"/>
        <v>0</v>
      </c>
      <c r="AH87">
        <f t="shared" si="37"/>
        <v>0</v>
      </c>
      <c r="AI87" s="373">
        <f t="array" ref="AI87">IF(C87="","",IFERROR((INDEX(終値!$E:$E,MATCH(TEXT(C87,"0"),終値!$A:$A,0))-INDEX(終値!$E:$CZ,MATCH(TEXT(C87,"0"),終値!$A:$A,0),$AN$2))/INDEX(終値!$E:$CZ,MATCH(TEXT(C87,"0"),終値!$A:$A,0),$AN$2)*100,""))</f>
        <v>1.5956234328698427</v>
      </c>
      <c r="AJ87" s="373">
        <f t="array" ref="AJ87">IFERROR((終値!$E$5-INDEX(終値!$E$5:$CZ$5,1,$AN$2))/INDEX(終値!$E$5:$CZ$5,1,$AN$2)*100,"")</f>
        <v>1.0179378228534113</v>
      </c>
      <c r="AK87" s="374">
        <f t="shared" si="38"/>
        <v>0.57768561001643137</v>
      </c>
      <c r="AL87" s="372">
        <f t="shared" si="39"/>
        <v>-1</v>
      </c>
      <c r="AO87" s="376" t="str">
        <f t="shared" si="40"/>
        <v>通常</v>
      </c>
      <c r="AP87" s="377">
        <f t="shared" si="41"/>
        <v>0</v>
      </c>
      <c r="AQ87">
        <f>IF(C87&lt;&gt;"",始値!F9,"")</f>
        <v>4236</v>
      </c>
      <c r="AR87">
        <f>IF(C87&lt;&gt;"",高値!F9,"")</f>
        <v>4407</v>
      </c>
      <c r="AS87">
        <f>IF(C87&lt;&gt;"",安値!F9,"")</f>
        <v>4230</v>
      </c>
      <c r="AT87" t="str">
        <f t="shared" si="42"/>
        <v>通常</v>
      </c>
      <c r="AU87">
        <f t="shared" si="43"/>
        <v>0</v>
      </c>
      <c r="BA87">
        <f>IFERROR((SUM(OFFSET(高値!$E$6,IFERROR(MATCH($C87,銘柄管理!$B$6:$B$305,0),MATCH(TEXT($C87,"0"),銘柄管理!$B$6:$B$305,0))-1,0,1,14))-SUM(OFFSET(安値!$E$6,IFERROR(MATCH($C87,銘柄管理!$B$6:$B$305,0),MATCH(TEXT($C87,"0"),銘柄管理!$B$6:$B$305,0))-1,0,1,14)))/SUM(OFFSET(終値!$E$6,IFERROR(MATCH($C87,銘柄管理!$B$6:$B$305,0),MATCH(TEXT($C87,"0"),銘柄管理!$B$6:$B$305,0))-1,0,1,14))*100,"")</f>
      </c>
      <c r="BB87">
        <f>IFERROR((MAX(OFFSET(高値!$E$6,IFERROR(MATCH($C87,銘柄管理!$B$6:$B$305,0),MATCH(TEXT($C87,"0"),銘柄管理!$B$6:$B$305,0))-1,0,1,25))-MIN(OFFSET(安値!$E$6,IFERROR(MATCH($C87,銘柄管理!$B$6:$B$305,0),MATCH(TEXT($C87,"0"),銘柄管理!$B$6:$B$305,0))-1,0,1,25)))/$E87*100,"")</f>
      </c>
      <c r="BC87">
        <f>IFERROR(($F87-$G87)/$G87*100,"")</f>
      </c>
      <c r="BD87">
        <f>IFERROR(($E87-MAX(OFFSET(高値!$E$6,IFERROR(MATCH($C87,銘柄管理!$B$6:$B$305,0),MATCH(TEXT($C87,"0"),銘柄管理!$B$6:$B$305,0))-1,0,1,25)))/MAX(OFFSET(高値!$E$6,IFERROR(MATCH($C87,銘柄管理!$B$6:$B$305,0),MATCH(TEXT($C87,"0"),銘柄管理!$B$6:$B$305,0))-1,0,1,25))*100,"")</f>
      </c>
      <c r="BE87">
        <f>IFERROR(($H87-$I87)/$F87*100,"")</f>
      </c>
      <c r="BF87">
        <f>IFERROR(-(($BA87-AVERAGE($BA$3:$BA$206))/STDEV($BA$3:$BA$206))-(($BE87-AVERAGE($BE$3:$BE$206))/STDEV($BE$3:$BE$206))-(($BB87-AVERAGE($BB$3:$BB$206))/STDEV($BB$3:$BB$206))-(($Z87-AVERAGE($Z$3:$Z$206))/STDEV($Z$3:$Z$206))-(($BC87-AVERAGE($BC$3:$BC$206))/STDEV($BC$3:$BC$206)),"")</f>
      </c>
      <c r="BG87">
        <f>IF(OR($C87="",$C87="TOPX",$BA87="",$BF87=""),0,IF(AND($BK$10=1,$BA87&lt;=$BK$2,$BB87&lt;=$BK$3,$BC87&lt;=$BK$4,$Z87&lt;=$BK$5,$Z87&gt;=$BK$6,$BD87&gt;=$BK$7,$BE87&lt;=$BK$8),1,0))</f>
      </c>
      <c r="BH87">
        <f>IF($C87="","",IF($BG87=1,"○ゲート通過",IF($BK$10&lt;&gt;1,"― この方向は停止中",IF($BA87&gt;$BK$2,"×値動きが荒い",IF($BB87&gt;$BK$3,"×レンジが広い",IF($BC87&gt;$BK$4,"×窓を開けて上昇",IF($Z87&gt;$BK$5,"×前日に急騰",IF($Z87&lt;$BK$6,"×前日に急落",IF($BD87&lt;$BK$7,"×高値から離れすぎ",IF($BE87&gt;$BK$8,"×当日の値幅が大きい","×")))))))))</f>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 t="shared" si="22"/>
        <v>-24.294795391338894</v>
      </c>
      <c r="M88" s="333">
        <f>IF(C88&lt;&gt;"",IFERROR(AVERAGE(出来高!E15:I15),""),"")</f>
        <v>555480</v>
      </c>
      <c r="N88" s="333">
        <f>IF(C88&lt;&gt;"",IFERROR(AVERAGE(出来高!E15:AC15),""),"")</f>
        <v>581216</v>
      </c>
      <c r="O88" s="335">
        <f t="shared" si="23"/>
        <v>0.76096349103478078</v>
      </c>
      <c r="P88" s="212" t="str">
        <f t="shared" si="24"/>
        <v>減少↓</v>
      </c>
      <c r="Q88" s="212" t="str">
        <f t="shared" si="25"/>
        <v>様子見▲</v>
      </c>
      <c r="R88" s="333">
        <f t="shared" si="26"/>
        <v>3506</v>
      </c>
      <c r="S88" s="333">
        <f t="shared" si="27"/>
        <v>3963</v>
      </c>
      <c r="T88" s="325">
        <f>IF(C88="","",IFERROR(IF(W88&lt;=22,-4,IF(W88&lt;=28,-2,IF(W88&lt;=45,2,IF(W88&lt;=55,1,0))))+IF(X88&lt;0,2,0)+IF(AD88="下降トレンド▼",3,IF(AD88="もみ合い→",1,0))+IF(V88="年初来安値圏●",3,IF(V88="安値圏",2,0))+IF(Q88="売り▼",2,0)+IF(P88="急増↑↑",2,IF(P88="増加↑",1,0))+IF(Z88&lt;0,1,0)+IF(L88&lt;=-30,2,IF(L88&lt;=-15,1,0))+IF(AE88="25日戻り売り★",2,IF(AE88="5日戻り売り○",1,0))+N(AL88)+N(AP88)+N(AU88),0))</f>
      </c>
      <c r="U88" s="212" t="str">
        <f t="shared" si="29"/>
        <v>要確認</v>
      </c>
      <c r="V88" s="212" t="str">
        <f t="shared" si="30"/>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 t="shared" si="31"/>
        <v>○逆張り売り | もみ合い→ 25日戻り売り★ MACD- RSI:40.4 前日比:+1.5% [安値圏] [9点]</v>
      </c>
      <c r="Z88" s="338">
        <f t="shared" si="32"/>
        <v>1.5454303224087398</v>
      </c>
      <c r="AA88" s="212" t="str">
        <f t="shared" si="33"/>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 t="shared" si="34"/>
        <v>もみ合い→</v>
      </c>
      <c r="AE88" s="212" t="str">
        <f t="shared" si="35"/>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 t="shared" si="36"/>
        <v>9</v>
      </c>
      <c r="AH88">
        <f t="shared" si="37"/>
        <v>89912</v>
      </c>
      <c r="AI88" s="373">
        <f t="array" ref="AI88">IF(C88="","",IFERROR((INDEX(終値!$E:$E,MATCH(TEXT(C88,"0"),終値!$A:$A,0))-INDEX(終値!$E:$CZ,MATCH(TEXT(C88,"0"),終値!$A:$A,0),$AN$2))/INDEX(終値!$E:$CZ,MATCH(TEXT(C88,"0"),終値!$A:$A,0),$AN$2)*100,""))</f>
        <v>-5.2452137424600052E-2</v>
      </c>
      <c r="AJ88" s="373">
        <f t="array" ref="AJ88">IFERROR((終値!$E$5-INDEX(終値!$E$5:$CZ$5,1,$AN$2))/INDEX(終値!$E$5:$CZ$5,1,$AN$2)*100,"")</f>
        <v>1.0179378228534113</v>
      </c>
      <c r="AK88" s="374">
        <f t="shared" si="38"/>
        <v>-1.0703899602780114</v>
      </c>
      <c r="AL88" s="372">
        <f t="shared" si="39"/>
        <v>1</v>
      </c>
      <c r="AO88" s="376" t="str">
        <f t="shared" si="40"/>
        <v>通常</v>
      </c>
      <c r="AP88" s="377">
        <f t="shared" si="41"/>
        <v>0</v>
      </c>
      <c r="AQ88">
        <f>IF(C88&lt;&gt;"",始値!F15,"")</f>
        <v>3790</v>
      </c>
      <c r="AR88">
        <f>IF(C88&lt;&gt;"",高値!F15,"")</f>
        <v>3828</v>
      </c>
      <c r="AS88">
        <f>IF(C88&lt;&gt;"",安値!F15,"")</f>
        <v>3731</v>
      </c>
      <c r="AT88" t="str">
        <f t="shared" si="42"/>
        <v>通常</v>
      </c>
      <c r="AU88">
        <f t="shared" si="43"/>
        <v>0</v>
      </c>
      <c r="BA88">
        <f>IFERROR((SUM(OFFSET(高値!$E$6,IFERROR(MATCH($C88,銘柄管理!$B$6:$B$305,0),MATCH(TEXT($C88,"0"),銘柄管理!$B$6:$B$305,0))-1,0,1,14))-SUM(OFFSET(安値!$E$6,IFERROR(MATCH($C88,銘柄管理!$B$6:$B$305,0),MATCH(TEXT($C88,"0"),銘柄管理!$B$6:$B$305,0))-1,0,1,14)))/SUM(OFFSET(終値!$E$6,IFERROR(MATCH($C88,銘柄管理!$B$6:$B$305,0),MATCH(TEXT($C88,"0"),銘柄管理!$B$6:$B$305,0))-1,0,1,14))*100,"")</f>
      </c>
      <c r="BB88">
        <f>IFERROR((MAX(OFFSET(高値!$E$6,IFERROR(MATCH($C88,銘柄管理!$B$6:$B$305,0),MATCH(TEXT($C88,"0"),銘柄管理!$B$6:$B$305,0))-1,0,1,25))-MIN(OFFSET(安値!$E$6,IFERROR(MATCH($C88,銘柄管理!$B$6:$B$305,0),MATCH(TEXT($C88,"0"),銘柄管理!$B$6:$B$305,0))-1,0,1,25)))/$E88*100,"")</f>
      </c>
      <c r="BC88">
        <f>IFERROR(($F88-$G88)/$G88*100,"")</f>
      </c>
      <c r="BD88">
        <f>IFERROR(($E88-MAX(OFFSET(高値!$E$6,IFERROR(MATCH($C88,銘柄管理!$B$6:$B$305,0),MATCH(TEXT($C88,"0"),銘柄管理!$B$6:$B$305,0))-1,0,1,25)))/MAX(OFFSET(高値!$E$6,IFERROR(MATCH($C88,銘柄管理!$B$6:$B$305,0),MATCH(TEXT($C88,"0"),銘柄管理!$B$6:$B$305,0))-1,0,1,25))*100,"")</f>
      </c>
      <c r="BE88">
        <f>IFERROR(($H88-$I88)/$F88*100,"")</f>
      </c>
      <c r="BF88">
        <f>IFERROR(-(($BA88-AVERAGE($BA$3:$BA$206))/STDEV($BA$3:$BA$206))-(($BE88-AVERAGE($BE$3:$BE$206))/STDEV($BE$3:$BE$206))-(($BB88-AVERAGE($BB$3:$BB$206))/STDEV($BB$3:$BB$206))-(($Z88-AVERAGE($Z$3:$Z$206))/STDEV($Z$3:$Z$206))-(($BC88-AVERAGE($BC$3:$BC$206))/STDEV($BC$3:$BC$206)),"")</f>
      </c>
      <c r="BG88">
        <f>IF(OR($C88="",$C88="TOPX",$BA88="",$BF88=""),0,IF(AND($BK$10=1,$BA88&lt;=$BK$2,$BB88&lt;=$BK$3,$BC88&lt;=$BK$4,$Z88&lt;=$BK$5,$Z88&gt;=$BK$6,$BD88&gt;=$BK$7,$BE88&lt;=$BK$8),1,0))</f>
      </c>
      <c r="BH88">
        <f>IF($C88="","",IF($BG88=1,"○ゲート通過",IF($BK$10&lt;&gt;1,"― この方向は停止中",IF($BA88&gt;$BK$2,"×値動きが荒い",IF($BB88&gt;$BK$3,"×レンジが広い",IF($BC88&gt;$BK$4,"×窓を開けて上昇",IF($Z88&gt;$BK$5,"×前日に急騰",IF($Z88&lt;$BK$6,"×前日に急落",IF($BD88&lt;$BK$7,"×高値から離れすぎ",IF($BE88&gt;$BK$8,"×当日の値幅が大きい","×")))))))))</f>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 t="shared" si="22"/>
        <v>-21.024617431803062</v>
      </c>
      <c r="M89" s="326">
        <f>IF(C89&lt;&gt;"",IFERROR(AVERAGE(出来高!E16:I16),""),"")</f>
        <v>9899860</v>
      </c>
      <c r="N89" s="326">
        <f>IF(C89&lt;&gt;"",IFERROR(AVERAGE(出来高!E16:AC16),""),"")</f>
        <v>8365096</v>
      </c>
      <c r="O89" s="328">
        <f t="shared" si="23"/>
        <v>0.60798839579549613</v>
      </c>
      <c r="P89" s="325" t="str">
        <f t="shared" si="24"/>
        <v>減少↓</v>
      </c>
      <c r="Q89" s="325" t="str">
        <f t="shared" si="25"/>
        <v>様子見▲</v>
      </c>
      <c r="R89" s="326">
        <f t="shared" si="26"/>
        <v>4368</v>
      </c>
      <c r="S89" s="326">
        <f t="shared" si="27"/>
        <v>4938</v>
      </c>
      <c r="T89" s="325">
        <f>IF(C89="","",IFERROR(IF(W89&lt;=22,-4,IF(W89&lt;=28,-2,IF(W89&lt;=45,2,IF(W89&lt;=55,1,0))))+IF(X89&lt;0,2,0)+IF(AD89="下降トレンド▼",3,IF(AD89="もみ合い→",1,0))+IF(V89="年初来安値圏●",3,IF(V89="安値圏",2,0))+IF(Q89="売り▼",2,0)+IF(P89="急増↑↑",2,IF(P89="増加↑",1,0))+IF(Z89&lt;0,1,0)+IF(L89&lt;=-30,2,IF(L89&lt;=-15,1,0))+IF(AE89="25日戻り売り★",2,IF(AE89="5日戻り売り○",1,0))+N(AL89)+N(AP89)+N(AU89),0))</f>
      </c>
      <c r="U89" s="325" t="str">
        <f t="shared" si="29"/>
        <v>除外</v>
      </c>
      <c r="V89" s="325" t="str">
        <f t="shared" si="30"/>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 t="shared" si="31"/>
        <v>相場上昇・見送り | パーフェクト▲ MACD+ RSI:52.8 前日比:+2.3% [0点]</v>
      </c>
      <c r="Z89" s="331">
        <f t="shared" si="32"/>
        <v>2.305537599655247</v>
      </c>
      <c r="AA89" s="325" t="str">
        <f t="shared" si="33"/>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 t="shared" si="34"/>
        <v>パーフェクト▲</v>
      </c>
      <c r="AE89" s="325" t="str">
        <f t="shared" si="35"/>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 t="shared" si="36"/>
        <v>0</v>
      </c>
      <c r="AH89">
        <f t="shared" si="37"/>
        <v>0</v>
      </c>
      <c r="AI89" s="373">
        <f t="array" ref="AI89">IF(C89="","",IFERROR((INDEX(終値!$E:$E,MATCH(TEXT(C89,"0"),終値!$A:$A,0))-INDEX(終値!$E:$CZ,MATCH(TEXT(C89,"0"),終値!$A:$A,0),$AN$2))/INDEX(終値!$E:$CZ,MATCH(TEXT(C89,"0"),終値!$A:$A,0),$AN$2)*100,""))</f>
        <v>9.3001841620626156</v>
      </c>
      <c r="AJ89" s="373">
        <f t="array" ref="AJ89">IFERROR((終値!$E$5-INDEX(終値!$E$5:$CZ$5,1,$AN$2))/INDEX(終値!$E$5:$CZ$5,1,$AN$2)*100,"")</f>
        <v>1.0179378228534113</v>
      </c>
      <c r="AK89" s="374">
        <f t="shared" si="38"/>
        <v>8.2822463392092036</v>
      </c>
      <c r="AL89" s="372">
        <f t="shared" si="39"/>
        <v>-2</v>
      </c>
      <c r="AO89" s="376" t="str">
        <f t="shared" si="40"/>
        <v>通常</v>
      </c>
      <c r="AP89" s="377">
        <f t="shared" si="41"/>
        <v>0</v>
      </c>
      <c r="AQ89">
        <f>IF(C89&lt;&gt;"",始値!F16,"")</f>
        <v>4694</v>
      </c>
      <c r="AR89">
        <f>IF(C89&lt;&gt;"",高値!F16,"")</f>
        <v>4744</v>
      </c>
      <c r="AS89">
        <f>IF(C89&lt;&gt;"",安値!F16,"")</f>
        <v>4641</v>
      </c>
      <c r="AT89" t="str">
        <f t="shared" si="42"/>
        <v>通常</v>
      </c>
      <c r="AU89">
        <f t="shared" si="43"/>
        <v>0</v>
      </c>
      <c r="BA89">
        <f>IFERROR((SUM(OFFSET(高値!$E$6,IFERROR(MATCH($C89,銘柄管理!$B$6:$B$305,0),MATCH(TEXT($C89,"0"),銘柄管理!$B$6:$B$305,0))-1,0,1,14))-SUM(OFFSET(安値!$E$6,IFERROR(MATCH($C89,銘柄管理!$B$6:$B$305,0),MATCH(TEXT($C89,"0"),銘柄管理!$B$6:$B$305,0))-1,0,1,14)))/SUM(OFFSET(終値!$E$6,IFERROR(MATCH($C89,銘柄管理!$B$6:$B$305,0),MATCH(TEXT($C89,"0"),銘柄管理!$B$6:$B$305,0))-1,0,1,14))*100,"")</f>
      </c>
      <c r="BB89">
        <f>IFERROR((MAX(OFFSET(高値!$E$6,IFERROR(MATCH($C89,銘柄管理!$B$6:$B$305,0),MATCH(TEXT($C89,"0"),銘柄管理!$B$6:$B$305,0))-1,0,1,25))-MIN(OFFSET(安値!$E$6,IFERROR(MATCH($C89,銘柄管理!$B$6:$B$305,0),MATCH(TEXT($C89,"0"),銘柄管理!$B$6:$B$305,0))-1,0,1,25)))/$E89*100,"")</f>
      </c>
      <c r="BC89">
        <f>IFERROR(($F89-$G89)/$G89*100,"")</f>
      </c>
      <c r="BD89">
        <f>IFERROR(($E89-MAX(OFFSET(高値!$E$6,IFERROR(MATCH($C89,銘柄管理!$B$6:$B$305,0),MATCH(TEXT($C89,"0"),銘柄管理!$B$6:$B$305,0))-1,0,1,25)))/MAX(OFFSET(高値!$E$6,IFERROR(MATCH($C89,銘柄管理!$B$6:$B$305,0),MATCH(TEXT($C89,"0"),銘柄管理!$B$6:$B$305,0))-1,0,1,25))*100,"")</f>
      </c>
      <c r="BE89">
        <f>IFERROR(($H89-$I89)/$F89*100,"")</f>
      </c>
      <c r="BF89">
        <f>IFERROR(-(($BA89-AVERAGE($BA$3:$BA$206))/STDEV($BA$3:$BA$206))-(($BE89-AVERAGE($BE$3:$BE$206))/STDEV($BE$3:$BE$206))-(($BB89-AVERAGE($BB$3:$BB$206))/STDEV($BB$3:$BB$206))-(($Z89-AVERAGE($Z$3:$Z$206))/STDEV($Z$3:$Z$206))-(($BC89-AVERAGE($BC$3:$BC$206))/STDEV($BC$3:$BC$206)),"")</f>
      </c>
      <c r="BG89">
        <f>IF(OR($C89="",$C89="TOPX",$BA89="",$BF89=""),0,IF(AND($BK$10=1,$BA89&lt;=$BK$2,$BB89&lt;=$BK$3,$BC89&lt;=$BK$4,$Z89&lt;=$BK$5,$Z89&gt;=$BK$6,$BD89&gt;=$BK$7,$BE89&lt;=$BK$8),1,0))</f>
      </c>
      <c r="BH89">
        <f>IF($C89="","",IF($BG89=1,"○ゲート通過",IF($BK$10&lt;&gt;1,"― この方向は停止中",IF($BA89&gt;$BK$2,"×値動きが荒い",IF($BB89&gt;$BK$3,"×レンジが広い",IF($BC89&gt;$BK$4,"×窓を開けて上昇",IF($Z89&gt;$BK$5,"×前日に急騰",IF($Z89&lt;$BK$6,"×前日に急落",IF($BD89&lt;$BK$7,"×高値から離れすぎ",IF($BE89&gt;$BK$8,"×当日の値幅が大きい","×")))))))))</f>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 t="shared" si="22"/>
        <v>-34.333764553686933</v>
      </c>
      <c r="M90" s="333">
        <f>IF(C90&lt;&gt;"",IFERROR(AVERAGE(出来高!E20:I20),""),"")</f>
        <v>325380</v>
      </c>
      <c r="N90" s="333">
        <f>IF(C90&lt;&gt;"",IFERROR(AVERAGE(出来高!E20:AC20),""),"")</f>
        <v>233675</v>
      </c>
      <c r="O90" s="335">
        <f t="shared" si="23"/>
        <v>1.5056241932509682</v>
      </c>
      <c r="P90" s="212" t="str">
        <f t="shared" si="24"/>
        <v>増加↑</v>
      </c>
      <c r="Q90" s="212" t="str">
        <f t="shared" si="25"/>
        <v>売り▼</v>
      </c>
      <c r="R90" s="333">
        <f t="shared" si="26"/>
        <v>2335</v>
      </c>
      <c r="S90" s="333">
        <f t="shared" si="27"/>
        <v>2640</v>
      </c>
      <c r="T90" s="325">
        <f>IF(C90="","",IFERROR(IF(W90&lt;=22,-4,IF(W90&lt;=28,-2,IF(W90&lt;=45,2,IF(W90&lt;=55,1,0))))+IF(X90&lt;0,2,0)+IF(AD90="下降トレンド▼",3,IF(AD90="もみ合い→",1,0))+IF(V90="年初来安値圏●",3,IF(V90="安値圏",2,0))+IF(Q90="売り▼",2,0)+IF(P90="急増↑↑",2,IF(P90="増加↑",1,0))+IF(Z90&lt;0,1,0)+IF(L90&lt;=-30,2,IF(L90&lt;=-15,1,0))+IF(AE90="25日戻り売り★",2,IF(AE90="5日戻り売り○",1,0))+N(AL90)+N(AP90)+N(AU90),0))</f>
      </c>
      <c r="U90" s="212" t="str">
        <f t="shared" si="29"/>
        <v>有効</v>
      </c>
      <c r="V90" s="212" t="str">
        <f t="shared" si="30"/>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 t="shared" si="31"/>
        <v>相場上昇・見送り | パーフェクト▲ MACD+ RSI:52.4 前日比:-0.3% [安値圏] [7点]</v>
      </c>
      <c r="Z90" s="338">
        <f t="shared" si="32"/>
        <v>-0.3142183817753339</v>
      </c>
      <c r="AA90" s="212" t="str">
        <f t="shared" si="33"/>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 t="shared" si="34"/>
        <v>パーフェクト▲</v>
      </c>
      <c r="AE90" s="212" t="str">
        <f t="shared" si="35"/>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 t="shared" si="36"/>
        <v>7</v>
      </c>
      <c r="AH90">
        <f t="shared" si="37"/>
        <v>69910</v>
      </c>
      <c r="AI90" s="373">
        <f t="array" ref="AI90">IF(C90="","",IFERROR((INDEX(終値!$E:$E,MATCH(TEXT(C90,"0"),終値!$A:$A,0))-INDEX(終値!$E:$CZ,MATCH(TEXT(C90,"0"),終値!$A:$A,0),$AN$2))/INDEX(終値!$E:$CZ,MATCH(TEXT(C90,"0"),終値!$A:$A,0),$AN$2)*100,""))</f>
        <v>13.557046979865772</v>
      </c>
      <c r="AJ90" s="373">
        <f t="array" ref="AJ90">IFERROR((終値!$E$5-INDEX(終値!$E$5:$CZ$5,1,$AN$2))/INDEX(終値!$E$5:$CZ$5,1,$AN$2)*100,"")</f>
        <v>1.0179378228534113</v>
      </c>
      <c r="AK90" s="374">
        <f t="shared" si="38"/>
        <v>12.53910915701236</v>
      </c>
      <c r="AL90" s="372">
        <f t="shared" si="39"/>
        <v>-2</v>
      </c>
      <c r="AO90" s="376" t="str">
        <f t="shared" si="40"/>
        <v>通常</v>
      </c>
      <c r="AP90" s="377">
        <f t="shared" si="41"/>
        <v>0</v>
      </c>
      <c r="AQ90">
        <f>IF(C90&lt;&gt;"",始値!F20,"")</f>
        <v>2495</v>
      </c>
      <c r="AR90">
        <f>IF(C90&lt;&gt;"",高値!F20,"")</f>
        <v>2579</v>
      </c>
      <c r="AS90">
        <f>IF(C90&lt;&gt;"",安値!F20,"")</f>
        <v>2485</v>
      </c>
      <c r="AT90" t="str">
        <f t="shared" si="42"/>
        <v>通常</v>
      </c>
      <c r="AU90">
        <f t="shared" si="43"/>
        <v>0</v>
      </c>
      <c r="BA90">
        <f>IFERROR((SUM(OFFSET(高値!$E$6,IFERROR(MATCH($C90,銘柄管理!$B$6:$B$305,0),MATCH(TEXT($C90,"0"),銘柄管理!$B$6:$B$305,0))-1,0,1,14))-SUM(OFFSET(安値!$E$6,IFERROR(MATCH($C90,銘柄管理!$B$6:$B$305,0),MATCH(TEXT($C90,"0"),銘柄管理!$B$6:$B$305,0))-1,0,1,14)))/SUM(OFFSET(終値!$E$6,IFERROR(MATCH($C90,銘柄管理!$B$6:$B$305,0),MATCH(TEXT($C90,"0"),銘柄管理!$B$6:$B$305,0))-1,0,1,14))*100,"")</f>
      </c>
      <c r="BB90">
        <f>IFERROR((MAX(OFFSET(高値!$E$6,IFERROR(MATCH($C90,銘柄管理!$B$6:$B$305,0),MATCH(TEXT($C90,"0"),銘柄管理!$B$6:$B$305,0))-1,0,1,25))-MIN(OFFSET(安値!$E$6,IFERROR(MATCH($C90,銘柄管理!$B$6:$B$305,0),MATCH(TEXT($C90,"0"),銘柄管理!$B$6:$B$305,0))-1,0,1,25)))/$E90*100,"")</f>
      </c>
      <c r="BC90">
        <f>IFERROR(($F90-$G90)/$G90*100,"")</f>
      </c>
      <c r="BD90">
        <f>IFERROR(($E90-MAX(OFFSET(高値!$E$6,IFERROR(MATCH($C90,銘柄管理!$B$6:$B$305,0),MATCH(TEXT($C90,"0"),銘柄管理!$B$6:$B$305,0))-1,0,1,25)))/MAX(OFFSET(高値!$E$6,IFERROR(MATCH($C90,銘柄管理!$B$6:$B$305,0),MATCH(TEXT($C90,"0"),銘柄管理!$B$6:$B$305,0))-1,0,1,25))*100,"")</f>
      </c>
      <c r="BE90">
        <f>IFERROR(($H90-$I90)/$F90*100,"")</f>
      </c>
      <c r="BF90">
        <f>IFERROR(-(($BA90-AVERAGE($BA$3:$BA$206))/STDEV($BA$3:$BA$206))-(($BE90-AVERAGE($BE$3:$BE$206))/STDEV($BE$3:$BE$206))-(($BB90-AVERAGE($BB$3:$BB$206))/STDEV($BB$3:$BB$206))-(($Z90-AVERAGE($Z$3:$Z$206))/STDEV($Z$3:$Z$206))-(($BC90-AVERAGE($BC$3:$BC$206))/STDEV($BC$3:$BC$206)),"")</f>
      </c>
      <c r="BG90">
        <f>IF(OR($C90="",$C90="TOPX",$BA90="",$BF90=""),0,IF(AND($BK$10=1,$BA90&lt;=$BK$2,$BB90&lt;=$BK$3,$BC90&lt;=$BK$4,$Z90&lt;=$BK$5,$Z90&gt;=$BK$6,$BD90&gt;=$BK$7,$BE90&lt;=$BK$8),1,0))</f>
      </c>
      <c r="BH90">
        <f>IF($C90="","",IF($BG90=1,"○ゲート通過",IF($BK$10&lt;&gt;1,"― この方向は停止中",IF($BA90&gt;$BK$2,"×値動きが荒い",IF($BB90&gt;$BK$3,"×レンジが広い",IF($BC90&gt;$BK$4,"×窓を開けて上昇",IF($Z90&gt;$BK$5,"×前日に急騰",IF($Z90&lt;$BK$6,"×前日に急落",IF($BD90&lt;$BK$7,"×高値から離れすぎ",IF($BE90&gt;$BK$8,"×当日の値幅が大きい","×")))))))))</f>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 t="shared" si="22"/>
        <v>-4.1344667697063366</v>
      </c>
      <c r="M91" s="326">
        <f>IF(C91&lt;&gt;"",IFERROR(AVERAGE(出来高!E23:I23),""),"")</f>
        <v>1516460</v>
      </c>
      <c r="N91" s="326">
        <f>IF(C91&lt;&gt;"",IFERROR(AVERAGE(出来高!E23:AC23),""),"")</f>
        <v>1565250</v>
      </c>
      <c r="O91" s="328">
        <f t="shared" si="23"/>
        <v>1.470595993300186</v>
      </c>
      <c r="P91" s="325" t="str">
        <f t="shared" si="24"/>
        <v>普通→</v>
      </c>
      <c r="Q91" s="325" t="str">
        <f t="shared" si="25"/>
        <v>中立→</v>
      </c>
      <c r="R91" s="326">
        <f t="shared" si="26"/>
        <v>4565</v>
      </c>
      <c r="S91" s="326">
        <f t="shared" si="27"/>
        <v>5160</v>
      </c>
      <c r="T91" s="325">
        <f>IF(C91="","",IFERROR(IF(W91&lt;=22,-4,IF(W91&lt;=28,-2,IF(W91&lt;=45,2,IF(W91&lt;=55,1,0))))+IF(X91&lt;0,2,0)+IF(AD91="下降トレンド▼",3,IF(AD91="もみ合い→",1,0))+IF(V91="年初来安値圏●",3,IF(V91="安値圏",2,0))+IF(Q91="売り▼",2,0)+IF(P91="急増↑↑",2,IF(P91="増加↑",1,0))+IF(Z91&lt;0,1,0)+IF(L91&lt;=-30,2,IF(L91&lt;=-15,1,0))+IF(AE91="25日戻り売り★",2,IF(AE91="5日戻り売り○",1,0))+N(AL91)+N(AP91)+N(AU91),0))</f>
      </c>
      <c r="U91" s="325" t="str">
        <f t="shared" si="29"/>
        <v>除外</v>
      </c>
      <c r="V91" s="325" t="str">
        <f t="shared" si="30"/>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 t="shared" si="31"/>
        <v>相場上昇・見送り | 上昇トレンド▲ 5日戻り売り○ MACD- RSI:49.9 前日比:-1.4%前日[長い下ヒゲ(反発)] [1点]</v>
      </c>
      <c r="Z91" s="331">
        <f t="shared" si="32"/>
        <v>-1.3910969793322734</v>
      </c>
      <c r="AA91" s="325" t="str">
        <f t="shared" si="33"/>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 t="shared" si="34"/>
        <v>上昇トレンド▲</v>
      </c>
      <c r="AE91" s="325" t="str">
        <f t="shared" si="35"/>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 t="shared" si="36"/>
        <v>0</v>
      </c>
      <c r="AH91">
        <f t="shared" si="37"/>
        <v>0</v>
      </c>
      <c r="AI91" s="373">
        <f t="array" ref="AI91">IF(C91="","",IFERROR((INDEX(終値!$E:$E,MATCH(TEXT(C91,"0"),終値!$A:$A,0))-INDEX(終値!$E:$CZ,MATCH(TEXT(C91,"0"),終値!$A:$A,0),$AN$2))/INDEX(終値!$E:$CZ,MATCH(TEXT(C91,"0"),終値!$A:$A,0),$AN$2)*100,""))</f>
        <v>3.0529595015576323</v>
      </c>
      <c r="AJ91" s="373">
        <f t="array" ref="AJ91">IFERROR((終値!$E$5-INDEX(終値!$E$5:$CZ$5,1,$AN$2))/INDEX(終値!$E$5:$CZ$5,1,$AN$2)*100,"")</f>
        <v>1.0179378228534113</v>
      </c>
      <c r="AK91" s="374">
        <f t="shared" si="38"/>
        <v>2.0350216787042212</v>
      </c>
      <c r="AL91" s="372">
        <f t="shared" si="39"/>
        <v>-1</v>
      </c>
      <c r="AO91" s="376" t="str">
        <f t="shared" si="40"/>
        <v>通常</v>
      </c>
      <c r="AP91" s="377">
        <f t="shared" si="41"/>
        <v>0</v>
      </c>
      <c r="AQ91">
        <f>IF(C91&lt;&gt;"",始値!F23,"")</f>
        <v>5020</v>
      </c>
      <c r="AR91">
        <f>IF(C91&lt;&gt;"",高値!F23,"")</f>
        <v>5040</v>
      </c>
      <c r="AS91">
        <f>IF(C91&lt;&gt;"",安値!F23,"")</f>
        <v>4973</v>
      </c>
      <c r="AT91" t="str">
        <f t="shared" si="42"/>
        <v>長い下ヒゲ(反発)</v>
      </c>
      <c r="AU91">
        <f t="shared" si="43"/>
        <v>-2</v>
      </c>
      <c r="BA91">
        <f>IFERROR((SUM(OFFSET(高値!$E$6,IFERROR(MATCH($C91,銘柄管理!$B$6:$B$305,0),MATCH(TEXT($C91,"0"),銘柄管理!$B$6:$B$305,0))-1,0,1,14))-SUM(OFFSET(安値!$E$6,IFERROR(MATCH($C91,銘柄管理!$B$6:$B$305,0),MATCH(TEXT($C91,"0"),銘柄管理!$B$6:$B$305,0))-1,0,1,14)))/SUM(OFFSET(終値!$E$6,IFERROR(MATCH($C91,銘柄管理!$B$6:$B$305,0),MATCH(TEXT($C91,"0"),銘柄管理!$B$6:$B$305,0))-1,0,1,14))*100,"")</f>
      </c>
      <c r="BB91">
        <f>IFERROR((MAX(OFFSET(高値!$E$6,IFERROR(MATCH($C91,銘柄管理!$B$6:$B$305,0),MATCH(TEXT($C91,"0"),銘柄管理!$B$6:$B$305,0))-1,0,1,25))-MIN(OFFSET(安値!$E$6,IFERROR(MATCH($C91,銘柄管理!$B$6:$B$305,0),MATCH(TEXT($C91,"0"),銘柄管理!$B$6:$B$305,0))-1,0,1,25)))/$E91*100,"")</f>
      </c>
      <c r="BC91">
        <f>IFERROR(($F91-$G91)/$G91*100,"")</f>
      </c>
      <c r="BD91">
        <f>IFERROR(($E91-MAX(OFFSET(高値!$E$6,IFERROR(MATCH($C91,銘柄管理!$B$6:$B$305,0),MATCH(TEXT($C91,"0"),銘柄管理!$B$6:$B$305,0))-1,0,1,25)))/MAX(OFFSET(高値!$E$6,IFERROR(MATCH($C91,銘柄管理!$B$6:$B$305,0),MATCH(TEXT($C91,"0"),銘柄管理!$B$6:$B$305,0))-1,0,1,25))*100,"")</f>
      </c>
      <c r="BE91">
        <f>IFERROR(($H91-$I91)/$F91*100,"")</f>
      </c>
      <c r="BF91">
        <f>IFERROR(-(($BA91-AVERAGE($BA$3:$BA$206))/STDEV($BA$3:$BA$206))-(($BE91-AVERAGE($BE$3:$BE$206))/STDEV($BE$3:$BE$206))-(($BB91-AVERAGE($BB$3:$BB$206))/STDEV($BB$3:$BB$206))-(($Z91-AVERAGE($Z$3:$Z$206))/STDEV($Z$3:$Z$206))-(($BC91-AVERAGE($BC$3:$BC$206))/STDEV($BC$3:$BC$206)),"")</f>
      </c>
      <c r="BG91">
        <f>IF(OR($C91="",$C91="TOPX",$BA91="",$BF91=""),0,IF(AND($BK$10=1,$BA91&lt;=$BK$2,$BB91&lt;=$BK$3,$BC91&lt;=$BK$4,$Z91&lt;=$BK$5,$Z91&gt;=$BK$6,$BD91&gt;=$BK$7,$BE91&lt;=$BK$8),1,0))</f>
      </c>
      <c r="BH91">
        <f>IF($C91="","",IF($BG91=1,"○ゲート通過",IF($BK$10&lt;&gt;1,"― この方向は停止中",IF($BA91&gt;$BK$2,"×値動きが荒い",IF($BB91&gt;$BK$3,"×レンジが広い",IF($BC91&gt;$BK$4,"×窓を開けて上昇",IF($Z91&gt;$BK$5,"×前日に急騰",IF($Z91&lt;$BK$6,"×前日に急落",IF($BD91&lt;$BK$7,"×高値から離れすぎ",IF($BE91&gt;$BK$8,"×当日の値幅が大きい","×")))))))))</f>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 t="shared" si="22"/>
        <v>-3.2431315843833923</v>
      </c>
      <c r="M92" s="333">
        <f>IF(C92&lt;&gt;"",IFERROR(AVERAGE(出来高!E35:I35),""),"")</f>
        <v>12101780</v>
      </c>
      <c r="N92" s="333">
        <f>IF(C92&lt;&gt;"",IFERROR(AVERAGE(出来高!E35:AC35),""),"")</f>
        <v>10432052</v>
      </c>
      <c r="O92" s="335">
        <f t="shared" si="23"/>
        <v>0.86551730406601346</v>
      </c>
      <c r="P92" s="212" t="str">
        <f t="shared" si="24"/>
        <v>減少↓</v>
      </c>
      <c r="Q92" s="212" t="str">
        <f t="shared" si="25"/>
        <v>様子見▲</v>
      </c>
      <c r="R92" s="333">
        <f t="shared" si="26"/>
        <v>2155</v>
      </c>
      <c r="S92" s="333">
        <f t="shared" si="27"/>
        <v>2436</v>
      </c>
      <c r="T92" s="325">
        <f>IF(C92="","",IFERROR(IF(W92&lt;=22,-4,IF(W92&lt;=28,-2,IF(W92&lt;=45,2,IF(W92&lt;=55,1,0))))+IF(X92&lt;0,2,0)+IF(AD92="下降トレンド▼",3,IF(AD92="もみ合い→",1,0))+IF(V92="年初来安値圏●",3,IF(V92="安値圏",2,0))+IF(Q92="売り▼",2,0)+IF(P92="急増↑↑",2,IF(P92="増加↑",1,0))+IF(Z92&lt;0,1,0)+IF(L92&lt;=-30,2,IF(L92&lt;=-15,1,0))+IF(AE92="25日戻り売り★",2,IF(AE92="5日戻り売り○",1,0))+N(AL92)+N(AP92)+N(AU92),0))</f>
      </c>
      <c r="U92" s="212" t="str">
        <f t="shared" si="29"/>
        <v>除外</v>
      </c>
      <c r="V92" s="212" t="str">
        <f t="shared" si="30"/>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 t="shared" si="31"/>
        <v>相場上昇・見送り | 上昇トレンド▲ MACD- RSI:43.6 前日比:+2.6% [0点]</v>
      </c>
      <c r="Z92" s="338">
        <f t="shared" si="32"/>
        <v>2.5843188786684186</v>
      </c>
      <c r="AA92" s="212" t="str">
        <f t="shared" si="33"/>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 t="shared" si="34"/>
        <v>上昇トレンド▲</v>
      </c>
      <c r="AE92" s="212" t="str">
        <f t="shared" si="35"/>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 t="shared" si="36"/>
        <v>0</v>
      </c>
      <c r="AH92">
        <f t="shared" si="37"/>
        <v>0</v>
      </c>
      <c r="AI92" s="373">
        <f t="array" ref="AI92">IF(C92="","",IFERROR((INDEX(終値!$E:$E,MATCH(TEXT(C92,"0"),終値!$A:$A,0))-INDEX(終値!$E:$CZ,MATCH(TEXT(C92,"0"),終値!$A:$A,0),$AN$2))/INDEX(終値!$E:$CZ,MATCH(TEXT(C92,"0"),終値!$A:$A,0),$AN$2)*100,""))</f>
        <v>10.759044691416412</v>
      </c>
      <c r="AJ92" s="373">
        <f t="array" ref="AJ92">IFERROR((終値!$E$5-INDEX(終値!$E$5:$CZ$5,1,$AN$2))/INDEX(終値!$E$5:$CZ$5,1,$AN$2)*100,"")</f>
        <v>1.0179378228534113</v>
      </c>
      <c r="AK92" s="374">
        <f t="shared" si="38"/>
        <v>9.7411068685629996</v>
      </c>
      <c r="AL92" s="372">
        <f t="shared" si="39"/>
        <v>-2</v>
      </c>
      <c r="AO92" s="376" t="str">
        <f t="shared" si="40"/>
        <v>通常</v>
      </c>
      <c r="AP92" s="377">
        <f t="shared" si="41"/>
        <v>0</v>
      </c>
      <c r="AQ92">
        <f>IF(C92&lt;&gt;"",始値!F35,"")</f>
        <v>2208</v>
      </c>
      <c r="AR92">
        <f>IF(C92&lt;&gt;"",高値!F35,"")</f>
        <v>2283</v>
      </c>
      <c r="AS92">
        <f>IF(C92&lt;&gt;"",安値!F35,"")</f>
        <v>2183.5</v>
      </c>
      <c r="AT92" t="str">
        <f t="shared" si="42"/>
        <v>通常</v>
      </c>
      <c r="AU92">
        <f t="shared" si="43"/>
        <v>0</v>
      </c>
      <c r="BA92">
        <f>IFERROR((SUM(OFFSET(高値!$E$6,IFERROR(MATCH($C92,銘柄管理!$B$6:$B$305,0),MATCH(TEXT($C92,"0"),銘柄管理!$B$6:$B$305,0))-1,0,1,14))-SUM(OFFSET(安値!$E$6,IFERROR(MATCH($C92,銘柄管理!$B$6:$B$305,0),MATCH(TEXT($C92,"0"),銘柄管理!$B$6:$B$305,0))-1,0,1,14)))/SUM(OFFSET(終値!$E$6,IFERROR(MATCH($C92,銘柄管理!$B$6:$B$305,0),MATCH(TEXT($C92,"0"),銘柄管理!$B$6:$B$305,0))-1,0,1,14))*100,"")</f>
      </c>
      <c r="BB92">
        <f>IFERROR((MAX(OFFSET(高値!$E$6,IFERROR(MATCH($C92,銘柄管理!$B$6:$B$305,0),MATCH(TEXT($C92,"0"),銘柄管理!$B$6:$B$305,0))-1,0,1,25))-MIN(OFFSET(安値!$E$6,IFERROR(MATCH($C92,銘柄管理!$B$6:$B$305,0),MATCH(TEXT($C92,"0"),銘柄管理!$B$6:$B$305,0))-1,0,1,25)))/$E92*100,"")</f>
      </c>
      <c r="BC92">
        <f>IFERROR(($F92-$G92)/$G92*100,"")</f>
      </c>
      <c r="BD92">
        <f>IFERROR(($E92-MAX(OFFSET(高値!$E$6,IFERROR(MATCH($C92,銘柄管理!$B$6:$B$305,0),MATCH(TEXT($C92,"0"),銘柄管理!$B$6:$B$305,0))-1,0,1,25)))/MAX(OFFSET(高値!$E$6,IFERROR(MATCH($C92,銘柄管理!$B$6:$B$305,0),MATCH(TEXT($C92,"0"),銘柄管理!$B$6:$B$305,0))-1,0,1,25))*100,"")</f>
      </c>
      <c r="BE92">
        <f>IFERROR(($H92-$I92)/$F92*100,"")</f>
      </c>
      <c r="BF92">
        <f>IFERROR(-(($BA92-AVERAGE($BA$3:$BA$206))/STDEV($BA$3:$BA$206))-(($BE92-AVERAGE($BE$3:$BE$206))/STDEV($BE$3:$BE$206))-(($BB92-AVERAGE($BB$3:$BB$206))/STDEV($BB$3:$BB$206))-(($Z92-AVERAGE($Z$3:$Z$206))/STDEV($Z$3:$Z$206))-(($BC92-AVERAGE($BC$3:$BC$206))/STDEV($BC$3:$BC$206)),"")</f>
      </c>
      <c r="BG92">
        <f>IF(OR($C92="",$C92="TOPX",$BA92="",$BF92=""),0,IF(AND($BK$10=1,$BA92&lt;=$BK$2,$BB92&lt;=$BK$3,$BC92&lt;=$BK$4,$Z92&lt;=$BK$5,$Z92&gt;=$BK$6,$BD92&gt;=$BK$7,$BE92&lt;=$BK$8),1,0))</f>
      </c>
      <c r="BH92">
        <f>IF($C92="","",IF($BG92=1,"○ゲート通過",IF($BK$10&lt;&gt;1,"― この方向は停止中",IF($BA92&gt;$BK$2,"×値動きが荒い",IF($BB92&gt;$BK$3,"×レンジが広い",IF($BC92&gt;$BK$4,"×窓を開けて上昇",IF($Z92&gt;$BK$5,"×前日に急騰",IF($Z92&lt;$BK$6,"×前日に急落",IF($BD92&lt;$BK$7,"×高値から離れすぎ",IF($BE92&gt;$BK$8,"×当日の値幅が大きい","×")))))))))</f>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 t="shared" si="22"/>
        <v>-8.2604220277920746</v>
      </c>
      <c r="M93" s="326">
        <f>IF(C93&lt;&gt;"",IFERROR(AVERAGE(出来高!E36:I36),""),"")</f>
        <v>3631280</v>
      </c>
      <c r="N93" s="326">
        <f>IF(C93&lt;&gt;"",IFERROR(AVERAGE(出来高!E36:AC36),""),"")</f>
        <v>2348684</v>
      </c>
      <c r="O93" s="328">
        <f t="shared" si="23"/>
        <v>0.65186380560022916</v>
      </c>
      <c r="P93" s="325" t="str">
        <f t="shared" si="24"/>
        <v>減少↓</v>
      </c>
      <c r="Q93" s="325" t="str">
        <f t="shared" si="25"/>
        <v>様子見▲</v>
      </c>
      <c r="R93" s="326">
        <f t="shared" si="26"/>
        <v>1640</v>
      </c>
      <c r="S93" s="326">
        <f t="shared" si="27"/>
        <v>1854</v>
      </c>
      <c r="T93" s="325">
        <f>IF(C93="","",IFERROR(IF(W93&lt;=22,-4,IF(W93&lt;=28,-2,IF(W93&lt;=45,2,IF(W93&lt;=55,1,0))))+IF(X93&lt;0,2,0)+IF(AD93="下降トレンド▼",3,IF(AD93="もみ合い→",1,0))+IF(V93="年初来安値圏●",3,IF(V93="安値圏",2,0))+IF(Q93="売り▼",2,0)+IF(P93="急増↑↑",2,IF(P93="増加↑",1,0))+IF(Z93&lt;0,1,0)+IF(L93&lt;=-30,2,IF(L93&lt;=-15,1,0))+IF(AE93="25日戻り売り★",2,IF(AE93="5日戻り売り○",1,0))+N(AL93)+N(AP93)+N(AU93),0))</f>
      </c>
      <c r="U93" s="325" t="str">
        <f t="shared" si="29"/>
        <v>要確認</v>
      </c>
      <c r="V93" s="325" t="str">
        <f t="shared" si="30"/>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 t="shared" si="31"/>
        <v>相場上昇・見送り | もみ合い→ MACD- RSI:36.0 前日比:+1.6% [4点]</v>
      </c>
      <c r="Z93" s="331">
        <f t="shared" si="32"/>
        <v>1.5958962667426617</v>
      </c>
      <c r="AA93" s="325" t="str">
        <f t="shared" si="33"/>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 t="shared" si="34"/>
        <v>もみ合い→</v>
      </c>
      <c r="AE93" s="325" t="str">
        <f t="shared" si="35"/>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 t="shared" si="36"/>
        <v>0</v>
      </c>
      <c r="AH93">
        <f t="shared" si="37"/>
        <v>0</v>
      </c>
      <c r="AI93" s="373">
        <f t="array" ref="AI93">IF(C93="","",IFERROR((INDEX(終値!$E:$E,MATCH(TEXT(C93,"0"),終値!$A:$A,0))-INDEX(終値!$E:$CZ,MATCH(TEXT(C93,"0"),終値!$A:$A,0),$AN$2))/INDEX(終値!$E:$CZ,MATCH(TEXT(C93,"0"),終値!$A:$A,0),$AN$2)*100,""))</f>
        <v>-0.50237231370360036</v>
      </c>
      <c r="AJ93" s="373">
        <f t="array" ref="AJ93">IFERROR((終値!$E$5-INDEX(終値!$E$5:$CZ$5,1,$AN$2))/INDEX(終値!$E$5:$CZ$5,1,$AN$2)*100,"")</f>
        <v>1.0179378228534113</v>
      </c>
      <c r="AK93" s="374">
        <f t="shared" si="38"/>
        <v>-1.5203101365570117</v>
      </c>
      <c r="AL93" s="372">
        <f t="shared" si="39"/>
        <v>1</v>
      </c>
      <c r="AO93" s="376" t="str">
        <f t="shared" si="40"/>
        <v>通常</v>
      </c>
      <c r="AP93" s="377">
        <f t="shared" si="41"/>
        <v>0</v>
      </c>
      <c r="AQ93">
        <f>IF(C93&lt;&gt;"",始値!F36,"")</f>
        <v>1720</v>
      </c>
      <c r="AR93">
        <f>IF(C93&lt;&gt;"",高値!F36,"")</f>
        <v>1754.5</v>
      </c>
      <c r="AS93">
        <f>IF(C93&lt;&gt;"",安値!F36,"")</f>
        <v>1719</v>
      </c>
      <c r="AT93" t="str">
        <f t="shared" si="42"/>
        <v>通常</v>
      </c>
      <c r="AU93">
        <f t="shared" si="43"/>
        <v>0</v>
      </c>
      <c r="BA93">
        <f>IFERROR((SUM(OFFSET(高値!$E$6,IFERROR(MATCH($C93,銘柄管理!$B$6:$B$305,0),MATCH(TEXT($C93,"0"),銘柄管理!$B$6:$B$305,0))-1,0,1,14))-SUM(OFFSET(安値!$E$6,IFERROR(MATCH($C93,銘柄管理!$B$6:$B$305,0),MATCH(TEXT($C93,"0"),銘柄管理!$B$6:$B$305,0))-1,0,1,14)))/SUM(OFFSET(終値!$E$6,IFERROR(MATCH($C93,銘柄管理!$B$6:$B$305,0),MATCH(TEXT($C93,"0"),銘柄管理!$B$6:$B$305,0))-1,0,1,14))*100,"")</f>
      </c>
      <c r="BB93">
        <f>IFERROR((MAX(OFFSET(高値!$E$6,IFERROR(MATCH($C93,銘柄管理!$B$6:$B$305,0),MATCH(TEXT($C93,"0"),銘柄管理!$B$6:$B$305,0))-1,0,1,25))-MIN(OFFSET(安値!$E$6,IFERROR(MATCH($C93,銘柄管理!$B$6:$B$305,0),MATCH(TEXT($C93,"0"),銘柄管理!$B$6:$B$305,0))-1,0,1,25)))/$E93*100,"")</f>
      </c>
      <c r="BC93">
        <f>IFERROR(($F93-$G93)/$G93*100,"")</f>
      </c>
      <c r="BD93">
        <f>IFERROR(($E93-MAX(OFFSET(高値!$E$6,IFERROR(MATCH($C93,銘柄管理!$B$6:$B$305,0),MATCH(TEXT($C93,"0"),銘柄管理!$B$6:$B$305,0))-1,0,1,25)))/MAX(OFFSET(高値!$E$6,IFERROR(MATCH($C93,銘柄管理!$B$6:$B$305,0),MATCH(TEXT($C93,"0"),銘柄管理!$B$6:$B$305,0))-1,0,1,25))*100,"")</f>
      </c>
      <c r="BE93">
        <f>IFERROR(($H93-$I93)/$F93*100,"")</f>
      </c>
      <c r="BF93">
        <f>IFERROR(-(($BA93-AVERAGE($BA$3:$BA$206))/STDEV($BA$3:$BA$206))-(($BE93-AVERAGE($BE$3:$BE$206))/STDEV($BE$3:$BE$206))-(($BB93-AVERAGE($BB$3:$BB$206))/STDEV($BB$3:$BB$206))-(($Z93-AVERAGE($Z$3:$Z$206))/STDEV($Z$3:$Z$206))-(($BC93-AVERAGE($BC$3:$BC$206))/STDEV($BC$3:$BC$206)),"")</f>
      </c>
      <c r="BG93">
        <f>IF(OR($C93="",$C93="TOPX",$BA93="",$BF93=""),0,IF(AND($BK$10=1,$BA93&lt;=$BK$2,$BB93&lt;=$BK$3,$BC93&lt;=$BK$4,$Z93&lt;=$BK$5,$Z93&gt;=$BK$6,$BD93&gt;=$BK$7,$BE93&lt;=$BK$8),1,0))</f>
      </c>
      <c r="BH93">
        <f>IF($C93="","",IF($BG93=1,"○ゲート通過",IF($BK$10&lt;&gt;1,"― この方向は停止中",IF($BA93&gt;$BK$2,"×値動きが荒い",IF($BB93&gt;$BK$3,"×レンジが広い",IF($BC93&gt;$BK$4,"×窓を開けて上昇",IF($Z93&gt;$BK$5,"×前日に急騰",IF($Z93&lt;$BK$6,"×前日に急落",IF($BD93&lt;$BK$7,"×高値から離れすぎ",IF($BE93&gt;$BK$8,"×当日の値幅が大きい","×")))))))))</f>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 t="shared" si="22"/>
        <v>-14.274193548387096</v>
      </c>
      <c r="M94" s="333">
        <f>IF(C94&lt;&gt;"",IFERROR(AVERAGE(出来高!E37:I37),""),"")</f>
        <v>598360</v>
      </c>
      <c r="N94" s="333">
        <f>IF(C94&lt;&gt;"",IFERROR(AVERAGE(出来高!E37:AC37),""),"")</f>
        <v>544956</v>
      </c>
      <c r="O94" s="335">
        <f t="shared" si="23"/>
        <v>1.4902399893040978</v>
      </c>
      <c r="P94" s="212" t="str">
        <f t="shared" si="24"/>
        <v>普通→</v>
      </c>
      <c r="Q94" s="212" t="str">
        <f t="shared" si="25"/>
        <v>様子見▲</v>
      </c>
      <c r="R94" s="333">
        <f t="shared" si="26"/>
        <v>1467</v>
      </c>
      <c r="S94" s="333">
        <f t="shared" si="27"/>
        <v>1658</v>
      </c>
      <c r="T94" s="325">
        <f>IF(C94="","",IFERROR(IF(W94&lt;=22,-4,IF(W94&lt;=28,-2,IF(W94&lt;=45,2,IF(W94&lt;=55,1,0))))+IF(X94&lt;0,2,0)+IF(AD94="下降トレンド▼",3,IF(AD94="もみ合い→",1,0))+IF(V94="年初来安値圏●",3,IF(V94="安値圏",2,0))+IF(Q94="売り▼",2,0)+IF(P94="急増↑↑",2,IF(P94="増加↑",1,0))+IF(Z94&lt;0,1,0)+IF(L94&lt;=-30,2,IF(L94&lt;=-15,1,0))+IF(AE94="25日戻り売り★",2,IF(AE94="5日戻り売り○",1,0))+N(AL94)+N(AP94)+N(AU94),0))</f>
      </c>
      <c r="U94" s="212" t="str">
        <f t="shared" si="29"/>
        <v>除外</v>
      </c>
      <c r="V94" s="212" t="str">
        <f t="shared" si="30"/>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 t="shared" si="31"/>
        <v>相場上昇・見送り | パーフェクト▲ MACD+ RSI:51.0 前日比:+3.1%前日[長い下ヒゲ(反発)] [-3点]</v>
      </c>
      <c r="Z94" s="338">
        <f t="shared" si="32"/>
        <v>3.1037827352085356</v>
      </c>
      <c r="AA94" s="212" t="str">
        <f t="shared" si="33"/>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 t="shared" si="34"/>
        <v>パーフェクト▲</v>
      </c>
      <c r="AE94" s="212" t="str">
        <f t="shared" si="35"/>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 t="shared" si="36"/>
        <v>0</v>
      </c>
      <c r="AH94">
        <f t="shared" si="37"/>
        <v>0</v>
      </c>
      <c r="AI94" s="373">
        <f t="array" ref="AI94">IF(C94="","",IFERROR((INDEX(終値!$E:$E,MATCH(TEXT(C94,"0"),終値!$A:$A,0))-INDEX(終値!$E:$CZ,MATCH(TEXT(C94,"0"),終値!$A:$A,0),$AN$2))/INDEX(終値!$E:$CZ,MATCH(TEXT(C94,"0"),終値!$A:$A,0),$AN$2)*100,""))</f>
        <v>8.4325059503570223</v>
      </c>
      <c r="AJ94" s="373">
        <f t="array" ref="AJ94">IFERROR((終値!$E$5-INDEX(終値!$E$5:$CZ$5,1,$AN$2))/INDEX(終値!$E$5:$CZ$5,1,$AN$2)*100,"")</f>
        <v>1.0179378228534113</v>
      </c>
      <c r="AK94" s="374">
        <f t="shared" si="38"/>
        <v>7.4145681275036113</v>
      </c>
      <c r="AL94" s="372">
        <f t="shared" si="39"/>
        <v>-2</v>
      </c>
      <c r="AO94" s="376" t="str">
        <f t="shared" si="40"/>
        <v>通常</v>
      </c>
      <c r="AP94" s="377">
        <f t="shared" si="41"/>
        <v>0</v>
      </c>
      <c r="AQ94">
        <f>IF(C94&lt;&gt;"",始値!F37,"")</f>
        <v>1541.5</v>
      </c>
      <c r="AR94">
        <f>IF(C94&lt;&gt;"",高値!F37,"")</f>
        <v>1549</v>
      </c>
      <c r="AS94">
        <f>IF(C94&lt;&gt;"",安値!F37,"")</f>
        <v>1528</v>
      </c>
      <c r="AT94" t="str">
        <f t="shared" si="42"/>
        <v>長い下ヒゲ(反発)</v>
      </c>
      <c r="AU94">
        <f t="shared" si="43"/>
        <v>-2</v>
      </c>
      <c r="BA94">
        <f>IFERROR((SUM(OFFSET(高値!$E$6,IFERROR(MATCH($C94,銘柄管理!$B$6:$B$305,0),MATCH(TEXT($C94,"0"),銘柄管理!$B$6:$B$305,0))-1,0,1,14))-SUM(OFFSET(安値!$E$6,IFERROR(MATCH($C94,銘柄管理!$B$6:$B$305,0),MATCH(TEXT($C94,"0"),銘柄管理!$B$6:$B$305,0))-1,0,1,14)))/SUM(OFFSET(終値!$E$6,IFERROR(MATCH($C94,銘柄管理!$B$6:$B$305,0),MATCH(TEXT($C94,"0"),銘柄管理!$B$6:$B$305,0))-1,0,1,14))*100,"")</f>
      </c>
      <c r="BB94">
        <f>IFERROR((MAX(OFFSET(高値!$E$6,IFERROR(MATCH($C94,銘柄管理!$B$6:$B$305,0),MATCH(TEXT($C94,"0"),銘柄管理!$B$6:$B$305,0))-1,0,1,25))-MIN(OFFSET(安値!$E$6,IFERROR(MATCH($C94,銘柄管理!$B$6:$B$305,0),MATCH(TEXT($C94,"0"),銘柄管理!$B$6:$B$305,0))-1,0,1,25)))/$E94*100,"")</f>
      </c>
      <c r="BC94">
        <f>IFERROR(($F94-$G94)/$G94*100,"")</f>
      </c>
      <c r="BD94">
        <f>IFERROR(($E94-MAX(OFFSET(高値!$E$6,IFERROR(MATCH($C94,銘柄管理!$B$6:$B$305,0),MATCH(TEXT($C94,"0"),銘柄管理!$B$6:$B$305,0))-1,0,1,25)))/MAX(OFFSET(高値!$E$6,IFERROR(MATCH($C94,銘柄管理!$B$6:$B$305,0),MATCH(TEXT($C94,"0"),銘柄管理!$B$6:$B$305,0))-1,0,1,25))*100,"")</f>
      </c>
      <c r="BE94">
        <f>IFERROR(($H94-$I94)/$F94*100,"")</f>
      </c>
      <c r="BF94">
        <f>IFERROR(-(($BA94-AVERAGE($BA$3:$BA$206))/STDEV($BA$3:$BA$206))-(($BE94-AVERAGE($BE$3:$BE$206))/STDEV($BE$3:$BE$206))-(($BB94-AVERAGE($BB$3:$BB$206))/STDEV($BB$3:$BB$206))-(($Z94-AVERAGE($Z$3:$Z$206))/STDEV($Z$3:$Z$206))-(($BC94-AVERAGE($BC$3:$BC$206))/STDEV($BC$3:$BC$206)),"")</f>
      </c>
      <c r="BG94">
        <f>IF(OR($C94="",$C94="TOPX",$BA94="",$BF94=""),0,IF(AND($BK$10=1,$BA94&lt;=$BK$2,$BB94&lt;=$BK$3,$BC94&lt;=$BK$4,$Z94&lt;=$BK$5,$Z94&gt;=$BK$6,$BD94&gt;=$BK$7,$BE94&lt;=$BK$8),1,0))</f>
      </c>
      <c r="BH94">
        <f>IF($C94="","",IF($BG94=1,"○ゲート通過",IF($BK$10&lt;&gt;1,"― この方向は停止中",IF($BA94&gt;$BK$2,"×値動きが荒い",IF($BB94&gt;$BK$3,"×レンジが広い",IF($BC94&gt;$BK$4,"×窓を開けて上昇",IF($Z94&gt;$BK$5,"×前日に急騰",IF($Z94&lt;$BK$6,"×前日に急落",IF($BD94&lt;$BK$7,"×高値から離れすぎ",IF($BE94&gt;$BK$8,"×当日の値幅が大きい","×")))))))))</f>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 t="shared" si="22"/>
        <v>-15.255305736499263</v>
      </c>
      <c r="M95" s="326">
        <f>IF(C95&lt;&gt;"",IFERROR(AVERAGE(出来高!E38:I38),""),"")</f>
        <v>3407660</v>
      </c>
      <c r="N95" s="326">
        <f>IF(C95&lt;&gt;"",IFERROR(AVERAGE(出来高!E38:AC38),""),"")</f>
        <v>2411612</v>
      </c>
      <c r="O95" s="328">
        <f t="shared" si="23"/>
        <v>0.87881420094727758</v>
      </c>
      <c r="P95" s="325" t="str">
        <f t="shared" si="24"/>
        <v>減少↓</v>
      </c>
      <c r="Q95" s="325" t="str">
        <f t="shared" si="25"/>
        <v>様子見▲</v>
      </c>
      <c r="R95" s="326">
        <f t="shared" si="26"/>
        <v>1855</v>
      </c>
      <c r="S95" s="326">
        <f t="shared" si="27"/>
        <v>2097</v>
      </c>
      <c r="T95" s="325">
        <f>IF(C95="","",IFERROR(IF(W95&lt;=22,-4,IF(W95&lt;=28,-2,IF(W95&lt;=45,2,IF(W95&lt;=55,1,0))))+IF(X95&lt;0,2,0)+IF(AD95="下降トレンド▼",3,IF(AD95="もみ合い→",1,0))+IF(V95="年初来安値圏●",3,IF(V95="安値圏",2,0))+IF(Q95="売り▼",2,0)+IF(P95="急増↑↑",2,IF(P95="増加↑",1,0))+IF(Z95&lt;0,1,0)+IF(L95&lt;=-30,2,IF(L95&lt;=-15,1,0))+IF(AE95="25日戻り売り★",2,IF(AE95="5日戻り売り○",1,0))+N(AL95)+N(AP95)+N(AU95),0))</f>
      </c>
      <c r="U95" s="325" t="str">
        <f t="shared" si="29"/>
        <v>除外</v>
      </c>
      <c r="V95" s="325" t="str">
        <f t="shared" si="30"/>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 t="shared" si="31"/>
        <v>相場上昇・見送り | 上昇トレンド▲ 5日戻り売り○ MACD+ RSI:55.2 前日比:+2.3% [1点]</v>
      </c>
      <c r="Z95" s="331">
        <f t="shared" si="32"/>
        <v>2.2565922920892496</v>
      </c>
      <c r="AA95" s="325" t="str">
        <f t="shared" si="33"/>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 t="shared" si="34"/>
        <v>上昇トレンド▲</v>
      </c>
      <c r="AE95" s="325" t="str">
        <f t="shared" si="35"/>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 t="shared" si="36"/>
        <v>0</v>
      </c>
      <c r="AH95">
        <f t="shared" si="37"/>
        <v>0</v>
      </c>
      <c r="AI95" s="373">
        <f t="array" ref="AI95">IF(C95="","",IFERROR((INDEX(終値!$E:$E,MATCH(TEXT(C95,"0"),終値!$A:$A,0))-INDEX(終値!$E:$CZ,MATCH(TEXT(C95,"0"),終値!$A:$A,0),$AN$2))/INDEX(終値!$E:$CZ,MATCH(TEXT(C95,"0"),終値!$A:$A,0),$AN$2)*100,""))</f>
        <v>9.0589507842076795</v>
      </c>
      <c r="AJ95" s="373">
        <f t="array" ref="AJ95">IFERROR((終値!$E$5-INDEX(終値!$E$5:$CZ$5,1,$AN$2))/INDEX(終値!$E$5:$CZ$5,1,$AN$2)*100,"")</f>
        <v>1.0179378228534113</v>
      </c>
      <c r="AK95" s="374">
        <f t="shared" si="38"/>
        <v>8.0410129613542676</v>
      </c>
      <c r="AL95" s="372">
        <f t="shared" si="39"/>
        <v>-2</v>
      </c>
      <c r="AO95" s="376" t="str">
        <f t="shared" si="40"/>
        <v>通常</v>
      </c>
      <c r="AP95" s="377">
        <f t="shared" si="41"/>
        <v>0</v>
      </c>
      <c r="AQ95">
        <f>IF(C95&lt;&gt;"",始値!F38,"")</f>
        <v>2080</v>
      </c>
      <c r="AR95">
        <f>IF(C95&lt;&gt;"",高値!F38,"")</f>
        <v>2093.5</v>
      </c>
      <c r="AS95">
        <f>IF(C95&lt;&gt;"",安値!F38,"")</f>
        <v>1919.5</v>
      </c>
      <c r="AT95" t="str">
        <f t="shared" si="42"/>
        <v>通常</v>
      </c>
      <c r="AU95">
        <f t="shared" si="43"/>
        <v>0</v>
      </c>
      <c r="BA95">
        <f>IFERROR((SUM(OFFSET(高値!$E$6,IFERROR(MATCH($C95,銘柄管理!$B$6:$B$305,0),MATCH(TEXT($C95,"0"),銘柄管理!$B$6:$B$305,0))-1,0,1,14))-SUM(OFFSET(安値!$E$6,IFERROR(MATCH($C95,銘柄管理!$B$6:$B$305,0),MATCH(TEXT($C95,"0"),銘柄管理!$B$6:$B$305,0))-1,0,1,14)))/SUM(OFFSET(終値!$E$6,IFERROR(MATCH($C95,銘柄管理!$B$6:$B$305,0),MATCH(TEXT($C95,"0"),銘柄管理!$B$6:$B$305,0))-1,0,1,14))*100,"")</f>
      </c>
      <c r="BB95">
        <f>IFERROR((MAX(OFFSET(高値!$E$6,IFERROR(MATCH($C95,銘柄管理!$B$6:$B$305,0),MATCH(TEXT($C95,"0"),銘柄管理!$B$6:$B$305,0))-1,0,1,25))-MIN(OFFSET(安値!$E$6,IFERROR(MATCH($C95,銘柄管理!$B$6:$B$305,0),MATCH(TEXT($C95,"0"),銘柄管理!$B$6:$B$305,0))-1,0,1,25)))/$E95*100,"")</f>
      </c>
      <c r="BC95">
        <f>IFERROR(($F95-$G95)/$G95*100,"")</f>
      </c>
      <c r="BD95">
        <f>IFERROR(($E95-MAX(OFFSET(高値!$E$6,IFERROR(MATCH($C95,銘柄管理!$B$6:$B$305,0),MATCH(TEXT($C95,"0"),銘柄管理!$B$6:$B$305,0))-1,0,1,25)))/MAX(OFFSET(高値!$E$6,IFERROR(MATCH($C95,銘柄管理!$B$6:$B$305,0),MATCH(TEXT($C95,"0"),銘柄管理!$B$6:$B$305,0))-1,0,1,25))*100,"")</f>
      </c>
      <c r="BE95">
        <f>IFERROR(($H95-$I95)/$F95*100,"")</f>
      </c>
      <c r="BF95">
        <f>IFERROR(-(($BA95-AVERAGE($BA$3:$BA$206))/STDEV($BA$3:$BA$206))-(($BE95-AVERAGE($BE$3:$BE$206))/STDEV($BE$3:$BE$206))-(($BB95-AVERAGE($BB$3:$BB$206))/STDEV($BB$3:$BB$206))-(($Z95-AVERAGE($Z$3:$Z$206))/STDEV($Z$3:$Z$206))-(($BC95-AVERAGE($BC$3:$BC$206))/STDEV($BC$3:$BC$206)),"")</f>
      </c>
      <c r="BG95">
        <f>IF(OR($C95="",$C95="TOPX",$BA95="",$BF95=""),0,IF(AND($BK$10=1,$BA95&lt;=$BK$2,$BB95&lt;=$BK$3,$BC95&lt;=$BK$4,$Z95&lt;=$BK$5,$Z95&gt;=$BK$6,$BD95&gt;=$BK$7,$BE95&lt;=$BK$8),1,0))</f>
      </c>
      <c r="BH95">
        <f>IF($C95="","",IF($BG95=1,"○ゲート通過",IF($BK$10&lt;&gt;1,"― この方向は停止中",IF($BA95&gt;$BK$2,"×値動きが荒い",IF($BB95&gt;$BK$3,"×レンジが広い",IF($BC95&gt;$BK$4,"×窓を開けて上昇",IF($Z95&gt;$BK$5,"×前日に急騰",IF($Z95&lt;$BK$6,"×前日に急落",IF($BD95&lt;$BK$7,"×高値から離れすぎ",IF($BE95&gt;$BK$8,"×当日の値幅が大きい","×")))))))))</f>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 t="shared" si="22"/>
        <v>-19.299820466786354</v>
      </c>
      <c r="M96" s="333">
        <f>IF(C96&lt;&gt;"",IFERROR(AVERAGE(出来高!E42:I42),""),"")</f>
        <v>426820</v>
      </c>
      <c r="N96" s="333">
        <f>IF(C96&lt;&gt;"",IFERROR(AVERAGE(出来高!E42:AC42),""),"")</f>
        <v>332340</v>
      </c>
      <c r="O96" s="335">
        <f t="shared" si="23"/>
        <v>1.6901738437748934</v>
      </c>
      <c r="P96" s="212" t="str">
        <f t="shared" si="24"/>
        <v>増加↑</v>
      </c>
      <c r="Q96" s="212" t="str">
        <f t="shared" si="25"/>
        <v>様子見▲</v>
      </c>
      <c r="R96" s="333">
        <f t="shared" si="26"/>
        <v>3308</v>
      </c>
      <c r="S96" s="333">
        <f t="shared" si="27"/>
        <v>3740</v>
      </c>
      <c r="T96" s="325">
        <f>IF(C96="","",IFERROR(IF(W96&lt;=22,-4,IF(W96&lt;=28,-2,IF(W96&lt;=45,2,IF(W96&lt;=55,1,0))))+IF(X96&lt;0,2,0)+IF(AD96="下降トレンド▼",3,IF(AD96="もみ合い→",1,0))+IF(V96="年初来安値圏●",3,IF(V96="安値圏",2,0))+IF(Q96="売り▼",2,0)+IF(P96="急増↑↑",2,IF(P96="増加↑",1,0))+IF(Z96&lt;0,1,0)+IF(L96&lt;=-30,2,IF(L96&lt;=-15,1,0))+IF(AE96="25日戻り売り★",2,IF(AE96="5日戻り売り○",1,0))+N(AL96)+N(AP96)+N(AU96),0))</f>
      </c>
      <c r="U96" s="212" t="str">
        <f t="shared" si="29"/>
        <v>有効</v>
      </c>
      <c r="V96" s="212" t="str">
        <f t="shared" si="30"/>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 t="shared" si="31"/>
        <v>○逆張り売り | もみ合い→ 25日戻り売り★ MACD- RSI:42.8 前日比:+2.7% [8点]</v>
      </c>
      <c r="Z96" s="338">
        <f t="shared" si="32"/>
        <v>2.7428571428571429</v>
      </c>
      <c r="AA96" s="212" t="str">
        <f t="shared" si="33"/>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 t="shared" si="34"/>
        <v>もみ合い→</v>
      </c>
      <c r="AE96" s="212" t="str">
        <f t="shared" si="35"/>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 t="shared" si="36"/>
        <v>8</v>
      </c>
      <c r="AH96">
        <f t="shared" si="37"/>
        <v>79904</v>
      </c>
      <c r="AI96" s="373">
        <f t="array" ref="AI96">IF(C96="","",IFERROR((INDEX(終値!$E:$E,MATCH(TEXT(C96,"0"),終値!$A:$A,0))-INDEX(終値!$E:$CZ,MATCH(TEXT(C96,"0"),終値!$A:$A,0),$AN$2))/INDEX(終値!$E:$CZ,MATCH(TEXT(C96,"0"),終値!$A:$A,0),$AN$2)*100,""))</f>
        <v>0.86956521739130432</v>
      </c>
      <c r="AJ96" s="373">
        <f t="array" ref="AJ96">IFERROR((終値!$E$5-INDEX(終値!$E$5:$CZ$5,1,$AN$2))/INDEX(終値!$E$5:$CZ$5,1,$AN$2)*100,"")</f>
        <v>1.0179378228534113</v>
      </c>
      <c r="AK96" s="374">
        <f t="shared" si="38"/>
        <v>-0.14837260546210695</v>
      </c>
      <c r="AL96" s="372">
        <f t="shared" si="39"/>
        <v>1</v>
      </c>
      <c r="AO96" s="376" t="str">
        <f t="shared" si="40"/>
        <v>通常</v>
      </c>
      <c r="AP96" s="377">
        <f t="shared" si="41"/>
        <v>0</v>
      </c>
      <c r="AQ96">
        <f>IF(C96&lt;&gt;"",始値!F42,"")</f>
        <v>3481</v>
      </c>
      <c r="AR96">
        <f>IF(C96&lt;&gt;"",高値!F42,"")</f>
        <v>3500</v>
      </c>
      <c r="AS96">
        <f>IF(C96&lt;&gt;"",安値!F42,"")</f>
        <v>3463</v>
      </c>
      <c r="AT96" t="str">
        <f t="shared" si="42"/>
        <v>通常</v>
      </c>
      <c r="AU96">
        <f t="shared" si="43"/>
        <v>0</v>
      </c>
      <c r="BA96">
        <f>IFERROR((SUM(OFFSET(高値!$E$6,IFERROR(MATCH($C96,銘柄管理!$B$6:$B$305,0),MATCH(TEXT($C96,"0"),銘柄管理!$B$6:$B$305,0))-1,0,1,14))-SUM(OFFSET(安値!$E$6,IFERROR(MATCH($C96,銘柄管理!$B$6:$B$305,0),MATCH(TEXT($C96,"0"),銘柄管理!$B$6:$B$305,0))-1,0,1,14)))/SUM(OFFSET(終値!$E$6,IFERROR(MATCH($C96,銘柄管理!$B$6:$B$305,0),MATCH(TEXT($C96,"0"),銘柄管理!$B$6:$B$305,0))-1,0,1,14))*100,"")</f>
      </c>
      <c r="BB96">
        <f>IFERROR((MAX(OFFSET(高値!$E$6,IFERROR(MATCH($C96,銘柄管理!$B$6:$B$305,0),MATCH(TEXT($C96,"0"),銘柄管理!$B$6:$B$305,0))-1,0,1,25))-MIN(OFFSET(安値!$E$6,IFERROR(MATCH($C96,銘柄管理!$B$6:$B$305,0),MATCH(TEXT($C96,"0"),銘柄管理!$B$6:$B$305,0))-1,0,1,25)))/$E96*100,"")</f>
      </c>
      <c r="BC96">
        <f>IFERROR(($F96-$G96)/$G96*100,"")</f>
      </c>
      <c r="BD96">
        <f>IFERROR(($E96-MAX(OFFSET(高値!$E$6,IFERROR(MATCH($C96,銘柄管理!$B$6:$B$305,0),MATCH(TEXT($C96,"0"),銘柄管理!$B$6:$B$305,0))-1,0,1,25)))/MAX(OFFSET(高値!$E$6,IFERROR(MATCH($C96,銘柄管理!$B$6:$B$305,0),MATCH(TEXT($C96,"0"),銘柄管理!$B$6:$B$305,0))-1,0,1,25))*100,"")</f>
      </c>
      <c r="BE96">
        <f>IFERROR(($H96-$I96)/$F96*100,"")</f>
      </c>
      <c r="BF96">
        <f>IFERROR(-(($BA96-AVERAGE($BA$3:$BA$206))/STDEV($BA$3:$BA$206))-(($BE96-AVERAGE($BE$3:$BE$206))/STDEV($BE$3:$BE$206))-(($BB96-AVERAGE($BB$3:$BB$206))/STDEV($BB$3:$BB$206))-(($Z96-AVERAGE($Z$3:$Z$206))/STDEV($Z$3:$Z$206))-(($BC96-AVERAGE($BC$3:$BC$206))/STDEV($BC$3:$BC$206)),"")</f>
      </c>
      <c r="BG96">
        <f>IF(OR($C96="",$C96="TOPX",$BA96="",$BF96=""),0,IF(AND($BK$10=1,$BA96&lt;=$BK$2,$BB96&lt;=$BK$3,$BC96&lt;=$BK$4,$Z96&lt;=$BK$5,$Z96&gt;=$BK$6,$BD96&gt;=$BK$7,$BE96&lt;=$BK$8),1,0))</f>
      </c>
      <c r="BH96">
        <f>IF($C96="","",IF($BG96=1,"○ゲート通過",IF($BK$10&lt;&gt;1,"― この方向は停止中",IF($BA96&gt;$BK$2,"×値動きが荒い",IF($BB96&gt;$BK$3,"×レンジが広い",IF($BC96&gt;$BK$4,"×窓を開けて上昇",IF($Z96&gt;$BK$5,"×前日に急騰",IF($Z96&lt;$BK$6,"×前日に急落",IF($BD96&lt;$BK$7,"×高値から離れすぎ",IF($BE96&gt;$BK$8,"×当日の値幅が大きい","×")))))))))</f>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 t="shared" si="22"/>
        <v>-29.428208386276999</v>
      </c>
      <c r="M97" s="326">
        <f>IF(C97&lt;&gt;"",IFERROR(AVERAGE(出来高!E51:I51),""),"")</f>
        <v>80420</v>
      </c>
      <c r="N97" s="326">
        <f>IF(C97&lt;&gt;"",IFERROR(AVERAGE(出来高!E51:AC51),""),"")</f>
        <v>42388</v>
      </c>
      <c r="O97" s="328">
        <f t="shared" si="23"/>
        <v>0.79830887838846054</v>
      </c>
      <c r="P97" s="325" t="str">
        <f t="shared" si="24"/>
        <v>減少↓</v>
      </c>
      <c r="Q97" s="325" t="str">
        <f t="shared" si="25"/>
        <v>様子見▲</v>
      </c>
      <c r="R97" s="326">
        <f t="shared" si="26"/>
        <v>2555</v>
      </c>
      <c r="S97" s="326">
        <f t="shared" si="27"/>
        <v>2888</v>
      </c>
      <c r="T97" s="325">
        <f>IF(C97="","",IFERROR(IF(W97&lt;=22,-4,IF(W97&lt;=28,-2,IF(W97&lt;=45,2,IF(W97&lt;=55,1,0))))+IF(X97&lt;0,2,0)+IF(AD97="下降トレンド▼",3,IF(AD97="もみ合い→",1,0))+IF(V97="年初来安値圏●",3,IF(V97="安値圏",2,0))+IF(Q97="売り▼",2,0)+IF(P97="急増↑↑",2,IF(P97="増加↑",1,0))+IF(Z97&lt;0,1,0)+IF(L97&lt;=-30,2,IF(L97&lt;=-15,1,0))+IF(AE97="25日戻り売り★",2,IF(AE97="5日戻り売り○",1,0))+N(AL97)+N(AP97)+N(AU97),0))</f>
      </c>
      <c r="U97" s="325" t="str">
        <f t="shared" si="29"/>
        <v>除外</v>
      </c>
      <c r="V97" s="325" t="str">
        <f t="shared" si="30"/>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 t="shared" si="31"/>
        <v>相場上昇・見送り | パーフェクト▲ MACD+ RSI:57.9 前日比:+1.6% [安値圏] [2点]</v>
      </c>
      <c r="Z97" s="331">
        <f t="shared" si="32"/>
        <v>1.6471449487554906</v>
      </c>
      <c r="AA97" s="325" t="str">
        <f t="shared" si="33"/>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 t="shared" si="34"/>
        <v>パーフェクト▲</v>
      </c>
      <c r="AE97" s="325" t="str">
        <f t="shared" si="35"/>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 t="shared" si="36"/>
        <v>0</v>
      </c>
      <c r="AH97">
        <f t="shared" si="37"/>
        <v>0</v>
      </c>
      <c r="AI97" s="373">
        <f t="array" ref="AI97">IF(C97="","",IFERROR((INDEX(終値!$E:$E,MATCH(TEXT(C97,"0"),終値!$A:$A,0))-INDEX(終値!$E:$CZ,MATCH(TEXT(C97,"0"),終値!$A:$A,0),$AN$2))/INDEX(終値!$E:$CZ,MATCH(TEXT(C97,"0"),終値!$A:$A,0),$AN$2)*100,""))</f>
        <v>22.604856512141282</v>
      </c>
      <c r="AJ97" s="373">
        <f t="array" ref="AJ97">IFERROR((終値!$E$5-INDEX(終値!$E$5:$CZ$5,1,$AN$2))/INDEX(終値!$E$5:$CZ$5,1,$AN$2)*100,"")</f>
        <v>1.0179378228534113</v>
      </c>
      <c r="AK97" s="374">
        <f t="shared" si="38"/>
        <v>21.58691868928787</v>
      </c>
      <c r="AL97" s="372">
        <f t="shared" si="39"/>
        <v>-2</v>
      </c>
      <c r="AO97" s="376" t="str">
        <f t="shared" si="40"/>
        <v>通常</v>
      </c>
      <c r="AP97" s="377">
        <f t="shared" si="41"/>
        <v>0</v>
      </c>
      <c r="AQ97">
        <f>IF(C97&lt;&gt;"",始値!F51,"")</f>
        <v>2498</v>
      </c>
      <c r="AR97">
        <f>IF(C97&lt;&gt;"",高値!F51,"")</f>
        <v>2770</v>
      </c>
      <c r="AS97">
        <f>IF(C97&lt;&gt;"",安値!F51,"")</f>
        <v>2491</v>
      </c>
      <c r="AT97" t="str">
        <f t="shared" si="42"/>
        <v>通常</v>
      </c>
      <c r="AU97">
        <f t="shared" si="43"/>
        <v>0</v>
      </c>
      <c r="BA97">
        <f>IFERROR((SUM(OFFSET(高値!$E$6,IFERROR(MATCH($C97,銘柄管理!$B$6:$B$305,0),MATCH(TEXT($C97,"0"),銘柄管理!$B$6:$B$305,0))-1,0,1,14))-SUM(OFFSET(安値!$E$6,IFERROR(MATCH($C97,銘柄管理!$B$6:$B$305,0),MATCH(TEXT($C97,"0"),銘柄管理!$B$6:$B$305,0))-1,0,1,14)))/SUM(OFFSET(終値!$E$6,IFERROR(MATCH($C97,銘柄管理!$B$6:$B$305,0),MATCH(TEXT($C97,"0"),銘柄管理!$B$6:$B$305,0))-1,0,1,14))*100,"")</f>
      </c>
      <c r="BB97">
        <f>IFERROR((MAX(OFFSET(高値!$E$6,IFERROR(MATCH($C97,銘柄管理!$B$6:$B$305,0),MATCH(TEXT($C97,"0"),銘柄管理!$B$6:$B$305,0))-1,0,1,25))-MIN(OFFSET(安値!$E$6,IFERROR(MATCH($C97,銘柄管理!$B$6:$B$305,0),MATCH(TEXT($C97,"0"),銘柄管理!$B$6:$B$305,0))-1,0,1,25)))/$E97*100,"")</f>
      </c>
      <c r="BC97">
        <f>IFERROR(($F97-$G97)/$G97*100,"")</f>
      </c>
      <c r="BD97">
        <f>IFERROR(($E97-MAX(OFFSET(高値!$E$6,IFERROR(MATCH($C97,銘柄管理!$B$6:$B$305,0),MATCH(TEXT($C97,"0"),銘柄管理!$B$6:$B$305,0))-1,0,1,25)))/MAX(OFFSET(高値!$E$6,IFERROR(MATCH($C97,銘柄管理!$B$6:$B$305,0),MATCH(TEXT($C97,"0"),銘柄管理!$B$6:$B$305,0))-1,0,1,25))*100,"")</f>
      </c>
      <c r="BE97">
        <f>IFERROR(($H97-$I97)/$F97*100,"")</f>
      </c>
      <c r="BF97">
        <f>IFERROR(-(($BA97-AVERAGE($BA$3:$BA$206))/STDEV($BA$3:$BA$206))-(($BE97-AVERAGE($BE$3:$BE$206))/STDEV($BE$3:$BE$206))-(($BB97-AVERAGE($BB$3:$BB$206))/STDEV($BB$3:$BB$206))-(($Z97-AVERAGE($Z$3:$Z$206))/STDEV($Z$3:$Z$206))-(($BC97-AVERAGE($BC$3:$BC$206))/STDEV($BC$3:$BC$206)),"")</f>
      </c>
      <c r="BG97">
        <f>IF(OR($C97="",$C97="TOPX",$BA97="",$BF97=""),0,IF(AND($BK$10=1,$BA97&lt;=$BK$2,$BB97&lt;=$BK$3,$BC97&lt;=$BK$4,$Z97&lt;=$BK$5,$Z97&gt;=$BK$6,$BD97&gt;=$BK$7,$BE97&lt;=$BK$8),1,0))</f>
      </c>
      <c r="BH97">
        <f>IF($C97="","",IF($BG97=1,"○ゲート通過",IF($BK$10&lt;&gt;1,"― この方向は停止中",IF($BA97&gt;$BK$2,"×値動きが荒い",IF($BB97&gt;$BK$3,"×レンジが広い",IF($BC97&gt;$BK$4,"×窓を開けて上昇",IF($Z97&gt;$BK$5,"×前日に急騰",IF($Z97&lt;$BK$6,"×前日に急落",IF($BD97&lt;$BK$7,"×高値から離れすぎ",IF($BE97&gt;$BK$8,"×当日の値幅が大きい","×")))))))))</f>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 t="shared" si="22"/>
        <v>-32.435530085959883</v>
      </c>
      <c r="M98" s="333">
        <f>IF(C98&lt;&gt;"",IFERROR(AVERAGE(出来高!E72:I72),""),"")</f>
        <v>49900</v>
      </c>
      <c r="N98" s="333">
        <f>IF(C98&lt;&gt;"",IFERROR(AVERAGE(出来高!E72:AC72),""),"")</f>
        <v>71812</v>
      </c>
      <c r="O98" s="335">
        <f t="shared" si="23"/>
        <v>1.2124248496993988</v>
      </c>
      <c r="P98" s="212" t="str">
        <f t="shared" si="24"/>
        <v>普通→</v>
      </c>
      <c r="Q98" s="212" t="str">
        <f t="shared" si="25"/>
        <v>中立→</v>
      </c>
      <c r="R98" s="333">
        <f t="shared" si="26"/>
        <v>2169</v>
      </c>
      <c r="S98" s="333">
        <f t="shared" si="27"/>
        <v>2452</v>
      </c>
      <c r="T98" s="325">
        <f>IF(C98="","",IFERROR(IF(W98&lt;=22,-4,IF(W98&lt;=28,-2,IF(W98&lt;=45,2,IF(W98&lt;=55,1,0))))+IF(X98&lt;0,2,0)+IF(AD98="下降トレンド▼",3,IF(AD98="もみ合い→",1,0))+IF(V98="年初来安値圏●",3,IF(V98="安値圏",2,0))+IF(Q98="売り▼",2,0)+IF(P98="急増↑↑",2,IF(P98="増加↑",1,0))+IF(Z98&lt;0,1,0)+IF(L98&lt;=-30,2,IF(L98&lt;=-15,1,0))+IF(AE98="25日戻り売り★",2,IF(AE98="5日戻り売り○",1,0))+N(AL98)+N(AP98)+N(AU98),0))</f>
      </c>
      <c r="U98" s="212" t="str">
        <f t="shared" si="29"/>
        <v>要確認</v>
      </c>
      <c r="V98" s="212" t="str">
        <f t="shared" si="30"/>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 t="shared" si="31"/>
        <v>相場上昇・見送り | パーフェクト▲ MACD- RSI:49.9 前日比:-1.3% [安値圏] [上ヒゲ陰線▼] [10点]</v>
      </c>
      <c r="Z98" s="338">
        <f t="shared" si="32"/>
        <v>-1.3389121338912133</v>
      </c>
      <c r="AA98" s="212" t="str">
        <f t="shared" si="33"/>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 t="shared" si="34"/>
        <v>パーフェクト▲</v>
      </c>
      <c r="AE98" s="212" t="str">
        <f t="shared" si="35"/>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 t="shared" si="36"/>
        <v>10</v>
      </c>
      <c r="AH98">
        <f t="shared" si="37"/>
        <v>99902</v>
      </c>
      <c r="AI98" s="373">
        <f t="array" ref="AI98">IF(C98="","",IFERROR((INDEX(終値!$E:$E,MATCH(TEXT(C98,"0"),終値!$A:$A,0))-INDEX(終値!$E:$CZ,MATCH(TEXT(C98,"0"),終値!$A:$A,0),$AN$2))/INDEX(終値!$E:$CZ,MATCH(TEXT(C98,"0"),終値!$A:$A,0),$AN$2)*100,""))</f>
        <v>-1.8726591760299627</v>
      </c>
      <c r="AJ98" s="373">
        <f t="array" ref="AJ98">IFERROR((終値!$E$5-INDEX(終値!$E$5:$CZ$5,1,$AN$2))/INDEX(終値!$E$5:$CZ$5,1,$AN$2)*100,"")</f>
        <v>1.0179378228534113</v>
      </c>
      <c r="AK98" s="374">
        <f t="shared" si="38"/>
        <v>-2.8905969988833737</v>
      </c>
      <c r="AL98" s="372">
        <f t="shared" si="39"/>
        <v>1</v>
      </c>
      <c r="AO98" s="376" t="str">
        <f t="shared" si="40"/>
        <v>上ヒゲ陰線▼</v>
      </c>
      <c r="AP98" s="377">
        <f t="shared" si="41"/>
        <v>2</v>
      </c>
      <c r="AQ98">
        <f>IF(C98&lt;&gt;"",始値!F72,"")</f>
        <v>2318</v>
      </c>
      <c r="AR98">
        <f>IF(C98&lt;&gt;"",高値!F72,"")</f>
        <v>2391</v>
      </c>
      <c r="AS98">
        <f>IF(C98&lt;&gt;"",安値!F72,"")</f>
        <v>2305</v>
      </c>
      <c r="AT98" t="str">
        <f t="shared" si="42"/>
        <v>通常</v>
      </c>
      <c r="AU98">
        <f t="shared" si="43"/>
        <v>0</v>
      </c>
      <c r="BA98">
        <f>IFERROR((SUM(OFFSET(高値!$E$6,IFERROR(MATCH($C98,銘柄管理!$B$6:$B$305,0),MATCH(TEXT($C98,"0"),銘柄管理!$B$6:$B$305,0))-1,0,1,14))-SUM(OFFSET(安値!$E$6,IFERROR(MATCH($C98,銘柄管理!$B$6:$B$305,0),MATCH(TEXT($C98,"0"),銘柄管理!$B$6:$B$305,0))-1,0,1,14)))/SUM(OFFSET(終値!$E$6,IFERROR(MATCH($C98,銘柄管理!$B$6:$B$305,0),MATCH(TEXT($C98,"0"),銘柄管理!$B$6:$B$305,0))-1,0,1,14))*100,"")</f>
      </c>
      <c r="BB98">
        <f>IFERROR((MAX(OFFSET(高値!$E$6,IFERROR(MATCH($C98,銘柄管理!$B$6:$B$305,0),MATCH(TEXT($C98,"0"),銘柄管理!$B$6:$B$305,0))-1,0,1,25))-MIN(OFFSET(安値!$E$6,IFERROR(MATCH($C98,銘柄管理!$B$6:$B$305,0),MATCH(TEXT($C98,"0"),銘柄管理!$B$6:$B$305,0))-1,0,1,25)))/$E98*100,"")</f>
      </c>
      <c r="BC98">
        <f>IFERROR(($F98-$G98)/$G98*100,"")</f>
      </c>
      <c r="BD98">
        <f>IFERROR(($E98-MAX(OFFSET(高値!$E$6,IFERROR(MATCH($C98,銘柄管理!$B$6:$B$305,0),MATCH(TEXT($C98,"0"),銘柄管理!$B$6:$B$305,0))-1,0,1,25)))/MAX(OFFSET(高値!$E$6,IFERROR(MATCH($C98,銘柄管理!$B$6:$B$305,0),MATCH(TEXT($C98,"0"),銘柄管理!$B$6:$B$305,0))-1,0,1,25))*100,"")</f>
      </c>
      <c r="BE98">
        <f>IFERROR(($H98-$I98)/$F98*100,"")</f>
      </c>
      <c r="BF98">
        <f>IFERROR(-(($BA98-AVERAGE($BA$3:$BA$206))/STDEV($BA$3:$BA$206))-(($BE98-AVERAGE($BE$3:$BE$206))/STDEV($BE$3:$BE$206))-(($BB98-AVERAGE($BB$3:$BB$206))/STDEV($BB$3:$BB$206))-(($Z98-AVERAGE($Z$3:$Z$206))/STDEV($Z$3:$Z$206))-(($BC98-AVERAGE($BC$3:$BC$206))/STDEV($BC$3:$BC$206)),"")</f>
      </c>
      <c r="BG98">
        <f>IF(OR($C98="",$C98="TOPX",$BA98="",$BF98=""),0,IF(AND($BK$10=1,$BA98&lt;=$BK$2,$BB98&lt;=$BK$3,$BC98&lt;=$BK$4,$Z98&lt;=$BK$5,$Z98&gt;=$BK$6,$BD98&gt;=$BK$7,$BE98&lt;=$BK$8),1,0))</f>
      </c>
      <c r="BH98">
        <f>IF($C98="","",IF($BG98=1,"○ゲート通過",IF($BK$10&lt;&gt;1,"― この方向は停止中",IF($BA98&gt;$BK$2,"×値動きが荒い",IF($BB98&gt;$BK$3,"×レンジが広い",IF($BC98&gt;$BK$4,"×窓を開けて上昇",IF($Z98&gt;$BK$5,"×前日に急騰",IF($Z98&lt;$BK$6,"×前日に急落",IF($BD98&lt;$BK$7,"×高値から離れすぎ",IF($BE98&gt;$BK$8,"×当日の値幅が大きい","×")))))))))</f>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 t="shared" si="22"/>
        <v>-7.4583211465340753</v>
      </c>
      <c r="M99" s="326">
        <f>IF(C99&lt;&gt;"",IFERROR(AVERAGE(出来高!E74:I74),""),"")</f>
        <v>2516960</v>
      </c>
      <c r="N99" s="326">
        <f>IF(C99&lt;&gt;"",IFERROR(AVERAGE(出来高!E74:AC74),""),"")</f>
        <v>2701416</v>
      </c>
      <c r="O99" s="328">
        <f t="shared" si="23"/>
        <v>0.63437639056639761</v>
      </c>
      <c r="P99" s="325" t="str">
        <f t="shared" si="24"/>
        <v>減少↓</v>
      </c>
      <c r="Q99" s="325" t="str">
        <f t="shared" si="25"/>
        <v>様子見▲</v>
      </c>
      <c r="R99" s="326">
        <f t="shared" si="26"/>
        <v>2911</v>
      </c>
      <c r="S99" s="326">
        <f t="shared" si="27"/>
        <v>3291</v>
      </c>
      <c r="T99" s="325">
        <f>IF(C99="","",IFERROR(IF(W99&lt;=22,-4,IF(W99&lt;=28,-2,IF(W99&lt;=45,2,IF(W99&lt;=55,1,0))))+IF(X99&lt;0,2,0)+IF(AD99="下降トレンド▼",3,IF(AD99="もみ合い→",1,0))+IF(V99="年初来安値圏●",3,IF(V99="安値圏",2,0))+IF(Q99="売り▼",2,0)+IF(P99="急増↑↑",2,IF(P99="増加↑",1,0))+IF(Z99&lt;0,1,0)+IF(L99&lt;=-30,2,IF(L99&lt;=-15,1,0))+IF(AE99="25日戻り売り★",2,IF(AE99="5日戻り売り○",1,0))+N(AL99)+N(AP99)+N(AU99),0))</f>
      </c>
      <c r="U99" s="325" t="str">
        <f t="shared" si="29"/>
        <v>除外</v>
      </c>
      <c r="V99" s="325" t="str">
        <f t="shared" si="30"/>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 t="shared" si="31"/>
        <v>相場上昇・見送り | パーフェクト▲ MACD+ RSI:61.9 前日比:+0.4% [0点]</v>
      </c>
      <c r="Z99" s="331">
        <f t="shared" si="32"/>
        <v>0.41256743890828312</v>
      </c>
      <c r="AA99" s="325" t="str">
        <f t="shared" si="33"/>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 t="shared" si="34"/>
        <v>パーフェクト▲</v>
      </c>
      <c r="AE99" s="325" t="str">
        <f t="shared" si="35"/>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 t="shared" si="36"/>
        <v>0</v>
      </c>
      <c r="AH99">
        <f t="shared" si="37"/>
        <v>0</v>
      </c>
      <c r="AI99" s="373">
        <f t="array" ref="AI99">IF(C99="","",IFERROR((INDEX(終値!$E:$E,MATCH(TEXT(C99,"0"),終値!$A:$A,0))-INDEX(終値!$E:$CZ,MATCH(TEXT(C99,"0"),終値!$A:$A,0),$AN$2))/INDEX(終値!$E:$CZ,MATCH(TEXT(C99,"0"),終値!$A:$A,0),$AN$2)*100,""))</f>
        <v>7.0184339590732279</v>
      </c>
      <c r="AJ99" s="373">
        <f t="array" ref="AJ99">IFERROR((終値!$E$5-INDEX(終値!$E$5:$CZ$5,1,$AN$2))/INDEX(終値!$E$5:$CZ$5,1,$AN$2)*100,"")</f>
        <v>1.0179378228534113</v>
      </c>
      <c r="AK99" s="374">
        <f t="shared" si="38"/>
        <v>6.0004961362198168</v>
      </c>
      <c r="AL99" s="372">
        <f t="shared" si="39"/>
        <v>-2</v>
      </c>
      <c r="AO99" s="376" t="str">
        <f t="shared" si="40"/>
        <v>通常</v>
      </c>
      <c r="AP99" s="377">
        <f t="shared" si="41"/>
        <v>0</v>
      </c>
      <c r="AQ99">
        <f>IF(C99&lt;&gt;"",始値!F74,"")</f>
        <v>3115</v>
      </c>
      <c r="AR99">
        <f>IF(C99&lt;&gt;"",高値!F74,"")</f>
        <v>3157</v>
      </c>
      <c r="AS99">
        <f>IF(C99&lt;&gt;"",安値!F74,"")</f>
        <v>3103</v>
      </c>
      <c r="AT99" t="str">
        <f t="shared" si="42"/>
        <v>通常</v>
      </c>
      <c r="AU99">
        <f t="shared" si="43"/>
        <v>0</v>
      </c>
      <c r="BA99">
        <f>IFERROR((SUM(OFFSET(高値!$E$6,IFERROR(MATCH($C99,銘柄管理!$B$6:$B$305,0),MATCH(TEXT($C99,"0"),銘柄管理!$B$6:$B$305,0))-1,0,1,14))-SUM(OFFSET(安値!$E$6,IFERROR(MATCH($C99,銘柄管理!$B$6:$B$305,0),MATCH(TEXT($C99,"0"),銘柄管理!$B$6:$B$305,0))-1,0,1,14)))/SUM(OFFSET(終値!$E$6,IFERROR(MATCH($C99,銘柄管理!$B$6:$B$305,0),MATCH(TEXT($C99,"0"),銘柄管理!$B$6:$B$305,0))-1,0,1,14))*100,"")</f>
      </c>
      <c r="BB99">
        <f>IFERROR((MAX(OFFSET(高値!$E$6,IFERROR(MATCH($C99,銘柄管理!$B$6:$B$305,0),MATCH(TEXT($C99,"0"),銘柄管理!$B$6:$B$305,0))-1,0,1,25))-MIN(OFFSET(安値!$E$6,IFERROR(MATCH($C99,銘柄管理!$B$6:$B$305,0),MATCH(TEXT($C99,"0"),銘柄管理!$B$6:$B$305,0))-1,0,1,25)))/$E99*100,"")</f>
      </c>
      <c r="BC99">
        <f>IFERROR(($F99-$G99)/$G99*100,"")</f>
      </c>
      <c r="BD99">
        <f>IFERROR(($E99-MAX(OFFSET(高値!$E$6,IFERROR(MATCH($C99,銘柄管理!$B$6:$B$305,0),MATCH(TEXT($C99,"0"),銘柄管理!$B$6:$B$305,0))-1,0,1,25)))/MAX(OFFSET(高値!$E$6,IFERROR(MATCH($C99,銘柄管理!$B$6:$B$305,0),MATCH(TEXT($C99,"0"),銘柄管理!$B$6:$B$305,0))-1,0,1,25))*100,"")</f>
      </c>
      <c r="BE99">
        <f>IFERROR(($H99-$I99)/$F99*100,"")</f>
      </c>
      <c r="BF99">
        <f>IFERROR(-(($BA99-AVERAGE($BA$3:$BA$206))/STDEV($BA$3:$BA$206))-(($BE99-AVERAGE($BE$3:$BE$206))/STDEV($BE$3:$BE$206))-(($BB99-AVERAGE($BB$3:$BB$206))/STDEV($BB$3:$BB$206))-(($Z99-AVERAGE($Z$3:$Z$206))/STDEV($Z$3:$Z$206))-(($BC99-AVERAGE($BC$3:$BC$206))/STDEV($BC$3:$BC$206)),"")</f>
      </c>
      <c r="BG99">
        <f>IF(OR($C99="",$C99="TOPX",$BA99="",$BF99=""),0,IF(AND($BK$10=1,$BA99&lt;=$BK$2,$BB99&lt;=$BK$3,$BC99&lt;=$BK$4,$Z99&lt;=$BK$5,$Z99&gt;=$BK$6,$BD99&gt;=$BK$7,$BE99&lt;=$BK$8),1,0))</f>
      </c>
      <c r="BH99">
        <f>IF($C99="","",IF($BG99=1,"○ゲート通過",IF($BK$10&lt;&gt;1,"― この方向は停止中",IF($BA99&gt;$BK$2,"×値動きが荒い",IF($BB99&gt;$BK$3,"×レンジが広い",IF($BC99&gt;$BK$4,"×窓を開けて上昇",IF($Z99&gt;$BK$5,"×前日に急騰",IF($Z99&lt;$BK$6,"×前日に急落",IF($BD99&lt;$BK$7,"×高値から離れすぎ",IF($BE99&gt;$BK$8,"×当日の値幅が大きい","×")))))))))</f>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 t="shared" si="22"/>
        <v>-15.545353807186956</v>
      </c>
      <c r="M100" s="333">
        <f>IF(C100&lt;&gt;"",IFERROR(AVERAGE(出来高!E81:I81),""),"")</f>
        <v>1921380</v>
      </c>
      <c r="N100" s="333">
        <f>IF(C100&lt;&gt;"",IFERROR(AVERAGE(出来高!E81:AC81),""),"")</f>
        <v>1227704</v>
      </c>
      <c r="O100" s="335">
        <f t="shared" si="23"/>
        <v>1.4677991860017279</v>
      </c>
      <c r="P100" s="212" t="str">
        <f t="shared" si="24"/>
        <v>普通→</v>
      </c>
      <c r="Q100" s="212" t="str">
        <f t="shared" si="25"/>
        <v>様子見▲</v>
      </c>
      <c r="R100" s="333">
        <f t="shared" si="26"/>
        <v>4908</v>
      </c>
      <c r="S100" s="333">
        <f t="shared" si="27"/>
        <v>5548</v>
      </c>
      <c r="T100" s="325">
        <f>IF(C100="","",IFERROR(IF(W100&lt;=22,-4,IF(W100&lt;=28,-2,IF(W100&lt;=45,2,IF(W100&lt;=55,1,0))))+IF(X100&lt;0,2,0)+IF(AD100="下降トレンド▼",3,IF(AD100="もみ合い→",1,0))+IF(V100="年初来安値圏●",3,IF(V100="安値圏",2,0))+IF(Q100="売り▼",2,0)+IF(P100="急増↑↑",2,IF(P100="増加↑",1,0))+IF(Z100&lt;0,1,0)+IF(L100&lt;=-30,2,IF(L100&lt;=-15,1,0))+IF(AE100="25日戻り売り★",2,IF(AE100="5日戻り売り○",1,0))+N(AL100)+N(AP100)+N(AU100),0))</f>
      </c>
      <c r="U100" s="212" t="str">
        <f t="shared" si="29"/>
        <v>要確認</v>
      </c>
      <c r="V100" s="212" t="str">
        <f t="shared" si="30"/>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 t="shared" si="31"/>
        <v>相場上昇・見送り | 下降トレンド▼ MACD+ RSI:43.3 前日比:+0.6% [7点]</v>
      </c>
      <c r="Z100" s="338">
        <f t="shared" si="32"/>
        <v>0.62240663900414939</v>
      </c>
      <c r="AA100" s="212" t="str">
        <f t="shared" si="33"/>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 t="shared" si="34"/>
        <v>下降トレンド▼</v>
      </c>
      <c r="AE100" s="212" t="str">
        <f t="shared" si="35"/>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 t="shared" si="36"/>
        <v>7</v>
      </c>
      <c r="AH100">
        <f t="shared" si="37"/>
        <v>69900</v>
      </c>
      <c r="AI100" s="373">
        <f t="array" ref="AI100">IF(C100="","",IFERROR((INDEX(終値!$E:$E,MATCH(TEXT(C100,"0"),終値!$A:$A,0))-INDEX(終値!$E:$CZ,MATCH(TEXT(C100,"0"),終値!$A:$A,0),$AN$2))/INDEX(終値!$E:$CZ,MATCH(TEXT(C100,"0"),終値!$A:$A,0),$AN$2)*100,""))</f>
        <v>-6.6328316415820794</v>
      </c>
      <c r="AJ100" s="373">
        <f t="array" ref="AJ100">IFERROR((終値!$E$5-INDEX(終値!$E$5:$CZ$5,1,$AN$2))/INDEX(終値!$E$5:$CZ$5,1,$AN$2)*100,"")</f>
        <v>1.0179378228534113</v>
      </c>
      <c r="AK100" s="374">
        <f t="shared" si="38"/>
        <v>-7.6507694644354904</v>
      </c>
      <c r="AL100" s="372">
        <f t="shared" si="39"/>
        <v>3</v>
      </c>
      <c r="AO100" s="376" t="str">
        <f t="shared" si="40"/>
        <v>通常</v>
      </c>
      <c r="AP100" s="377">
        <f t="shared" si="41"/>
        <v>0</v>
      </c>
      <c r="AQ100">
        <f>IF(C100&lt;&gt;"",始値!F81,"")</f>
        <v>5460</v>
      </c>
      <c r="AR100">
        <f>IF(C100&lt;&gt;"",高値!F81,"")</f>
        <v>5581</v>
      </c>
      <c r="AS100">
        <f>IF(C100&lt;&gt;"",安値!F81,"")</f>
        <v>5253</v>
      </c>
      <c r="AT100" t="str">
        <f t="shared" si="42"/>
        <v>通常</v>
      </c>
      <c r="AU100">
        <f t="shared" si="43"/>
        <v>0</v>
      </c>
      <c r="BA100">
        <f>IFERROR((SUM(OFFSET(高値!$E$6,IFERROR(MATCH($C100,銘柄管理!$B$6:$B$305,0),MATCH(TEXT($C100,"0"),銘柄管理!$B$6:$B$305,0))-1,0,1,14))-SUM(OFFSET(安値!$E$6,IFERROR(MATCH($C100,銘柄管理!$B$6:$B$305,0),MATCH(TEXT($C100,"0"),銘柄管理!$B$6:$B$305,0))-1,0,1,14)))/SUM(OFFSET(終値!$E$6,IFERROR(MATCH($C100,銘柄管理!$B$6:$B$305,0),MATCH(TEXT($C100,"0"),銘柄管理!$B$6:$B$305,0))-1,0,1,14))*100,"")</f>
      </c>
      <c r="BB100">
        <f>IFERROR((MAX(OFFSET(高値!$E$6,IFERROR(MATCH($C100,銘柄管理!$B$6:$B$305,0),MATCH(TEXT($C100,"0"),銘柄管理!$B$6:$B$305,0))-1,0,1,25))-MIN(OFFSET(安値!$E$6,IFERROR(MATCH($C100,銘柄管理!$B$6:$B$305,0),MATCH(TEXT($C100,"0"),銘柄管理!$B$6:$B$305,0))-1,0,1,25)))/$E100*100,"")</f>
      </c>
      <c r="BC100">
        <f>IFERROR(($F100-$G100)/$G100*100,"")</f>
      </c>
      <c r="BD100">
        <f>IFERROR(($E100-MAX(OFFSET(高値!$E$6,IFERROR(MATCH($C100,銘柄管理!$B$6:$B$305,0),MATCH(TEXT($C100,"0"),銘柄管理!$B$6:$B$305,0))-1,0,1,25)))/MAX(OFFSET(高値!$E$6,IFERROR(MATCH($C100,銘柄管理!$B$6:$B$305,0),MATCH(TEXT($C100,"0"),銘柄管理!$B$6:$B$305,0))-1,0,1,25))*100,"")</f>
      </c>
      <c r="BE100">
        <f>IFERROR(($H100-$I100)/$F100*100,"")</f>
      </c>
      <c r="BF100">
        <f>IFERROR(-(($BA100-AVERAGE($BA$3:$BA$206))/STDEV($BA$3:$BA$206))-(($BE100-AVERAGE($BE$3:$BE$206))/STDEV($BE$3:$BE$206))-(($BB100-AVERAGE($BB$3:$BB$206))/STDEV($BB$3:$BB$206))-(($Z100-AVERAGE($Z$3:$Z$206))/STDEV($Z$3:$Z$206))-(($BC100-AVERAGE($BC$3:$BC$206))/STDEV($BC$3:$BC$206)),"")</f>
      </c>
      <c r="BG100">
        <f>IF(OR($C100="",$C100="TOPX",$BA100="",$BF100=""),0,IF(AND($BK$10=1,$BA100&lt;=$BK$2,$BB100&lt;=$BK$3,$BC100&lt;=$BK$4,$Z100&lt;=$BK$5,$Z100&gt;=$BK$6,$BD100&gt;=$BK$7,$BE100&lt;=$BK$8),1,0))</f>
      </c>
      <c r="BH100">
        <f>IF($C100="","",IF($BG100=1,"○ゲート通過",IF($BK$10&lt;&gt;1,"― この方向は停止中",IF($BA100&gt;$BK$2,"×値動きが荒い",IF($BB100&gt;$BK$3,"×レンジが広い",IF($BC100&gt;$BK$4,"×窓を開けて上昇",IF($Z100&gt;$BK$5,"×前日に急騰",IF($Z100&lt;$BK$6,"×前日に急落",IF($BD100&lt;$BK$7,"×高値から離れすぎ",IF($BE100&gt;$BK$8,"×当日の値幅が大きい","×")))))))))</f>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 t="shared" si="22"/>
        <v>2.6805424156417534</v>
      </c>
      <c r="M101" s="326">
        <f>IF(C101&lt;&gt;"",IFERROR(AVERAGE(出来高!E82:I82),""),"")</f>
        <v>3550420</v>
      </c>
      <c r="N101" s="326">
        <f>IF(C101&lt;&gt;"",IFERROR(AVERAGE(出来高!E82:AC82),""),"")</f>
        <v>3110808</v>
      </c>
      <c r="O101" s="328">
        <f t="shared" si="23"/>
        <v>1.3438973417229512</v>
      </c>
      <c r="P101" s="325" t="str">
        <f t="shared" si="24"/>
        <v>普通→</v>
      </c>
      <c r="Q101" s="325" t="str">
        <f t="shared" si="25"/>
        <v>様子見▲</v>
      </c>
      <c r="R101" s="326">
        <f t="shared" si="26"/>
        <v>1498</v>
      </c>
      <c r="S101" s="326">
        <f t="shared" si="27"/>
        <v>1693</v>
      </c>
      <c r="T101" s="325">
        <f>IF(C101="","",IFERROR(IF(W101&lt;=22,-4,IF(W101&lt;=28,-2,IF(W101&lt;=45,2,IF(W101&lt;=55,1,0))))+IF(X101&lt;0,2,0)+IF(AD101="下降トレンド▼",3,IF(AD101="もみ合い→",1,0))+IF(V101="年初来安値圏●",3,IF(V101="安値圏",2,0))+IF(Q101="売り▼",2,0)+IF(P101="急増↑↑",2,IF(P101="増加↑",1,0))+IF(Z101&lt;0,1,0)+IF(L101&lt;=-30,2,IF(L101&lt;=-15,1,0))+IF(AE101="25日戻り売り★",2,IF(AE101="5日戻り売り○",1,0))+N(AL101)+N(AP101)+N(AU101),0))</f>
      </c>
      <c r="U101" s="325" t="str">
        <f t="shared" si="29"/>
        <v>除外</v>
      </c>
      <c r="V101" s="325" t="str">
        <f t="shared" si="30"/>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 t="shared" si="31"/>
        <v>相場上昇・見送り | パーフェクト▲ MACD+ RSI:48.8 前日比:+7.0% [-2点]</v>
      </c>
      <c r="Z101" s="331">
        <f t="shared" si="32"/>
        <v>6.9645203679369247</v>
      </c>
      <c r="AA101" s="325" t="str">
        <f t="shared" si="33"/>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 t="shared" si="34"/>
        <v>パーフェクト▲</v>
      </c>
      <c r="AE101" s="325" t="str">
        <f t="shared" si="35"/>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 t="shared" si="36"/>
        <v>0</v>
      </c>
      <c r="AH101">
        <f t="shared" si="37"/>
        <v>0</v>
      </c>
      <c r="AI101" s="373">
        <f t="array" ref="AI101">IF(C101="","",IFERROR((INDEX(終値!$E:$E,MATCH(TEXT(C101,"0"),終値!$A:$A,0))-INDEX(終値!$E:$CZ,MATCH(TEXT(C101,"0"),終値!$A:$A,0),$AN$2))/INDEX(終値!$E:$CZ,MATCH(TEXT(C101,"0"),終値!$A:$A,0),$AN$2)*100,""))</f>
        <v>13.726859937128886</v>
      </c>
      <c r="AJ101" s="373">
        <f t="array" ref="AJ101">IFERROR((終値!$E$5-INDEX(終値!$E$5:$CZ$5,1,$AN$2))/INDEX(終値!$E$5:$CZ$5,1,$AN$2)*100,"")</f>
        <v>1.0179378228534113</v>
      </c>
      <c r="AK101" s="374">
        <f t="shared" si="38"/>
        <v>12.708922114275474</v>
      </c>
      <c r="AL101" s="372">
        <f t="shared" si="39"/>
        <v>-2</v>
      </c>
      <c r="AO101" s="376" t="str">
        <f t="shared" si="40"/>
        <v>通常</v>
      </c>
      <c r="AP101" s="377">
        <f t="shared" si="41"/>
        <v>0</v>
      </c>
      <c r="AQ101">
        <f>IF(C101&lt;&gt;"",始値!F82,"")</f>
        <v>1490</v>
      </c>
      <c r="AR101">
        <f>IF(C101&lt;&gt;"",高値!F82,"")</f>
        <v>1522</v>
      </c>
      <c r="AS101">
        <f>IF(C101&lt;&gt;"",安値!F82,"")</f>
        <v>1479</v>
      </c>
      <c r="AT101" t="str">
        <f t="shared" si="42"/>
        <v>通常</v>
      </c>
      <c r="AU101">
        <f t="shared" si="43"/>
        <v>0</v>
      </c>
      <c r="BA101">
        <f>IFERROR((SUM(OFFSET(高値!$E$6,IFERROR(MATCH($C101,銘柄管理!$B$6:$B$305,0),MATCH(TEXT($C101,"0"),銘柄管理!$B$6:$B$305,0))-1,0,1,14))-SUM(OFFSET(安値!$E$6,IFERROR(MATCH($C101,銘柄管理!$B$6:$B$305,0),MATCH(TEXT($C101,"0"),銘柄管理!$B$6:$B$305,0))-1,0,1,14)))/SUM(OFFSET(終値!$E$6,IFERROR(MATCH($C101,銘柄管理!$B$6:$B$305,0),MATCH(TEXT($C101,"0"),銘柄管理!$B$6:$B$305,0))-1,0,1,14))*100,"")</f>
      </c>
      <c r="BB101">
        <f>IFERROR((MAX(OFFSET(高値!$E$6,IFERROR(MATCH($C101,銘柄管理!$B$6:$B$305,0),MATCH(TEXT($C101,"0"),銘柄管理!$B$6:$B$305,0))-1,0,1,25))-MIN(OFFSET(安値!$E$6,IFERROR(MATCH($C101,銘柄管理!$B$6:$B$305,0),MATCH(TEXT($C101,"0"),銘柄管理!$B$6:$B$305,0))-1,0,1,25)))/$E101*100,"")</f>
      </c>
      <c r="BC101">
        <f>IFERROR(($F101-$G101)/$G101*100,"")</f>
      </c>
      <c r="BD101">
        <f>IFERROR(($E101-MAX(OFFSET(高値!$E$6,IFERROR(MATCH($C101,銘柄管理!$B$6:$B$305,0),MATCH(TEXT($C101,"0"),銘柄管理!$B$6:$B$305,0))-1,0,1,25)))/MAX(OFFSET(高値!$E$6,IFERROR(MATCH($C101,銘柄管理!$B$6:$B$305,0),MATCH(TEXT($C101,"0"),銘柄管理!$B$6:$B$305,0))-1,0,1,25))*100,"")</f>
      </c>
      <c r="BE101">
        <f>IFERROR(($H101-$I101)/$F101*100,"")</f>
      </c>
      <c r="BF101">
        <f>IFERROR(-(($BA101-AVERAGE($BA$3:$BA$206))/STDEV($BA$3:$BA$206))-(($BE101-AVERAGE($BE$3:$BE$206))/STDEV($BE$3:$BE$206))-(($BB101-AVERAGE($BB$3:$BB$206))/STDEV($BB$3:$BB$206))-(($Z101-AVERAGE($Z$3:$Z$206))/STDEV($Z$3:$Z$206))-(($BC101-AVERAGE($BC$3:$BC$206))/STDEV($BC$3:$BC$206)),"")</f>
      </c>
      <c r="BG101">
        <f>IF(OR($C101="",$C101="TOPX",$BA101="",$BF101=""),0,IF(AND($BK$10=1,$BA101&lt;=$BK$2,$BB101&lt;=$BK$3,$BC101&lt;=$BK$4,$Z101&lt;=$BK$5,$Z101&gt;=$BK$6,$BD101&gt;=$BK$7,$BE101&lt;=$BK$8),1,0))</f>
      </c>
      <c r="BH101">
        <f>IF($C101="","",IF($BG101=1,"○ゲート通過",IF($BK$10&lt;&gt;1,"― この方向は停止中",IF($BA101&gt;$BK$2,"×値動きが荒い",IF($BB101&gt;$BK$3,"×レンジが広い",IF($BC101&gt;$BK$4,"×窓を開けて上昇",IF($Z101&gt;$BK$5,"×前日に急騰",IF($Z101&lt;$BK$6,"×前日に急落",IF($BD101&lt;$BK$7,"×高値から離れすぎ",IF($BE101&gt;$BK$8,"×当日の値幅が大きい","×")))))))))</f>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 t="shared" si="22"/>
        <v>-6.7243867243867248</v>
      </c>
      <c r="M102" s="333">
        <f>IF(C102&lt;&gt;"",IFERROR(AVERAGE(出来高!E85:I85),""),"")</f>
        <v>7322700</v>
      </c>
      <c r="N102" s="333">
        <f>IF(C102&lt;&gt;"",IFERROR(AVERAGE(出来高!E85:AC85),""),"")</f>
        <v>6567544</v>
      </c>
      <c r="O102" s="335">
        <f t="shared" si="23"/>
        <v>0.71427205812063854</v>
      </c>
      <c r="P102" s="212" t="str">
        <f t="shared" si="24"/>
        <v>減少↓</v>
      </c>
      <c r="Q102" s="212" t="str">
        <f t="shared" si="25"/>
        <v>様子見▲</v>
      </c>
      <c r="R102" s="333">
        <f t="shared" si="26"/>
        <v>2973</v>
      </c>
      <c r="S102" s="333">
        <f t="shared" si="27"/>
        <v>3361</v>
      </c>
      <c r="T102" s="325">
        <f>IF(C102="","",IFERROR(IF(W102&lt;=22,-4,IF(W102&lt;=28,-2,IF(W102&lt;=45,2,IF(W102&lt;=55,1,0))))+IF(X102&lt;0,2,0)+IF(AD102="下降トレンド▼",3,IF(AD102="もみ合い→",1,0))+IF(V102="年初来安値圏●",3,IF(V102="安値圏",2,0))+IF(Q102="売り▼",2,0)+IF(P102="急増↑↑",2,IF(P102="増加↑",1,0))+IF(Z102&lt;0,1,0)+IF(L102&lt;=-30,2,IF(L102&lt;=-15,1,0))+IF(AE102="25日戻り売り★",2,IF(AE102="5日戻り売り○",1,0))+N(AL102)+N(AP102)+N(AU102),0))</f>
      </c>
      <c r="U102" s="212" t="str">
        <f t="shared" si="29"/>
        <v>要確認</v>
      </c>
      <c r="V102" s="212" t="str">
        <f t="shared" si="30"/>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 t="shared" si="31"/>
        <v>○逆張り売り | もみ合い→ 25日戻り売り★ MACD- RSI:42.3 前日比:+1.0% [3点]</v>
      </c>
      <c r="Z102" s="338">
        <f t="shared" si="32"/>
        <v>1</v>
      </c>
      <c r="AA102" s="212" t="str">
        <f t="shared" si="33"/>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 t="shared" si="34"/>
        <v>もみ合い→</v>
      </c>
      <c r="AE102" s="212" t="str">
        <f t="shared" si="35"/>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 t="shared" si="36"/>
        <v>0</v>
      </c>
      <c r="AH102">
        <f t="shared" si="37"/>
        <v>0</v>
      </c>
      <c r="AI102" s="373">
        <f t="array" ref="AI102">IF(C102="","",IFERROR((INDEX(終値!$E:$E,MATCH(TEXT(C102,"0"),終値!$A:$A,0))-INDEX(終値!$E:$CZ,MATCH(TEXT(C102,"0"),終値!$A:$A,0),$AN$2))/INDEX(終値!$E:$CZ,MATCH(TEXT(C102,"0"),終値!$A:$A,0),$AN$2)*100,""))</f>
        <v>4.697116942014901</v>
      </c>
      <c r="AJ102" s="373">
        <f t="array" ref="AJ102">IFERROR((終値!$E$5-INDEX(終値!$E$5:$CZ$5,1,$AN$2))/INDEX(終値!$E$5:$CZ$5,1,$AN$2)*100,"")</f>
        <v>1.0179378228534113</v>
      </c>
      <c r="AK102" s="374">
        <f t="shared" si="38"/>
        <v>3.67917911916149</v>
      </c>
      <c r="AL102" s="372">
        <f t="shared" si="39"/>
        <v>-2</v>
      </c>
      <c r="AO102" s="376" t="str">
        <f t="shared" si="40"/>
        <v>通常</v>
      </c>
      <c r="AP102" s="377">
        <f t="shared" si="41"/>
        <v>0</v>
      </c>
      <c r="AQ102">
        <f>IF(C102&lt;&gt;"",始値!F85,"")</f>
        <v>3127</v>
      </c>
      <c r="AR102">
        <f>IF(C102&lt;&gt;"",高値!F85,"")</f>
        <v>3200</v>
      </c>
      <c r="AS102">
        <f>IF(C102&lt;&gt;"",安値!F85,"")</f>
        <v>3081</v>
      </c>
      <c r="AT102" t="str">
        <f t="shared" si="42"/>
        <v>通常</v>
      </c>
      <c r="AU102">
        <f t="shared" si="43"/>
        <v>0</v>
      </c>
      <c r="BA102">
        <f>IFERROR((SUM(OFFSET(高値!$E$6,IFERROR(MATCH($C102,銘柄管理!$B$6:$B$305,0),MATCH(TEXT($C102,"0"),銘柄管理!$B$6:$B$305,0))-1,0,1,14))-SUM(OFFSET(安値!$E$6,IFERROR(MATCH($C102,銘柄管理!$B$6:$B$305,0),MATCH(TEXT($C102,"0"),銘柄管理!$B$6:$B$305,0))-1,0,1,14)))/SUM(OFFSET(終値!$E$6,IFERROR(MATCH($C102,銘柄管理!$B$6:$B$305,0),MATCH(TEXT($C102,"0"),銘柄管理!$B$6:$B$305,0))-1,0,1,14))*100,"")</f>
      </c>
      <c r="BB102">
        <f>IFERROR((MAX(OFFSET(高値!$E$6,IFERROR(MATCH($C102,銘柄管理!$B$6:$B$305,0),MATCH(TEXT($C102,"0"),銘柄管理!$B$6:$B$305,0))-1,0,1,25))-MIN(OFFSET(安値!$E$6,IFERROR(MATCH($C102,銘柄管理!$B$6:$B$305,0),MATCH(TEXT($C102,"0"),銘柄管理!$B$6:$B$305,0))-1,0,1,25)))/$E102*100,"")</f>
      </c>
      <c r="BC102">
        <f>IFERROR(($F102-$G102)/$G102*100,"")</f>
      </c>
      <c r="BD102">
        <f>IFERROR(($E102-MAX(OFFSET(高値!$E$6,IFERROR(MATCH($C102,銘柄管理!$B$6:$B$305,0),MATCH(TEXT($C102,"0"),銘柄管理!$B$6:$B$305,0))-1,0,1,25)))/MAX(OFFSET(高値!$E$6,IFERROR(MATCH($C102,銘柄管理!$B$6:$B$305,0),MATCH(TEXT($C102,"0"),銘柄管理!$B$6:$B$305,0))-1,0,1,25))*100,"")</f>
      </c>
      <c r="BE102">
        <f>IFERROR(($H102-$I102)/$F102*100,"")</f>
      </c>
      <c r="BF102">
        <f>IFERROR(-(($BA102-AVERAGE($BA$3:$BA$206))/STDEV($BA$3:$BA$206))-(($BE102-AVERAGE($BE$3:$BE$206))/STDEV($BE$3:$BE$206))-(($BB102-AVERAGE($BB$3:$BB$206))/STDEV($BB$3:$BB$206))-(($Z102-AVERAGE($Z$3:$Z$206))/STDEV($Z$3:$Z$206))-(($BC102-AVERAGE($BC$3:$BC$206))/STDEV($BC$3:$BC$206)),"")</f>
      </c>
      <c r="BG102">
        <f>IF(OR($C102="",$C102="TOPX",$BA102="",$BF102=""),0,IF(AND($BK$10=1,$BA102&lt;=$BK$2,$BB102&lt;=$BK$3,$BC102&lt;=$BK$4,$Z102&lt;=$BK$5,$Z102&gt;=$BK$6,$BD102&gt;=$BK$7,$BE102&lt;=$BK$8),1,0))</f>
      </c>
      <c r="BH102">
        <f>IF($C102="","",IF($BG102=1,"○ゲート通過",IF($BK$10&lt;&gt;1,"― この方向は停止中",IF($BA102&gt;$BK$2,"×値動きが荒い",IF($BB102&gt;$BK$3,"×レンジが広い",IF($BC102&gt;$BK$4,"×窓を開けて上昇",IF($Z102&gt;$BK$5,"×前日に急騰",IF($Z102&lt;$BK$6,"×前日に急落",IF($BD102&lt;$BK$7,"×高値から離れすぎ",IF($BE102&gt;$BK$8,"×当日の値幅が大きい","×")))))))))</f>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 t="shared" si="22"/>
        <v>-6.7256078307546572</v>
      </c>
      <c r="M103" s="326">
        <f>IF(C103&lt;&gt;"",IFERROR(AVERAGE(出来高!E101:I101),""),"")</f>
        <v>10430280</v>
      </c>
      <c r="N103" s="326">
        <f>IF(C103&lt;&gt;"",IFERROR(AVERAGE(出来高!E101:AC101),""),"")</f>
        <v>7507054.166666667</v>
      </c>
      <c r="O103" s="328">
        <f t="shared" si="23"/>
        <v>0.59995513063887063</v>
      </c>
      <c r="P103" s="325" t="str">
        <f t="shared" si="24"/>
        <v>減少↓</v>
      </c>
      <c r="Q103" s="325" t="str">
        <f t="shared" si="25"/>
        <v>様子見▲</v>
      </c>
      <c r="R103" s="326">
        <f t="shared" si="26"/>
        <v>2718</v>
      </c>
      <c r="S103" s="326">
        <f t="shared" si="27"/>
        <v>3072</v>
      </c>
      <c r="T103" s="325">
        <f>IF(C103="","",IFERROR(IF(W103&lt;=22,-4,IF(W103&lt;=28,-2,IF(W103&lt;=45,2,IF(W103&lt;=55,1,0))))+IF(X103&lt;0,2,0)+IF(AD103="下降トレンド▼",3,IF(AD103="もみ合い→",1,0))+IF(V103="年初来安値圏●",3,IF(V103="安値圏",2,0))+IF(Q103="売り▼",2,0)+IF(P103="急増↑↑",2,IF(P103="増加↑",1,0))+IF(Z103&lt;0,1,0)+IF(L103&lt;=-30,2,IF(L103&lt;=-15,1,0))+IF(AE103="25日戻り売り★",2,IF(AE103="5日戻り売り○",1,0))+N(AL103)+N(AP103)+N(AU103),0))</f>
      </c>
      <c r="U103" s="325" t="str">
        <f t="shared" si="29"/>
        <v>除外</v>
      </c>
      <c r="V103" s="325" t="str">
        <f t="shared" si="30"/>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 t="shared" si="31"/>
        <v>相場上昇・見送り | 上昇トレンド▲ 5日戻り売り○ MACD+ RSI:51.8 前日比:+3.3% [0点]</v>
      </c>
      <c r="Z103" s="331">
        <f t="shared" si="32"/>
        <v>3.2686593252927811</v>
      </c>
      <c r="AA103" s="325" t="str">
        <f t="shared" si="33"/>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 t="shared" si="34"/>
        <v>上昇トレンド▲</v>
      </c>
      <c r="AE103" s="325" t="str">
        <f t="shared" si="35"/>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 t="shared" si="36"/>
        <v>0</v>
      </c>
      <c r="AH103">
        <f t="shared" si="37"/>
        <v>0</v>
      </c>
      <c r="AI103" s="373">
        <f t="array" ref="AI103">IF(C103="","",IFERROR((INDEX(終値!$E:$E,MATCH(TEXT(C103,"0"),終値!$A:$A,0))-INDEX(終値!$E:$CZ,MATCH(TEXT(C103,"0"),終値!$A:$A,0),$AN$2))/INDEX(終値!$E:$CZ,MATCH(TEXT(C103,"0"),終値!$A:$A,0),$AN$2)*100,""))</f>
        <v>22.470978441127695</v>
      </c>
      <c r="AJ103" s="373">
        <f t="array" ref="AJ103">IFERROR((終値!$E$5-INDEX(終値!$E$5:$CZ$5,1,$AN$2))/INDEX(終値!$E$5:$CZ$5,1,$AN$2)*100,"")</f>
        <v>1.0179378228534113</v>
      </c>
      <c r="AK103" s="374">
        <f t="shared" si="38"/>
        <v>21.453040618274283</v>
      </c>
      <c r="AL103" s="372">
        <f t="shared" si="39"/>
        <v>-2</v>
      </c>
      <c r="AO103" s="376" t="str">
        <f t="shared" si="40"/>
        <v>通常</v>
      </c>
      <c r="AP103" s="377">
        <f t="shared" si="41"/>
        <v>0</v>
      </c>
      <c r="AQ103">
        <f>IF(C103&lt;&gt;"",始値!F101,"")</f>
        <v>2915</v>
      </c>
      <c r="AR103">
        <f>IF(C103&lt;&gt;"",高値!F101,"")</f>
        <v>2943</v>
      </c>
      <c r="AS103">
        <f>IF(C103&lt;&gt;"",安値!F101,"")</f>
        <v>2847</v>
      </c>
      <c r="AT103" t="str">
        <f t="shared" si="42"/>
        <v>通常</v>
      </c>
      <c r="AU103">
        <f t="shared" si="43"/>
        <v>0</v>
      </c>
      <c r="BA103">
        <f>IFERROR((SUM(OFFSET(高値!$E$6,IFERROR(MATCH($C103,銘柄管理!$B$6:$B$305,0),MATCH(TEXT($C103,"0"),銘柄管理!$B$6:$B$305,0))-1,0,1,14))-SUM(OFFSET(安値!$E$6,IFERROR(MATCH($C103,銘柄管理!$B$6:$B$305,0),MATCH(TEXT($C103,"0"),銘柄管理!$B$6:$B$305,0))-1,0,1,14)))/SUM(OFFSET(終値!$E$6,IFERROR(MATCH($C103,銘柄管理!$B$6:$B$305,0),MATCH(TEXT($C103,"0"),銘柄管理!$B$6:$B$305,0))-1,0,1,14))*100,"")</f>
      </c>
      <c r="BB103">
        <f>IFERROR((MAX(OFFSET(高値!$E$6,IFERROR(MATCH($C103,銘柄管理!$B$6:$B$305,0),MATCH(TEXT($C103,"0"),銘柄管理!$B$6:$B$305,0))-1,0,1,25))-MIN(OFFSET(安値!$E$6,IFERROR(MATCH($C103,銘柄管理!$B$6:$B$305,0),MATCH(TEXT($C103,"0"),銘柄管理!$B$6:$B$305,0))-1,0,1,25)))/$E103*100,"")</f>
      </c>
      <c r="BC103">
        <f>IFERROR(($F103-$G103)/$G103*100,"")</f>
      </c>
      <c r="BD103">
        <f>IFERROR(($E103-MAX(OFFSET(高値!$E$6,IFERROR(MATCH($C103,銘柄管理!$B$6:$B$305,0),MATCH(TEXT($C103,"0"),銘柄管理!$B$6:$B$305,0))-1,0,1,25)))/MAX(OFFSET(高値!$E$6,IFERROR(MATCH($C103,銘柄管理!$B$6:$B$305,0),MATCH(TEXT($C103,"0"),銘柄管理!$B$6:$B$305,0))-1,0,1,25))*100,"")</f>
      </c>
      <c r="BE103">
        <f>IFERROR(($H103-$I103)/$F103*100,"")</f>
      </c>
      <c r="BF103">
        <f>IFERROR(-(($BA103-AVERAGE($BA$3:$BA$206))/STDEV($BA$3:$BA$206))-(($BE103-AVERAGE($BE$3:$BE$206))/STDEV($BE$3:$BE$206))-(($BB103-AVERAGE($BB$3:$BB$206))/STDEV($BB$3:$BB$206))-(($Z103-AVERAGE($Z$3:$Z$206))/STDEV($Z$3:$Z$206))-(($BC103-AVERAGE($BC$3:$BC$206))/STDEV($BC$3:$BC$206)),"")</f>
      </c>
      <c r="BG103">
        <f>IF(OR($C103="",$C103="TOPX",$BA103="",$BF103=""),0,IF(AND($BK$10=1,$BA103&lt;=$BK$2,$BB103&lt;=$BK$3,$BC103&lt;=$BK$4,$Z103&lt;=$BK$5,$Z103&gt;=$BK$6,$BD103&gt;=$BK$7,$BE103&lt;=$BK$8),1,0))</f>
      </c>
      <c r="BH103">
        <f>IF($C103="","",IF($BG103=1,"○ゲート通過",IF($BK$10&lt;&gt;1,"― この方向は停止中",IF($BA103&gt;$BK$2,"×値動きが荒い",IF($BB103&gt;$BK$3,"×レンジが広い",IF($BC103&gt;$BK$4,"×窓を開けて上昇",IF($Z103&gt;$BK$5,"×前日に急騰",IF($Z103&lt;$BK$6,"×前日に急落",IF($BD103&lt;$BK$7,"×高値から離れすぎ",IF($BE103&gt;$BK$8,"×当日の値幅が大きい","×")))))))))</f>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 t="shared" si="22"/>
        <v>-18.594158157207314</v>
      </c>
      <c r="M104" s="333">
        <f>IF(C104&lt;&gt;"",IFERROR(AVERAGE(出来高!E109:I109),""),"")</f>
        <v>4503300</v>
      </c>
      <c r="N104" s="333">
        <f>IF(C104&lt;&gt;"",IFERROR(AVERAGE(出来高!E109:AC109),""),"")</f>
        <v>3279896</v>
      </c>
      <c r="O104" s="335">
        <f t="shared" si="23"/>
        <v>0.84866653343103948</v>
      </c>
      <c r="P104" s="212" t="str">
        <f t="shared" si="24"/>
        <v>減少↓</v>
      </c>
      <c r="Q104" s="212" t="str">
        <f t="shared" si="25"/>
        <v>様子見▲</v>
      </c>
      <c r="R104" s="333">
        <f t="shared" si="26"/>
        <v>3154</v>
      </c>
      <c r="S104" s="333">
        <f t="shared" si="27"/>
        <v>3565</v>
      </c>
      <c r="T104" s="325">
        <f>IF(C104="","",IFERROR(IF(W104&lt;=22,-4,IF(W104&lt;=28,-2,IF(W104&lt;=45,2,IF(W104&lt;=55,1,0))))+IF(X104&lt;0,2,0)+IF(AD104="下降トレンド▼",3,IF(AD104="もみ合い→",1,0))+IF(V104="年初来安値圏●",3,IF(V104="安値圏",2,0))+IF(Q104="売り▼",2,0)+IF(P104="急増↑↑",2,IF(P104="増加↑",1,0))+IF(Z104&lt;0,1,0)+IF(L104&lt;=-30,2,IF(L104&lt;=-15,1,0))+IF(AE104="25日戻り売り★",2,IF(AE104="5日戻り売り○",1,0))+N(AL104)+N(AP104)+N(AU104),0))</f>
      </c>
      <c r="U104" s="212" t="str">
        <f t="shared" si="29"/>
        <v>除外</v>
      </c>
      <c r="V104" s="212" t="str">
        <f t="shared" si="30"/>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 t="shared" si="31"/>
        <v>相場上昇・見送り | もみ合い→ MACD- RSI:40.3 前日比:+1.8% [2点]</v>
      </c>
      <c r="Z104" s="338">
        <f t="shared" si="32"/>
        <v>1.7512615019293558</v>
      </c>
      <c r="AA104" s="212" t="str">
        <f t="shared" si="33"/>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 t="shared" si="34"/>
        <v>もみ合い→</v>
      </c>
      <c r="AE104" s="212" t="str">
        <f t="shared" si="35"/>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 t="shared" si="36"/>
        <v>0</v>
      </c>
      <c r="AH104">
        <f t="shared" si="37"/>
        <v>0</v>
      </c>
      <c r="AI104" s="373">
        <f t="array" ref="AI104">IF(C104="","",IFERROR((INDEX(終値!$E:$E,MATCH(TEXT(C104,"0"),終値!$A:$A,0))-INDEX(終値!$E:$CZ,MATCH(TEXT(C104,"0"),終値!$A:$A,0),$AN$2))/INDEX(終値!$E:$CZ,MATCH(TEXT(C104,"0"),終値!$A:$A,0),$AN$2)*100,""))</f>
        <v>4.0364188163884673</v>
      </c>
      <c r="AJ104" s="373">
        <f t="array" ref="AJ104">IFERROR((終値!$E$5-INDEX(終値!$E$5:$CZ$5,1,$AN$2))/INDEX(終値!$E$5:$CZ$5,1,$AN$2)*100,"")</f>
        <v>1.0179378228534113</v>
      </c>
      <c r="AK104" s="374">
        <f t="shared" si="38"/>
        <v>3.0184809935350563</v>
      </c>
      <c r="AL104" s="372">
        <f t="shared" si="39"/>
        <v>-2</v>
      </c>
      <c r="AO104" s="376" t="str">
        <f t="shared" si="40"/>
        <v>通常</v>
      </c>
      <c r="AP104" s="377">
        <f t="shared" si="41"/>
        <v>0</v>
      </c>
      <c r="AQ104">
        <f>IF(C104&lt;&gt;"",始値!F109,"")</f>
        <v>3412</v>
      </c>
      <c r="AR104">
        <f>IF(C104&lt;&gt;"",高値!F109,"")</f>
        <v>3447</v>
      </c>
      <c r="AS104">
        <f>IF(C104&lt;&gt;"",安値!F109,"")</f>
        <v>3351</v>
      </c>
      <c r="AT104" t="str">
        <f t="shared" si="42"/>
        <v>通常</v>
      </c>
      <c r="AU104">
        <f t="shared" si="43"/>
        <v>0</v>
      </c>
      <c r="BA104">
        <f>IFERROR((SUM(OFFSET(高値!$E$6,IFERROR(MATCH($C104,銘柄管理!$B$6:$B$305,0),MATCH(TEXT($C104,"0"),銘柄管理!$B$6:$B$305,0))-1,0,1,14))-SUM(OFFSET(安値!$E$6,IFERROR(MATCH($C104,銘柄管理!$B$6:$B$305,0),MATCH(TEXT($C104,"0"),銘柄管理!$B$6:$B$305,0))-1,0,1,14)))/SUM(OFFSET(終値!$E$6,IFERROR(MATCH($C104,銘柄管理!$B$6:$B$305,0),MATCH(TEXT($C104,"0"),銘柄管理!$B$6:$B$305,0))-1,0,1,14))*100,"")</f>
      </c>
      <c r="BB104">
        <f>IFERROR((MAX(OFFSET(高値!$E$6,IFERROR(MATCH($C104,銘柄管理!$B$6:$B$305,0),MATCH(TEXT($C104,"0"),銘柄管理!$B$6:$B$305,0))-1,0,1,25))-MIN(OFFSET(安値!$E$6,IFERROR(MATCH($C104,銘柄管理!$B$6:$B$305,0),MATCH(TEXT($C104,"0"),銘柄管理!$B$6:$B$305,0))-1,0,1,25)))/$E104*100,"")</f>
      </c>
      <c r="BC104">
        <f>IFERROR(($F104-$G104)/$G104*100,"")</f>
      </c>
      <c r="BD104">
        <f>IFERROR(($E104-MAX(OFFSET(高値!$E$6,IFERROR(MATCH($C104,銘柄管理!$B$6:$B$305,0),MATCH(TEXT($C104,"0"),銘柄管理!$B$6:$B$305,0))-1,0,1,25)))/MAX(OFFSET(高値!$E$6,IFERROR(MATCH($C104,銘柄管理!$B$6:$B$305,0),MATCH(TEXT($C104,"0"),銘柄管理!$B$6:$B$305,0))-1,0,1,25))*100,"")</f>
      </c>
      <c r="BE104">
        <f>IFERROR(($H104-$I104)/$F104*100,"")</f>
      </c>
      <c r="BF104">
        <f>IFERROR(-(($BA104-AVERAGE($BA$3:$BA$206))/STDEV($BA$3:$BA$206))-(($BE104-AVERAGE($BE$3:$BE$206))/STDEV($BE$3:$BE$206))-(($BB104-AVERAGE($BB$3:$BB$206))/STDEV($BB$3:$BB$206))-(($Z104-AVERAGE($Z$3:$Z$206))/STDEV($Z$3:$Z$206))-(($BC104-AVERAGE($BC$3:$BC$206))/STDEV($BC$3:$BC$206)),"")</f>
      </c>
      <c r="BG104">
        <f>IF(OR($C104="",$C104="TOPX",$BA104="",$BF104=""),0,IF(AND($BK$10=1,$BA104&lt;=$BK$2,$BB104&lt;=$BK$3,$BC104&lt;=$BK$4,$Z104&lt;=$BK$5,$Z104&gt;=$BK$6,$BD104&gt;=$BK$7,$BE104&lt;=$BK$8),1,0))</f>
      </c>
      <c r="BH104">
        <f>IF($C104="","",IF($BG104=1,"○ゲート通過",IF($BK$10&lt;&gt;1,"― この方向は停止中",IF($BA104&gt;$BK$2,"×値動きが荒い",IF($BB104&gt;$BK$3,"×レンジが広い",IF($BC104&gt;$BK$4,"×窓を開けて上昇",IF($Z104&gt;$BK$5,"×前日に急騰",IF($Z104&lt;$BK$6,"×前日に急落",IF($BD104&lt;$BK$7,"×高値から離れすぎ",IF($BE104&gt;$BK$8,"×当日の値幅が大きい","×")))))))))</f>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 t="shared" si="22"/>
        <v>-29.342105263157897</v>
      </c>
      <c r="M105" s="326">
        <f>IF(C105&lt;&gt;"",IFERROR(AVERAGE(出来高!E114:I114),""),"")</f>
        <v>37089640</v>
      </c>
      <c r="N105" s="326">
        <f>IF(C105&lt;&gt;"",IFERROR(AVERAGE(出来高!E114:AC114),""),"")</f>
        <v>35292060</v>
      </c>
      <c r="O105" s="328">
        <f t="shared" si="23"/>
        <v>0.87138079528407397</v>
      </c>
      <c r="P105" s="325" t="str">
        <f t="shared" si="24"/>
        <v>減少↓</v>
      </c>
      <c r="Q105" s="325" t="str">
        <f t="shared" si="25"/>
        <v>様子見▲</v>
      </c>
      <c r="R105" s="326">
        <f t="shared" si="26"/>
        <v>494</v>
      </c>
      <c r="S105" s="326">
        <f t="shared" si="27"/>
        <v>558</v>
      </c>
      <c r="T105" s="325">
        <f>IF(C105="","",IFERROR(IF(W105&lt;=22,-4,IF(W105&lt;=28,-2,IF(W105&lt;=45,2,IF(W105&lt;=55,1,0))))+IF(X105&lt;0,2,0)+IF(AD105="下降トレンド▼",3,IF(AD105="もみ合い→",1,0))+IF(V105="年初来安値圏●",3,IF(V105="安値圏",2,0))+IF(Q105="売り▼",2,0)+IF(P105="急増↑↑",2,IF(P105="増加↑",1,0))+IF(Z105&lt;0,1,0)+IF(L105&lt;=-30,2,IF(L105&lt;=-15,1,0))+IF(AE105="25日戻り売り★",2,IF(AE105="5日戻り売り○",1,0))+N(AL105)+N(AP105)+N(AU105),0))</f>
      </c>
      <c r="U105" s="325" t="str">
        <f t="shared" si="29"/>
        <v>除外</v>
      </c>
      <c r="V105" s="325" t="str">
        <f t="shared" si="30"/>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 t="shared" si="31"/>
        <v>相場上昇・見送り | パーフェクト▲ MACD+ RSI:59.8 前日比:+2.1% [安値圏] [2点]</v>
      </c>
      <c r="Z105" s="331">
        <f t="shared" si="32"/>
        <v>2.0912547528517109</v>
      </c>
      <c r="AA105" s="325" t="str">
        <f t="shared" si="33"/>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 t="shared" si="34"/>
        <v>パーフェクト▲</v>
      </c>
      <c r="AE105" s="325" t="str">
        <f t="shared" si="35"/>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 t="shared" si="36"/>
        <v>0</v>
      </c>
      <c r="AH105">
        <f t="shared" si="37"/>
        <v>0</v>
      </c>
      <c r="AI105" s="373">
        <f t="array" ref="AI105">IF(C105="","",IFERROR((INDEX(終値!$E:$E,MATCH(TEXT(C105,"0"),終値!$A:$A,0))-INDEX(終値!$E:$CZ,MATCH(TEXT(C105,"0"),終値!$A:$A,0),$AN$2))/INDEX(終値!$E:$CZ,MATCH(TEXT(C105,"0"),終値!$A:$A,0),$AN$2)*100,""))</f>
        <v>17.996044825313113</v>
      </c>
      <c r="AJ105" s="373">
        <f t="array" ref="AJ105">IFERROR((終値!$E$5-INDEX(終値!$E$5:$CZ$5,1,$AN$2))/INDEX(終値!$E$5:$CZ$5,1,$AN$2)*100,"")</f>
        <v>1.0179378228534113</v>
      </c>
      <c r="AK105" s="374">
        <f t="shared" si="38"/>
        <v>16.978107002459701</v>
      </c>
      <c r="AL105" s="372">
        <f t="shared" si="39"/>
        <v>-2</v>
      </c>
      <c r="AO105" s="376" t="str">
        <f t="shared" si="40"/>
        <v>通常</v>
      </c>
      <c r="AP105" s="377">
        <f t="shared" si="41"/>
        <v>0</v>
      </c>
      <c r="AQ105">
        <f>IF(C105&lt;&gt;"",始値!F114,"")</f>
        <v>527.79999999999995</v>
      </c>
      <c r="AR105">
        <f>IF(C105&lt;&gt;"",高値!F114,"")</f>
        <v>534.29999999999995</v>
      </c>
      <c r="AS105">
        <f>IF(C105&lt;&gt;"",安値!F114,"")</f>
        <v>518.79999999999995</v>
      </c>
      <c r="AT105" t="str">
        <f t="shared" si="42"/>
        <v>通常</v>
      </c>
      <c r="AU105">
        <f t="shared" si="43"/>
        <v>0</v>
      </c>
      <c r="BA105">
        <f>IFERROR((SUM(OFFSET(高値!$E$6,IFERROR(MATCH($C105,銘柄管理!$B$6:$B$305,0),MATCH(TEXT($C105,"0"),銘柄管理!$B$6:$B$305,0))-1,0,1,14))-SUM(OFFSET(安値!$E$6,IFERROR(MATCH($C105,銘柄管理!$B$6:$B$305,0),MATCH(TEXT($C105,"0"),銘柄管理!$B$6:$B$305,0))-1,0,1,14)))/SUM(OFFSET(終値!$E$6,IFERROR(MATCH($C105,銘柄管理!$B$6:$B$305,0),MATCH(TEXT($C105,"0"),銘柄管理!$B$6:$B$305,0))-1,0,1,14))*100,"")</f>
      </c>
      <c r="BB105">
        <f>IFERROR((MAX(OFFSET(高値!$E$6,IFERROR(MATCH($C105,銘柄管理!$B$6:$B$305,0),MATCH(TEXT($C105,"0"),銘柄管理!$B$6:$B$305,0))-1,0,1,25))-MIN(OFFSET(安値!$E$6,IFERROR(MATCH($C105,銘柄管理!$B$6:$B$305,0),MATCH(TEXT($C105,"0"),銘柄管理!$B$6:$B$305,0))-1,0,1,25)))/$E105*100,"")</f>
      </c>
      <c r="BC105">
        <f>IFERROR(($F105-$G105)/$G105*100,"")</f>
      </c>
      <c r="BD105">
        <f>IFERROR(($E105-MAX(OFFSET(高値!$E$6,IFERROR(MATCH($C105,銘柄管理!$B$6:$B$305,0),MATCH(TEXT($C105,"0"),銘柄管理!$B$6:$B$305,0))-1,0,1,25)))/MAX(OFFSET(高値!$E$6,IFERROR(MATCH($C105,銘柄管理!$B$6:$B$305,0),MATCH(TEXT($C105,"0"),銘柄管理!$B$6:$B$305,0))-1,0,1,25))*100,"")</f>
      </c>
      <c r="BE105">
        <f>IFERROR(($H105-$I105)/$F105*100,"")</f>
      </c>
      <c r="BF105">
        <f>IFERROR(-(($BA105-AVERAGE($BA$3:$BA$206))/STDEV($BA$3:$BA$206))-(($BE105-AVERAGE($BE$3:$BE$206))/STDEV($BE$3:$BE$206))-(($BB105-AVERAGE($BB$3:$BB$206))/STDEV($BB$3:$BB$206))-(($Z105-AVERAGE($Z$3:$Z$206))/STDEV($Z$3:$Z$206))-(($BC105-AVERAGE($BC$3:$BC$206))/STDEV($BC$3:$BC$206)),"")</f>
      </c>
      <c r="BG105">
        <f>IF(OR($C105="",$C105="TOPX",$BA105="",$BF105=""),0,IF(AND($BK$10=1,$BA105&lt;=$BK$2,$BB105&lt;=$BK$3,$BC105&lt;=$BK$4,$Z105&lt;=$BK$5,$Z105&gt;=$BK$6,$BD105&gt;=$BK$7,$BE105&lt;=$BK$8),1,0))</f>
      </c>
      <c r="BH105">
        <f>IF($C105="","",IF($BG105=1,"○ゲート通過",IF($BK$10&lt;&gt;1,"― この方向は停止中",IF($BA105&gt;$BK$2,"×値動きが荒い",IF($BB105&gt;$BK$3,"×レンジが広い",IF($BC105&gt;$BK$4,"×窓を開けて上昇",IF($Z105&gt;$BK$5,"×前日に急騰",IF($Z105&lt;$BK$6,"×前日に急落",IF($BD105&lt;$BK$7,"×高値から離れすぎ",IF($BE105&gt;$BK$8,"×当日の値幅が大きい","×")))))))))</f>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 t="shared" si="22"/>
        <v>-8.3665338645418323</v>
      </c>
      <c r="M106" s="333">
        <f>IF(C106&lt;&gt;"",IFERROR(AVERAGE(出来高!E120:I120),""),"")</f>
        <v>100160</v>
      </c>
      <c r="N106" s="333">
        <f>IF(C106&lt;&gt;"",IFERROR(AVERAGE(出来高!E120:AC120),""),"")</f>
        <v>81566.666666666672</v>
      </c>
      <c r="O106" s="335">
        <f t="shared" si="23"/>
        <v>1.1591453674121406</v>
      </c>
      <c r="P106" s="212" t="str">
        <f t="shared" si="24"/>
        <v>普通→</v>
      </c>
      <c r="Q106" s="212" t="str">
        <f t="shared" si="25"/>
        <v>中立→</v>
      </c>
      <c r="R106" s="333">
        <f t="shared" si="26"/>
        <v>4232</v>
      </c>
      <c r="S106" s="333">
        <f t="shared" si="27"/>
        <v>4784</v>
      </c>
      <c r="T106" s="325">
        <f>IF(C106="","",IFERROR(IF(W106&lt;=22,-4,IF(W106&lt;=28,-2,IF(W106&lt;=45,2,IF(W106&lt;=55,1,0))))+IF(X106&lt;0,2,0)+IF(AD106="下降トレンド▼",3,IF(AD106="もみ合い→",1,0))+IF(V106="年初来安値圏●",3,IF(V106="安値圏",2,0))+IF(Q106="売り▼",2,0)+IF(P106="急増↑↑",2,IF(P106="増加↑",1,0))+IF(Z106&lt;0,1,0)+IF(L106&lt;=-30,2,IF(L106&lt;=-15,1,0))+IF(AE106="25日戻り売り★",2,IF(AE106="5日戻り売り○",1,0))+N(AL106)+N(AP106)+N(AU106),0))</f>
      </c>
      <c r="U106" s="212" t="str">
        <f t="shared" si="29"/>
        <v>除外</v>
      </c>
      <c r="V106" s="212" t="str">
        <f t="shared" si="30"/>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 t="shared" si="31"/>
        <v>相場上昇・見送り | パーフェクト▲ MACD+ RSI:51.5 前日比:-0.4% [0点]</v>
      </c>
      <c r="Z106" s="338">
        <f t="shared" si="32"/>
        <v>-0.4329004329004329</v>
      </c>
      <c r="AA106" s="212" t="str">
        <f t="shared" si="33"/>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 t="shared" si="34"/>
        <v>パーフェクト▲</v>
      </c>
      <c r="AE106" s="212" t="str">
        <f t="shared" si="35"/>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 t="shared" si="36"/>
        <v>0</v>
      </c>
      <c r="AH106">
        <f t="shared" si="37"/>
        <v>0</v>
      </c>
      <c r="AI106" s="373">
        <f t="array" ref="AI106">IF(C106="","",IFERROR((INDEX(終値!$E:$E,MATCH(TEXT(C106,"0"),終値!$A:$A,0))-INDEX(終値!$E:$CZ,MATCH(TEXT(C106,"0"),終値!$A:$A,0),$AN$2))/INDEX(終値!$E:$CZ,MATCH(TEXT(C106,"0"),終値!$A:$A,0),$AN$2)*100,""))</f>
        <v>11.650485436893204</v>
      </c>
      <c r="AJ106" s="373">
        <f t="array" ref="AJ106">IFERROR((終値!$E$5-INDEX(終値!$E$5:$CZ$5,1,$AN$2))/INDEX(終値!$E$5:$CZ$5,1,$AN$2)*100,"")</f>
        <v>1.0179378228534113</v>
      </c>
      <c r="AK106" s="374">
        <f t="shared" si="38"/>
        <v>10.632547614039792</v>
      </c>
      <c r="AL106" s="372">
        <f t="shared" si="39"/>
        <v>-2</v>
      </c>
      <c r="AO106" s="376" t="str">
        <f t="shared" si="40"/>
        <v>通常</v>
      </c>
      <c r="AP106" s="377">
        <f t="shared" si="41"/>
        <v>0</v>
      </c>
      <c r="AQ106">
        <f>IF(C106&lt;&gt;"",始値!F120,"")</f>
        <v>4550</v>
      </c>
      <c r="AR106">
        <f>IF(C106&lt;&gt;"",高値!F120,"")</f>
        <v>4620</v>
      </c>
      <c r="AS106">
        <f>IF(C106&lt;&gt;"",安値!F120,"")</f>
        <v>4545</v>
      </c>
      <c r="AT106" t="str">
        <f t="shared" si="42"/>
        <v>通常</v>
      </c>
      <c r="AU106">
        <f t="shared" si="43"/>
        <v>0</v>
      </c>
      <c r="BA106">
        <f>IFERROR((SUM(OFFSET(高値!$E$6,IFERROR(MATCH($C106,銘柄管理!$B$6:$B$305,0),MATCH(TEXT($C106,"0"),銘柄管理!$B$6:$B$305,0))-1,0,1,14))-SUM(OFFSET(安値!$E$6,IFERROR(MATCH($C106,銘柄管理!$B$6:$B$305,0),MATCH(TEXT($C106,"0"),銘柄管理!$B$6:$B$305,0))-1,0,1,14)))/SUM(OFFSET(終値!$E$6,IFERROR(MATCH($C106,銘柄管理!$B$6:$B$305,0),MATCH(TEXT($C106,"0"),銘柄管理!$B$6:$B$305,0))-1,0,1,14))*100,"")</f>
      </c>
      <c r="BB106">
        <f>IFERROR((MAX(OFFSET(高値!$E$6,IFERROR(MATCH($C106,銘柄管理!$B$6:$B$305,0),MATCH(TEXT($C106,"0"),銘柄管理!$B$6:$B$305,0))-1,0,1,25))-MIN(OFFSET(安値!$E$6,IFERROR(MATCH($C106,銘柄管理!$B$6:$B$305,0),MATCH(TEXT($C106,"0"),銘柄管理!$B$6:$B$305,0))-1,0,1,25)))/$E106*100,"")</f>
      </c>
      <c r="BC106">
        <f>IFERROR(($F106-$G106)/$G106*100,"")</f>
      </c>
      <c r="BD106">
        <f>IFERROR(($E106-MAX(OFFSET(高値!$E$6,IFERROR(MATCH($C106,銘柄管理!$B$6:$B$305,0),MATCH(TEXT($C106,"0"),銘柄管理!$B$6:$B$305,0))-1,0,1,25)))/MAX(OFFSET(高値!$E$6,IFERROR(MATCH($C106,銘柄管理!$B$6:$B$305,0),MATCH(TEXT($C106,"0"),銘柄管理!$B$6:$B$305,0))-1,0,1,25))*100,"")</f>
      </c>
      <c r="BE106">
        <f>IFERROR(($H106-$I106)/$F106*100,"")</f>
      </c>
      <c r="BF106">
        <f>IFERROR(-(($BA106-AVERAGE($BA$3:$BA$206))/STDEV($BA$3:$BA$206))-(($BE106-AVERAGE($BE$3:$BE$206))/STDEV($BE$3:$BE$206))-(($BB106-AVERAGE($BB$3:$BB$206))/STDEV($BB$3:$BB$206))-(($Z106-AVERAGE($Z$3:$Z$206))/STDEV($Z$3:$Z$206))-(($BC106-AVERAGE($BC$3:$BC$206))/STDEV($BC$3:$BC$206)),"")</f>
      </c>
      <c r="BG106">
        <f>IF(OR($C106="",$C106="TOPX",$BA106="",$BF106=""),0,IF(AND($BK$10=1,$BA106&lt;=$BK$2,$BB106&lt;=$BK$3,$BC106&lt;=$BK$4,$Z106&lt;=$BK$5,$Z106&gt;=$BK$6,$BD106&gt;=$BK$7,$BE106&lt;=$BK$8),1,0))</f>
      </c>
      <c r="BH106">
        <f>IF($C106="","",IF($BG106=1,"○ゲート通過",IF($BK$10&lt;&gt;1,"― この方向は停止中",IF($BA106&gt;$BK$2,"×値動きが荒い",IF($BB106&gt;$BK$3,"×レンジが広い",IF($BC106&gt;$BK$4,"×窓を開けて上昇",IF($Z106&gt;$BK$5,"×前日に急騰",IF($Z106&lt;$BK$6,"×前日に急落",IF($BD106&lt;$BK$7,"×高値から離れすぎ",IF($BE106&gt;$BK$8,"×当日の値幅が大きい","×")))))))))</f>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 t="shared" si="22"/>
        <v>-23.901712583767683</v>
      </c>
      <c r="M107" s="326">
        <f>IF(C107&lt;&gt;"",IFERROR(AVERAGE(出来高!E126:I126),""),"")</f>
        <v>217800</v>
      </c>
      <c r="N107" s="326">
        <f>IF(C107&lt;&gt;"",IFERROR(AVERAGE(出来高!E126:AC126),""),"")</f>
        <v>331356</v>
      </c>
      <c r="O107" s="328">
        <f t="shared" si="23"/>
        <v>0.76308539944903586</v>
      </c>
      <c r="P107" s="325" t="str">
        <f t="shared" si="24"/>
        <v>減少↓</v>
      </c>
      <c r="Q107" s="325" t="str">
        <f t="shared" si="25"/>
        <v>様子見▲</v>
      </c>
      <c r="R107" s="326">
        <f t="shared" si="26"/>
        <v>940</v>
      </c>
      <c r="S107" s="326">
        <f t="shared" si="27"/>
        <v>1063</v>
      </c>
      <c r="T107" s="325">
        <f>IF(C107="","",IFERROR(IF(W107&lt;=22,-4,IF(W107&lt;=28,-2,IF(W107&lt;=45,2,IF(W107&lt;=55,1,0))))+IF(X107&lt;0,2,0)+IF(AD107="下降トレンド▼",3,IF(AD107="もみ合い→",1,0))+IF(V107="年初来安値圏●",3,IF(V107="安値圏",2,0))+IF(Q107="売り▼",2,0)+IF(P107="急増↑↑",2,IF(P107="増加↑",1,0))+IF(Z107&lt;0,1,0)+IF(L107&lt;=-30,2,IF(L107&lt;=-15,1,0))+IF(AE107="25日戻り売り★",2,IF(AE107="5日戻り売り○",1,0))+N(AL107)+N(AP107)+N(AU107),0))</f>
      </c>
      <c r="U107" s="325" t="str">
        <f t="shared" si="29"/>
        <v>除外</v>
      </c>
      <c r="V107" s="325" t="str">
        <f t="shared" si="30"/>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 t="shared" si="31"/>
        <v>相場上昇・見送り | パーフェクト▲ MACD+ RSI:51.9 前日比:+0.2% [0点]</v>
      </c>
      <c r="Z107" s="331">
        <f t="shared" si="32"/>
        <v>0.19607843137254902</v>
      </c>
      <c r="AA107" s="325" t="str">
        <f t="shared" si="33"/>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 t="shared" si="34"/>
        <v>パーフェクト▲</v>
      </c>
      <c r="AE107" s="325" t="str">
        <f t="shared" si="35"/>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 t="shared" si="36"/>
        <v>0</v>
      </c>
      <c r="AH107">
        <f t="shared" si="37"/>
        <v>0</v>
      </c>
      <c r="AI107" s="373">
        <f t="array" ref="AI107">IF(C107="","",IFERROR((INDEX(終値!$E:$E,MATCH(TEXT(C107,"0"),終値!$A:$A,0))-INDEX(終値!$E:$CZ,MATCH(TEXT(C107,"0"),終値!$A:$A,0),$AN$2))/INDEX(終値!$E:$CZ,MATCH(TEXT(C107,"0"),終値!$A:$A,0),$AN$2)*100,""))</f>
        <v>6.0165975103734439</v>
      </c>
      <c r="AJ107" s="373">
        <f t="array" ref="AJ107">IFERROR((終値!$E$5-INDEX(終値!$E$5:$CZ$5,1,$AN$2))/INDEX(終値!$E$5:$CZ$5,1,$AN$2)*100,"")</f>
        <v>1.0179378228534113</v>
      </c>
      <c r="AK107" s="374">
        <f t="shared" si="38"/>
        <v>4.9986596875200329</v>
      </c>
      <c r="AL107" s="372">
        <f t="shared" si="39"/>
        <v>-2</v>
      </c>
      <c r="AO107" s="376" t="str">
        <f t="shared" si="40"/>
        <v>通常</v>
      </c>
      <c r="AP107" s="377">
        <f t="shared" si="41"/>
        <v>0</v>
      </c>
      <c r="AQ107">
        <f>IF(C107&lt;&gt;"",始値!F126,"")</f>
        <v>1010</v>
      </c>
      <c r="AR107">
        <f>IF(C107&lt;&gt;"",高値!F126,"")</f>
        <v>1025</v>
      </c>
      <c r="AS107">
        <f>IF(C107&lt;&gt;"",安値!F126,"")</f>
        <v>1009</v>
      </c>
      <c r="AT107" t="str">
        <f t="shared" si="42"/>
        <v>通常</v>
      </c>
      <c r="AU107">
        <f t="shared" si="43"/>
        <v>0</v>
      </c>
      <c r="BA107">
        <f>IFERROR((SUM(OFFSET(高値!$E$6,IFERROR(MATCH($C107,銘柄管理!$B$6:$B$305,0),MATCH(TEXT($C107,"0"),銘柄管理!$B$6:$B$305,0))-1,0,1,14))-SUM(OFFSET(安値!$E$6,IFERROR(MATCH($C107,銘柄管理!$B$6:$B$305,0),MATCH(TEXT($C107,"0"),銘柄管理!$B$6:$B$305,0))-1,0,1,14)))/SUM(OFFSET(終値!$E$6,IFERROR(MATCH($C107,銘柄管理!$B$6:$B$305,0),MATCH(TEXT($C107,"0"),銘柄管理!$B$6:$B$305,0))-1,0,1,14))*100,"")</f>
      </c>
      <c r="BB107">
        <f>IFERROR((MAX(OFFSET(高値!$E$6,IFERROR(MATCH($C107,銘柄管理!$B$6:$B$305,0),MATCH(TEXT($C107,"0"),銘柄管理!$B$6:$B$305,0))-1,0,1,25))-MIN(OFFSET(安値!$E$6,IFERROR(MATCH($C107,銘柄管理!$B$6:$B$305,0),MATCH(TEXT($C107,"0"),銘柄管理!$B$6:$B$305,0))-1,0,1,25)))/$E107*100,"")</f>
      </c>
      <c r="BC107">
        <f>IFERROR(($F107-$G107)/$G107*100,"")</f>
      </c>
      <c r="BD107">
        <f>IFERROR(($E107-MAX(OFFSET(高値!$E$6,IFERROR(MATCH($C107,銘柄管理!$B$6:$B$305,0),MATCH(TEXT($C107,"0"),銘柄管理!$B$6:$B$305,0))-1,0,1,25)))/MAX(OFFSET(高値!$E$6,IFERROR(MATCH($C107,銘柄管理!$B$6:$B$305,0),MATCH(TEXT($C107,"0"),銘柄管理!$B$6:$B$305,0))-1,0,1,25))*100,"")</f>
      </c>
      <c r="BE107">
        <f>IFERROR(($H107-$I107)/$F107*100,"")</f>
      </c>
      <c r="BF107">
        <f>IFERROR(-(($BA107-AVERAGE($BA$3:$BA$206))/STDEV($BA$3:$BA$206))-(($BE107-AVERAGE($BE$3:$BE$206))/STDEV($BE$3:$BE$206))-(($BB107-AVERAGE($BB$3:$BB$206))/STDEV($BB$3:$BB$206))-(($Z107-AVERAGE($Z$3:$Z$206))/STDEV($Z$3:$Z$206))-(($BC107-AVERAGE($BC$3:$BC$206))/STDEV($BC$3:$BC$206)),"")</f>
      </c>
      <c r="BG107">
        <f>IF(OR($C107="",$C107="TOPX",$BA107="",$BF107=""),0,IF(AND($BK$10=1,$BA107&lt;=$BK$2,$BB107&lt;=$BK$3,$BC107&lt;=$BK$4,$Z107&lt;=$BK$5,$Z107&gt;=$BK$6,$BD107&gt;=$BK$7,$BE107&lt;=$BK$8),1,0))</f>
      </c>
      <c r="BH107">
        <f>IF($C107="","",IF($BG107=1,"○ゲート通過",IF($BK$10&lt;&gt;1,"― この方向は停止中",IF($BA107&gt;$BK$2,"×値動きが荒い",IF($BB107&gt;$BK$3,"×レンジが広い",IF($BC107&gt;$BK$4,"×窓を開けて上昇",IF($Z107&gt;$BK$5,"×前日に急騰",IF($Z107&lt;$BK$6,"×前日に急落",IF($BD107&lt;$BK$7,"×高値から離れすぎ",IF($BE107&gt;$BK$8,"×当日の値幅が大きい","×")))))))))</f>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 t="shared" si="22"/>
        <v>-19.477693144722526</v>
      </c>
      <c r="M108" s="333">
        <f>IF(C108&lt;&gt;"",IFERROR(AVERAGE(出来高!E132:I132),""),"")</f>
        <v>1086600</v>
      </c>
      <c r="N108" s="333">
        <f>IF(C108&lt;&gt;"",IFERROR(AVERAGE(出来高!E132:AC132),""),"")</f>
        <v>1480050</v>
      </c>
      <c r="O108" s="335">
        <f t="shared" si="23"/>
        <v>0.82413031474323584</v>
      </c>
      <c r="P108" s="212" t="str">
        <f t="shared" si="24"/>
        <v>減少↓</v>
      </c>
      <c r="Q108" s="212" t="str">
        <f t="shared" si="25"/>
        <v>様子見▲</v>
      </c>
      <c r="R108" s="333">
        <f t="shared" si="26"/>
        <v>6808</v>
      </c>
      <c r="S108" s="333">
        <f t="shared" si="27"/>
        <v>7696</v>
      </c>
      <c r="T108" s="325">
        <f>IF(C108="","",IFERROR(IF(W108&lt;=22,-4,IF(W108&lt;=28,-2,IF(W108&lt;=45,2,IF(W108&lt;=55,1,0))))+IF(X108&lt;0,2,0)+IF(AD108="下降トレンド▼",3,IF(AD108="もみ合い→",1,0))+IF(V108="年初来安値圏●",3,IF(V108="安値圏",2,0))+IF(Q108="売り▼",2,0)+IF(P108="急増↑↑",2,IF(P108="増加↑",1,0))+IF(Z108&lt;0,1,0)+IF(L108&lt;=-30,2,IF(L108&lt;=-15,1,0))+IF(AE108="25日戻り売り★",2,IF(AE108="5日戻り売り○",1,0))+N(AL108)+N(AP108)+N(AU108),0))</f>
      </c>
      <c r="U108" s="212" t="str">
        <f t="shared" si="29"/>
        <v>要確認</v>
      </c>
      <c r="V108" s="212" t="str">
        <f t="shared" si="30"/>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 t="shared" si="31"/>
        <v>相場上昇・見送り | パーフェクト▲ MACD- RSI:49.9 前日比:+0.3% [4点]</v>
      </c>
      <c r="Z108" s="338">
        <f t="shared" si="32"/>
        <v>0.27100271002710025</v>
      </c>
      <c r="AA108" s="212" t="str">
        <f t="shared" si="33"/>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 t="shared" si="34"/>
        <v>パーフェクト▲</v>
      </c>
      <c r="AE108" s="212" t="str">
        <f t="shared" si="35"/>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 t="shared" si="36"/>
        <v>0</v>
      </c>
      <c r="AH108">
        <f t="shared" si="37"/>
        <v>0</v>
      </c>
      <c r="AI108" s="373">
        <f t="array" ref="AI108">IF(C108="","",IFERROR((INDEX(終値!$E:$E,MATCH(TEXT(C108,"0"),終値!$A:$A,0))-INDEX(終値!$E:$CZ,MATCH(TEXT(C108,"0"),終値!$A:$A,0),$AN$2))/INDEX(終値!$E:$CZ,MATCH(TEXT(C108,"0"),終値!$A:$A,0),$AN$2)*100,""))</f>
        <v>-0.67114093959731547</v>
      </c>
      <c r="AJ108" s="373">
        <f t="array" ref="AJ108">IFERROR((終値!$E$5-INDEX(終値!$E$5:$CZ$5,1,$AN$2))/INDEX(終値!$E$5:$CZ$5,1,$AN$2)*100,"")</f>
        <v>1.0179378228534113</v>
      </c>
      <c r="AK108" s="374">
        <f t="shared" si="38"/>
        <v>-1.6890787624507269</v>
      </c>
      <c r="AL108" s="372">
        <f t="shared" si="39"/>
        <v>1</v>
      </c>
      <c r="AO108" s="376" t="str">
        <f t="shared" si="40"/>
        <v>通常</v>
      </c>
      <c r="AP108" s="377">
        <f t="shared" si="41"/>
        <v>0</v>
      </c>
      <c r="AQ108">
        <f>IF(C108&lt;&gt;"",始値!F132,"")</f>
        <v>7180</v>
      </c>
      <c r="AR108">
        <f>IF(C108&lt;&gt;"",高値!F132,"")</f>
        <v>7600</v>
      </c>
      <c r="AS108">
        <f>IF(C108&lt;&gt;"",安値!F132,"")</f>
        <v>7080</v>
      </c>
      <c r="AT108" t="str">
        <f t="shared" si="42"/>
        <v>通常</v>
      </c>
      <c r="AU108">
        <f t="shared" si="43"/>
        <v>0</v>
      </c>
      <c r="BA108">
        <f>IFERROR((SUM(OFFSET(高値!$E$6,IFERROR(MATCH($C108,銘柄管理!$B$6:$B$305,0),MATCH(TEXT($C108,"0"),銘柄管理!$B$6:$B$305,0))-1,0,1,14))-SUM(OFFSET(安値!$E$6,IFERROR(MATCH($C108,銘柄管理!$B$6:$B$305,0),MATCH(TEXT($C108,"0"),銘柄管理!$B$6:$B$305,0))-1,0,1,14)))/SUM(OFFSET(終値!$E$6,IFERROR(MATCH($C108,銘柄管理!$B$6:$B$305,0),MATCH(TEXT($C108,"0"),銘柄管理!$B$6:$B$305,0))-1,0,1,14))*100,"")</f>
      </c>
      <c r="BB108">
        <f>IFERROR((MAX(OFFSET(高値!$E$6,IFERROR(MATCH($C108,銘柄管理!$B$6:$B$305,0),MATCH(TEXT($C108,"0"),銘柄管理!$B$6:$B$305,0))-1,0,1,25))-MIN(OFFSET(安値!$E$6,IFERROR(MATCH($C108,銘柄管理!$B$6:$B$305,0),MATCH(TEXT($C108,"0"),銘柄管理!$B$6:$B$305,0))-1,0,1,25)))/$E108*100,"")</f>
      </c>
      <c r="BC108">
        <f>IFERROR(($F108-$G108)/$G108*100,"")</f>
      </c>
      <c r="BD108">
        <f>IFERROR(($E108-MAX(OFFSET(高値!$E$6,IFERROR(MATCH($C108,銘柄管理!$B$6:$B$305,0),MATCH(TEXT($C108,"0"),銘柄管理!$B$6:$B$305,0))-1,0,1,25)))/MAX(OFFSET(高値!$E$6,IFERROR(MATCH($C108,銘柄管理!$B$6:$B$305,0),MATCH(TEXT($C108,"0"),銘柄管理!$B$6:$B$305,0))-1,0,1,25))*100,"")</f>
      </c>
      <c r="BE108">
        <f>IFERROR(($H108-$I108)/$F108*100,"")</f>
      </c>
      <c r="BF108">
        <f>IFERROR(-(($BA108-AVERAGE($BA$3:$BA$206))/STDEV($BA$3:$BA$206))-(($BE108-AVERAGE($BE$3:$BE$206))/STDEV($BE$3:$BE$206))-(($BB108-AVERAGE($BB$3:$BB$206))/STDEV($BB$3:$BB$206))-(($Z108-AVERAGE($Z$3:$Z$206))/STDEV($Z$3:$Z$206))-(($BC108-AVERAGE($BC$3:$BC$206))/STDEV($BC$3:$BC$206)),"")</f>
      </c>
      <c r="BG108">
        <f>IF(OR($C108="",$C108="TOPX",$BA108="",$BF108=""),0,IF(AND($BK$10=1,$BA108&lt;=$BK$2,$BB108&lt;=$BK$3,$BC108&lt;=$BK$4,$Z108&lt;=$BK$5,$Z108&gt;=$BK$6,$BD108&gt;=$BK$7,$BE108&lt;=$BK$8),1,0))</f>
      </c>
      <c r="BH108">
        <f>IF($C108="","",IF($BG108=1,"○ゲート通過",IF($BK$10&lt;&gt;1,"― この方向は停止中",IF($BA108&gt;$BK$2,"×値動きが荒い",IF($BB108&gt;$BK$3,"×レンジが広い",IF($BC108&gt;$BK$4,"×窓を開けて上昇",IF($Z108&gt;$BK$5,"×前日に急騰",IF($Z108&lt;$BK$6,"×前日に急落",IF($BD108&lt;$BK$7,"×高値から離れすぎ",IF($BE108&gt;$BK$8,"×当日の値幅が大きい","×")))))))))</f>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 t="shared" si="22"/>
        <v>-36.288209606986896</v>
      </c>
      <c r="M109" s="326">
        <f>IF(C109&lt;&gt;"",IFERROR(AVERAGE(出来高!E134:I134),""),"")</f>
        <v>16221650</v>
      </c>
      <c r="N109" s="326">
        <f>IF(C109&lt;&gt;"",IFERROR(AVERAGE(出来高!E134:AC134),""),"")</f>
        <v>16221650</v>
      </c>
      <c r="O109" s="328">
        <f t="shared" si="23"/>
        <v>1.3110626847453866</v>
      </c>
      <c r="P109" s="325" t="str">
        <f t="shared" si="24"/>
        <v>普通→</v>
      </c>
      <c r="Q109" s="325" t="str">
        <f t="shared" si="25"/>
        <v>中立→</v>
      </c>
      <c r="R109" s="326">
        <f t="shared" si="26"/>
        <v>2685</v>
      </c>
      <c r="S109" s="326">
        <f t="shared" si="27"/>
        <v>3035</v>
      </c>
      <c r="T109" s="325">
        <f>IF(C109="","",IFERROR(IF(W109&lt;=22,-4,IF(W109&lt;=28,-2,IF(W109&lt;=45,2,IF(W109&lt;=55,1,0))))+IF(X109&lt;0,2,0)+IF(AD109="下降トレンド▼",3,IF(AD109="もみ合い→",1,0))+IF(V109="年初来安値圏●",3,IF(V109="安値圏",2,0))+IF(Q109="売り▼",2,0)+IF(P109="急増↑↑",2,IF(P109="増加↑",1,0))+IF(Z109&lt;0,1,0)+IF(L109&lt;=-30,2,IF(L109&lt;=-15,1,0))+IF(AE109="25日戻り売り★",2,IF(AE109="5日戻り売り○",1,0))+N(AL109)+N(AP109)+N(AU109),0))</f>
      </c>
      <c r="U109" s="325" t="str">
        <f t="shared" si="29"/>
        <v>要確認</v>
      </c>
      <c r="V109" s="325" t="str">
        <f t="shared" si="30"/>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 t="shared" si="31"/>
        <v>相場上昇・見送り | パーフェクト▲ MACD+ RSI:50.0 前日比:-17.9% [安値圏] [大陰線▼] [8点]</v>
      </c>
      <c r="Z109" s="331">
        <f t="shared" si="32"/>
        <v>-17.918424753867793</v>
      </c>
      <c r="AA109" s="325" t="str">
        <f t="shared" si="33"/>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 t="shared" si="34"/>
        <v>パーフェクト▲</v>
      </c>
      <c r="AE109" s="325" t="str">
        <f t="shared" si="35"/>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 t="shared" si="36"/>
        <v>8</v>
      </c>
      <c r="AH109">
        <f t="shared" si="37"/>
        <v>79891</v>
      </c>
      <c r="AI109" s="373" t="str">
        <f t="array" ref="AI109">IF(C109="","",IFERROR((INDEX(終値!$E:$E,MATCH(TEXT(C109,"0"),終値!$A:$A,0))-INDEX(終値!$E:$CZ,MATCH(TEXT(C109,"0"),終値!$A:$A,0),$AN$2))/INDEX(終値!$E:$CZ,MATCH(TEXT(C109,"0"),終値!$A:$A,0),$AN$2)*100,""))</f>
        <v/>
      </c>
      <c r="AJ109" s="373">
        <f t="array" ref="AJ109">IFERROR((終値!$E$5-INDEX(終値!$E$5:$CZ$5,1,$AN$2))/INDEX(終値!$E$5:$CZ$5,1,$AN$2)*100,"")</f>
        <v>1.0179378228534113</v>
      </c>
      <c r="AK109" s="374" t="str">
        <f t="shared" si="38"/>
        <v/>
      </c>
      <c r="AL109" s="372" t="str">
        <f t="shared" si="39"/>
        <v/>
      </c>
      <c r="AO109" s="376" t="str">
        <f t="shared" si="40"/>
        <v>大陰線▼</v>
      </c>
      <c r="AP109" s="377">
        <f t="shared" si="41"/>
        <v>2</v>
      </c>
      <c r="AQ109">
        <f>IF(C109&lt;&gt;"",始値!F134,"")</f>
        <v>3350</v>
      </c>
      <c r="AR109">
        <f>IF(C109&lt;&gt;"",高値!F134,"")</f>
        <v>3610</v>
      </c>
      <c r="AS109">
        <f>IF(C109&lt;&gt;"",安値!F134,"")</f>
        <v>3350</v>
      </c>
      <c r="AT109" t="str">
        <f t="shared" si="42"/>
        <v>通常</v>
      </c>
      <c r="AU109">
        <f t="shared" si="43"/>
        <v>0</v>
      </c>
      <c r="BA109">
        <f>IFERROR((SUM(OFFSET(高値!$E$6,IFERROR(MATCH($C109,銘柄管理!$B$6:$B$305,0),MATCH(TEXT($C109,"0"),銘柄管理!$B$6:$B$305,0))-1,0,1,14))-SUM(OFFSET(安値!$E$6,IFERROR(MATCH($C109,銘柄管理!$B$6:$B$305,0),MATCH(TEXT($C109,"0"),銘柄管理!$B$6:$B$305,0))-1,0,1,14)))/SUM(OFFSET(終値!$E$6,IFERROR(MATCH($C109,銘柄管理!$B$6:$B$305,0),MATCH(TEXT($C109,"0"),銘柄管理!$B$6:$B$305,0))-1,0,1,14))*100,"")</f>
      </c>
      <c r="BB109">
        <f>IFERROR((MAX(OFFSET(高値!$E$6,IFERROR(MATCH($C109,銘柄管理!$B$6:$B$305,0),MATCH(TEXT($C109,"0"),銘柄管理!$B$6:$B$305,0))-1,0,1,25))-MIN(OFFSET(安値!$E$6,IFERROR(MATCH($C109,銘柄管理!$B$6:$B$305,0),MATCH(TEXT($C109,"0"),銘柄管理!$B$6:$B$305,0))-1,0,1,25)))/$E109*100,"")</f>
      </c>
      <c r="BC109">
        <f>IFERROR(($F109-$G109)/$G109*100,"")</f>
      </c>
      <c r="BD109">
        <f>IFERROR(($E109-MAX(OFFSET(高値!$E$6,IFERROR(MATCH($C109,銘柄管理!$B$6:$B$305,0),MATCH(TEXT($C109,"0"),銘柄管理!$B$6:$B$305,0))-1,0,1,25)))/MAX(OFFSET(高値!$E$6,IFERROR(MATCH($C109,銘柄管理!$B$6:$B$305,0),MATCH(TEXT($C109,"0"),銘柄管理!$B$6:$B$305,0))-1,0,1,25))*100,"")</f>
      </c>
      <c r="BE109">
        <f>IFERROR(($H109-$I109)/$F109*100,"")</f>
      </c>
      <c r="BF109">
        <f>IFERROR(-(($BA109-AVERAGE($BA$3:$BA$206))/STDEV($BA$3:$BA$206))-(($BE109-AVERAGE($BE$3:$BE$206))/STDEV($BE$3:$BE$206))-(($BB109-AVERAGE($BB$3:$BB$206))/STDEV($BB$3:$BB$206))-(($Z109-AVERAGE($Z$3:$Z$206))/STDEV($Z$3:$Z$206))-(($BC109-AVERAGE($BC$3:$BC$206))/STDEV($BC$3:$BC$206)),"")</f>
      </c>
      <c r="BG109">
        <f>IF(OR($C109="",$C109="TOPX",$BA109="",$BF109=""),0,IF(AND($BK$10=1,$BA109&lt;=$BK$2,$BB109&lt;=$BK$3,$BC109&lt;=$BK$4,$Z109&lt;=$BK$5,$Z109&gt;=$BK$6,$BD109&gt;=$BK$7,$BE109&lt;=$BK$8),1,0))</f>
      </c>
      <c r="BH109">
        <f>IF($C109="","",IF($BG109=1,"○ゲート通過",IF($BK$10&lt;&gt;1,"― この方向は停止中",IF($BA109&gt;$BK$2,"×値動きが荒い",IF($BB109&gt;$BK$3,"×レンジが広い",IF($BC109&gt;$BK$4,"×窓を開けて上昇",IF($Z109&gt;$BK$5,"×前日に急騰",IF($Z109&lt;$BK$6,"×前日に急落",IF($BD109&lt;$BK$7,"×高値から離れすぎ",IF($BE109&gt;$BK$8,"×当日の値幅が大きい","×")))))))))</f>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 t="shared" si="22"/>
        <v>-26.620689655172413</v>
      </c>
      <c r="M110" s="333">
        <f>IF(C110&lt;&gt;"",IFERROR(AVERAGE(出来高!E142:I142),""),"")</f>
        <v>10034380</v>
      </c>
      <c r="N110" s="333">
        <f>IF(C110&lt;&gt;"",IFERROR(AVERAGE(出来高!E142:AC142),""),"")</f>
        <v>7121316</v>
      </c>
      <c r="O110" s="335">
        <f t="shared" si="23"/>
        <v>0.68583210920854099</v>
      </c>
      <c r="P110" s="212" t="str">
        <f t="shared" si="24"/>
        <v>減少↓</v>
      </c>
      <c r="Q110" s="212" t="str">
        <f t="shared" si="25"/>
        <v>様子見▲</v>
      </c>
      <c r="R110" s="333">
        <f t="shared" si="26"/>
        <v>2447</v>
      </c>
      <c r="S110" s="333">
        <f t="shared" si="27"/>
        <v>2766</v>
      </c>
      <c r="T110" s="325">
        <f>IF(C110="","",IFERROR(IF(W110&lt;=22,-4,IF(W110&lt;=28,-2,IF(W110&lt;=45,2,IF(W110&lt;=55,1,0))))+IF(X110&lt;0,2,0)+IF(AD110="下降トレンド▼",3,IF(AD110="もみ合い→",1,0))+IF(V110="年初来安値圏●",3,IF(V110="安値圏",2,0))+IF(Q110="売り▼",2,0)+IF(P110="急増↑↑",2,IF(P110="増加↑",1,0))+IF(Z110&lt;0,1,0)+IF(L110&lt;=-30,2,IF(L110&lt;=-15,1,0))+IF(AE110="25日戻り売り★",2,IF(AE110="5日戻り売り○",1,0))+N(AL110)+N(AP110)+N(AU110),0))</f>
      </c>
      <c r="U110" s="212" t="str">
        <f t="shared" si="29"/>
        <v>要確認</v>
      </c>
      <c r="V110" s="212" t="str">
        <f t="shared" si="30"/>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 t="shared" si="31"/>
        <v>○逆張り売り | もみ合い→ 25日戻り売り★ MACD- RSI:44.4 前日比:+2.9% [安値圏] [7点]</v>
      </c>
      <c r="Z110" s="338">
        <f t="shared" si="32"/>
        <v>2.9013539651837523</v>
      </c>
      <c r="AA110" s="212" t="str">
        <f t="shared" si="33"/>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 t="shared" si="34"/>
        <v>もみ合い→</v>
      </c>
      <c r="AE110" s="212" t="str">
        <f t="shared" si="35"/>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 t="shared" si="36"/>
        <v>7</v>
      </c>
      <c r="AH110">
        <f t="shared" si="37"/>
        <v>69890</v>
      </c>
      <c r="AI110" s="373">
        <f t="array" ref="AI110">IF(C110="","",IFERROR((INDEX(終値!$E:$E,MATCH(TEXT(C110,"0"),終値!$A:$A,0))-INDEX(終値!$E:$CZ,MATCH(TEXT(C110,"0"),終値!$A:$A,0),$AN$2))/INDEX(終値!$E:$CZ,MATCH(TEXT(C110,"0"),終値!$A:$A,0),$AN$2)*100,""))</f>
        <v>3.160752375412061</v>
      </c>
      <c r="AJ110" s="373">
        <f t="array" ref="AJ110">IFERROR((終値!$E$5-INDEX(終値!$E$5:$CZ$5,1,$AN$2))/INDEX(終値!$E$5:$CZ$5,1,$AN$2)*100,"")</f>
        <v>1.0179378228534113</v>
      </c>
      <c r="AK110" s="374">
        <f t="shared" si="38"/>
        <v>2.1428145525586499</v>
      </c>
      <c r="AL110" s="372">
        <f t="shared" si="39"/>
        <v>-1</v>
      </c>
      <c r="AO110" s="376" t="str">
        <f t="shared" si="40"/>
        <v>通常</v>
      </c>
      <c r="AP110" s="377">
        <f t="shared" si="41"/>
        <v>0</v>
      </c>
      <c r="AQ110">
        <f>IF(C110&lt;&gt;"",始値!F142,"")</f>
        <v>2509</v>
      </c>
      <c r="AR110">
        <f>IF(C110&lt;&gt;"",高値!F142,"")</f>
        <v>2586.5</v>
      </c>
      <c r="AS110">
        <f>IF(C110&lt;&gt;"",安値!F142,"")</f>
        <v>2508</v>
      </c>
      <c r="AT110" t="str">
        <f t="shared" si="42"/>
        <v>通常</v>
      </c>
      <c r="AU110">
        <f t="shared" si="43"/>
        <v>0</v>
      </c>
      <c r="BA110">
        <f>IFERROR((SUM(OFFSET(高値!$E$6,IFERROR(MATCH($C110,銘柄管理!$B$6:$B$305,0),MATCH(TEXT($C110,"0"),銘柄管理!$B$6:$B$305,0))-1,0,1,14))-SUM(OFFSET(安値!$E$6,IFERROR(MATCH($C110,銘柄管理!$B$6:$B$305,0),MATCH(TEXT($C110,"0"),銘柄管理!$B$6:$B$305,0))-1,0,1,14)))/SUM(OFFSET(終値!$E$6,IFERROR(MATCH($C110,銘柄管理!$B$6:$B$305,0),MATCH(TEXT($C110,"0"),銘柄管理!$B$6:$B$305,0))-1,0,1,14))*100,"")</f>
      </c>
      <c r="BB110">
        <f>IFERROR((MAX(OFFSET(高値!$E$6,IFERROR(MATCH($C110,銘柄管理!$B$6:$B$305,0),MATCH(TEXT($C110,"0"),銘柄管理!$B$6:$B$305,0))-1,0,1,25))-MIN(OFFSET(安値!$E$6,IFERROR(MATCH($C110,銘柄管理!$B$6:$B$305,0),MATCH(TEXT($C110,"0"),銘柄管理!$B$6:$B$305,0))-1,0,1,25)))/$E110*100,"")</f>
      </c>
      <c r="BC110">
        <f>IFERROR(($F110-$G110)/$G110*100,"")</f>
      </c>
      <c r="BD110">
        <f>IFERROR(($E110-MAX(OFFSET(高値!$E$6,IFERROR(MATCH($C110,銘柄管理!$B$6:$B$305,0),MATCH(TEXT($C110,"0"),銘柄管理!$B$6:$B$305,0))-1,0,1,25)))/MAX(OFFSET(高値!$E$6,IFERROR(MATCH($C110,銘柄管理!$B$6:$B$305,0),MATCH(TEXT($C110,"0"),銘柄管理!$B$6:$B$305,0))-1,0,1,25))*100,"")</f>
      </c>
      <c r="BE110">
        <f>IFERROR(($H110-$I110)/$F110*100,"")</f>
      </c>
      <c r="BF110">
        <f>IFERROR(-(($BA110-AVERAGE($BA$3:$BA$206))/STDEV($BA$3:$BA$206))-(($BE110-AVERAGE($BE$3:$BE$206))/STDEV($BE$3:$BE$206))-(($BB110-AVERAGE($BB$3:$BB$206))/STDEV($BB$3:$BB$206))-(($Z110-AVERAGE($Z$3:$Z$206))/STDEV($Z$3:$Z$206))-(($BC110-AVERAGE($BC$3:$BC$206))/STDEV($BC$3:$BC$206)),"")</f>
      </c>
      <c r="BG110">
        <f>IF(OR($C110="",$C110="TOPX",$BA110="",$BF110=""),0,IF(AND($BK$10=1,$BA110&lt;=$BK$2,$BB110&lt;=$BK$3,$BC110&lt;=$BK$4,$Z110&lt;=$BK$5,$Z110&gt;=$BK$6,$BD110&gt;=$BK$7,$BE110&lt;=$BK$8),1,0))</f>
      </c>
      <c r="BH110">
        <f>IF($C110="","",IF($BG110=1,"○ゲート通過",IF($BK$10&lt;&gt;1,"― この方向は停止中",IF($BA110&gt;$BK$2,"×値動きが荒い",IF($BB110&gt;$BK$3,"×レンジが広い",IF($BC110&gt;$BK$4,"×窓を開けて上昇",IF($Z110&gt;$BK$5,"×前日に急騰",IF($Z110&lt;$BK$6,"×前日に急落",IF($BD110&lt;$BK$7,"×高値から離れすぎ",IF($BE110&gt;$BK$8,"×当日の値幅が大きい","×")))))))))</f>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 t="shared" si="22"/>
        <v>-37.441860465116278</v>
      </c>
      <c r="M111" s="326">
        <f>IF(C111&lt;&gt;"",IFERROR(AVERAGE(出来高!E143:I143),""),"")</f>
        <v>1364720</v>
      </c>
      <c r="N111" s="326">
        <f>IF(C111&lt;&gt;"",IFERROR(AVERAGE(出来高!E143:AC143),""),"")</f>
        <v>2675604</v>
      </c>
      <c r="O111" s="328">
        <f t="shared" si="23"/>
        <v>0.56575707837505129</v>
      </c>
      <c r="P111" s="325" t="str">
        <f t="shared" si="24"/>
        <v>減少↓</v>
      </c>
      <c r="Q111" s="325" t="str">
        <f t="shared" si="25"/>
        <v>中立→</v>
      </c>
      <c r="R111" s="326">
        <f t="shared" si="26"/>
        <v>1485</v>
      </c>
      <c r="S111" s="326">
        <f t="shared" si="27"/>
        <v>1679</v>
      </c>
      <c r="T111" s="325">
        <f>IF(C111="","",IFERROR(IF(W111&lt;=22,-4,IF(W111&lt;=28,-2,IF(W111&lt;=45,2,IF(W111&lt;=55,1,0))))+IF(X111&lt;0,2,0)+IF(AD111="下降トレンド▼",3,IF(AD111="もみ合い→",1,0))+IF(V111="年初来安値圏●",3,IF(V111="安値圏",2,0))+IF(Q111="売り▼",2,0)+IF(P111="急増↑↑",2,IF(P111="増加↑",1,0))+IF(Z111&lt;0,1,0)+IF(L111&lt;=-30,2,IF(L111&lt;=-15,1,0))+IF(AE111="25日戻り売り★",2,IF(AE111="5日戻り売り○",1,0))+N(AL111)+N(AP111)+N(AU111),0))</f>
      </c>
      <c r="U111" s="325" t="str">
        <f t="shared" si="29"/>
        <v>要確認</v>
      </c>
      <c r="V111" s="325" t="str">
        <f t="shared" si="30"/>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 t="shared" si="31"/>
        <v>相場上昇・見送り | 下降トレンド▼ MACD- RSI:44.4 前日比:-2.9% [安値圏] [9点]</v>
      </c>
      <c r="Z111" s="331">
        <f t="shared" si="32"/>
        <v>-2.8880866425992782</v>
      </c>
      <c r="AA111" s="325" t="str">
        <f t="shared" si="33"/>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 t="shared" si="34"/>
        <v>下降トレンド▼</v>
      </c>
      <c r="AE111" s="325" t="str">
        <f t="shared" si="35"/>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 t="shared" si="36"/>
        <v>9</v>
      </c>
      <c r="AH111">
        <f t="shared" si="37"/>
        <v>89889</v>
      </c>
      <c r="AI111" s="373">
        <f t="array" ref="AI111">IF(C111="","",IFERROR((INDEX(終値!$E:$E,MATCH(TEXT(C111,"0"),終値!$A:$A,0))-INDEX(終値!$E:$CZ,MATCH(TEXT(C111,"0"),終値!$A:$A,0),$AN$2))/INDEX(終値!$E:$CZ,MATCH(TEXT(C111,"0"),終値!$A:$A,0),$AN$2)*100,""))</f>
        <v>3.4615384615384617</v>
      </c>
      <c r="AJ111" s="373">
        <f t="array" ref="AJ111">IFERROR((終値!$E$5-INDEX(終値!$E$5:$CZ$5,1,$AN$2))/INDEX(終値!$E$5:$CZ$5,1,$AN$2)*100,"")</f>
        <v>1.0179378228534113</v>
      </c>
      <c r="AK111" s="374">
        <f t="shared" si="38"/>
        <v>2.4436006386850506</v>
      </c>
      <c r="AL111" s="372">
        <f t="shared" si="39"/>
        <v>-1</v>
      </c>
      <c r="AO111" s="376" t="str">
        <f t="shared" si="40"/>
        <v>通常</v>
      </c>
      <c r="AP111" s="377">
        <f t="shared" si="41"/>
        <v>0</v>
      </c>
      <c r="AQ111">
        <f>IF(C111&lt;&gt;"",始値!F143,"")</f>
        <v>1746</v>
      </c>
      <c r="AR111">
        <f>IF(C111&lt;&gt;"",高値!F143,"")</f>
        <v>1788</v>
      </c>
      <c r="AS111">
        <f>IF(C111&lt;&gt;"",安値!F143,"")</f>
        <v>1653</v>
      </c>
      <c r="AT111" t="str">
        <f t="shared" si="42"/>
        <v>通常</v>
      </c>
      <c r="AU111">
        <f t="shared" si="43"/>
        <v>0</v>
      </c>
      <c r="BA111">
        <f>IFERROR((SUM(OFFSET(高値!$E$6,IFERROR(MATCH($C111,銘柄管理!$B$6:$B$305,0),MATCH(TEXT($C111,"0"),銘柄管理!$B$6:$B$305,0))-1,0,1,14))-SUM(OFFSET(安値!$E$6,IFERROR(MATCH($C111,銘柄管理!$B$6:$B$305,0),MATCH(TEXT($C111,"0"),銘柄管理!$B$6:$B$305,0))-1,0,1,14)))/SUM(OFFSET(終値!$E$6,IFERROR(MATCH($C111,銘柄管理!$B$6:$B$305,0),MATCH(TEXT($C111,"0"),銘柄管理!$B$6:$B$305,0))-1,0,1,14))*100,"")</f>
      </c>
      <c r="BB111">
        <f>IFERROR((MAX(OFFSET(高値!$E$6,IFERROR(MATCH($C111,銘柄管理!$B$6:$B$305,0),MATCH(TEXT($C111,"0"),銘柄管理!$B$6:$B$305,0))-1,0,1,25))-MIN(OFFSET(安値!$E$6,IFERROR(MATCH($C111,銘柄管理!$B$6:$B$305,0),MATCH(TEXT($C111,"0"),銘柄管理!$B$6:$B$305,0))-1,0,1,25)))/$E111*100,"")</f>
      </c>
      <c r="BC111">
        <f>IFERROR(($F111-$G111)/$G111*100,"")</f>
      </c>
      <c r="BD111">
        <f>IFERROR(($E111-MAX(OFFSET(高値!$E$6,IFERROR(MATCH($C111,銘柄管理!$B$6:$B$305,0),MATCH(TEXT($C111,"0"),銘柄管理!$B$6:$B$305,0))-1,0,1,25)))/MAX(OFFSET(高値!$E$6,IFERROR(MATCH($C111,銘柄管理!$B$6:$B$305,0),MATCH(TEXT($C111,"0"),銘柄管理!$B$6:$B$305,0))-1,0,1,25))*100,"")</f>
      </c>
      <c r="BE111">
        <f>IFERROR(($H111-$I111)/$F111*100,"")</f>
      </c>
      <c r="BF111">
        <f>IFERROR(-(($BA111-AVERAGE($BA$3:$BA$206))/STDEV($BA$3:$BA$206))-(($BE111-AVERAGE($BE$3:$BE$206))/STDEV($BE$3:$BE$206))-(($BB111-AVERAGE($BB$3:$BB$206))/STDEV($BB$3:$BB$206))-(($Z111-AVERAGE($Z$3:$Z$206))/STDEV($Z$3:$Z$206))-(($BC111-AVERAGE($BC$3:$BC$206))/STDEV($BC$3:$BC$206)),"")</f>
      </c>
      <c r="BG111">
        <f>IF(OR($C111="",$C111="TOPX",$BA111="",$BF111=""),0,IF(AND($BK$10=1,$BA111&lt;=$BK$2,$BB111&lt;=$BK$3,$BC111&lt;=$BK$4,$Z111&lt;=$BK$5,$Z111&gt;=$BK$6,$BD111&gt;=$BK$7,$BE111&lt;=$BK$8),1,0))</f>
      </c>
      <c r="BH111">
        <f>IF($C111="","",IF($BG111=1,"○ゲート通過",IF($BK$10&lt;&gt;1,"― この方向は停止中",IF($BA111&gt;$BK$2,"×値動きが荒い",IF($BB111&gt;$BK$3,"×レンジが広い",IF($BC111&gt;$BK$4,"×窓を開けて上昇",IF($Z111&gt;$BK$5,"×前日に急騰",IF($Z111&lt;$BK$6,"×前日に急落",IF($BD111&lt;$BK$7,"×高値から離れすぎ",IF($BE111&gt;$BK$8,"×当日の値幅が大きい","×")))))))))</f>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 t="shared" si="22"/>
        <v>-2.1276595744680851</v>
      </c>
      <c r="M112" s="333">
        <f>IF(C112&lt;&gt;"",IFERROR(AVERAGE(出来高!E153:I153),""),"")</f>
        <v>70000</v>
      </c>
      <c r="N112" s="333">
        <f>IF(C112&lt;&gt;"",IFERROR(AVERAGE(出来高!E153:AC153),""),"")</f>
        <v>70080</v>
      </c>
      <c r="O112" s="335">
        <f t="shared" si="23"/>
        <v>0.81857142857142862</v>
      </c>
      <c r="P112" s="212" t="str">
        <f t="shared" si="24"/>
        <v>減少↓</v>
      </c>
      <c r="Q112" s="212" t="str">
        <f t="shared" si="25"/>
        <v>様子見▲</v>
      </c>
      <c r="R112" s="333">
        <f t="shared" si="26"/>
        <v>4232</v>
      </c>
      <c r="S112" s="333">
        <f t="shared" si="27"/>
        <v>4784</v>
      </c>
      <c r="T112" s="325">
        <f>IF(C112="","",IFERROR(IF(W112&lt;=22,-4,IF(W112&lt;=28,-2,IF(W112&lt;=45,2,IF(W112&lt;=55,1,0))))+IF(X112&lt;0,2,0)+IF(AD112="下降トレンド▼",3,IF(AD112="もみ合い→",1,0))+IF(V112="年初来安値圏●",3,IF(V112="安値圏",2,0))+IF(Q112="売り▼",2,0)+IF(P112="急増↑↑",2,IF(P112="増加↑",1,0))+IF(Z112&lt;0,1,0)+IF(L112&lt;=-30,2,IF(L112&lt;=-15,1,0))+IF(AE112="25日戻り売り★",2,IF(AE112="5日戻り売り○",1,0))+N(AL112)+N(AP112)+N(AU112),0))</f>
      </c>
      <c r="U112" s="212" t="str">
        <f t="shared" si="29"/>
        <v>除外</v>
      </c>
      <c r="V112" s="212" t="str">
        <f t="shared" si="30"/>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 t="shared" si="31"/>
        <v>相場上昇・見送り | パーフェクト▲ MACD+ RSI:50.0 前日比:+5.4% [-1点]</v>
      </c>
      <c r="Z112" s="338">
        <f t="shared" si="32"/>
        <v>5.3837342497136316</v>
      </c>
      <c r="AA112" s="212" t="str">
        <f t="shared" si="33"/>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 t="shared" si="34"/>
        <v>パーフェクト▲</v>
      </c>
      <c r="AE112" s="212" t="str">
        <f t="shared" si="35"/>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 t="shared" si="36"/>
        <v>0</v>
      </c>
      <c r="AH112">
        <f t="shared" si="37"/>
        <v>0</v>
      </c>
      <c r="AI112" s="373">
        <f t="array" ref="AI112">IF(C112="","",IFERROR((INDEX(終値!$E:$E,MATCH(TEXT(C112,"0"),終値!$A:$A,0))-INDEX(終値!$E:$CZ,MATCH(TEXT(C112,"0"),終値!$A:$A,0),$AN$2))/INDEX(終値!$E:$CZ,MATCH(TEXT(C112,"0"),終値!$A:$A,0),$AN$2)*100,""))</f>
        <v>20.73490813648294</v>
      </c>
      <c r="AJ112" s="373">
        <f t="array" ref="AJ112">IFERROR((終値!$E$5-INDEX(終値!$E$5:$CZ$5,1,$AN$2))/INDEX(終値!$E$5:$CZ$5,1,$AN$2)*100,"")</f>
        <v>1.0179378228534113</v>
      </c>
      <c r="AK112" s="374">
        <f t="shared" si="38"/>
        <v>19.716970313629528</v>
      </c>
      <c r="AL112" s="372">
        <f t="shared" si="39"/>
        <v>-2</v>
      </c>
      <c r="AO112" s="376" t="str">
        <f t="shared" si="40"/>
        <v>通常</v>
      </c>
      <c r="AP112" s="377">
        <f t="shared" si="41"/>
        <v>0</v>
      </c>
      <c r="AQ112">
        <f>IF(C112&lt;&gt;"",始値!F153,"")</f>
        <v>4155</v>
      </c>
      <c r="AR112">
        <f>IF(C112&lt;&gt;"",高値!F153,"")</f>
        <v>4465</v>
      </c>
      <c r="AS112">
        <f>IF(C112&lt;&gt;"",安値!F153,"")</f>
        <v>4150</v>
      </c>
      <c r="AT112" t="str">
        <f t="shared" si="42"/>
        <v>通常</v>
      </c>
      <c r="AU112">
        <f t="shared" si="43"/>
        <v>0</v>
      </c>
      <c r="BA112">
        <f>IFERROR((SUM(OFFSET(高値!$E$6,IFERROR(MATCH($C112,銘柄管理!$B$6:$B$305,0),MATCH(TEXT($C112,"0"),銘柄管理!$B$6:$B$305,0))-1,0,1,14))-SUM(OFFSET(安値!$E$6,IFERROR(MATCH($C112,銘柄管理!$B$6:$B$305,0),MATCH(TEXT($C112,"0"),銘柄管理!$B$6:$B$305,0))-1,0,1,14)))/SUM(OFFSET(終値!$E$6,IFERROR(MATCH($C112,銘柄管理!$B$6:$B$305,0),MATCH(TEXT($C112,"0"),銘柄管理!$B$6:$B$305,0))-1,0,1,14))*100,"")</f>
      </c>
      <c r="BB112">
        <f>IFERROR((MAX(OFFSET(高値!$E$6,IFERROR(MATCH($C112,銘柄管理!$B$6:$B$305,0),MATCH(TEXT($C112,"0"),銘柄管理!$B$6:$B$305,0))-1,0,1,25))-MIN(OFFSET(安値!$E$6,IFERROR(MATCH($C112,銘柄管理!$B$6:$B$305,0),MATCH(TEXT($C112,"0"),銘柄管理!$B$6:$B$305,0))-1,0,1,25)))/$E112*100,"")</f>
      </c>
      <c r="BC112">
        <f>IFERROR(($F112-$G112)/$G112*100,"")</f>
      </c>
      <c r="BD112">
        <f>IFERROR(($E112-MAX(OFFSET(高値!$E$6,IFERROR(MATCH($C112,銘柄管理!$B$6:$B$305,0),MATCH(TEXT($C112,"0"),銘柄管理!$B$6:$B$305,0))-1,0,1,25)))/MAX(OFFSET(高値!$E$6,IFERROR(MATCH($C112,銘柄管理!$B$6:$B$305,0),MATCH(TEXT($C112,"0"),銘柄管理!$B$6:$B$305,0))-1,0,1,25))*100,"")</f>
      </c>
      <c r="BE112">
        <f>IFERROR(($H112-$I112)/$F112*100,"")</f>
      </c>
      <c r="BF112">
        <f>IFERROR(-(($BA112-AVERAGE($BA$3:$BA$206))/STDEV($BA$3:$BA$206))-(($BE112-AVERAGE($BE$3:$BE$206))/STDEV($BE$3:$BE$206))-(($BB112-AVERAGE($BB$3:$BB$206))/STDEV($BB$3:$BB$206))-(($Z112-AVERAGE($Z$3:$Z$206))/STDEV($Z$3:$Z$206))-(($BC112-AVERAGE($BC$3:$BC$206))/STDEV($BC$3:$BC$206)),"")</f>
      </c>
      <c r="BG112">
        <f>IF(OR($C112="",$C112="TOPX",$BA112="",$BF112=""),0,IF(AND($BK$10=1,$BA112&lt;=$BK$2,$BB112&lt;=$BK$3,$BC112&lt;=$BK$4,$Z112&lt;=$BK$5,$Z112&gt;=$BK$6,$BD112&gt;=$BK$7,$BE112&lt;=$BK$8),1,0))</f>
      </c>
      <c r="BH112">
        <f>IF($C112="","",IF($BG112=1,"○ゲート通過",IF($BK$10&lt;&gt;1,"― この方向は停止中",IF($BA112&gt;$BK$2,"×値動きが荒い",IF($BB112&gt;$BK$3,"×レンジが広い",IF($BC112&gt;$BK$4,"×窓を開けて上昇",IF($Z112&gt;$BK$5,"×前日に急騰",IF($Z112&lt;$BK$6,"×前日に急落",IF($BD112&lt;$BK$7,"×高値から離れすぎ",IF($BE112&gt;$BK$8,"×当日の値幅が大きい","×")))))))))</f>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 t="shared" si="22"/>
        <v>-8.3750695603784084</v>
      </c>
      <c r="M113" s="326">
        <f>IF(C113&lt;&gt;"",IFERROR(AVERAGE(出来高!E158:I158),""),"")</f>
        <v>11042100</v>
      </c>
      <c r="N113" s="326">
        <f>IF(C113&lt;&gt;"",IFERROR(AVERAGE(出来高!E158:AC158),""),"")</f>
        <v>9656364</v>
      </c>
      <c r="O113" s="328">
        <f t="shared" si="23"/>
        <v>0.70802655292018724</v>
      </c>
      <c r="P113" s="325" t="str">
        <f t="shared" si="24"/>
        <v>減少↓</v>
      </c>
      <c r="Q113" s="325" t="str">
        <f t="shared" si="25"/>
        <v>中立→</v>
      </c>
      <c r="R113" s="326">
        <f t="shared" si="26"/>
        <v>30296</v>
      </c>
      <c r="S113" s="326">
        <f t="shared" si="27"/>
        <v>34247</v>
      </c>
      <c r="T113" s="325">
        <f>IF(C113="","",IFERROR(IF(W113&lt;=22,-4,IF(W113&lt;=28,-2,IF(W113&lt;=45,2,IF(W113&lt;=55,1,0))))+IF(X113&lt;0,2,0)+IF(AD113="下降トレンド▼",3,IF(AD113="もみ合い→",1,0))+IF(V113="年初来安値圏●",3,IF(V113="安値圏",2,0))+IF(Q113="売り▼",2,0)+IF(P113="急増↑↑",2,IF(P113="増加↑",1,0))+IF(Z113&lt;0,1,0)+IF(L113&lt;=-30,2,IF(L113&lt;=-15,1,0))+IF(AE113="25日戻り売り★",2,IF(AE113="5日戻り売り○",1,0))+N(AL113)+N(AP113)+N(AU113),0))</f>
      </c>
      <c r="U113" s="325" t="str">
        <f t="shared" si="29"/>
        <v>除外</v>
      </c>
      <c r="V113" s="325" t="str">
        <f t="shared" si="30"/>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 t="shared" si="31"/>
        <v>相場上昇・見送り | パーフェクト▲ MACD+ RSI:54.5 前日比:-2.3% [1点]</v>
      </c>
      <c r="Z113" s="331">
        <f t="shared" si="32"/>
        <v>-2.34282325029656</v>
      </c>
      <c r="AA113" s="325" t="str">
        <f t="shared" si="33"/>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 t="shared" si="34"/>
        <v>パーフェクト▲</v>
      </c>
      <c r="AE113" s="325" t="str">
        <f t="shared" si="35"/>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 t="shared" si="36"/>
        <v>0</v>
      </c>
      <c r="AH113">
        <f t="shared" si="37"/>
        <v>0</v>
      </c>
      <c r="AI113" s="373">
        <f t="array" ref="AI113">IF(C113="","",IFERROR((INDEX(終値!$E:$E,MATCH(TEXT(C113,"0"),終値!$A:$A,0))-INDEX(終値!$E:$CZ,MATCH(TEXT(C113,"0"),終値!$A:$A,0),$AN$2))/INDEX(終値!$E:$CZ,MATCH(TEXT(C113,"0"),終値!$A:$A,0),$AN$2)*100,""))</f>
        <v>2.90625</v>
      </c>
      <c r="AJ113" s="373">
        <f t="array" ref="AJ113">IFERROR((終値!$E$5-INDEX(終値!$E$5:$CZ$5,1,$AN$2))/INDEX(終値!$E$5:$CZ$5,1,$AN$2)*100,"")</f>
        <v>1.0179378228534113</v>
      </c>
      <c r="AK113" s="374">
        <f t="shared" si="38"/>
        <v>1.8883121771465887</v>
      </c>
      <c r="AL113" s="372">
        <f t="shared" si="39"/>
        <v>-1</v>
      </c>
      <c r="AO113" s="376" t="str">
        <f t="shared" si="40"/>
        <v>通常</v>
      </c>
      <c r="AP113" s="377">
        <f t="shared" si="41"/>
        <v>0</v>
      </c>
      <c r="AQ113">
        <f>IF(C113&lt;&gt;"",始値!F158,"")</f>
        <v>32500</v>
      </c>
      <c r="AR113">
        <f>IF(C113&lt;&gt;"",高値!F158,"")</f>
        <v>33840</v>
      </c>
      <c r="AS113">
        <f>IF(C113&lt;&gt;"",安値!F158,"")</f>
        <v>32390</v>
      </c>
      <c r="AT113" t="str">
        <f t="shared" si="42"/>
        <v>通常</v>
      </c>
      <c r="AU113">
        <f t="shared" si="43"/>
        <v>0</v>
      </c>
      <c r="BA113">
        <f>IFERROR((SUM(OFFSET(高値!$E$6,IFERROR(MATCH($C113,銘柄管理!$B$6:$B$305,0),MATCH(TEXT($C113,"0"),銘柄管理!$B$6:$B$305,0))-1,0,1,14))-SUM(OFFSET(安値!$E$6,IFERROR(MATCH($C113,銘柄管理!$B$6:$B$305,0),MATCH(TEXT($C113,"0"),銘柄管理!$B$6:$B$305,0))-1,0,1,14)))/SUM(OFFSET(終値!$E$6,IFERROR(MATCH($C113,銘柄管理!$B$6:$B$305,0),MATCH(TEXT($C113,"0"),銘柄管理!$B$6:$B$305,0))-1,0,1,14))*100,"")</f>
      </c>
      <c r="BB113">
        <f>IFERROR((MAX(OFFSET(高値!$E$6,IFERROR(MATCH($C113,銘柄管理!$B$6:$B$305,0),MATCH(TEXT($C113,"0"),銘柄管理!$B$6:$B$305,0))-1,0,1,25))-MIN(OFFSET(安値!$E$6,IFERROR(MATCH($C113,銘柄管理!$B$6:$B$305,0),MATCH(TEXT($C113,"0"),銘柄管理!$B$6:$B$305,0))-1,0,1,25)))/$E113*100,"")</f>
      </c>
      <c r="BC113">
        <f>IFERROR(($F113-$G113)/$G113*100,"")</f>
      </c>
      <c r="BD113">
        <f>IFERROR(($E113-MAX(OFFSET(高値!$E$6,IFERROR(MATCH($C113,銘柄管理!$B$6:$B$305,0),MATCH(TEXT($C113,"0"),銘柄管理!$B$6:$B$305,0))-1,0,1,25)))/MAX(OFFSET(高値!$E$6,IFERROR(MATCH($C113,銘柄管理!$B$6:$B$305,0),MATCH(TEXT($C113,"0"),銘柄管理!$B$6:$B$305,0))-1,0,1,25))*100,"")</f>
      </c>
      <c r="BE113">
        <f>IFERROR(($H113-$I113)/$F113*100,"")</f>
      </c>
      <c r="BF113">
        <f>IFERROR(-(($BA113-AVERAGE($BA$3:$BA$206))/STDEV($BA$3:$BA$206))-(($BE113-AVERAGE($BE$3:$BE$206))/STDEV($BE$3:$BE$206))-(($BB113-AVERAGE($BB$3:$BB$206))/STDEV($BB$3:$BB$206))-(($Z113-AVERAGE($Z$3:$Z$206))/STDEV($Z$3:$Z$206))-(($BC113-AVERAGE($BC$3:$BC$206))/STDEV($BC$3:$BC$206)),"")</f>
      </c>
      <c r="BG113">
        <f>IF(OR($C113="",$C113="TOPX",$BA113="",$BF113=""),0,IF(AND($BK$10=1,$BA113&lt;=$BK$2,$BB113&lt;=$BK$3,$BC113&lt;=$BK$4,$Z113&lt;=$BK$5,$Z113&gt;=$BK$6,$BD113&gt;=$BK$7,$BE113&lt;=$BK$8),1,0))</f>
      </c>
      <c r="BH113">
        <f>IF($C113="","",IF($BG113=1,"○ゲート通過",IF($BK$10&lt;&gt;1,"― この方向は停止中",IF($BA113&gt;$BK$2,"×値動きが荒い",IF($BB113&gt;$BK$3,"×レンジが広い",IF($BC113&gt;$BK$4,"×窓を開けて上昇",IF($Z113&gt;$BK$5,"×前日に急騰",IF($Z113&lt;$BK$6,"×前日に急落",IF($BD113&lt;$BK$7,"×高値から離れすぎ",IF($BE113&gt;$BK$8,"×当日の値幅が大きい","×")))))))))</f>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 t="shared" si="22"/>
        <v>-15.153906866614051</v>
      </c>
      <c r="M114" s="333">
        <f>IF(C114&lt;&gt;"",IFERROR(AVERAGE(出来高!E161:I161),""),"")</f>
        <v>230220</v>
      </c>
      <c r="N114" s="333">
        <f>IF(C114&lt;&gt;"",IFERROR(AVERAGE(出来高!E161:AC161),""),"")</f>
        <v>185733.33333333334</v>
      </c>
      <c r="O114" s="335">
        <f t="shared" si="23"/>
        <v>0.45174181217965426</v>
      </c>
      <c r="P114" s="212" t="str">
        <f t="shared" si="24"/>
        <v>減少↓</v>
      </c>
      <c r="Q114" s="212" t="str">
        <f t="shared" si="25"/>
        <v>様子見▲</v>
      </c>
      <c r="R114" s="333">
        <f t="shared" si="26"/>
        <v>989</v>
      </c>
      <c r="S114" s="333">
        <f t="shared" si="27"/>
        <v>1118</v>
      </c>
      <c r="T114" s="325">
        <f>IF(C114="","",IFERROR(IF(W114&lt;=22,-4,IF(W114&lt;=28,-2,IF(W114&lt;=45,2,IF(W114&lt;=55,1,0))))+IF(X114&lt;0,2,0)+IF(AD114="下降トレンド▼",3,IF(AD114="もみ合い→",1,0))+IF(V114="年初来安値圏●",3,IF(V114="安値圏",2,0))+IF(Q114="売り▼",2,0)+IF(P114="急増↑↑",2,IF(P114="増加↑",1,0))+IF(Z114&lt;0,1,0)+IF(L114&lt;=-30,2,IF(L114&lt;=-15,1,0))+IF(AE114="25日戻り売り★",2,IF(AE114="5日戻り売り○",1,0))+N(AL114)+N(AP114)+N(AU114),0))</f>
      </c>
      <c r="U114" s="212" t="str">
        <f t="shared" si="29"/>
        <v>要確認</v>
      </c>
      <c r="V114" s="212" t="str">
        <f t="shared" si="30"/>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 t="shared" si="31"/>
        <v>相場上昇・見送り | パーフェクト▲ MACD- RSI:49.1 前日比:+0.3% [4点]</v>
      </c>
      <c r="Z114" s="338">
        <f t="shared" si="32"/>
        <v>0.27985074626865669</v>
      </c>
      <c r="AA114" s="212" t="str">
        <f t="shared" si="33"/>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 t="shared" si="34"/>
        <v>パーフェクト▲</v>
      </c>
      <c r="AE114" s="212" t="str">
        <f t="shared" si="35"/>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 t="shared" si="36"/>
        <v>0</v>
      </c>
      <c r="AH114">
        <f t="shared" si="37"/>
        <v>0</v>
      </c>
      <c r="AI114" s="373">
        <f t="array" ref="AI114">IF(C114="","",IFERROR((INDEX(終値!$E:$E,MATCH(TEXT(C114,"0"),終値!$A:$A,0))-INDEX(終値!$E:$CZ,MATCH(TEXT(C114,"0"),終値!$A:$A,0),$AN$2))/INDEX(終値!$E:$CZ,MATCH(TEXT(C114,"0"),終値!$A:$A,0),$AN$2)*100,""))</f>
        <v>9.3109869646182494E-2</v>
      </c>
      <c r="AJ114" s="373">
        <f t="array" ref="AJ114">IFERROR((終値!$E$5-INDEX(終値!$E$5:$CZ$5,1,$AN$2))/INDEX(終値!$E$5:$CZ$5,1,$AN$2)*100,"")</f>
        <v>1.0179378228534113</v>
      </c>
      <c r="AK114" s="374">
        <f t="shared" si="38"/>
        <v>-0.92482795320722877</v>
      </c>
      <c r="AL114" s="372">
        <f t="shared" si="39"/>
        <v>1</v>
      </c>
      <c r="AO114" s="376" t="str">
        <f t="shared" si="40"/>
        <v>通常</v>
      </c>
      <c r="AP114" s="377">
        <f t="shared" si="41"/>
        <v>0</v>
      </c>
      <c r="AQ114">
        <f>IF(C114&lt;&gt;"",始値!F161,"")</f>
        <v>1073</v>
      </c>
      <c r="AR114">
        <f>IF(C114&lt;&gt;"",高値!F161,"")</f>
        <v>1084</v>
      </c>
      <c r="AS114">
        <f>IF(C114&lt;&gt;"",安値!F161,"")</f>
        <v>1066</v>
      </c>
      <c r="AT114" t="str">
        <f t="shared" si="42"/>
        <v>通常</v>
      </c>
      <c r="AU114">
        <f t="shared" si="43"/>
        <v>0</v>
      </c>
      <c r="BA114">
        <f>IFERROR((SUM(OFFSET(高値!$E$6,IFERROR(MATCH($C114,銘柄管理!$B$6:$B$305,0),MATCH(TEXT($C114,"0"),銘柄管理!$B$6:$B$305,0))-1,0,1,14))-SUM(OFFSET(安値!$E$6,IFERROR(MATCH($C114,銘柄管理!$B$6:$B$305,0),MATCH(TEXT($C114,"0"),銘柄管理!$B$6:$B$305,0))-1,0,1,14)))/SUM(OFFSET(終値!$E$6,IFERROR(MATCH($C114,銘柄管理!$B$6:$B$305,0),MATCH(TEXT($C114,"0"),銘柄管理!$B$6:$B$305,0))-1,0,1,14))*100,"")</f>
      </c>
      <c r="BB114">
        <f>IFERROR((MAX(OFFSET(高値!$E$6,IFERROR(MATCH($C114,銘柄管理!$B$6:$B$305,0),MATCH(TEXT($C114,"0"),銘柄管理!$B$6:$B$305,0))-1,0,1,25))-MIN(OFFSET(安値!$E$6,IFERROR(MATCH($C114,銘柄管理!$B$6:$B$305,0),MATCH(TEXT($C114,"0"),銘柄管理!$B$6:$B$305,0))-1,0,1,25)))/$E114*100,"")</f>
      </c>
      <c r="BC114">
        <f>IFERROR(($F114-$G114)/$G114*100,"")</f>
      </c>
      <c r="BD114">
        <f>IFERROR(($E114-MAX(OFFSET(高値!$E$6,IFERROR(MATCH($C114,銘柄管理!$B$6:$B$305,0),MATCH(TEXT($C114,"0"),銘柄管理!$B$6:$B$305,0))-1,0,1,25)))/MAX(OFFSET(高値!$E$6,IFERROR(MATCH($C114,銘柄管理!$B$6:$B$305,0),MATCH(TEXT($C114,"0"),銘柄管理!$B$6:$B$305,0))-1,0,1,25))*100,"")</f>
      </c>
      <c r="BE114">
        <f>IFERROR(($H114-$I114)/$F114*100,"")</f>
      </c>
      <c r="BF114">
        <f>IFERROR(-(($BA114-AVERAGE($BA$3:$BA$206))/STDEV($BA$3:$BA$206))-(($BE114-AVERAGE($BE$3:$BE$206))/STDEV($BE$3:$BE$206))-(($BB114-AVERAGE($BB$3:$BB$206))/STDEV($BB$3:$BB$206))-(($Z114-AVERAGE($Z$3:$Z$206))/STDEV($Z$3:$Z$206))-(($BC114-AVERAGE($BC$3:$BC$206))/STDEV($BC$3:$BC$206)),"")</f>
      </c>
      <c r="BG114">
        <f>IF(OR($C114="",$C114="TOPX",$BA114="",$BF114=""),0,IF(AND($BK$10=1,$BA114&lt;=$BK$2,$BB114&lt;=$BK$3,$BC114&lt;=$BK$4,$Z114&lt;=$BK$5,$Z114&gt;=$BK$6,$BD114&gt;=$BK$7,$BE114&lt;=$BK$8),1,0))</f>
      </c>
      <c r="BH114">
        <f>IF($C114="","",IF($BG114=1,"○ゲート通過",IF($BK$10&lt;&gt;1,"― この方向は停止中",IF($BA114&gt;$BK$2,"×値動きが荒い",IF($BB114&gt;$BK$3,"×レンジが広い",IF($BC114&gt;$BK$4,"×窓を開けて上昇",IF($Z114&gt;$BK$5,"×前日に急騰",IF($Z114&lt;$BK$6,"×前日に急落",IF($BD114&lt;$BK$7,"×高値から離れすぎ",IF($BE114&gt;$BK$8,"×当日の値幅が大きい","×")))))))))</f>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 t="shared" si="22"/>
        <v>-12.316968130921619</v>
      </c>
      <c r="M115" s="326">
        <f>IF(C115&lt;&gt;"",IFERROR(AVERAGE(出来高!E170:I170),""),"")</f>
        <v>121420</v>
      </c>
      <c r="N115" s="326">
        <f>IF(C115&lt;&gt;"",IFERROR(AVERAGE(出来高!E170:AC170),""),"")</f>
        <v>69660</v>
      </c>
      <c r="O115" s="328">
        <f t="shared" si="23"/>
        <v>0.38461538461538464</v>
      </c>
      <c r="P115" s="325" t="str">
        <f t="shared" si="24"/>
        <v>減少↓</v>
      </c>
      <c r="Q115" s="325" t="str">
        <f t="shared" si="25"/>
        <v>様子見▲</v>
      </c>
      <c r="R115" s="326">
        <f t="shared" si="26"/>
        <v>937</v>
      </c>
      <c r="S115" s="326">
        <f t="shared" si="27"/>
        <v>1059</v>
      </c>
      <c r="T115" s="325">
        <f>IF(C115="","",IFERROR(IF(W115&lt;=22,-4,IF(W115&lt;=28,-2,IF(W115&lt;=45,2,IF(W115&lt;=55,1,0))))+IF(X115&lt;0,2,0)+IF(AD115="下降トレンド▼",3,IF(AD115="もみ合い→",1,0))+IF(V115="年初来安値圏●",3,IF(V115="安値圏",2,0))+IF(Q115="売り▼",2,0)+IF(P115="急増↑↑",2,IF(P115="増加↑",1,0))+IF(Z115&lt;0,1,0)+IF(L115&lt;=-30,2,IF(L115&lt;=-15,1,0))+IF(AE115="25日戻り売り★",2,IF(AE115="5日戻り売り○",1,0))+N(AL115)+N(AP115)+N(AU115),0))</f>
      </c>
      <c r="U115" s="325" t="str">
        <f t="shared" si="29"/>
        <v>要確認</v>
      </c>
      <c r="V115" s="325" t="str">
        <f t="shared" si="30"/>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 t="shared" si="31"/>
        <v>相場上昇・見送り | もみ合い→ MACD- RSI:27.0 [売られ過ぎ] 前日比:+0.7% [4点]</v>
      </c>
      <c r="Z115" s="331">
        <f t="shared" si="32"/>
        <v>0.6923837784371909</v>
      </c>
      <c r="AA115" s="325" t="str">
        <f t="shared" si="33"/>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 t="shared" si="34"/>
        <v>もみ合い→</v>
      </c>
      <c r="AE115" s="325" t="str">
        <f t="shared" si="35"/>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 t="shared" si="36"/>
        <v>0</v>
      </c>
      <c r="AH115">
        <f t="shared" si="37"/>
        <v>0</v>
      </c>
      <c r="AI115" s="373">
        <f t="array" ref="AI115">IF(C115="","",IFERROR((INDEX(終値!$E:$E,MATCH(TEXT(C115,"0"),終値!$A:$A,0))-INDEX(終値!$E:$CZ,MATCH(TEXT(C115,"0"),終値!$A:$A,0),$AN$2))/INDEX(終値!$E:$CZ,MATCH(TEXT(C115,"0"),終値!$A:$A,0),$AN$2)*100,""))</f>
        <v>-3.5071090047393367</v>
      </c>
      <c r="AJ115" s="373">
        <f t="array" ref="AJ115">IFERROR((終値!$E$5-INDEX(終値!$E$5:$CZ$5,1,$AN$2))/INDEX(終値!$E$5:$CZ$5,1,$AN$2)*100,"")</f>
        <v>1.0179378228534113</v>
      </c>
      <c r="AK115" s="374">
        <f t="shared" si="38"/>
        <v>-4.5250468275927478</v>
      </c>
      <c r="AL115" s="372">
        <f t="shared" si="39"/>
        <v>1</v>
      </c>
      <c r="AO115" s="376" t="str">
        <f t="shared" si="40"/>
        <v>通常</v>
      </c>
      <c r="AP115" s="377">
        <f t="shared" si="41"/>
        <v>0</v>
      </c>
      <c r="AQ115">
        <f>IF(C115&lt;&gt;"",始値!F170,"")</f>
        <v>1010</v>
      </c>
      <c r="AR115">
        <f>IF(C115&lt;&gt;"",高値!F170,"")</f>
        <v>1019</v>
      </c>
      <c r="AS115">
        <f>IF(C115&lt;&gt;"",安値!F170,"")</f>
        <v>1007</v>
      </c>
      <c r="AT115" t="str">
        <f t="shared" si="42"/>
        <v>通常</v>
      </c>
      <c r="AU115">
        <f t="shared" si="43"/>
        <v>0</v>
      </c>
      <c r="BA115">
        <f>IFERROR((SUM(OFFSET(高値!$E$6,IFERROR(MATCH($C115,銘柄管理!$B$6:$B$305,0),MATCH(TEXT($C115,"0"),銘柄管理!$B$6:$B$305,0))-1,0,1,14))-SUM(OFFSET(安値!$E$6,IFERROR(MATCH($C115,銘柄管理!$B$6:$B$305,0),MATCH(TEXT($C115,"0"),銘柄管理!$B$6:$B$305,0))-1,0,1,14)))/SUM(OFFSET(終値!$E$6,IFERROR(MATCH($C115,銘柄管理!$B$6:$B$305,0),MATCH(TEXT($C115,"0"),銘柄管理!$B$6:$B$305,0))-1,0,1,14))*100,"")</f>
      </c>
      <c r="BB115">
        <f>IFERROR((MAX(OFFSET(高値!$E$6,IFERROR(MATCH($C115,銘柄管理!$B$6:$B$305,0),MATCH(TEXT($C115,"0"),銘柄管理!$B$6:$B$305,0))-1,0,1,25))-MIN(OFFSET(安値!$E$6,IFERROR(MATCH($C115,銘柄管理!$B$6:$B$305,0),MATCH(TEXT($C115,"0"),銘柄管理!$B$6:$B$305,0))-1,0,1,25)))/$E115*100,"")</f>
      </c>
      <c r="BC115">
        <f>IFERROR(($F115-$G115)/$G115*100,"")</f>
      </c>
      <c r="BD115">
        <f>IFERROR(($E115-MAX(OFFSET(高値!$E$6,IFERROR(MATCH($C115,銘柄管理!$B$6:$B$305,0),MATCH(TEXT($C115,"0"),銘柄管理!$B$6:$B$305,0))-1,0,1,25)))/MAX(OFFSET(高値!$E$6,IFERROR(MATCH($C115,銘柄管理!$B$6:$B$305,0),MATCH(TEXT($C115,"0"),銘柄管理!$B$6:$B$305,0))-1,0,1,25))*100,"")</f>
      </c>
      <c r="BE115">
        <f>IFERROR(($H115-$I115)/$F115*100,"")</f>
      </c>
      <c r="BF115">
        <f>IFERROR(-(($BA115-AVERAGE($BA$3:$BA$206))/STDEV($BA$3:$BA$206))-(($BE115-AVERAGE($BE$3:$BE$206))/STDEV($BE$3:$BE$206))-(($BB115-AVERAGE($BB$3:$BB$206))/STDEV($BB$3:$BB$206))-(($Z115-AVERAGE($Z$3:$Z$206))/STDEV($Z$3:$Z$206))-(($BC115-AVERAGE($BC$3:$BC$206))/STDEV($BC$3:$BC$206)),"")</f>
      </c>
      <c r="BG115">
        <f>IF(OR($C115="",$C115="TOPX",$BA115="",$BF115=""),0,IF(AND($BK$10=1,$BA115&lt;=$BK$2,$BB115&lt;=$BK$3,$BC115&lt;=$BK$4,$Z115&lt;=$BK$5,$Z115&gt;=$BK$6,$BD115&gt;=$BK$7,$BE115&lt;=$BK$8),1,0))</f>
      </c>
      <c r="BH115">
        <f>IF($C115="","",IF($BG115=1,"○ゲート通過",IF($BK$10&lt;&gt;1,"― この方向は停止中",IF($BA115&gt;$BK$2,"×値動きが荒い",IF($BB115&gt;$BK$3,"×レンジが広い",IF($BC115&gt;$BK$4,"×窓を開けて上昇",IF($Z115&gt;$BK$5,"×前日に急騰",IF($Z115&lt;$BK$6,"×前日に急落",IF($BD115&lt;$BK$7,"×高値から離れすぎ",IF($BE115&gt;$BK$8,"×当日の値幅が大きい","×")))))))))</f>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 t="shared" si="22"/>
        <v>-8.2582582582582589</v>
      </c>
      <c r="M116" s="333">
        <f>IF(C116&lt;&gt;"",IFERROR(AVERAGE(出来高!E171:I171),""),"")</f>
        <v>241140</v>
      </c>
      <c r="N116" s="333">
        <f>IF(C116&lt;&gt;"",IFERROR(AVERAGE(出来高!E171:AC171),""),"")</f>
        <v>144192</v>
      </c>
      <c r="O116" s="335">
        <f t="shared" si="23"/>
        <v>0.4209173094467944</v>
      </c>
      <c r="P116" s="212" t="str">
        <f t="shared" si="24"/>
        <v>減少↓</v>
      </c>
      <c r="Q116" s="212" t="str">
        <f t="shared" si="25"/>
        <v>様子見▲</v>
      </c>
      <c r="R116" s="333">
        <f t="shared" si="26"/>
        <v>2811</v>
      </c>
      <c r="S116" s="333">
        <f t="shared" si="27"/>
        <v>3177</v>
      </c>
      <c r="T116" s="325">
        <f>IF(C116="","",IFERROR(IF(W116&lt;=22,-4,IF(W116&lt;=28,-2,IF(W116&lt;=45,2,IF(W116&lt;=55,1,0))))+IF(X116&lt;0,2,0)+IF(AD116="下降トレンド▼",3,IF(AD116="もみ合い→",1,0))+IF(V116="年初来安値圏●",3,IF(V116="安値圏",2,0))+IF(Q116="売り▼",2,0)+IF(P116="急増↑↑",2,IF(P116="増加↑",1,0))+IF(Z116&lt;0,1,0)+IF(L116&lt;=-30,2,IF(L116&lt;=-15,1,0))+IF(AE116="25日戻り売り★",2,IF(AE116="5日戻り売り○",1,0))+N(AL116)+N(AP116)+N(AU116),0))</f>
      </c>
      <c r="U116" s="212" t="str">
        <f t="shared" si="29"/>
        <v>要確認</v>
      </c>
      <c r="V116" s="212" t="str">
        <f t="shared" si="30"/>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 t="shared" si="31"/>
        <v>○逆張り売り | もみ合い→ 25日戻り売り★ MACD- RSI:40.5 前日比:+1.7% [6点]</v>
      </c>
      <c r="Z116" s="338">
        <f t="shared" si="32"/>
        <v>1.6638935108153077</v>
      </c>
      <c r="AA116" s="212" t="str">
        <f t="shared" si="33"/>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 t="shared" si="34"/>
        <v>もみ合い→</v>
      </c>
      <c r="AE116" s="212" t="str">
        <f t="shared" si="35"/>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 t="shared" si="36"/>
        <v>0</v>
      </c>
      <c r="AH116">
        <f t="shared" si="37"/>
        <v>0</v>
      </c>
      <c r="AI116" s="373">
        <f t="array" ref="AI116">IF(C116="","",IFERROR((INDEX(終値!$E:$E,MATCH(TEXT(C116,"0"),終値!$A:$A,0))-INDEX(終値!$E:$CZ,MATCH(TEXT(C116,"0"),終値!$A:$A,0),$AN$2))/INDEX(終値!$E:$CZ,MATCH(TEXT(C116,"0"),終値!$A:$A,0),$AN$2)*100,""))</f>
        <v>0.16393442622950818</v>
      </c>
      <c r="AJ116" s="373">
        <f t="array" ref="AJ116">IFERROR((終値!$E$5-INDEX(終値!$E$5:$CZ$5,1,$AN$2))/INDEX(終値!$E$5:$CZ$5,1,$AN$2)*100,"")</f>
        <v>1.0179378228534113</v>
      </c>
      <c r="AK116" s="374">
        <f t="shared" si="38"/>
        <v>-0.85400339662390312</v>
      </c>
      <c r="AL116" s="372">
        <f t="shared" si="39"/>
        <v>1</v>
      </c>
      <c r="AO116" s="376" t="str">
        <f t="shared" si="40"/>
        <v>通常</v>
      </c>
      <c r="AP116" s="377">
        <f t="shared" si="41"/>
        <v>0</v>
      </c>
      <c r="AQ116">
        <f>IF(C116&lt;&gt;"",始値!F171,"")</f>
        <v>2990</v>
      </c>
      <c r="AR116">
        <f>IF(C116&lt;&gt;"",高値!F171,"")</f>
        <v>3010</v>
      </c>
      <c r="AS116">
        <f>IF(C116&lt;&gt;"",安値!F171,"")</f>
        <v>2980</v>
      </c>
      <c r="AT116" t="str">
        <f t="shared" si="42"/>
        <v>通常</v>
      </c>
      <c r="AU116">
        <f t="shared" si="43"/>
        <v>0</v>
      </c>
      <c r="BA116">
        <f>IFERROR((SUM(OFFSET(高値!$E$6,IFERROR(MATCH($C116,銘柄管理!$B$6:$B$305,0),MATCH(TEXT($C116,"0"),銘柄管理!$B$6:$B$305,0))-1,0,1,14))-SUM(OFFSET(安値!$E$6,IFERROR(MATCH($C116,銘柄管理!$B$6:$B$305,0),MATCH(TEXT($C116,"0"),銘柄管理!$B$6:$B$305,0))-1,0,1,14)))/SUM(OFFSET(終値!$E$6,IFERROR(MATCH($C116,銘柄管理!$B$6:$B$305,0),MATCH(TEXT($C116,"0"),銘柄管理!$B$6:$B$305,0))-1,0,1,14))*100,"")</f>
      </c>
      <c r="BB116">
        <f>IFERROR((MAX(OFFSET(高値!$E$6,IFERROR(MATCH($C116,銘柄管理!$B$6:$B$305,0),MATCH(TEXT($C116,"0"),銘柄管理!$B$6:$B$305,0))-1,0,1,25))-MIN(OFFSET(安値!$E$6,IFERROR(MATCH($C116,銘柄管理!$B$6:$B$305,0),MATCH(TEXT($C116,"0"),銘柄管理!$B$6:$B$305,0))-1,0,1,25)))/$E116*100,"")</f>
      </c>
      <c r="BC116">
        <f>IFERROR(($F116-$G116)/$G116*100,"")</f>
      </c>
      <c r="BD116">
        <f>IFERROR(($E116-MAX(OFFSET(高値!$E$6,IFERROR(MATCH($C116,銘柄管理!$B$6:$B$305,0),MATCH(TEXT($C116,"0"),銘柄管理!$B$6:$B$305,0))-1,0,1,25)))/MAX(OFFSET(高値!$E$6,IFERROR(MATCH($C116,銘柄管理!$B$6:$B$305,0),MATCH(TEXT($C116,"0"),銘柄管理!$B$6:$B$305,0))-1,0,1,25))*100,"")</f>
      </c>
      <c r="BE116">
        <f>IFERROR(($H116-$I116)/$F116*100,"")</f>
      </c>
      <c r="BF116">
        <f>IFERROR(-(($BA116-AVERAGE($BA$3:$BA$206))/STDEV($BA$3:$BA$206))-(($BE116-AVERAGE($BE$3:$BE$206))/STDEV($BE$3:$BE$206))-(($BB116-AVERAGE($BB$3:$BB$206))/STDEV($BB$3:$BB$206))-(($Z116-AVERAGE($Z$3:$Z$206))/STDEV($Z$3:$Z$206))-(($BC116-AVERAGE($BC$3:$BC$206))/STDEV($BC$3:$BC$206)),"")</f>
      </c>
      <c r="BG116">
        <f>IF(OR($C116="",$C116="TOPX",$BA116="",$BF116=""),0,IF(AND($BK$10=1,$BA116&lt;=$BK$2,$BB116&lt;=$BK$3,$BC116&lt;=$BK$4,$Z116&lt;=$BK$5,$Z116&gt;=$BK$6,$BD116&gt;=$BK$7,$BE116&lt;=$BK$8),1,0))</f>
      </c>
      <c r="BH116">
        <f>IF($C116="","",IF($BG116=1,"○ゲート通過",IF($BK$10&lt;&gt;1,"― この方向は停止中",IF($BA116&gt;$BK$2,"×値動きが荒い",IF($BB116&gt;$BK$3,"×レンジが広い",IF($BC116&gt;$BK$4,"×窓を開けて上昇",IF($Z116&gt;$BK$5,"×前日に急騰",IF($Z116&lt;$BK$6,"×前日に急落",IF($BD116&lt;$BK$7,"×高値から離れすぎ",IF($BE116&gt;$BK$8,"×当日の値幅が大きい","×")))))))))</f>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 t="shared" si="22"/>
        <v>-22.711864406779661</v>
      </c>
      <c r="M117" s="326">
        <f>IF(C117&lt;&gt;"",IFERROR(AVERAGE(出来高!E176:I176),""),"")</f>
        <v>143400</v>
      </c>
      <c r="N117" s="326">
        <f>IF(C117&lt;&gt;"",IFERROR(AVERAGE(出来高!E176:AC176),""),"")</f>
        <v>93760</v>
      </c>
      <c r="O117" s="328">
        <f t="shared" si="23"/>
        <v>1.6792189679218967</v>
      </c>
      <c r="P117" s="325" t="str">
        <f t="shared" si="24"/>
        <v>増加↑</v>
      </c>
      <c r="Q117" s="325" t="str">
        <f t="shared" si="25"/>
        <v>様子見▲</v>
      </c>
      <c r="R117" s="326">
        <f t="shared" si="26"/>
        <v>2307</v>
      </c>
      <c r="S117" s="326">
        <f t="shared" si="27"/>
        <v>2608</v>
      </c>
      <c r="T117" s="325">
        <f>IF(C117="","",IFERROR(IF(W117&lt;=22,-4,IF(W117&lt;=28,-2,IF(W117&lt;=45,2,IF(W117&lt;=55,1,0))))+IF(X117&lt;0,2,0)+IF(AD117="下降トレンド▼",3,IF(AD117="もみ合い→",1,0))+IF(V117="年初来安値圏●",3,IF(V117="安値圏",2,0))+IF(Q117="売り▼",2,0)+IF(P117="急増↑↑",2,IF(P117="増加↑",1,0))+IF(Z117&lt;0,1,0)+IF(L117&lt;=-30,2,IF(L117&lt;=-15,1,0))+IF(AE117="25日戻り売り★",2,IF(AE117="5日戻り売り○",1,0))+N(AL117)+N(AP117)+N(AU117),0))</f>
      </c>
      <c r="U117" s="325" t="str">
        <f t="shared" si="29"/>
        <v>有効</v>
      </c>
      <c r="V117" s="325" t="str">
        <f t="shared" si="30"/>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 t="shared" si="31"/>
        <v>相場上昇・見送り | 上昇トレンド▲ MACD- RSI:41.9 前日比:+0.2% [7点]</v>
      </c>
      <c r="Z117" s="331">
        <f t="shared" si="32"/>
        <v>0.15974440894568689</v>
      </c>
      <c r="AA117" s="325" t="str">
        <f t="shared" si="33"/>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 t="shared" si="34"/>
        <v>上昇トレンド▲</v>
      </c>
      <c r="AE117" s="325" t="str">
        <f t="shared" si="35"/>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 t="shared" si="36"/>
        <v>7</v>
      </c>
      <c r="AH117">
        <f t="shared" si="37"/>
        <v>69883</v>
      </c>
      <c r="AI117" s="373">
        <f t="array" ref="AI117">IF(C117="","",IFERROR((INDEX(終値!$E:$E,MATCH(TEXT(C117,"0"),終値!$A:$A,0))-INDEX(終値!$E:$CZ,MATCH(TEXT(C117,"0"),終値!$A:$A,0),$AN$2))/INDEX(終値!$E:$CZ,MATCH(TEXT(C117,"0"),終値!$A:$A,0),$AN$2)*100,""))</f>
        <v>-5.9970014992503744</v>
      </c>
      <c r="AJ117" s="373">
        <f t="array" ref="AJ117">IFERROR((終値!$E$5-INDEX(終値!$E$5:$CZ$5,1,$AN$2))/INDEX(終値!$E$5:$CZ$5,1,$AN$2)*100,"")</f>
        <v>1.0179378228534113</v>
      </c>
      <c r="AK117" s="374">
        <f t="shared" si="38"/>
        <v>-7.0149393221037855</v>
      </c>
      <c r="AL117" s="372">
        <f t="shared" si="39"/>
        <v>3</v>
      </c>
      <c r="AO117" s="376" t="str">
        <f t="shared" si="40"/>
        <v>通常</v>
      </c>
      <c r="AP117" s="377">
        <f t="shared" si="41"/>
        <v>0</v>
      </c>
      <c r="AQ117">
        <f>IF(C117&lt;&gt;"",始値!F176,"")</f>
        <v>2462</v>
      </c>
      <c r="AR117">
        <f>IF(C117&lt;&gt;"",高値!F176,"")</f>
        <v>2506</v>
      </c>
      <c r="AS117">
        <f>IF(C117&lt;&gt;"",安値!F176,"")</f>
        <v>2428</v>
      </c>
      <c r="AT117" t="str">
        <f t="shared" si="42"/>
        <v>通常</v>
      </c>
      <c r="AU117">
        <f t="shared" si="43"/>
        <v>0</v>
      </c>
      <c r="BA117">
        <f>IFERROR((SUM(OFFSET(高値!$E$6,IFERROR(MATCH($C117,銘柄管理!$B$6:$B$305,0),MATCH(TEXT($C117,"0"),銘柄管理!$B$6:$B$305,0))-1,0,1,14))-SUM(OFFSET(安値!$E$6,IFERROR(MATCH($C117,銘柄管理!$B$6:$B$305,0),MATCH(TEXT($C117,"0"),銘柄管理!$B$6:$B$305,0))-1,0,1,14)))/SUM(OFFSET(終値!$E$6,IFERROR(MATCH($C117,銘柄管理!$B$6:$B$305,0),MATCH(TEXT($C117,"0"),銘柄管理!$B$6:$B$305,0))-1,0,1,14))*100,"")</f>
      </c>
      <c r="BB117">
        <f>IFERROR((MAX(OFFSET(高値!$E$6,IFERROR(MATCH($C117,銘柄管理!$B$6:$B$305,0),MATCH(TEXT($C117,"0"),銘柄管理!$B$6:$B$305,0))-1,0,1,25))-MIN(OFFSET(安値!$E$6,IFERROR(MATCH($C117,銘柄管理!$B$6:$B$305,0),MATCH(TEXT($C117,"0"),銘柄管理!$B$6:$B$305,0))-1,0,1,25)))/$E117*100,"")</f>
      </c>
      <c r="BC117">
        <f>IFERROR(($F117-$G117)/$G117*100,"")</f>
      </c>
      <c r="BD117">
        <f>IFERROR(($E117-MAX(OFFSET(高値!$E$6,IFERROR(MATCH($C117,銘柄管理!$B$6:$B$305,0),MATCH(TEXT($C117,"0"),銘柄管理!$B$6:$B$305,0))-1,0,1,25)))/MAX(OFFSET(高値!$E$6,IFERROR(MATCH($C117,銘柄管理!$B$6:$B$305,0),MATCH(TEXT($C117,"0"),銘柄管理!$B$6:$B$305,0))-1,0,1,25))*100,"")</f>
      </c>
      <c r="BE117">
        <f>IFERROR(($H117-$I117)/$F117*100,"")</f>
      </c>
      <c r="BF117">
        <f>IFERROR(-(($BA117-AVERAGE($BA$3:$BA$206))/STDEV($BA$3:$BA$206))-(($BE117-AVERAGE($BE$3:$BE$206))/STDEV($BE$3:$BE$206))-(($BB117-AVERAGE($BB$3:$BB$206))/STDEV($BB$3:$BB$206))-(($Z117-AVERAGE($Z$3:$Z$206))/STDEV($Z$3:$Z$206))-(($BC117-AVERAGE($BC$3:$BC$206))/STDEV($BC$3:$BC$206)),"")</f>
      </c>
      <c r="BG117">
        <f>IF(OR($C117="",$C117="TOPX",$BA117="",$BF117=""),0,IF(AND($BK$10=1,$BA117&lt;=$BK$2,$BB117&lt;=$BK$3,$BC117&lt;=$BK$4,$Z117&lt;=$BK$5,$Z117&gt;=$BK$6,$BD117&gt;=$BK$7,$BE117&lt;=$BK$8),1,0))</f>
      </c>
      <c r="BH117">
        <f>IF($C117="","",IF($BG117=1,"○ゲート通過",IF($BK$10&lt;&gt;1,"― この方向は停止中",IF($BA117&gt;$BK$2,"×値動きが荒い",IF($BB117&gt;$BK$3,"×レンジが広い",IF($BC117&gt;$BK$4,"×窓を開けて上昇",IF($Z117&gt;$BK$5,"×前日に急騰",IF($Z117&lt;$BK$6,"×前日に急落",IF($BD117&lt;$BK$7,"×高値から離れすぎ",IF($BE117&gt;$BK$8,"×当日の値幅が大きい","×")))))))))</f>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 t="shared" si="22"/>
        <v>-32.967289719626166</v>
      </c>
      <c r="M118" s="333">
        <f>IF(C118&lt;&gt;"",IFERROR(AVERAGE(出来高!E179:I179),""),"")</f>
        <v>126620</v>
      </c>
      <c r="N118" s="333">
        <f>IF(C118&lt;&gt;"",IFERROR(AVERAGE(出来高!E179:AC179),""),"")</f>
        <v>104852</v>
      </c>
      <c r="O118" s="335">
        <f t="shared" si="23"/>
        <v>0.86637182119728318</v>
      </c>
      <c r="P118" s="212" t="str">
        <f t="shared" si="24"/>
        <v>減少↓</v>
      </c>
      <c r="Q118" s="212" t="str">
        <f t="shared" si="25"/>
        <v>様子見▲</v>
      </c>
      <c r="R118" s="333">
        <f t="shared" si="26"/>
        <v>2639</v>
      </c>
      <c r="S118" s="333">
        <f t="shared" si="27"/>
        <v>2984</v>
      </c>
      <c r="T118" s="325">
        <f>IF(C118="","",IFERROR(IF(W118&lt;=22,-4,IF(W118&lt;=28,-2,IF(W118&lt;=45,2,IF(W118&lt;=55,1,0))))+IF(X118&lt;0,2,0)+IF(AD118="下降トレンド▼",3,IF(AD118="もみ合い→",1,0))+IF(V118="年初来安値圏●",3,IF(V118="安値圏",2,0))+IF(Q118="売り▼",2,0)+IF(P118="急増↑↑",2,IF(P118="増加↑",1,0))+IF(Z118&lt;0,1,0)+IF(L118&lt;=-30,2,IF(L118&lt;=-15,1,0))+IF(AE118="25日戻り売り★",2,IF(AE118="5日戻り売り○",1,0))+N(AL118)+N(AP118)+N(AU118),0))</f>
      </c>
      <c r="U118" s="212" t="str">
        <f t="shared" si="29"/>
        <v>要確認</v>
      </c>
      <c r="V118" s="212" t="str">
        <f t="shared" si="30"/>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 t="shared" si="31"/>
        <v>相場上昇・見送り | パーフェクト▲ MACD+ RSI:64.4 前日比:+1.3% [安値圏] [4点]</v>
      </c>
      <c r="Z118" s="338">
        <f t="shared" si="32"/>
        <v>1.2707377338510413</v>
      </c>
      <c r="AA118" s="212" t="str">
        <f t="shared" si="33"/>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 t="shared" si="34"/>
        <v>パーフェクト▲</v>
      </c>
      <c r="AE118" s="212" t="str">
        <f t="shared" si="35"/>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 t="shared" si="36"/>
        <v>0</v>
      </c>
      <c r="AH118">
        <f t="shared" si="37"/>
        <v>0</v>
      </c>
      <c r="AI118" s="373">
        <f t="array" ref="AI118">IF(C118="","",IFERROR((INDEX(終値!$E:$E,MATCH(TEXT(C118,"0"),終値!$A:$A,0))-INDEX(終値!$E:$CZ,MATCH(TEXT(C118,"0"),終値!$A:$A,0),$AN$2))/INDEX(終値!$E:$CZ,MATCH(TEXT(C118,"0"),終値!$A:$A,0),$AN$2)*100,""))</f>
        <v>12.730844793713164</v>
      </c>
      <c r="AJ118" s="373">
        <f t="array" ref="AJ118">IFERROR((終値!$E$5-INDEX(終値!$E$5:$CZ$5,1,$AN$2))/INDEX(終値!$E$5:$CZ$5,1,$AN$2)*100,"")</f>
        <v>1.0179378228534113</v>
      </c>
      <c r="AK118" s="374">
        <f t="shared" si="38"/>
        <v>11.712906970859752</v>
      </c>
      <c r="AL118" s="372">
        <f t="shared" si="39"/>
        <v>-2</v>
      </c>
      <c r="AO118" s="376" t="str">
        <f t="shared" si="40"/>
        <v>通常</v>
      </c>
      <c r="AP118" s="377">
        <f t="shared" si="41"/>
        <v>0</v>
      </c>
      <c r="AQ118">
        <f>IF(C118&lt;&gt;"",始値!F179,"")</f>
        <v>2828</v>
      </c>
      <c r="AR118">
        <f>IF(C118&lt;&gt;"",高値!F179,"")</f>
        <v>2862</v>
      </c>
      <c r="AS118">
        <f>IF(C118&lt;&gt;"",安値!F179,"")</f>
        <v>2817</v>
      </c>
      <c r="AT118" t="str">
        <f t="shared" si="42"/>
        <v>通常</v>
      </c>
      <c r="AU118">
        <f t="shared" si="43"/>
        <v>0</v>
      </c>
      <c r="BA118">
        <f>IFERROR((SUM(OFFSET(高値!$E$6,IFERROR(MATCH($C118,銘柄管理!$B$6:$B$305,0),MATCH(TEXT($C118,"0"),銘柄管理!$B$6:$B$305,0))-1,0,1,14))-SUM(OFFSET(安値!$E$6,IFERROR(MATCH($C118,銘柄管理!$B$6:$B$305,0),MATCH(TEXT($C118,"0"),銘柄管理!$B$6:$B$305,0))-1,0,1,14)))/SUM(OFFSET(終値!$E$6,IFERROR(MATCH($C118,銘柄管理!$B$6:$B$305,0),MATCH(TEXT($C118,"0"),銘柄管理!$B$6:$B$305,0))-1,0,1,14))*100,"")</f>
      </c>
      <c r="BB118">
        <f>IFERROR((MAX(OFFSET(高値!$E$6,IFERROR(MATCH($C118,銘柄管理!$B$6:$B$305,0),MATCH(TEXT($C118,"0"),銘柄管理!$B$6:$B$305,0))-1,0,1,25))-MIN(OFFSET(安値!$E$6,IFERROR(MATCH($C118,銘柄管理!$B$6:$B$305,0),MATCH(TEXT($C118,"0"),銘柄管理!$B$6:$B$305,0))-1,0,1,25)))/$E118*100,"")</f>
      </c>
      <c r="BC118">
        <f>IFERROR(($F118-$G118)/$G118*100,"")</f>
      </c>
      <c r="BD118">
        <f>IFERROR(($E118-MAX(OFFSET(高値!$E$6,IFERROR(MATCH($C118,銘柄管理!$B$6:$B$305,0),MATCH(TEXT($C118,"0"),銘柄管理!$B$6:$B$305,0))-1,0,1,25)))/MAX(OFFSET(高値!$E$6,IFERROR(MATCH($C118,銘柄管理!$B$6:$B$305,0),MATCH(TEXT($C118,"0"),銘柄管理!$B$6:$B$305,0))-1,0,1,25))*100,"")</f>
      </c>
      <c r="BE118">
        <f>IFERROR(($H118-$I118)/$F118*100,"")</f>
      </c>
      <c r="BF118">
        <f>IFERROR(-(($BA118-AVERAGE($BA$3:$BA$206))/STDEV($BA$3:$BA$206))-(($BE118-AVERAGE($BE$3:$BE$206))/STDEV($BE$3:$BE$206))-(($BB118-AVERAGE($BB$3:$BB$206))/STDEV($BB$3:$BB$206))-(($Z118-AVERAGE($Z$3:$Z$206))/STDEV($Z$3:$Z$206))-(($BC118-AVERAGE($BC$3:$BC$206))/STDEV($BC$3:$BC$206)),"")</f>
      </c>
      <c r="BG118">
        <f>IF(OR($C118="",$C118="TOPX",$BA118="",$BF118=""),0,IF(AND($BK$10=1,$BA118&lt;=$BK$2,$BB118&lt;=$BK$3,$BC118&lt;=$BK$4,$Z118&lt;=$BK$5,$Z118&gt;=$BK$6,$BD118&gt;=$BK$7,$BE118&lt;=$BK$8),1,0))</f>
      </c>
      <c r="BH118">
        <f>IF($C118="","",IF($BG118=1,"○ゲート通過",IF($BK$10&lt;&gt;1,"― この方向は停止中",IF($BA118&gt;$BK$2,"×値動きが荒い",IF($BB118&gt;$BK$3,"×レンジが広い",IF($BC118&gt;$BK$4,"×窓を開けて上昇",IF($Z118&gt;$BK$5,"×前日に急騰",IF($Z118&lt;$BK$6,"×前日に急落",IF($BD118&lt;$BK$7,"×高値から離れすぎ",IF($BE118&gt;$BK$8,"×当日の値幅が大きい","×")))))))))</f>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 t="shared" si="22"/>
        <v>-2.6147426981919333</v>
      </c>
      <c r="M119" s="326">
        <f>IF(C119&lt;&gt;"",IFERROR(AVERAGE(出来高!E190:I190),""),"")</f>
        <v>2128920</v>
      </c>
      <c r="N119" s="326">
        <f>IF(C119&lt;&gt;"",IFERROR(AVERAGE(出来高!E190:AC190),""),"")</f>
        <v>2316672</v>
      </c>
      <c r="O119" s="328">
        <f t="shared" si="23"/>
        <v>0.88716344437555195</v>
      </c>
      <c r="P119" s="325" t="str">
        <f t="shared" si="24"/>
        <v>減少↓</v>
      </c>
      <c r="Q119" s="325" t="str">
        <f t="shared" si="25"/>
        <v>様子見▲</v>
      </c>
      <c r="R119" s="326">
        <f t="shared" si="26"/>
        <v>1610</v>
      </c>
      <c r="S119" s="326">
        <f t="shared" si="27"/>
        <v>1821</v>
      </c>
      <c r="T119" s="325">
        <f>IF(C119="","",IFERROR(IF(W119&lt;=22,-4,IF(W119&lt;=28,-2,IF(W119&lt;=45,2,IF(W119&lt;=55,1,0))))+IF(X119&lt;0,2,0)+IF(AD119="下降トレンド▼",3,IF(AD119="もみ合い→",1,0))+IF(V119="年初来安値圏●",3,IF(V119="安値圏",2,0))+IF(Q119="売り▼",2,0)+IF(P119="急増↑↑",2,IF(P119="増加↑",1,0))+IF(Z119&lt;0,1,0)+IF(L119&lt;=-30,2,IF(L119&lt;=-15,1,0))+IF(AE119="25日戻り売り★",2,IF(AE119="5日戻り売り○",1,0))+N(AL119)+N(AP119)+N(AU119),0))</f>
      </c>
      <c r="U119" s="325" t="str">
        <f t="shared" si="29"/>
        <v>除外</v>
      </c>
      <c r="V119" s="325" t="str">
        <f t="shared" si="30"/>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 t="shared" si="31"/>
        <v>相場上昇・見送り | パーフェクト▲ MACD+ RSI:55.2 前日比:+1.7% [-1点]</v>
      </c>
      <c r="Z119" s="331">
        <f t="shared" si="32"/>
        <v>1.7141196978500872</v>
      </c>
      <c r="AA119" s="325" t="str">
        <f t="shared" si="33"/>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 t="shared" si="34"/>
        <v>パーフェクト▲</v>
      </c>
      <c r="AE119" s="325" t="str">
        <f t="shared" si="35"/>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 t="shared" si="36"/>
        <v>0</v>
      </c>
      <c r="AH119">
        <f t="shared" si="37"/>
        <v>0</v>
      </c>
      <c r="AI119" s="373">
        <f t="array" ref="AI119">IF(C119="","",IFERROR((INDEX(終値!$E:$E,MATCH(TEXT(C119,"0"),終値!$A:$A,0))-INDEX(終値!$E:$CZ,MATCH(TEXT(C119,"0"),終値!$A:$A,0),$AN$2))/INDEX(終値!$E:$CZ,MATCH(TEXT(C119,"0"),終値!$A:$A,0),$AN$2)*100,""))</f>
        <v>15.240289664252799</v>
      </c>
      <c r="AJ119" s="373">
        <f t="array" ref="AJ119">IFERROR((終値!$E$5-INDEX(終値!$E$5:$CZ$5,1,$AN$2))/INDEX(終値!$E$5:$CZ$5,1,$AN$2)*100,"")</f>
        <v>1.0179378228534113</v>
      </c>
      <c r="AK119" s="374">
        <f t="shared" si="38"/>
        <v>14.222351841399387</v>
      </c>
      <c r="AL119" s="372">
        <f t="shared" si="39"/>
        <v>-2</v>
      </c>
      <c r="AO119" s="376" t="str">
        <f t="shared" si="40"/>
        <v>通常</v>
      </c>
      <c r="AP119" s="377">
        <f t="shared" si="41"/>
        <v>0</v>
      </c>
      <c r="AQ119">
        <f>IF(C119&lt;&gt;"",始値!F190,"")</f>
        <v>1698.5</v>
      </c>
      <c r="AR119">
        <f>IF(C119&lt;&gt;"",高値!F190,"")</f>
        <v>1730</v>
      </c>
      <c r="AS119">
        <f>IF(C119&lt;&gt;"",安値!F190,"")</f>
        <v>1696.5</v>
      </c>
      <c r="AT119" t="str">
        <f t="shared" si="42"/>
        <v>通常</v>
      </c>
      <c r="AU119">
        <f t="shared" si="43"/>
        <v>0</v>
      </c>
      <c r="BA119">
        <f>IFERROR((SUM(OFFSET(高値!$E$6,IFERROR(MATCH($C119,銘柄管理!$B$6:$B$305,0),MATCH(TEXT($C119,"0"),銘柄管理!$B$6:$B$305,0))-1,0,1,14))-SUM(OFFSET(安値!$E$6,IFERROR(MATCH($C119,銘柄管理!$B$6:$B$305,0),MATCH(TEXT($C119,"0"),銘柄管理!$B$6:$B$305,0))-1,0,1,14)))/SUM(OFFSET(終値!$E$6,IFERROR(MATCH($C119,銘柄管理!$B$6:$B$305,0),MATCH(TEXT($C119,"0"),銘柄管理!$B$6:$B$305,0))-1,0,1,14))*100,"")</f>
      </c>
      <c r="BB119">
        <f>IFERROR((MAX(OFFSET(高値!$E$6,IFERROR(MATCH($C119,銘柄管理!$B$6:$B$305,0),MATCH(TEXT($C119,"0"),銘柄管理!$B$6:$B$305,0))-1,0,1,25))-MIN(OFFSET(安値!$E$6,IFERROR(MATCH($C119,銘柄管理!$B$6:$B$305,0),MATCH(TEXT($C119,"0"),銘柄管理!$B$6:$B$305,0))-1,0,1,25)))/$E119*100,"")</f>
      </c>
      <c r="BC119">
        <f>IFERROR(($F119-$G119)/$G119*100,"")</f>
      </c>
      <c r="BD119">
        <f>IFERROR(($E119-MAX(OFFSET(高値!$E$6,IFERROR(MATCH($C119,銘柄管理!$B$6:$B$305,0),MATCH(TEXT($C119,"0"),銘柄管理!$B$6:$B$305,0))-1,0,1,25)))/MAX(OFFSET(高値!$E$6,IFERROR(MATCH($C119,銘柄管理!$B$6:$B$305,0),MATCH(TEXT($C119,"0"),銘柄管理!$B$6:$B$305,0))-1,0,1,25))*100,"")</f>
      </c>
      <c r="BE119">
        <f>IFERROR(($H119-$I119)/$F119*100,"")</f>
      </c>
      <c r="BF119">
        <f>IFERROR(-(($BA119-AVERAGE($BA$3:$BA$206))/STDEV($BA$3:$BA$206))-(($BE119-AVERAGE($BE$3:$BE$206))/STDEV($BE$3:$BE$206))-(($BB119-AVERAGE($BB$3:$BB$206))/STDEV($BB$3:$BB$206))-(($Z119-AVERAGE($Z$3:$Z$206))/STDEV($Z$3:$Z$206))-(($BC119-AVERAGE($BC$3:$BC$206))/STDEV($BC$3:$BC$206)),"")</f>
      </c>
      <c r="BG119">
        <f>IF(OR($C119="",$C119="TOPX",$BA119="",$BF119=""),0,IF(AND($BK$10=1,$BA119&lt;=$BK$2,$BB119&lt;=$BK$3,$BC119&lt;=$BK$4,$Z119&lt;=$BK$5,$Z119&gt;=$BK$6,$BD119&gt;=$BK$7,$BE119&lt;=$BK$8),1,0))</f>
      </c>
      <c r="BH119">
        <f>IF($C119="","",IF($BG119=1,"○ゲート通過",IF($BK$10&lt;&gt;1,"― この方向は停止中",IF($BA119&gt;$BK$2,"×値動きが荒い",IF($BB119&gt;$BK$3,"×レンジが広い",IF($BC119&gt;$BK$4,"×窓を開けて上昇",IF($Z119&gt;$BK$5,"×前日に急騰",IF($Z119&lt;$BK$6,"×前日に急落",IF($BD119&lt;$BK$7,"×高値から離れすぎ",IF($BE119&gt;$BK$8,"×当日の値幅が大きい","×")))))))))</f>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 t="shared" si="22"/>
        <v>-32.82068062827225</v>
      </c>
      <c r="M120" s="333">
        <f>IF(C120&lt;&gt;"",IFERROR(AVERAGE(出来高!E197:I197),""),"")</f>
        <v>2315160</v>
      </c>
      <c r="N120" s="333">
        <f>IF(C120&lt;&gt;"",IFERROR(AVERAGE(出来高!E197:AC197),""),"")</f>
        <v>1957596</v>
      </c>
      <c r="O120" s="335">
        <f t="shared" si="23"/>
        <v>0.67779332745900933</v>
      </c>
      <c r="P120" s="212" t="str">
        <f t="shared" si="24"/>
        <v>減少↓</v>
      </c>
      <c r="Q120" s="212" t="str">
        <f t="shared" si="25"/>
        <v>中立→</v>
      </c>
      <c r="R120" s="333">
        <f t="shared" si="26"/>
        <v>56663</v>
      </c>
      <c r="S120" s="333">
        <f t="shared" si="27"/>
        <v>64054</v>
      </c>
      <c r="T120" s="325">
        <f>IF(C120="","",IFERROR(IF(W120&lt;=22,-4,IF(W120&lt;=28,-2,IF(W120&lt;=45,2,IF(W120&lt;=55,1,0))))+IF(X120&lt;0,2,0)+IF(AD120="下降トレンド▼",3,IF(AD120="もみ合い→",1,0))+IF(V120="年初来安値圏●",3,IF(V120="安値圏",2,0))+IF(Q120="売り▼",2,0)+IF(P120="急増↑↑",2,IF(P120="増加↑",1,0))+IF(Z120&lt;0,1,0)+IF(L120&lt;=-30,2,IF(L120&lt;=-15,1,0))+IF(AE120="25日戻り売り★",2,IF(AE120="5日戻り売り○",1,0))+N(AL120)+N(AP120)+N(AU120),0))</f>
      </c>
      <c r="U120" s="212" t="str">
        <f t="shared" si="29"/>
        <v>要確認</v>
      </c>
      <c r="V120" s="212" t="str">
        <f t="shared" si="30"/>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 t="shared" si="31"/>
        <v>★逆張り売り | 下降トレンド▼ 5日戻り売り○ MACD- RSI:39.7 前日比:-3.4% [安値圏] [14点]</v>
      </c>
      <c r="Z120" s="338">
        <f t="shared" si="32"/>
        <v>-3.3730781299027299</v>
      </c>
      <c r="AA120" s="212" t="str">
        <f t="shared" si="33"/>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 t="shared" si="34"/>
        <v>下降トレンド▼</v>
      </c>
      <c r="AE120" s="212" t="str">
        <f t="shared" si="35"/>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 t="shared" si="36"/>
        <v>14</v>
      </c>
      <c r="AH120">
        <f t="shared" si="37"/>
        <v>139880</v>
      </c>
      <c r="AI120" s="373">
        <f t="array" ref="AI120">IF(C120="","",IFERROR((INDEX(終値!$E:$E,MATCH(TEXT(C120,"0"),終値!$A:$A,0))-INDEX(終値!$E:$CZ,MATCH(TEXT(C120,"0"),終値!$A:$A,0),$AN$2))/INDEX(終値!$E:$CZ,MATCH(TEXT(C120,"0"),終値!$A:$A,0),$AN$2)*100,""))</f>
        <v>-27.129673450070989</v>
      </c>
      <c r="AJ120" s="373">
        <f t="array" ref="AJ120">IFERROR((終値!$E$5-INDEX(終値!$E$5:$CZ$5,1,$AN$2))/INDEX(終値!$E$5:$CZ$5,1,$AN$2)*100,"")</f>
        <v>1.0179378228534113</v>
      </c>
      <c r="AK120" s="374">
        <f t="shared" si="38"/>
        <v>-28.147611272924401</v>
      </c>
      <c r="AL120" s="372">
        <f t="shared" si="39"/>
        <v>3</v>
      </c>
      <c r="AO120" s="376" t="str">
        <f t="shared" si="40"/>
        <v>通常</v>
      </c>
      <c r="AP120" s="377">
        <f t="shared" si="41"/>
        <v>0</v>
      </c>
      <c r="AQ120">
        <f>IF(C120&lt;&gt;"",始値!F197,"")</f>
        <v>63890</v>
      </c>
      <c r="AR120">
        <f>IF(C120&lt;&gt;"",高値!F197,"")</f>
        <v>64480</v>
      </c>
      <c r="AS120">
        <f>IF(C120&lt;&gt;"",安値!F197,"")</f>
        <v>62440</v>
      </c>
      <c r="AT120" t="str">
        <f t="shared" si="42"/>
        <v>通常</v>
      </c>
      <c r="AU120">
        <f t="shared" si="43"/>
        <v>0</v>
      </c>
      <c r="BA120">
        <f>IFERROR((SUM(OFFSET(高値!$E$6,IFERROR(MATCH($C120,銘柄管理!$B$6:$B$305,0),MATCH(TEXT($C120,"0"),銘柄管理!$B$6:$B$305,0))-1,0,1,14))-SUM(OFFSET(安値!$E$6,IFERROR(MATCH($C120,銘柄管理!$B$6:$B$305,0),MATCH(TEXT($C120,"0"),銘柄管理!$B$6:$B$305,0))-1,0,1,14)))/SUM(OFFSET(終値!$E$6,IFERROR(MATCH($C120,銘柄管理!$B$6:$B$305,0),MATCH(TEXT($C120,"0"),銘柄管理!$B$6:$B$305,0))-1,0,1,14))*100,"")</f>
      </c>
      <c r="BB120">
        <f>IFERROR((MAX(OFFSET(高値!$E$6,IFERROR(MATCH($C120,銘柄管理!$B$6:$B$305,0),MATCH(TEXT($C120,"0"),銘柄管理!$B$6:$B$305,0))-1,0,1,25))-MIN(OFFSET(安値!$E$6,IFERROR(MATCH($C120,銘柄管理!$B$6:$B$305,0),MATCH(TEXT($C120,"0"),銘柄管理!$B$6:$B$305,0))-1,0,1,25)))/$E120*100,"")</f>
      </c>
      <c r="BC120">
        <f>IFERROR(($F120-$G120)/$G120*100,"")</f>
      </c>
      <c r="BD120">
        <f>IFERROR(($E120-MAX(OFFSET(高値!$E$6,IFERROR(MATCH($C120,銘柄管理!$B$6:$B$305,0),MATCH(TEXT($C120,"0"),銘柄管理!$B$6:$B$305,0))-1,0,1,25)))/MAX(OFFSET(高値!$E$6,IFERROR(MATCH($C120,銘柄管理!$B$6:$B$305,0),MATCH(TEXT($C120,"0"),銘柄管理!$B$6:$B$305,0))-1,0,1,25))*100,"")</f>
      </c>
      <c r="BE120">
        <f>IFERROR(($H120-$I120)/$F120*100,"")</f>
      </c>
      <c r="BF120">
        <f>IFERROR(-(($BA120-AVERAGE($BA$3:$BA$206))/STDEV($BA$3:$BA$206))-(($BE120-AVERAGE($BE$3:$BE$206))/STDEV($BE$3:$BE$206))-(($BB120-AVERAGE($BB$3:$BB$206))/STDEV($BB$3:$BB$206))-(($Z120-AVERAGE($Z$3:$Z$206))/STDEV($Z$3:$Z$206))-(($BC120-AVERAGE($BC$3:$BC$206))/STDEV($BC$3:$BC$206)),"")</f>
      </c>
      <c r="BG120">
        <f>IF(OR($C120="",$C120="TOPX",$BA120="",$BF120=""),0,IF(AND($BK$10=1,$BA120&lt;=$BK$2,$BB120&lt;=$BK$3,$BC120&lt;=$BK$4,$Z120&lt;=$BK$5,$Z120&gt;=$BK$6,$BD120&gt;=$BK$7,$BE120&lt;=$BK$8),1,0))</f>
      </c>
      <c r="BH120">
        <f>IF($C120="","",IF($BG120=1,"○ゲート通過",IF($BK$10&lt;&gt;1,"― この方向は停止中",IF($BA120&gt;$BK$2,"×値動きが荒い",IF($BB120&gt;$BK$3,"×レンジが広い",IF($BC120&gt;$BK$4,"×窓を開けて上昇",IF($Z120&gt;$BK$5,"×前日に急騰",IF($Z120&lt;$BK$6,"×前日に急落",IF($BD120&lt;$BK$7,"×高値から離れすぎ",IF($BE120&gt;$BK$8,"×当日の値幅が大きい","×")))))))))</f>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 t="shared" si="22"/>
        <v>-36.131840796019901</v>
      </c>
      <c r="M121" s="326">
        <f>IF(C121&lt;&gt;"",IFERROR(AVERAGE(出来高!E208:I208),""),"")</f>
        <v>2339240</v>
      </c>
      <c r="N121" s="326">
        <f>IF(C121&lt;&gt;"",IFERROR(AVERAGE(出来高!E208:AC208),""),"")</f>
        <v>1761128</v>
      </c>
      <c r="O121" s="328">
        <f t="shared" si="23"/>
        <v>1.1746977650860964</v>
      </c>
      <c r="P121" s="325" t="str">
        <f t="shared" si="24"/>
        <v>普通→</v>
      </c>
      <c r="Q121" s="325" t="str">
        <f t="shared" si="25"/>
        <v>中立→</v>
      </c>
      <c r="R121" s="326">
        <f t="shared" si="26"/>
        <v>4724</v>
      </c>
      <c r="S121" s="326">
        <f t="shared" si="27"/>
        <v>5340</v>
      </c>
      <c r="T121" s="325">
        <f>IF(C121="","",IFERROR(IF(W121&lt;=22,-4,IF(W121&lt;=28,-2,IF(W121&lt;=45,2,IF(W121&lt;=55,1,0))))+IF(X121&lt;0,2,0)+IF(AD121="下降トレンド▼",3,IF(AD121="もみ合い→",1,0))+IF(V121="年初来安値圏●",3,IF(V121="安値圏",2,0))+IF(Q121="売り▼",2,0)+IF(P121="急増↑↑",2,IF(P121="増加↑",1,0))+IF(Z121&lt;0,1,0)+IF(L121&lt;=-30,2,IF(L121&lt;=-15,1,0))+IF(AE121="25日戻り売り★",2,IF(AE121="5日戻り売り○",1,0))+N(AL121)+N(AP121)+N(AU121),0))</f>
      </c>
      <c r="U121" s="325" t="str">
        <f t="shared" si="29"/>
        <v>要確認</v>
      </c>
      <c r="V121" s="325" t="str">
        <f t="shared" si="30"/>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 t="shared" si="31"/>
        <v>相場上昇・見送り | 下降トレンド▼ MACD- RSI:26.8 [売られ過ぎ] 前日比:-2.2% [安値圏] [上ヒゲ陰線▼] [15点]</v>
      </c>
      <c r="Z121" s="331">
        <f t="shared" si="32"/>
        <v>-2.2277227722772275</v>
      </c>
      <c r="AA121" s="325" t="str">
        <f t="shared" si="33"/>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 t="shared" si="34"/>
        <v>下降トレンド▼</v>
      </c>
      <c r="AE121" s="325" t="str">
        <f t="shared" si="35"/>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 t="shared" si="36"/>
        <v>15</v>
      </c>
      <c r="AH121">
        <f t="shared" si="37"/>
        <v>149879</v>
      </c>
      <c r="AI121" s="373">
        <f t="array" ref="AI121">IF(C121="","",IFERROR((INDEX(終値!$E:$E,MATCH(TEXT(C121,"0"),終値!$A:$A,0))-INDEX(終値!$E:$CZ,MATCH(TEXT(C121,"0"),終値!$A:$A,0),$AN$2))/INDEX(終値!$E:$CZ,MATCH(TEXT(C121,"0"),終値!$A:$A,0),$AN$2)*100,""))</f>
        <v>-13.813360187982546</v>
      </c>
      <c r="AJ121" s="373">
        <f t="array" ref="AJ121">IFERROR((終値!$E$5-INDEX(終値!$E$5:$CZ$5,1,$AN$2))/INDEX(終値!$E$5:$CZ$5,1,$AN$2)*100,"")</f>
        <v>1.0179378228534113</v>
      </c>
      <c r="AK121" s="374">
        <f t="shared" si="38"/>
        <v>-14.831298010835958</v>
      </c>
      <c r="AL121" s="372">
        <f t="shared" si="39"/>
        <v>3</v>
      </c>
      <c r="AO121" s="376" t="str">
        <f t="shared" si="40"/>
        <v>上ヒゲ陰線▼</v>
      </c>
      <c r="AP121" s="377">
        <f t="shared" si="41"/>
        <v>2</v>
      </c>
      <c r="AQ121">
        <f>IF(C121&lt;&gt;"",始値!F208,"")</f>
        <v>5356</v>
      </c>
      <c r="AR121">
        <f>IF(C121&lt;&gt;"",高値!F208,"")</f>
        <v>5454</v>
      </c>
      <c r="AS121">
        <f>IF(C121&lt;&gt;"",安値!F208,"")</f>
        <v>5102</v>
      </c>
      <c r="AT121" t="str">
        <f t="shared" si="42"/>
        <v>通常</v>
      </c>
      <c r="AU121">
        <f t="shared" si="43"/>
        <v>0</v>
      </c>
      <c r="BA121">
        <f>IFERROR((SUM(OFFSET(高値!$E$6,IFERROR(MATCH($C121,銘柄管理!$B$6:$B$305,0),MATCH(TEXT($C121,"0"),銘柄管理!$B$6:$B$305,0))-1,0,1,14))-SUM(OFFSET(安値!$E$6,IFERROR(MATCH($C121,銘柄管理!$B$6:$B$305,0),MATCH(TEXT($C121,"0"),銘柄管理!$B$6:$B$305,0))-1,0,1,14)))/SUM(OFFSET(終値!$E$6,IFERROR(MATCH($C121,銘柄管理!$B$6:$B$305,0),MATCH(TEXT($C121,"0"),銘柄管理!$B$6:$B$305,0))-1,0,1,14))*100,"")</f>
      </c>
      <c r="BB121">
        <f>IFERROR((MAX(OFFSET(高値!$E$6,IFERROR(MATCH($C121,銘柄管理!$B$6:$B$305,0),MATCH(TEXT($C121,"0"),銘柄管理!$B$6:$B$305,0))-1,0,1,25))-MIN(OFFSET(安値!$E$6,IFERROR(MATCH($C121,銘柄管理!$B$6:$B$305,0),MATCH(TEXT($C121,"0"),銘柄管理!$B$6:$B$305,0))-1,0,1,25)))/$E121*100,"")</f>
      </c>
      <c r="BC121">
        <f>IFERROR(($F121-$G121)/$G121*100,"")</f>
      </c>
      <c r="BD121">
        <f>IFERROR(($E121-MAX(OFFSET(高値!$E$6,IFERROR(MATCH($C121,銘柄管理!$B$6:$B$305,0),MATCH(TEXT($C121,"0"),銘柄管理!$B$6:$B$305,0))-1,0,1,25)))/MAX(OFFSET(高値!$E$6,IFERROR(MATCH($C121,銘柄管理!$B$6:$B$305,0),MATCH(TEXT($C121,"0"),銘柄管理!$B$6:$B$305,0))-1,0,1,25))*100,"")</f>
      </c>
      <c r="BE121">
        <f>IFERROR(($H121-$I121)/$F121*100,"")</f>
      </c>
      <c r="BF121">
        <f>IFERROR(-(($BA121-AVERAGE($BA$3:$BA$206))/STDEV($BA$3:$BA$206))-(($BE121-AVERAGE($BE$3:$BE$206))/STDEV($BE$3:$BE$206))-(($BB121-AVERAGE($BB$3:$BB$206))/STDEV($BB$3:$BB$206))-(($Z121-AVERAGE($Z$3:$Z$206))/STDEV($Z$3:$Z$206))-(($BC121-AVERAGE($BC$3:$BC$206))/STDEV($BC$3:$BC$206)),"")</f>
      </c>
      <c r="BG121">
        <f>IF(OR($C121="",$C121="TOPX",$BA121="",$BF121=""),0,IF(AND($BK$10=1,$BA121&lt;=$BK$2,$BB121&lt;=$BK$3,$BC121&lt;=$BK$4,$Z121&lt;=$BK$5,$Z121&gt;=$BK$6,$BD121&gt;=$BK$7,$BE121&lt;=$BK$8),1,0))</f>
      </c>
      <c r="BH121">
        <f>IF($C121="","",IF($BG121=1,"○ゲート通過",IF($BK$10&lt;&gt;1,"― この方向は停止中",IF($BA121&gt;$BK$2,"×値動きが荒い",IF($BB121&gt;$BK$3,"×レンジが広い",IF($BC121&gt;$BK$4,"×窓を開けて上昇",IF($Z121&gt;$BK$5,"×前日に急騰",IF($Z121&lt;$BK$6,"×前日に急落",IF($BD121&lt;$BK$7,"×高値から離れすぎ",IF($BE121&gt;$BK$8,"×当日の値幅が大きい","×")))))))))</f>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 t="shared" si="22"/>
        <v>-39.056402979780067</v>
      </c>
      <c r="M122" s="333">
        <f>IF(C122&lt;&gt;"",IFERROR(AVERAGE(出来高!E18:I18),""),"")</f>
        <v>1610880</v>
      </c>
      <c r="N122" s="333">
        <f>IF(C122&lt;&gt;"",IFERROR(AVERAGE(出来高!E18:AC18),""),"")</f>
        <v>1438195.8333333333</v>
      </c>
      <c r="O122" s="335">
        <f t="shared" si="23"/>
        <v>1.6432012316249502</v>
      </c>
      <c r="P122" s="212" t="str">
        <f t="shared" si="24"/>
        <v>増加↑</v>
      </c>
      <c r="Q122" s="212" t="str">
        <f t="shared" si="25"/>
        <v>様子見▲</v>
      </c>
      <c r="R122" s="333">
        <f t="shared" si="26"/>
        <v>1581</v>
      </c>
      <c r="S122" s="333">
        <f t="shared" si="27"/>
        <v>1787</v>
      </c>
      <c r="T122" s="325">
        <f>IF(C122="","",IFERROR(IF(W122&lt;=22,-4,IF(W122&lt;=28,-2,IF(W122&lt;=45,2,IF(W122&lt;=55,1,0))))+IF(X122&lt;0,2,0)+IF(AD122="下降トレンド▼",3,IF(AD122="もみ合い→",1,0))+IF(V122="年初来安値圏●",3,IF(V122="安値圏",2,0))+IF(Q122="売り▼",2,0)+IF(P122="急増↑↑",2,IF(P122="増加↑",1,0))+IF(Z122&lt;0,1,0)+IF(L122&lt;=-30,2,IF(L122&lt;=-15,1,0))+IF(AE122="25日戻り売り★",2,IF(AE122="5日戻り売り○",1,0))+N(AL122)+N(AP122)+N(AU122),0))</f>
      </c>
      <c r="U122" s="212" t="str">
        <f t="shared" si="29"/>
        <v>除外</v>
      </c>
      <c r="V122" s="212" t="str">
        <f t="shared" si="30"/>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 t="shared" si="31"/>
        <v>相場上昇・見送り | パーフェクト▲ MACD+ RSI:49.8 前日比:+1.6% [年初来安値圏] [長い下ヒゲ(反発警戒)] [2点]</v>
      </c>
      <c r="Z122" s="338">
        <f t="shared" si="32"/>
        <v>1.5966883500887048</v>
      </c>
      <c r="AA122" s="212" t="str">
        <f t="shared" si="33"/>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 t="shared" si="34"/>
        <v>パーフェクト▲</v>
      </c>
      <c r="AE122" s="212" t="str">
        <f t="shared" si="35"/>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 t="shared" si="36"/>
        <v>0</v>
      </c>
      <c r="AH122">
        <f t="shared" si="37"/>
        <v>0</v>
      </c>
      <c r="AI122" s="373">
        <f t="array" ref="AI122">IF(C122="","",IFERROR((INDEX(終値!$E:$E,MATCH(TEXT(C122,"0"),終値!$A:$A,0))-INDEX(終値!$E:$CZ,MATCH(TEXT(C122,"0"),終値!$A:$A,0),$AN$2))/INDEX(終値!$E:$CZ,MATCH(TEXT(C122,"0"),終値!$A:$A,0),$AN$2)*100,""))</f>
        <v>9.4267515923566894</v>
      </c>
      <c r="AJ122" s="373">
        <f t="array" ref="AJ122">IFERROR((終値!$E$5-INDEX(終値!$E$5:$CZ$5,1,$AN$2))/INDEX(終値!$E$5:$CZ$5,1,$AN$2)*100,"")</f>
        <v>1.0179378228534113</v>
      </c>
      <c r="AK122" s="374">
        <f t="shared" si="38"/>
        <v>8.4088137695032774</v>
      </c>
      <c r="AL122" s="372">
        <f t="shared" si="39"/>
        <v>-2</v>
      </c>
      <c r="AO122" s="376" t="str">
        <f t="shared" si="40"/>
        <v>長い下ヒゲ(反発警戒)</v>
      </c>
      <c r="AP122" s="377">
        <f t="shared" si="41"/>
        <v>-2</v>
      </c>
      <c r="AQ122">
        <f>IF(C122&lt;&gt;"",始値!F18,"")</f>
        <v>1701</v>
      </c>
      <c r="AR122">
        <f>IF(C122&lt;&gt;"",高値!F18,"")</f>
        <v>1711</v>
      </c>
      <c r="AS122">
        <f>IF(C122&lt;&gt;"",安値!F18,"")</f>
        <v>1671</v>
      </c>
      <c r="AT122" t="str">
        <f t="shared" si="42"/>
        <v>通常</v>
      </c>
      <c r="AU122">
        <f t="shared" si="43"/>
        <v>0</v>
      </c>
      <c r="BA122">
        <f>IFERROR((SUM(OFFSET(高値!$E$6,IFERROR(MATCH($C122,銘柄管理!$B$6:$B$305,0),MATCH(TEXT($C122,"0"),銘柄管理!$B$6:$B$305,0))-1,0,1,14))-SUM(OFFSET(安値!$E$6,IFERROR(MATCH($C122,銘柄管理!$B$6:$B$305,0),MATCH(TEXT($C122,"0"),銘柄管理!$B$6:$B$305,0))-1,0,1,14)))/SUM(OFFSET(終値!$E$6,IFERROR(MATCH($C122,銘柄管理!$B$6:$B$305,0),MATCH(TEXT($C122,"0"),銘柄管理!$B$6:$B$305,0))-1,0,1,14))*100,"")</f>
      </c>
      <c r="BB122">
        <f>IFERROR((MAX(OFFSET(高値!$E$6,IFERROR(MATCH($C122,銘柄管理!$B$6:$B$305,0),MATCH(TEXT($C122,"0"),銘柄管理!$B$6:$B$305,0))-1,0,1,25))-MIN(OFFSET(安値!$E$6,IFERROR(MATCH($C122,銘柄管理!$B$6:$B$305,0),MATCH(TEXT($C122,"0"),銘柄管理!$B$6:$B$305,0))-1,0,1,25)))/$E122*100,"")</f>
      </c>
      <c r="BC122">
        <f>IFERROR(($F122-$G122)/$G122*100,"")</f>
      </c>
      <c r="BD122">
        <f>IFERROR(($E122-MAX(OFFSET(高値!$E$6,IFERROR(MATCH($C122,銘柄管理!$B$6:$B$305,0),MATCH(TEXT($C122,"0"),銘柄管理!$B$6:$B$305,0))-1,0,1,25)))/MAX(OFFSET(高値!$E$6,IFERROR(MATCH($C122,銘柄管理!$B$6:$B$305,0),MATCH(TEXT($C122,"0"),銘柄管理!$B$6:$B$305,0))-1,0,1,25))*100,"")</f>
      </c>
      <c r="BE122">
        <f>IFERROR(($H122-$I122)/$F122*100,"")</f>
      </c>
      <c r="BF122">
        <f>IFERROR(-(($BA122-AVERAGE($BA$3:$BA$206))/STDEV($BA$3:$BA$206))-(($BE122-AVERAGE($BE$3:$BE$206))/STDEV($BE$3:$BE$206))-(($BB122-AVERAGE($BB$3:$BB$206))/STDEV($BB$3:$BB$206))-(($Z122-AVERAGE($Z$3:$Z$206))/STDEV($Z$3:$Z$206))-(($BC122-AVERAGE($BC$3:$BC$206))/STDEV($BC$3:$BC$206)),"")</f>
      </c>
      <c r="BG122">
        <f>IF(OR($C122="",$C122="TOPX",$BA122="",$BF122=""),0,IF(AND($BK$10=1,$BA122&lt;=$BK$2,$BB122&lt;=$BK$3,$BC122&lt;=$BK$4,$Z122&lt;=$BK$5,$Z122&gt;=$BK$6,$BD122&gt;=$BK$7,$BE122&lt;=$BK$8),1,0))</f>
      </c>
      <c r="BH122">
        <f>IF($C122="","",IF($BG122=1,"○ゲート通過",IF($BK$10&lt;&gt;1,"― この方向は停止中",IF($BA122&gt;$BK$2,"×値動きが荒い",IF($BB122&gt;$BK$3,"×レンジが広い",IF($BC122&gt;$BK$4,"×窓を開けて上昇",IF($Z122&gt;$BK$5,"×前日に急騰",IF($Z122&lt;$BK$6,"×前日に急落",IF($BD122&lt;$BK$7,"×高値から離れすぎ",IF($BE122&gt;$BK$8,"×当日の値幅が大きい","×")))))))))</f>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 t="shared" si="22"/>
        <v>-11.799737559301512</v>
      </c>
      <c r="M123" s="326">
        <f>IF(C123&lt;&gt;"",IFERROR(AVERAGE(出来高!E41:I41),""),"")</f>
        <v>5639660</v>
      </c>
      <c r="N123" s="326">
        <f>IF(C123&lt;&gt;"",IFERROR(AVERAGE(出来高!E41:AC41),""),"")</f>
        <v>3777408</v>
      </c>
      <c r="O123" s="328">
        <f t="shared" si="23"/>
        <v>0.80162633917647519</v>
      </c>
      <c r="P123" s="325" t="str">
        <f t="shared" si="24"/>
        <v>減少↓</v>
      </c>
      <c r="Q123" s="325" t="str">
        <f t="shared" si="25"/>
        <v>様子見▲</v>
      </c>
      <c r="R123" s="326">
        <f t="shared" si="26"/>
        <v>804</v>
      </c>
      <c r="S123" s="326">
        <f t="shared" si="27"/>
        <v>909</v>
      </c>
      <c r="T123" s="325">
        <f>IF(C123="","",IFERROR(IF(W123&lt;=22,-4,IF(W123&lt;=28,-2,IF(W123&lt;=45,2,IF(W123&lt;=55,1,0))))+IF(X123&lt;0,2,0)+IF(AD123="下降トレンド▼",3,IF(AD123="もみ合い→",1,0))+IF(V123="年初来安値圏●",3,IF(V123="安値圏",2,0))+IF(Q123="売り▼",2,0)+IF(P123="急増↑↑",2,IF(P123="増加↑",1,0))+IF(Z123&lt;0,1,0)+IF(L123&lt;=-30,2,IF(L123&lt;=-15,1,0))+IF(AE123="25日戻り売り★",2,IF(AE123="5日戻り売り○",1,0))+N(AL123)+N(AP123)+N(AU123),0))</f>
      </c>
      <c r="U123" s="325" t="str">
        <f t="shared" si="29"/>
        <v>除外</v>
      </c>
      <c r="V123" s="325" t="str">
        <f t="shared" si="30"/>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 t="shared" si="31"/>
        <v>相場上昇・見送り | パーフェクト▲ MACD+ RSI:59.6 前日比:+2.5% [長い下ヒゲ(反発警戒)] [-3点]</v>
      </c>
      <c r="Z123" s="331">
        <f t="shared" si="32"/>
        <v>2.5225859439164613</v>
      </c>
      <c r="AA123" s="325" t="str">
        <f t="shared" si="33"/>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 t="shared" si="34"/>
        <v>パーフェクト▲</v>
      </c>
      <c r="AE123" s="325" t="str">
        <f t="shared" si="35"/>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 t="shared" si="36"/>
        <v>0</v>
      </c>
      <c r="AH123">
        <f t="shared" si="37"/>
        <v>0</v>
      </c>
      <c r="AI123" s="373">
        <f t="array" ref="AI123">IF(C123="","",IFERROR((INDEX(終値!$E:$E,MATCH(TEXT(C123,"0"),終値!$A:$A,0))-INDEX(終値!$E:$CZ,MATCH(TEXT(C123,"0"),終値!$A:$A,0),$AN$2))/INDEX(終値!$E:$CZ,MATCH(TEXT(C123,"0"),終値!$A:$A,0),$AN$2)*100,""))</f>
        <v>9.9672791341555413</v>
      </c>
      <c r="AJ123" s="373">
        <f t="array" ref="AJ123">IFERROR((終値!$E$5-INDEX(終値!$E$5:$CZ$5,1,$AN$2))/INDEX(終値!$E$5:$CZ$5,1,$AN$2)*100,"")</f>
        <v>1.0179378228534113</v>
      </c>
      <c r="AK123" s="374">
        <f t="shared" si="38"/>
        <v>8.9493413113021294</v>
      </c>
      <c r="AL123" s="372">
        <f t="shared" si="39"/>
        <v>-2</v>
      </c>
      <c r="AO123" s="376" t="str">
        <f t="shared" si="40"/>
        <v>長い下ヒゲ(反発警戒)</v>
      </c>
      <c r="AP123" s="377">
        <f t="shared" si="41"/>
        <v>-2</v>
      </c>
      <c r="AQ123">
        <f>IF(C123&lt;&gt;"",始値!F41,"")</f>
        <v>864.3</v>
      </c>
      <c r="AR123">
        <f>IF(C123&lt;&gt;"",高値!F41,"")</f>
        <v>878.1</v>
      </c>
      <c r="AS123">
        <f>IF(C123&lt;&gt;"",安値!F41,"")</f>
        <v>842.5</v>
      </c>
      <c r="AT123" t="str">
        <f t="shared" si="42"/>
        <v>通常</v>
      </c>
      <c r="AU123">
        <f t="shared" si="43"/>
        <v>0</v>
      </c>
      <c r="BA123">
        <f>IFERROR((SUM(OFFSET(高値!$E$6,IFERROR(MATCH($C123,銘柄管理!$B$6:$B$305,0),MATCH(TEXT($C123,"0"),銘柄管理!$B$6:$B$305,0))-1,0,1,14))-SUM(OFFSET(安値!$E$6,IFERROR(MATCH($C123,銘柄管理!$B$6:$B$305,0),MATCH(TEXT($C123,"0"),銘柄管理!$B$6:$B$305,0))-1,0,1,14)))/SUM(OFFSET(終値!$E$6,IFERROR(MATCH($C123,銘柄管理!$B$6:$B$305,0),MATCH(TEXT($C123,"0"),銘柄管理!$B$6:$B$305,0))-1,0,1,14))*100,"")</f>
      </c>
      <c r="BB123">
        <f>IFERROR((MAX(OFFSET(高値!$E$6,IFERROR(MATCH($C123,銘柄管理!$B$6:$B$305,0),MATCH(TEXT($C123,"0"),銘柄管理!$B$6:$B$305,0))-1,0,1,25))-MIN(OFFSET(安値!$E$6,IFERROR(MATCH($C123,銘柄管理!$B$6:$B$305,0),MATCH(TEXT($C123,"0"),銘柄管理!$B$6:$B$305,0))-1,0,1,25)))/$E123*100,"")</f>
      </c>
      <c r="BC123">
        <f>IFERROR(($F123-$G123)/$G123*100,"")</f>
      </c>
      <c r="BD123">
        <f>IFERROR(($E123-MAX(OFFSET(高値!$E$6,IFERROR(MATCH($C123,銘柄管理!$B$6:$B$305,0),MATCH(TEXT($C123,"0"),銘柄管理!$B$6:$B$305,0))-1,0,1,25)))/MAX(OFFSET(高値!$E$6,IFERROR(MATCH($C123,銘柄管理!$B$6:$B$305,0),MATCH(TEXT($C123,"0"),銘柄管理!$B$6:$B$305,0))-1,0,1,25))*100,"")</f>
      </c>
      <c r="BE123">
        <f>IFERROR(($H123-$I123)/$F123*100,"")</f>
      </c>
      <c r="BF123">
        <f>IFERROR(-(($BA123-AVERAGE($BA$3:$BA$206))/STDEV($BA$3:$BA$206))-(($BE123-AVERAGE($BE$3:$BE$206))/STDEV($BE$3:$BE$206))-(($BB123-AVERAGE($BB$3:$BB$206))/STDEV($BB$3:$BB$206))-(($Z123-AVERAGE($Z$3:$Z$206))/STDEV($Z$3:$Z$206))-(($BC123-AVERAGE($BC$3:$BC$206))/STDEV($BC$3:$BC$206)),"")</f>
      </c>
      <c r="BG123">
        <f>IF(OR($C123="",$C123="TOPX",$BA123="",$BF123=""),0,IF(AND($BK$10=1,$BA123&lt;=$BK$2,$BB123&lt;=$BK$3,$BC123&lt;=$BK$4,$Z123&lt;=$BK$5,$Z123&gt;=$BK$6,$BD123&gt;=$BK$7,$BE123&lt;=$BK$8),1,0))</f>
      </c>
      <c r="BH123">
        <f>IF($C123="","",IF($BG123=1,"○ゲート通過",IF($BK$10&lt;&gt;1,"― この方向は停止中",IF($BA123&gt;$BK$2,"×値動きが荒い",IF($BB123&gt;$BK$3,"×レンジが広い",IF($BC123&gt;$BK$4,"×窓を開けて上昇",IF($Z123&gt;$BK$5,"×前日に急騰",IF($Z123&lt;$BK$6,"×前日に急落",IF($BD123&lt;$BK$7,"×高値から離れすぎ",IF($BE123&gt;$BK$8,"×当日の値幅が大きい","×")))))))))</f>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 t="shared" si="22"/>
        <v>-14.535543947308655</v>
      </c>
      <c r="M124" s="333">
        <f>IF(C124&lt;&gt;"",IFERROR(AVERAGE(出来高!E64:I64),""),"")</f>
        <v>437000</v>
      </c>
      <c r="N124" s="333">
        <f>IF(C124&lt;&gt;"",IFERROR(AVERAGE(出来高!E64:AC64),""),"")</f>
        <v>366056</v>
      </c>
      <c r="O124" s="335">
        <f t="shared" si="23"/>
        <v>1.1933638443935928</v>
      </c>
      <c r="P124" s="212" t="str">
        <f t="shared" si="24"/>
        <v>普通→</v>
      </c>
      <c r="Q124" s="212" t="str">
        <f t="shared" si="25"/>
        <v>様子見▲</v>
      </c>
      <c r="R124" s="333">
        <f t="shared" si="26"/>
        <v>3462</v>
      </c>
      <c r="S124" s="333">
        <f t="shared" si="27"/>
        <v>3914</v>
      </c>
      <c r="T124" s="325">
        <f>IF(C124="","",IFERROR(IF(W124&lt;=22,-4,IF(W124&lt;=28,-2,IF(W124&lt;=45,2,IF(W124&lt;=55,1,0))))+IF(X124&lt;0,2,0)+IF(AD124="下降トレンド▼",3,IF(AD124="もみ合い→",1,0))+IF(V124="年初来安値圏●",3,IF(V124="安値圏",2,0))+IF(Q124="売り▼",2,0)+IF(P124="急増↑↑",2,IF(P124="増加↑",1,0))+IF(Z124&lt;0,1,0)+IF(L124&lt;=-30,2,IF(L124&lt;=-15,1,0))+IF(AE124="25日戻り売り★",2,IF(AE124="5日戻り売り○",1,0))+N(AL124)+N(AP124)+N(AU124),0))</f>
      </c>
      <c r="U124" s="212" t="str">
        <f t="shared" si="29"/>
        <v>要確認</v>
      </c>
      <c r="V124" s="212" t="str">
        <f t="shared" si="30"/>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 t="shared" si="31"/>
        <v>○逆張り売り | もみ合い→ 25日戻り売り★ MACD- RSI:40.2 前日比:+1.3% [4点]</v>
      </c>
      <c r="Z124" s="338">
        <f t="shared" si="32"/>
        <v>1.3193322563274097</v>
      </c>
      <c r="AA124" s="212" t="str">
        <f t="shared" si="33"/>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 t="shared" si="34"/>
        <v>もみ合い→</v>
      </c>
      <c r="AE124" s="212" t="str">
        <f t="shared" si="35"/>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 t="shared" si="36"/>
        <v>0</v>
      </c>
      <c r="AH124">
        <f t="shared" si="37"/>
        <v>0</v>
      </c>
      <c r="AI124" s="373">
        <f t="array" ref="AI124">IF(C124="","",IFERROR((INDEX(終値!$E:$E,MATCH(TEXT(C124,"0"),終値!$A:$A,0))-INDEX(終値!$E:$CZ,MATCH(TEXT(C124,"0"),終値!$A:$A,0),$AN$2))/INDEX(終値!$E:$CZ,MATCH(TEXT(C124,"0"),終値!$A:$A,0),$AN$2)*100,""))</f>
        <v>1.7577068685776096</v>
      </c>
      <c r="AJ124" s="373">
        <f t="array" ref="AJ124">IFERROR((終値!$E$5-INDEX(終値!$E$5:$CZ$5,1,$AN$2))/INDEX(終値!$E$5:$CZ$5,1,$AN$2)*100,"")</f>
        <v>1.0179378228534113</v>
      </c>
      <c r="AK124" s="374">
        <f t="shared" si="38"/>
        <v>0.73976904572419833</v>
      </c>
      <c r="AL124" s="372">
        <f t="shared" si="39"/>
        <v>-1</v>
      </c>
      <c r="AO124" s="376" t="str">
        <f t="shared" si="40"/>
        <v>通常</v>
      </c>
      <c r="AP124" s="377">
        <f t="shared" si="41"/>
        <v>0</v>
      </c>
      <c r="AQ124">
        <f>IF(C124&lt;&gt;"",始値!F64,"")</f>
        <v>3754</v>
      </c>
      <c r="AR124">
        <f>IF(C124&lt;&gt;"",高値!F64,"")</f>
        <v>3770</v>
      </c>
      <c r="AS124">
        <f>IF(C124&lt;&gt;"",安値!F64,"")</f>
        <v>3702</v>
      </c>
      <c r="AT124" t="str">
        <f t="shared" si="42"/>
        <v>通常</v>
      </c>
      <c r="AU124">
        <f t="shared" si="43"/>
        <v>0</v>
      </c>
      <c r="BA124">
        <f>IFERROR((SUM(OFFSET(高値!$E$6,IFERROR(MATCH($C124,銘柄管理!$B$6:$B$305,0),MATCH(TEXT($C124,"0"),銘柄管理!$B$6:$B$305,0))-1,0,1,14))-SUM(OFFSET(安値!$E$6,IFERROR(MATCH($C124,銘柄管理!$B$6:$B$305,0),MATCH(TEXT($C124,"0"),銘柄管理!$B$6:$B$305,0))-1,0,1,14)))/SUM(OFFSET(終値!$E$6,IFERROR(MATCH($C124,銘柄管理!$B$6:$B$305,0),MATCH(TEXT($C124,"0"),銘柄管理!$B$6:$B$305,0))-1,0,1,14))*100,"")</f>
      </c>
      <c r="BB124">
        <f>IFERROR((MAX(OFFSET(高値!$E$6,IFERROR(MATCH($C124,銘柄管理!$B$6:$B$305,0),MATCH(TEXT($C124,"0"),銘柄管理!$B$6:$B$305,0))-1,0,1,25))-MIN(OFFSET(安値!$E$6,IFERROR(MATCH($C124,銘柄管理!$B$6:$B$305,0),MATCH(TEXT($C124,"0"),銘柄管理!$B$6:$B$305,0))-1,0,1,25)))/$E124*100,"")</f>
      </c>
      <c r="BC124">
        <f>IFERROR(($F124-$G124)/$G124*100,"")</f>
      </c>
      <c r="BD124">
        <f>IFERROR(($E124-MAX(OFFSET(高値!$E$6,IFERROR(MATCH($C124,銘柄管理!$B$6:$B$305,0),MATCH(TEXT($C124,"0"),銘柄管理!$B$6:$B$305,0))-1,0,1,25)))/MAX(OFFSET(高値!$E$6,IFERROR(MATCH($C124,銘柄管理!$B$6:$B$305,0),MATCH(TEXT($C124,"0"),銘柄管理!$B$6:$B$305,0))-1,0,1,25))*100,"")</f>
      </c>
      <c r="BE124">
        <f>IFERROR(($H124-$I124)/$F124*100,"")</f>
      </c>
      <c r="BF124">
        <f>IFERROR(-(($BA124-AVERAGE($BA$3:$BA$206))/STDEV($BA$3:$BA$206))-(($BE124-AVERAGE($BE$3:$BE$206))/STDEV($BE$3:$BE$206))-(($BB124-AVERAGE($BB$3:$BB$206))/STDEV($BB$3:$BB$206))-(($Z124-AVERAGE($Z$3:$Z$206))/STDEV($Z$3:$Z$206))-(($BC124-AVERAGE($BC$3:$BC$206))/STDEV($BC$3:$BC$206)),"")</f>
      </c>
      <c r="BG124">
        <f>IF(OR($C124="",$C124="TOPX",$BA124="",$BF124=""),0,IF(AND($BK$10=1,$BA124&lt;=$BK$2,$BB124&lt;=$BK$3,$BC124&lt;=$BK$4,$Z124&lt;=$BK$5,$Z124&gt;=$BK$6,$BD124&gt;=$BK$7,$BE124&lt;=$BK$8),1,0))</f>
      </c>
      <c r="BH124">
        <f>IF($C124="","",IF($BG124=1,"○ゲート通過",IF($BK$10&lt;&gt;1,"― この方向は停止中",IF($BA124&gt;$BK$2,"×値動きが荒い",IF($BB124&gt;$BK$3,"×レンジが広い",IF($BC124&gt;$BK$4,"×窓を開けて上昇",IF($Z124&gt;$BK$5,"×前日に急騰",IF($Z124&lt;$BK$6,"×前日に急落",IF($BD124&lt;$BK$7,"×高値から離れすぎ",IF($BE124&gt;$BK$8,"×当日の値幅が大きい","×")))))))))</f>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 t="shared" si="22"/>
        <v>-16.770186335403729</v>
      </c>
      <c r="M125" s="326">
        <f>IF(C125&lt;&gt;"",IFERROR(AVERAGE(出来高!E67:I67),""),"")</f>
        <v>1009340</v>
      </c>
      <c r="N125" s="326">
        <f>IF(C125&lt;&gt;"",IFERROR(AVERAGE(出来高!E67:AC67),""),"")</f>
        <v>1166095.8333333333</v>
      </c>
      <c r="O125" s="328">
        <f t="shared" si="23"/>
        <v>0.89513939802247011</v>
      </c>
      <c r="P125" s="325" t="str">
        <f t="shared" si="24"/>
        <v>減少↓</v>
      </c>
      <c r="Q125" s="325" t="str">
        <f t="shared" si="25"/>
        <v>様子見▲</v>
      </c>
      <c r="R125" s="326">
        <f t="shared" si="26"/>
        <v>1726</v>
      </c>
      <c r="S125" s="326">
        <f t="shared" si="27"/>
        <v>1951</v>
      </c>
      <c r="T125" s="325">
        <f>IF(C125="","",IFERROR(IF(W125&lt;=22,-4,IF(W125&lt;=28,-2,IF(W125&lt;=45,2,IF(W125&lt;=55,1,0))))+IF(X125&lt;0,2,0)+IF(AD125="下降トレンド▼",3,IF(AD125="もみ合い→",1,0))+IF(V125="年初来安値圏●",3,IF(V125="安値圏",2,0))+IF(Q125="売り▼",2,0)+IF(P125="急増↑↑",2,IF(P125="増加↑",1,0))+IF(Z125&lt;0,1,0)+IF(L125&lt;=-30,2,IF(L125&lt;=-15,1,0))+IF(AE125="25日戻り売り★",2,IF(AE125="5日戻り売り○",1,0))+N(AL125)+N(AP125)+N(AU125),0))</f>
      </c>
      <c r="U125" s="325" t="str">
        <f t="shared" si="29"/>
        <v>要確認</v>
      </c>
      <c r="V125" s="325" t="str">
        <f t="shared" si="30"/>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 t="shared" si="31"/>
        <v>○逆張り売り | もみ合い→ 25日戻り売り★ MACD- RSI:47.2 前日比:+1.1% [9点]</v>
      </c>
      <c r="Z125" s="331">
        <f t="shared" si="32"/>
        <v>1.1048234977095122</v>
      </c>
      <c r="AA125" s="325" t="str">
        <f t="shared" si="33"/>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 t="shared" si="34"/>
        <v>もみ合い→</v>
      </c>
      <c r="AE125" s="325" t="str">
        <f t="shared" si="35"/>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 t="shared" si="36"/>
        <v>9</v>
      </c>
      <c r="AH125">
        <f t="shared" si="37"/>
        <v>89875</v>
      </c>
      <c r="AI125" s="373">
        <f t="array" ref="AI125">IF(C125="","",IFERROR((INDEX(終値!$E:$E,MATCH(TEXT(C125,"0"),終値!$A:$A,0))-INDEX(終値!$E:$CZ,MATCH(TEXT(C125,"0"),終値!$A:$A,0),$AN$2))/INDEX(終値!$E:$CZ,MATCH(TEXT(C125,"0"),終値!$A:$A,0),$AN$2)*100,""))</f>
        <v>-12.110564535019911</v>
      </c>
      <c r="AJ125" s="373">
        <f t="array" ref="AJ125">IFERROR((終値!$E$5-INDEX(終値!$E$5:$CZ$5,1,$AN$2))/INDEX(終値!$E$5:$CZ$5,1,$AN$2)*100,"")</f>
        <v>1.0179378228534113</v>
      </c>
      <c r="AK125" s="374">
        <f t="shared" si="38"/>
        <v>-13.128502357873323</v>
      </c>
      <c r="AL125" s="372">
        <f t="shared" si="39"/>
        <v>3</v>
      </c>
      <c r="AO125" s="376" t="str">
        <f t="shared" si="40"/>
        <v>通常</v>
      </c>
      <c r="AP125" s="377">
        <f t="shared" si="41"/>
        <v>0</v>
      </c>
      <c r="AQ125">
        <f>IF(C125&lt;&gt;"",始値!F67,"")</f>
        <v>1860</v>
      </c>
      <c r="AR125">
        <f>IF(C125&lt;&gt;"",高値!F67,"")</f>
        <v>1875</v>
      </c>
      <c r="AS125">
        <f>IF(C125&lt;&gt;"",安値!F67,"")</f>
        <v>1845</v>
      </c>
      <c r="AT125" t="str">
        <f t="shared" si="42"/>
        <v>通常</v>
      </c>
      <c r="AU125">
        <f t="shared" si="43"/>
        <v>0</v>
      </c>
      <c r="BA125">
        <f>IFERROR((SUM(OFFSET(高値!$E$6,IFERROR(MATCH($C125,銘柄管理!$B$6:$B$305,0),MATCH(TEXT($C125,"0"),銘柄管理!$B$6:$B$305,0))-1,0,1,14))-SUM(OFFSET(安値!$E$6,IFERROR(MATCH($C125,銘柄管理!$B$6:$B$305,0),MATCH(TEXT($C125,"0"),銘柄管理!$B$6:$B$305,0))-1,0,1,14)))/SUM(OFFSET(終値!$E$6,IFERROR(MATCH($C125,銘柄管理!$B$6:$B$305,0),MATCH(TEXT($C125,"0"),銘柄管理!$B$6:$B$305,0))-1,0,1,14))*100,"")</f>
      </c>
      <c r="BB125">
        <f>IFERROR((MAX(OFFSET(高値!$E$6,IFERROR(MATCH($C125,銘柄管理!$B$6:$B$305,0),MATCH(TEXT($C125,"0"),銘柄管理!$B$6:$B$305,0))-1,0,1,25))-MIN(OFFSET(安値!$E$6,IFERROR(MATCH($C125,銘柄管理!$B$6:$B$305,0),MATCH(TEXT($C125,"0"),銘柄管理!$B$6:$B$305,0))-1,0,1,25)))/$E125*100,"")</f>
      </c>
      <c r="BC125">
        <f>IFERROR(($F125-$G125)/$G125*100,"")</f>
      </c>
      <c r="BD125">
        <f>IFERROR(($E125-MAX(OFFSET(高値!$E$6,IFERROR(MATCH($C125,銘柄管理!$B$6:$B$305,0),MATCH(TEXT($C125,"0"),銘柄管理!$B$6:$B$305,0))-1,0,1,25)))/MAX(OFFSET(高値!$E$6,IFERROR(MATCH($C125,銘柄管理!$B$6:$B$305,0),MATCH(TEXT($C125,"0"),銘柄管理!$B$6:$B$305,0))-1,0,1,25))*100,"")</f>
      </c>
      <c r="BE125">
        <f>IFERROR(($H125-$I125)/$F125*100,"")</f>
      </c>
      <c r="BF125">
        <f>IFERROR(-(($BA125-AVERAGE($BA$3:$BA$206))/STDEV($BA$3:$BA$206))-(($BE125-AVERAGE($BE$3:$BE$206))/STDEV($BE$3:$BE$206))-(($BB125-AVERAGE($BB$3:$BB$206))/STDEV($BB$3:$BB$206))-(($Z125-AVERAGE($Z$3:$Z$206))/STDEV($Z$3:$Z$206))-(($BC125-AVERAGE($BC$3:$BC$206))/STDEV($BC$3:$BC$206)),"")</f>
      </c>
      <c r="BG125">
        <f>IF(OR($C125="",$C125="TOPX",$BA125="",$BF125=""),0,IF(AND($BK$10=1,$BA125&lt;=$BK$2,$BB125&lt;=$BK$3,$BC125&lt;=$BK$4,$Z125&lt;=$BK$5,$Z125&gt;=$BK$6,$BD125&gt;=$BK$7,$BE125&lt;=$BK$8),1,0))</f>
      </c>
      <c r="BH125">
        <f>IF($C125="","",IF($BG125=1,"○ゲート通過",IF($BK$10&lt;&gt;1,"― この方向は停止中",IF($BA125&gt;$BK$2,"×値動きが荒い",IF($BB125&gt;$BK$3,"×レンジが広い",IF($BC125&gt;$BK$4,"×窓を開けて上昇",IF($Z125&gt;$BK$5,"×前日に急騰",IF($Z125&lt;$BK$6,"×前日に急落",IF($BD125&lt;$BK$7,"×高値から離れすぎ",IF($BE125&gt;$BK$8,"×当日の値幅が大きい","×")))))))))</f>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 t="shared" si="22"/>
        <v>-8.9253187613843341</v>
      </c>
      <c r="M126" s="333">
        <f>IF(C126&lt;&gt;"",IFERROR(AVERAGE(出来高!E91:I91),""),"")</f>
        <v>14973120</v>
      </c>
      <c r="N126" s="333">
        <f>IF(C126&lt;&gt;"",IFERROR(AVERAGE(出来高!E91:AC91),""),"")</f>
        <v>12655132</v>
      </c>
      <c r="O126" s="335">
        <f t="shared" si="23"/>
        <v>0.77368644611143167</v>
      </c>
      <c r="P126" s="212" t="str">
        <f t="shared" si="24"/>
        <v>減少↓</v>
      </c>
      <c r="Q126" s="212" t="str">
        <f t="shared" si="25"/>
        <v>様子見▲</v>
      </c>
      <c r="R126" s="333">
        <f t="shared" si="26"/>
        <v>5060</v>
      </c>
      <c r="S126" s="333">
        <f t="shared" si="27"/>
        <v>5720</v>
      </c>
      <c r="T126" s="325">
        <f>IF(C126="","",IFERROR(IF(W126&lt;=22,-4,IF(W126&lt;=28,-2,IF(W126&lt;=45,2,IF(W126&lt;=55,1,0))))+IF(X126&lt;0,2,0)+IF(AD126="下降トレンド▼",3,IF(AD126="もみ合い→",1,0))+IF(V126="年初来安値圏●",3,IF(V126="安値圏",2,0))+IF(Q126="売り▼",2,0)+IF(P126="急増↑↑",2,IF(P126="増加↑",1,0))+IF(Z126&lt;0,1,0)+IF(L126&lt;=-30,2,IF(L126&lt;=-15,1,0))+IF(AE126="25日戻り売り★",2,IF(AE126="5日戻り売り○",1,0))+N(AL126)+N(AP126)+N(AU126),0))</f>
      </c>
      <c r="U126" s="212" t="str">
        <f t="shared" si="29"/>
        <v>除外</v>
      </c>
      <c r="V126" s="212" t="str">
        <f t="shared" si="30"/>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 t="shared" si="31"/>
        <v>△過熱・様子見 | パーフェクト▲ MACD+ RSI:80.6 [過熱] 前日比:+0.4%前日[長い下ヒゲ(反発)] [-1点]</v>
      </c>
      <c r="Z126" s="338">
        <f t="shared" si="32"/>
        <v>0.43827611395178961</v>
      </c>
      <c r="AA126" s="212" t="str">
        <f t="shared" si="33"/>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 t="shared" si="34"/>
        <v>パーフェクト▲</v>
      </c>
      <c r="AE126" s="212" t="str">
        <f t="shared" si="35"/>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 t="shared" si="36"/>
        <v>0</v>
      </c>
      <c r="AH126">
        <f t="shared" si="37"/>
        <v>0</v>
      </c>
      <c r="AI126" s="373">
        <f t="array" ref="AI126">IF(C126="","",IFERROR((INDEX(終値!$E:$E,MATCH(TEXT(C126,"0"),終値!$A:$A,0))-INDEX(終値!$E:$CZ,MATCH(TEXT(C126,"0"),終値!$A:$A,0),$AN$2))/INDEX(終値!$E:$CZ,MATCH(TEXT(C126,"0"),終値!$A:$A,0),$AN$2)*100,""))</f>
        <v>22.330960854092528</v>
      </c>
      <c r="AJ126" s="373">
        <f t="array" ref="AJ126">IFERROR((終値!$E$5-INDEX(終値!$E$5:$CZ$5,1,$AN$2))/INDEX(終値!$E$5:$CZ$5,1,$AN$2)*100,"")</f>
        <v>1.0179378228534113</v>
      </c>
      <c r="AK126" s="374">
        <f t="shared" si="38"/>
        <v>21.313023031239116</v>
      </c>
      <c r="AL126" s="372">
        <f t="shared" si="39"/>
        <v>-2</v>
      </c>
      <c r="AO126" s="376" t="str">
        <f t="shared" si="40"/>
        <v>通常</v>
      </c>
      <c r="AP126" s="377">
        <f t="shared" si="41"/>
        <v>0</v>
      </c>
      <c r="AQ126">
        <f>IF(C126&lt;&gt;"",始値!F91,"")</f>
        <v>5425</v>
      </c>
      <c r="AR126">
        <f>IF(C126&lt;&gt;"",高値!F91,"")</f>
        <v>5498</v>
      </c>
      <c r="AS126">
        <f>IF(C126&lt;&gt;"",安値!F91,"")</f>
        <v>5314</v>
      </c>
      <c r="AT126" t="str">
        <f t="shared" si="42"/>
        <v>長い下ヒゲ(反発)</v>
      </c>
      <c r="AU126">
        <f t="shared" si="43"/>
        <v>-2</v>
      </c>
      <c r="BA126">
        <f>IFERROR((SUM(OFFSET(高値!$E$6,IFERROR(MATCH($C126,銘柄管理!$B$6:$B$305,0),MATCH(TEXT($C126,"0"),銘柄管理!$B$6:$B$305,0))-1,0,1,14))-SUM(OFFSET(安値!$E$6,IFERROR(MATCH($C126,銘柄管理!$B$6:$B$305,0),MATCH(TEXT($C126,"0"),銘柄管理!$B$6:$B$305,0))-1,0,1,14)))/SUM(OFFSET(終値!$E$6,IFERROR(MATCH($C126,銘柄管理!$B$6:$B$305,0),MATCH(TEXT($C126,"0"),銘柄管理!$B$6:$B$305,0))-1,0,1,14))*100,"")</f>
      </c>
      <c r="BB126">
        <f>IFERROR((MAX(OFFSET(高値!$E$6,IFERROR(MATCH($C126,銘柄管理!$B$6:$B$305,0),MATCH(TEXT($C126,"0"),銘柄管理!$B$6:$B$305,0))-1,0,1,25))-MIN(OFFSET(安値!$E$6,IFERROR(MATCH($C126,銘柄管理!$B$6:$B$305,0),MATCH(TEXT($C126,"0"),銘柄管理!$B$6:$B$305,0))-1,0,1,25)))/$E126*100,"")</f>
      </c>
      <c r="BC126">
        <f>IFERROR(($F126-$G126)/$G126*100,"")</f>
      </c>
      <c r="BD126">
        <f>IFERROR(($E126-MAX(OFFSET(高値!$E$6,IFERROR(MATCH($C126,銘柄管理!$B$6:$B$305,0),MATCH(TEXT($C126,"0"),銘柄管理!$B$6:$B$305,0))-1,0,1,25)))/MAX(OFFSET(高値!$E$6,IFERROR(MATCH($C126,銘柄管理!$B$6:$B$305,0),MATCH(TEXT($C126,"0"),銘柄管理!$B$6:$B$305,0))-1,0,1,25))*100,"")</f>
      </c>
      <c r="BE126">
        <f>IFERROR(($H126-$I126)/$F126*100,"")</f>
      </c>
      <c r="BF126">
        <f>IFERROR(-(($BA126-AVERAGE($BA$3:$BA$206))/STDEV($BA$3:$BA$206))-(($BE126-AVERAGE($BE$3:$BE$206))/STDEV($BE$3:$BE$206))-(($BB126-AVERAGE($BB$3:$BB$206))/STDEV($BB$3:$BB$206))-(($Z126-AVERAGE($Z$3:$Z$206))/STDEV($Z$3:$Z$206))-(($BC126-AVERAGE($BC$3:$BC$206))/STDEV($BC$3:$BC$206)),"")</f>
      </c>
      <c r="BG126">
        <f>IF(OR($C126="",$C126="TOPX",$BA126="",$BF126=""),0,IF(AND($BK$10=1,$BA126&lt;=$BK$2,$BB126&lt;=$BK$3,$BC126&lt;=$BK$4,$Z126&lt;=$BK$5,$Z126&gt;=$BK$6,$BD126&gt;=$BK$7,$BE126&lt;=$BK$8),1,0))</f>
      </c>
      <c r="BH126">
        <f>IF($C126="","",IF($BG126=1,"○ゲート通過",IF($BK$10&lt;&gt;1,"― この方向は停止中",IF($BA126&gt;$BK$2,"×値動きが荒い",IF($BB126&gt;$BK$3,"×レンジが広い",IF($BC126&gt;$BK$4,"×窓を開けて上昇",IF($Z126&gt;$BK$5,"×前日に急騰",IF($Z126&lt;$BK$6,"×前日に急落",IF($BD126&lt;$BK$7,"×高値から離れすぎ",IF($BE126&gt;$BK$8,"×当日の値幅が大きい","×")))))))))</f>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 t="shared" si="22"/>
        <v>3.4334763948497855</v>
      </c>
      <c r="M127" s="326">
        <f>IF(C127&lt;&gt;"",IFERROR(AVERAGE(出来高!E95:I95),""),"")</f>
        <v>377220</v>
      </c>
      <c r="N127" s="326">
        <f>IF(C127&lt;&gt;"",IFERROR(AVERAGE(出来高!E95:AC95),""),"")</f>
        <v>212554.16666666666</v>
      </c>
      <c r="O127" s="328">
        <f t="shared" si="23"/>
        <v>3.1973384232013147</v>
      </c>
      <c r="P127" s="325" t="str">
        <f t="shared" si="24"/>
        <v>急増↑↑</v>
      </c>
      <c r="Q127" s="325" t="str">
        <f t="shared" si="25"/>
        <v>様子見▲</v>
      </c>
      <c r="R127" s="326">
        <f t="shared" si="26"/>
        <v>1330</v>
      </c>
      <c r="S127" s="326">
        <f t="shared" si="27"/>
        <v>1504</v>
      </c>
      <c r="T127" s="325">
        <f>IF(C127="","",IFERROR(IF(W127&lt;=22,-4,IF(W127&lt;=28,-2,IF(W127&lt;=45,2,IF(W127&lt;=55,1,0))))+IF(X127&lt;0,2,0)+IF(AD127="下降トレンド▼",3,IF(AD127="もみ合い→",1,0))+IF(V127="年初来安値圏●",3,IF(V127="安値圏",2,0))+IF(Q127="売り▼",2,0)+IF(P127="急増↑↑",2,IF(P127="増加↑",1,0))+IF(Z127&lt;0,1,0)+IF(L127&lt;=-30,2,IF(L127&lt;=-15,1,0))+IF(AE127="25日戻り売り★",2,IF(AE127="5日戻り売り○",1,0))+N(AL127)+N(AP127)+N(AU127),0))</f>
      </c>
      <c r="U127" s="325" t="str">
        <f t="shared" si="29"/>
        <v>除外</v>
      </c>
      <c r="V127" s="325" t="str">
        <f t="shared" si="30"/>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 t="shared" si="31"/>
        <v>相場上昇・見送り | パーフェクト▲ MACD- RSI:49.0 前日比:+14.9% [2点]</v>
      </c>
      <c r="Z127" s="331">
        <f t="shared" si="32"/>
        <v>14.853057982525813</v>
      </c>
      <c r="AA127" s="325" t="str">
        <f t="shared" si="33"/>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 t="shared" si="34"/>
        <v>パーフェクト▲</v>
      </c>
      <c r="AE127" s="325" t="str">
        <f t="shared" si="35"/>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 t="shared" si="36"/>
        <v>0</v>
      </c>
      <c r="AH127">
        <f t="shared" si="37"/>
        <v>0</v>
      </c>
      <c r="AI127" s="373">
        <f t="array" ref="AI127">IF(C127="","",IFERROR((INDEX(終値!$E:$E,MATCH(TEXT(C127,"0"),終値!$A:$A,0))-INDEX(終値!$E:$CZ,MATCH(TEXT(C127,"0"),終値!$A:$A,0),$AN$2))/INDEX(終値!$E:$CZ,MATCH(TEXT(C127,"0"),終値!$A:$A,0),$AN$2)*100,""))</f>
        <v>12.441679626749611</v>
      </c>
      <c r="AJ127" s="373">
        <f t="array" ref="AJ127">IFERROR((終値!$E$5-INDEX(終値!$E$5:$CZ$5,1,$AN$2))/INDEX(終値!$E$5:$CZ$5,1,$AN$2)*100,"")</f>
        <v>1.0179378228534113</v>
      </c>
      <c r="AK127" s="374">
        <f t="shared" si="38"/>
        <v>11.423741803896199</v>
      </c>
      <c r="AL127" s="372">
        <f t="shared" si="39"/>
        <v>-2</v>
      </c>
      <c r="AO127" s="376" t="str">
        <f t="shared" si="40"/>
        <v>通常</v>
      </c>
      <c r="AP127" s="377">
        <f t="shared" si="41"/>
        <v>0</v>
      </c>
      <c r="AQ127">
        <f>IF(C127&lt;&gt;"",始値!F95,"")</f>
        <v>1248</v>
      </c>
      <c r="AR127">
        <f>IF(C127&lt;&gt;"",高値!F95,"")</f>
        <v>1266</v>
      </c>
      <c r="AS127">
        <f>IF(C127&lt;&gt;"",安値!F95,"")</f>
        <v>1240</v>
      </c>
      <c r="AT127" t="str">
        <f t="shared" si="42"/>
        <v>通常</v>
      </c>
      <c r="AU127">
        <f t="shared" si="43"/>
        <v>0</v>
      </c>
      <c r="BA127">
        <f>IFERROR((SUM(OFFSET(高値!$E$6,IFERROR(MATCH($C127,銘柄管理!$B$6:$B$305,0),MATCH(TEXT($C127,"0"),銘柄管理!$B$6:$B$305,0))-1,0,1,14))-SUM(OFFSET(安値!$E$6,IFERROR(MATCH($C127,銘柄管理!$B$6:$B$305,0),MATCH(TEXT($C127,"0"),銘柄管理!$B$6:$B$305,0))-1,0,1,14)))/SUM(OFFSET(終値!$E$6,IFERROR(MATCH($C127,銘柄管理!$B$6:$B$305,0),MATCH(TEXT($C127,"0"),銘柄管理!$B$6:$B$305,0))-1,0,1,14))*100,"")</f>
      </c>
      <c r="BB127">
        <f>IFERROR((MAX(OFFSET(高値!$E$6,IFERROR(MATCH($C127,銘柄管理!$B$6:$B$305,0),MATCH(TEXT($C127,"0"),銘柄管理!$B$6:$B$305,0))-1,0,1,25))-MIN(OFFSET(安値!$E$6,IFERROR(MATCH($C127,銘柄管理!$B$6:$B$305,0),MATCH(TEXT($C127,"0"),銘柄管理!$B$6:$B$305,0))-1,0,1,25)))/$E127*100,"")</f>
      </c>
      <c r="BC127">
        <f>IFERROR(($F127-$G127)/$G127*100,"")</f>
      </c>
      <c r="BD127">
        <f>IFERROR(($E127-MAX(OFFSET(高値!$E$6,IFERROR(MATCH($C127,銘柄管理!$B$6:$B$305,0),MATCH(TEXT($C127,"0"),銘柄管理!$B$6:$B$305,0))-1,0,1,25)))/MAX(OFFSET(高値!$E$6,IFERROR(MATCH($C127,銘柄管理!$B$6:$B$305,0),MATCH(TEXT($C127,"0"),銘柄管理!$B$6:$B$305,0))-1,0,1,25))*100,"")</f>
      </c>
      <c r="BE127">
        <f>IFERROR(($H127-$I127)/$F127*100,"")</f>
      </c>
      <c r="BF127">
        <f>IFERROR(-(($BA127-AVERAGE($BA$3:$BA$206))/STDEV($BA$3:$BA$206))-(($BE127-AVERAGE($BE$3:$BE$206))/STDEV($BE$3:$BE$206))-(($BB127-AVERAGE($BB$3:$BB$206))/STDEV($BB$3:$BB$206))-(($Z127-AVERAGE($Z$3:$Z$206))/STDEV($Z$3:$Z$206))-(($BC127-AVERAGE($BC$3:$BC$206))/STDEV($BC$3:$BC$206)),"")</f>
      </c>
      <c r="BG127">
        <f>IF(OR($C127="",$C127="TOPX",$BA127="",$BF127=""),0,IF(AND($BK$10=1,$BA127&lt;=$BK$2,$BB127&lt;=$BK$3,$BC127&lt;=$BK$4,$Z127&lt;=$BK$5,$Z127&gt;=$BK$6,$BD127&gt;=$BK$7,$BE127&lt;=$BK$8),1,0))</f>
      </c>
      <c r="BH127">
        <f>IF($C127="","",IF($BG127=1,"○ゲート通過",IF($BK$10&lt;&gt;1,"― この方向は停止中",IF($BA127&gt;$BK$2,"×値動きが荒い",IF($BB127&gt;$BK$3,"×レンジが広い",IF($BC127&gt;$BK$4,"×窓を開けて上昇",IF($Z127&gt;$BK$5,"×前日に急騰",IF($Z127&lt;$BK$6,"×前日に急落",IF($BD127&lt;$BK$7,"×高値から離れすぎ",IF($BE127&gt;$BK$8,"×当日の値幅が大きい","×")))))))))</f>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 t="shared" si="22"/>
        <v>-8.0909571655208889</v>
      </c>
      <c r="M128" s="333">
        <f>IF(C128&lt;&gt;"",IFERROR(AVERAGE(出来高!E116:I116),""),"")</f>
        <v>230540</v>
      </c>
      <c r="N128" s="333">
        <f>IF(C128&lt;&gt;"",IFERROR(AVERAGE(出来高!E116:AC116),""),"")</f>
        <v>197472</v>
      </c>
      <c r="O128" s="335">
        <f t="shared" si="23"/>
        <v>0.76038865272837686</v>
      </c>
      <c r="P128" s="212" t="str">
        <f t="shared" si="24"/>
        <v>減少↓</v>
      </c>
      <c r="Q128" s="212" t="str">
        <f t="shared" si="25"/>
        <v>様子見▲</v>
      </c>
      <c r="R128" s="333">
        <f t="shared" si="26"/>
        <v>1599</v>
      </c>
      <c r="S128" s="333">
        <f t="shared" si="27"/>
        <v>1808</v>
      </c>
      <c r="T128" s="325">
        <f>IF(C128="","",IFERROR(IF(W128&lt;=22,-4,IF(W128&lt;=28,-2,IF(W128&lt;=45,2,IF(W128&lt;=55,1,0))))+IF(X128&lt;0,2,0)+IF(AD128="下降トレンド▼",3,IF(AD128="もみ合い→",1,0))+IF(V128="年初来安値圏●",3,IF(V128="安値圏",2,0))+IF(Q128="売り▼",2,0)+IF(P128="急増↑↑",2,IF(P128="増加↑",1,0))+IF(Z128&lt;0,1,0)+IF(L128&lt;=-30,2,IF(L128&lt;=-15,1,0))+IF(AE128="25日戻り売り★",2,IF(AE128="5日戻り売り○",1,0))+N(AL128)+N(AP128)+N(AU128),0))</f>
      </c>
      <c r="U128" s="212" t="str">
        <f t="shared" si="29"/>
        <v>要確認</v>
      </c>
      <c r="V128" s="212" t="str">
        <f t="shared" si="30"/>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 t="shared" si="31"/>
        <v>相場上昇・見送り | もみ合い→ MACD- RSI:34.3 前日比:+1.4% [4点]</v>
      </c>
      <c r="Z128" s="338">
        <f t="shared" si="32"/>
        <v>1.4002333722287048</v>
      </c>
      <c r="AA128" s="212" t="str">
        <f t="shared" si="33"/>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 t="shared" si="34"/>
        <v>もみ合い→</v>
      </c>
      <c r="AE128" s="212" t="str">
        <f t="shared" si="35"/>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 t="shared" si="36"/>
        <v>0</v>
      </c>
      <c r="AH128">
        <f t="shared" si="37"/>
        <v>0</v>
      </c>
      <c r="AI128" s="373">
        <f t="array" ref="AI128">IF(C128="","",IFERROR((INDEX(終値!$E:$E,MATCH(TEXT(C128,"0"),終値!$A:$A,0))-INDEX(終値!$E:$CZ,MATCH(TEXT(C128,"0"),終値!$A:$A,0),$AN$2))/INDEX(終値!$E:$CZ,MATCH(TEXT(C128,"0"),終値!$A:$A,0),$AN$2)*100,""))</f>
        <v>-0.17231476163124643</v>
      </c>
      <c r="AJ128" s="373">
        <f t="array" ref="AJ128">IFERROR((終値!$E$5-INDEX(終値!$E$5:$CZ$5,1,$AN$2))/INDEX(終値!$E$5:$CZ$5,1,$AN$2)*100,"")</f>
        <v>1.0179378228534113</v>
      </c>
      <c r="AK128" s="374">
        <f t="shared" si="38"/>
        <v>-1.1902525844846576</v>
      </c>
      <c r="AL128" s="372">
        <f t="shared" si="39"/>
        <v>1</v>
      </c>
      <c r="AO128" s="376" t="str">
        <f t="shared" si="40"/>
        <v>通常</v>
      </c>
      <c r="AP128" s="377">
        <f t="shared" si="41"/>
        <v>0</v>
      </c>
      <c r="AQ128">
        <f>IF(C128&lt;&gt;"",始値!F116,"")</f>
        <v>1725</v>
      </c>
      <c r="AR128">
        <f>IF(C128&lt;&gt;"",高値!F116,"")</f>
        <v>1728</v>
      </c>
      <c r="AS128">
        <f>IF(C128&lt;&gt;"",安値!F116,"")</f>
        <v>1707</v>
      </c>
      <c r="AT128" t="str">
        <f t="shared" si="42"/>
        <v>通常</v>
      </c>
      <c r="AU128">
        <f t="shared" si="43"/>
        <v>0</v>
      </c>
      <c r="BA128">
        <f>IFERROR((SUM(OFFSET(高値!$E$6,IFERROR(MATCH($C128,銘柄管理!$B$6:$B$305,0),MATCH(TEXT($C128,"0"),銘柄管理!$B$6:$B$305,0))-1,0,1,14))-SUM(OFFSET(安値!$E$6,IFERROR(MATCH($C128,銘柄管理!$B$6:$B$305,0),MATCH(TEXT($C128,"0"),銘柄管理!$B$6:$B$305,0))-1,0,1,14)))/SUM(OFFSET(終値!$E$6,IFERROR(MATCH($C128,銘柄管理!$B$6:$B$305,0),MATCH(TEXT($C128,"0"),銘柄管理!$B$6:$B$305,0))-1,0,1,14))*100,"")</f>
      </c>
      <c r="BB128">
        <f>IFERROR((MAX(OFFSET(高値!$E$6,IFERROR(MATCH($C128,銘柄管理!$B$6:$B$305,0),MATCH(TEXT($C128,"0"),銘柄管理!$B$6:$B$305,0))-1,0,1,25))-MIN(OFFSET(安値!$E$6,IFERROR(MATCH($C128,銘柄管理!$B$6:$B$305,0),MATCH(TEXT($C128,"0"),銘柄管理!$B$6:$B$305,0))-1,0,1,25)))/$E128*100,"")</f>
      </c>
      <c r="BC128">
        <f>IFERROR(($F128-$G128)/$G128*100,"")</f>
      </c>
      <c r="BD128">
        <f>IFERROR(($E128-MAX(OFFSET(高値!$E$6,IFERROR(MATCH($C128,銘柄管理!$B$6:$B$305,0),MATCH(TEXT($C128,"0"),銘柄管理!$B$6:$B$305,0))-1,0,1,25)))/MAX(OFFSET(高値!$E$6,IFERROR(MATCH($C128,銘柄管理!$B$6:$B$305,0),MATCH(TEXT($C128,"0"),銘柄管理!$B$6:$B$305,0))-1,0,1,25))*100,"")</f>
      </c>
      <c r="BE128">
        <f>IFERROR(($H128-$I128)/$F128*100,"")</f>
      </c>
      <c r="BF128">
        <f>IFERROR(-(($BA128-AVERAGE($BA$3:$BA$206))/STDEV($BA$3:$BA$206))-(($BE128-AVERAGE($BE$3:$BE$206))/STDEV($BE$3:$BE$206))-(($BB128-AVERAGE($BB$3:$BB$206))/STDEV($BB$3:$BB$206))-(($Z128-AVERAGE($Z$3:$Z$206))/STDEV($Z$3:$Z$206))-(($BC128-AVERAGE($BC$3:$BC$206))/STDEV($BC$3:$BC$206)),"")</f>
      </c>
      <c r="BG128">
        <f>IF(OR($C128="",$C128="TOPX",$BA128="",$BF128=""),0,IF(AND($BK$10=1,$BA128&lt;=$BK$2,$BB128&lt;=$BK$3,$BC128&lt;=$BK$4,$Z128&lt;=$BK$5,$Z128&gt;=$BK$6,$BD128&gt;=$BK$7,$BE128&lt;=$BK$8),1,0))</f>
      </c>
      <c r="BH128">
        <f>IF($C128="","",IF($BG128=1,"○ゲート通過",IF($BK$10&lt;&gt;1,"― この方向は停止中",IF($BA128&gt;$BK$2,"×値動きが荒い",IF($BB128&gt;$BK$3,"×レンジが広い",IF($BC128&gt;$BK$4,"×窓を開けて上昇",IF($Z128&gt;$BK$5,"×前日に急騰",IF($Z128&lt;$BK$6,"×前日に急落",IF($BD128&lt;$BK$7,"×高値から離れすぎ",IF($BE128&gt;$BK$8,"×当日の値幅が大きい","×")))))))))</f>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 t="shared" si="22"/>
        <v>-31.047265987025025</v>
      </c>
      <c r="M129" s="326">
        <f>IF(C129&lt;&gt;"",IFERROR(AVERAGE(出来高!E124:I124),""),"")</f>
        <v>10539140</v>
      </c>
      <c r="N129" s="326">
        <f>IF(C129&lt;&gt;"",IFERROR(AVERAGE(出来高!E124:AC124),""),"")</f>
        <v>8742800</v>
      </c>
      <c r="O129" s="328">
        <f t="shared" si="23"/>
        <v>0.93994386638757998</v>
      </c>
      <c r="P129" s="325" t="str">
        <f t="shared" si="24"/>
        <v>減少↓</v>
      </c>
      <c r="Q129" s="325" t="str">
        <f t="shared" si="25"/>
        <v>様子見▲</v>
      </c>
      <c r="R129" s="326">
        <f t="shared" si="26"/>
        <v>1369</v>
      </c>
      <c r="S129" s="326">
        <f t="shared" si="27"/>
        <v>1548</v>
      </c>
      <c r="T129" s="325">
        <f>IF(C129="","",IFERROR(IF(W129&lt;=22,-4,IF(W129&lt;=28,-2,IF(W129&lt;=45,2,IF(W129&lt;=55,1,0))))+IF(X129&lt;0,2,0)+IF(AD129="下降トレンド▼",3,IF(AD129="もみ合い→",1,0))+IF(V129="年初来安値圏●",3,IF(V129="安値圏",2,0))+IF(Q129="売り▼",2,0)+IF(P129="急増↑↑",2,IF(P129="増加↑",1,0))+IF(Z129&lt;0,1,0)+IF(L129&lt;=-30,2,IF(L129&lt;=-15,1,0))+IF(AE129="25日戻り売り★",2,IF(AE129="5日戻り売り○",1,0))+N(AL129)+N(AP129)+N(AU129),0))</f>
      </c>
      <c r="U129" s="325" t="str">
        <f t="shared" si="29"/>
        <v>要確認</v>
      </c>
      <c r="V129" s="325" t="str">
        <f t="shared" si="30"/>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 t="shared" si="31"/>
        <v>★逆張り売り | 下降トレンド▼ 5日戻り売り○ MACD- RSI:38.5 前日比:+0.4% [安値圏] [11点]</v>
      </c>
      <c r="Z129" s="331">
        <f t="shared" si="32"/>
        <v>0.43874451569355388</v>
      </c>
      <c r="AA129" s="325" t="str">
        <f t="shared" si="33"/>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 t="shared" si="34"/>
        <v>下降トレンド▼</v>
      </c>
      <c r="AE129" s="325" t="str">
        <f t="shared" si="35"/>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 t="shared" si="36"/>
        <v>11</v>
      </c>
      <c r="AH129">
        <f t="shared" si="37"/>
        <v>109871</v>
      </c>
      <c r="AI129" s="373">
        <f t="array" ref="AI129">IF(C129="","",IFERROR((INDEX(終値!$E:$E,MATCH(TEXT(C129,"0"),終値!$A:$A,0))-INDEX(終値!$E:$CZ,MATCH(TEXT(C129,"0"),終値!$A:$A,0),$AN$2))/INDEX(終値!$E:$CZ,MATCH(TEXT(C129,"0"),終値!$A:$A,0),$AN$2)*100,""))</f>
        <v>0.6085192697768762</v>
      </c>
      <c r="AJ129" s="373">
        <f t="array" ref="AJ129">IFERROR((終値!$E$5-INDEX(終値!$E$5:$CZ$5,1,$AN$2))/INDEX(終値!$E$5:$CZ$5,1,$AN$2)*100,"")</f>
        <v>1.0179378228534113</v>
      </c>
      <c r="AK129" s="374">
        <f t="shared" si="38"/>
        <v>-0.40941855307653507</v>
      </c>
      <c r="AL129" s="372">
        <f t="shared" si="39"/>
        <v>1</v>
      </c>
      <c r="AO129" s="376" t="str">
        <f t="shared" si="40"/>
        <v>通常</v>
      </c>
      <c r="AP129" s="377">
        <f t="shared" si="41"/>
        <v>0</v>
      </c>
      <c r="AQ129">
        <f>IF(C129&lt;&gt;"",始値!F124,"")</f>
        <v>1479.5</v>
      </c>
      <c r="AR129">
        <f>IF(C129&lt;&gt;"",高値!F124,"")</f>
        <v>1495.5</v>
      </c>
      <c r="AS129">
        <f>IF(C129&lt;&gt;"",安値!F124,"")</f>
        <v>1473.5</v>
      </c>
      <c r="AT129" t="str">
        <f t="shared" si="42"/>
        <v>通常</v>
      </c>
      <c r="AU129">
        <f t="shared" si="43"/>
        <v>0</v>
      </c>
      <c r="BA129">
        <f>IFERROR((SUM(OFFSET(高値!$E$6,IFERROR(MATCH($C129,銘柄管理!$B$6:$B$305,0),MATCH(TEXT($C129,"0"),銘柄管理!$B$6:$B$305,0))-1,0,1,14))-SUM(OFFSET(安値!$E$6,IFERROR(MATCH($C129,銘柄管理!$B$6:$B$305,0),MATCH(TEXT($C129,"0"),銘柄管理!$B$6:$B$305,0))-1,0,1,14)))/SUM(OFFSET(終値!$E$6,IFERROR(MATCH($C129,銘柄管理!$B$6:$B$305,0),MATCH(TEXT($C129,"0"),銘柄管理!$B$6:$B$305,0))-1,0,1,14))*100,"")</f>
      </c>
      <c r="BB129">
        <f>IFERROR((MAX(OFFSET(高値!$E$6,IFERROR(MATCH($C129,銘柄管理!$B$6:$B$305,0),MATCH(TEXT($C129,"0"),銘柄管理!$B$6:$B$305,0))-1,0,1,25))-MIN(OFFSET(安値!$E$6,IFERROR(MATCH($C129,銘柄管理!$B$6:$B$305,0),MATCH(TEXT($C129,"0"),銘柄管理!$B$6:$B$305,0))-1,0,1,25)))/$E129*100,"")</f>
      </c>
      <c r="BC129">
        <f>IFERROR(($F129-$G129)/$G129*100,"")</f>
      </c>
      <c r="BD129">
        <f>IFERROR(($E129-MAX(OFFSET(高値!$E$6,IFERROR(MATCH($C129,銘柄管理!$B$6:$B$305,0),MATCH(TEXT($C129,"0"),銘柄管理!$B$6:$B$305,0))-1,0,1,25)))/MAX(OFFSET(高値!$E$6,IFERROR(MATCH($C129,銘柄管理!$B$6:$B$305,0),MATCH(TEXT($C129,"0"),銘柄管理!$B$6:$B$305,0))-1,0,1,25))*100,"")</f>
      </c>
      <c r="BE129">
        <f>IFERROR(($H129-$I129)/$F129*100,"")</f>
      </c>
      <c r="BF129">
        <f>IFERROR(-(($BA129-AVERAGE($BA$3:$BA$206))/STDEV($BA$3:$BA$206))-(($BE129-AVERAGE($BE$3:$BE$206))/STDEV($BE$3:$BE$206))-(($BB129-AVERAGE($BB$3:$BB$206))/STDEV($BB$3:$BB$206))-(($Z129-AVERAGE($Z$3:$Z$206))/STDEV($Z$3:$Z$206))-(($BC129-AVERAGE($BC$3:$BC$206))/STDEV($BC$3:$BC$206)),"")</f>
      </c>
      <c r="BG129">
        <f>IF(OR($C129="",$C129="TOPX",$BA129="",$BF129=""),0,IF(AND($BK$10=1,$BA129&lt;=$BK$2,$BB129&lt;=$BK$3,$BC129&lt;=$BK$4,$Z129&lt;=$BK$5,$Z129&gt;=$BK$6,$BD129&gt;=$BK$7,$BE129&lt;=$BK$8),1,0))</f>
      </c>
      <c r="BH129">
        <f>IF($C129="","",IF($BG129=1,"○ゲート通過",IF($BK$10&lt;&gt;1,"― この方向は停止中",IF($BA129&gt;$BK$2,"×値動きが荒い",IF($BB129&gt;$BK$3,"×レンジが広い",IF($BC129&gt;$BK$4,"×窓を開けて上昇",IF($Z129&gt;$BK$5,"×前日に急騰",IF($Z129&lt;$BK$6,"×前日に急落",IF($BD129&lt;$BK$7,"×高値から離れすぎ",IF($BE129&gt;$BK$8,"×当日の値幅が大きい","×")))))))))</f>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 t="shared" si="22"/>
        <v>-43.659942363112393</v>
      </c>
      <c r="M130" s="333">
        <f>IF(C130&lt;&gt;"",IFERROR(AVERAGE(出来高!E144:I144),""),"")</f>
        <v>183040</v>
      </c>
      <c r="N130" s="333">
        <f>IF(C130&lt;&gt;"",IFERROR(AVERAGE(出来高!E144:AC144),""),"")</f>
        <v>148287.5</v>
      </c>
      <c r="O130" s="335">
        <f t="shared" si="23"/>
        <v>1.1046765734265733</v>
      </c>
      <c r="P130" s="212" t="str">
        <f t="shared" si="24"/>
        <v>普通→</v>
      </c>
      <c r="Q130" s="212" t="str">
        <f t="shared" si="25"/>
        <v>中立→</v>
      </c>
      <c r="R130" s="333">
        <f t="shared" si="26"/>
        <v>17986</v>
      </c>
      <c r="S130" s="333">
        <f t="shared" si="27"/>
        <v>20332</v>
      </c>
      <c r="T130" s="325">
        <f>IF(C130="","",IFERROR(IF(W130&lt;=22,-4,IF(W130&lt;=28,-2,IF(W130&lt;=45,2,IF(W130&lt;=55,1,0))))+IF(X130&lt;0,2,0)+IF(AD130="下降トレンド▼",3,IF(AD130="もみ合い→",1,0))+IF(V130="年初来安値圏●",3,IF(V130="安値圏",2,0))+IF(Q130="売り▼",2,0)+IF(P130="急増↑↑",2,IF(P130="増加↑",1,0))+IF(Z130&lt;0,1,0)+IF(L130&lt;=-30,2,IF(L130&lt;=-15,1,0))+IF(AE130="25日戻り売り★",2,IF(AE130="5日戻り売り○",1,0))+N(AL130)+N(AP130)+N(AU130),0))</f>
      </c>
      <c r="U130" s="212" t="str">
        <f t="shared" si="29"/>
        <v>要確認</v>
      </c>
      <c r="V130" s="212" t="str">
        <f t="shared" si="30"/>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 t="shared" si="31"/>
        <v>相場上昇・見送り | 上昇トレンド▲ 5日戻り売り○ MACD- RSI:49.6 前日比:-8.9% [年初来安値圏] [大陰線▼]前日[長い下ヒゲ(反発)] [12点]</v>
      </c>
      <c r="Z130" s="338">
        <f t="shared" si="32"/>
        <v>-8.8578088578088572</v>
      </c>
      <c r="AA130" s="212" t="str">
        <f t="shared" si="33"/>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 t="shared" si="34"/>
        <v>上昇トレンド▲</v>
      </c>
      <c r="AE130" s="212" t="str">
        <f t="shared" si="35"/>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 t="shared" si="36"/>
        <v>12</v>
      </c>
      <c r="AH130">
        <f t="shared" si="37"/>
        <v>119870</v>
      </c>
      <c r="AI130" s="373">
        <f t="array" ref="AI130">IF(C130="","",IFERROR((INDEX(終値!$E:$E,MATCH(TEXT(C130,"0"),終値!$A:$A,0))-INDEX(終値!$E:$CZ,MATCH(TEXT(C130,"0"),終値!$A:$A,0),$AN$2))/INDEX(終値!$E:$CZ,MATCH(TEXT(C130,"0"),終値!$A:$A,0),$AN$2)*100,""))</f>
        <v>-24.224806201550386</v>
      </c>
      <c r="AJ130" s="373">
        <f t="array" ref="AJ130">IFERROR((終値!$E$5-INDEX(終値!$E$5:$CZ$5,1,$AN$2))/INDEX(終値!$E$5:$CZ$5,1,$AN$2)*100,"")</f>
        <v>1.0179378228534113</v>
      </c>
      <c r="AK130" s="374">
        <f t="shared" si="38"/>
        <v>-25.242744024403798</v>
      </c>
      <c r="AL130" s="372">
        <f t="shared" si="39"/>
        <v>3</v>
      </c>
      <c r="AO130" s="376" t="str">
        <f t="shared" si="40"/>
        <v>大陰線▼</v>
      </c>
      <c r="AP130" s="377">
        <f t="shared" si="41"/>
        <v>2</v>
      </c>
      <c r="AQ130">
        <f>IF(C130&lt;&gt;"",始値!F144,"")</f>
        <v>21000</v>
      </c>
      <c r="AR130">
        <f>IF(C130&lt;&gt;"",高値!F144,"")</f>
        <v>21540</v>
      </c>
      <c r="AS130">
        <f>IF(C130&lt;&gt;"",安値!F144,"")</f>
        <v>20320</v>
      </c>
      <c r="AT130" t="str">
        <f t="shared" si="42"/>
        <v>長い下ヒゲ(反発)</v>
      </c>
      <c r="AU130">
        <f t="shared" si="43"/>
        <v>-2</v>
      </c>
      <c r="BA130">
        <f>IFERROR((SUM(OFFSET(高値!$E$6,IFERROR(MATCH($C130,銘柄管理!$B$6:$B$305,0),MATCH(TEXT($C130,"0"),銘柄管理!$B$6:$B$305,0))-1,0,1,14))-SUM(OFFSET(安値!$E$6,IFERROR(MATCH($C130,銘柄管理!$B$6:$B$305,0),MATCH(TEXT($C130,"0"),銘柄管理!$B$6:$B$305,0))-1,0,1,14)))/SUM(OFFSET(終値!$E$6,IFERROR(MATCH($C130,銘柄管理!$B$6:$B$305,0),MATCH(TEXT($C130,"0"),銘柄管理!$B$6:$B$305,0))-1,0,1,14))*100,"")</f>
      </c>
      <c r="BB130">
        <f>IFERROR((MAX(OFFSET(高値!$E$6,IFERROR(MATCH($C130,銘柄管理!$B$6:$B$305,0),MATCH(TEXT($C130,"0"),銘柄管理!$B$6:$B$305,0))-1,0,1,25))-MIN(OFFSET(安値!$E$6,IFERROR(MATCH($C130,銘柄管理!$B$6:$B$305,0),MATCH(TEXT($C130,"0"),銘柄管理!$B$6:$B$305,0))-1,0,1,25)))/$E130*100,"")</f>
      </c>
      <c r="BC130">
        <f>IFERROR(($F130-$G130)/$G130*100,"")</f>
      </c>
      <c r="BD130">
        <f>IFERROR(($E130-MAX(OFFSET(高値!$E$6,IFERROR(MATCH($C130,銘柄管理!$B$6:$B$305,0),MATCH(TEXT($C130,"0"),銘柄管理!$B$6:$B$305,0))-1,0,1,25)))/MAX(OFFSET(高値!$E$6,IFERROR(MATCH($C130,銘柄管理!$B$6:$B$305,0),MATCH(TEXT($C130,"0"),銘柄管理!$B$6:$B$305,0))-1,0,1,25))*100,"")</f>
      </c>
      <c r="BE130">
        <f>IFERROR(($H130-$I130)/$F130*100,"")</f>
      </c>
      <c r="BF130">
        <f>IFERROR(-(($BA130-AVERAGE($BA$3:$BA$206))/STDEV($BA$3:$BA$206))-(($BE130-AVERAGE($BE$3:$BE$206))/STDEV($BE$3:$BE$206))-(($BB130-AVERAGE($BB$3:$BB$206))/STDEV($BB$3:$BB$206))-(($Z130-AVERAGE($Z$3:$Z$206))/STDEV($Z$3:$Z$206))-(($BC130-AVERAGE($BC$3:$BC$206))/STDEV($BC$3:$BC$206)),"")</f>
      </c>
      <c r="BG130">
        <f>IF(OR($C130="",$C130="TOPX",$BA130="",$BF130=""),0,IF(AND($BK$10=1,$BA130&lt;=$BK$2,$BB130&lt;=$BK$3,$BC130&lt;=$BK$4,$Z130&lt;=$BK$5,$Z130&gt;=$BK$6,$BD130&gt;=$BK$7,$BE130&lt;=$BK$8),1,0))</f>
      </c>
      <c r="BH130">
        <f>IF($C130="","",IF($BG130=1,"○ゲート通過",IF($BK$10&lt;&gt;1,"― この方向は停止中",IF($BA130&gt;$BK$2,"×値動きが荒い",IF($BB130&gt;$BK$3,"×レンジが広い",IF($BC130&gt;$BK$4,"×窓を開けて上昇",IF($Z130&gt;$BK$5,"×前日に急騰",IF($Z130&lt;$BK$6,"×前日に急落",IF($BD130&lt;$BK$7,"×高値から離れすぎ",IF($BE130&gt;$BK$8,"×当日の値幅が大きい","×")))))))))</f>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 t="shared" ref="L131:L194" si="44">IF(AND(E131&lt;&gt;"",K131&lt;&gt;"",K131&lt;&gt;0),(E131-K131)/K131*100,"")</f>
        <v>-68.542713567839201</v>
      </c>
      <c r="M131" s="326">
        <f>IF(C131&lt;&gt;"",IFERROR(AVERAGE(出来高!E146:I146),""),"")</f>
        <v>162220</v>
      </c>
      <c r="N131" s="326">
        <f>IF(C131&lt;&gt;"",IFERROR(AVERAGE(出来高!E146:AC146),""),"")</f>
        <v>220876</v>
      </c>
      <c r="O131" s="328">
        <f t="shared" ref="O131:O194" si="45">IF(AND(J131&lt;&gt;"",M131&lt;&gt;"",M131&lt;&gt;0),J131/M131,"")</f>
        <v>0.49870546171865365</v>
      </c>
      <c r="P131" s="325" t="str">
        <f t="shared" ref="P131:P194" si="46">IF(O131="","",IF(O131&gt;=2,"急増↑↑",IF(O131&gt;=1.5,"増加↑",IF(O131&gt;=1,"普通→","減少↓"))))</f>
        <v>減少↓</v>
      </c>
      <c r="Q131" s="325" t="str">
        <f t="shared" ref="Q131:Q194" si="47">IF(E131="","",IF(AND(E131&lt;G131,O131&gt;=1.5),"売り▼",IF(E131&gt;G131,"様子見▲","中立→")))</f>
        <v>中立→</v>
      </c>
      <c r="R131" s="326">
        <f t="shared" ref="R131:R194" si="48">IF(E131&lt;&gt;"",ROUND(E131*0.92,0),"")</f>
        <v>288</v>
      </c>
      <c r="S131" s="326">
        <f t="shared" ref="S131:S194" si="49">IF(E131&lt;&gt;"",ROUND(E131*1.04,0),"")</f>
        <v>326</v>
      </c>
      <c r="T131" s="325">
        <f>IF(C131="","",IFERROR(IF(W131&lt;=22,-4,IF(W131&lt;=28,-2,IF(W131&lt;=45,2,IF(W131&lt;=55,1,0))))+IF(X131&lt;0,2,0)+IF(AD131="下降トレンド▼",3,IF(AD131="もみ合い→",1,0))+IF(V131="年初来安値圏●",3,IF(V131="安値圏",2,0))+IF(Q131="売り▼",2,0)+IF(P131="急増↑↑",2,IF(P131="増加↑",1,0))+IF(Z131&lt;0,1,0)+IF(L131&lt;=-30,2,IF(L131&lt;=-15,1,0))+IF(AE131="25日戻り売り★",2,IF(AE131="5日戻り売り○",1,0))+N(AL131)+N(AP131)+N(AU131),0))</f>
      </c>
      <c r="U131" s="325" t="str">
        <f t="shared" ref="U131:U194" si="51">IF(T131="","",IF(AND(T131&gt;=3,O131&gt;=1.5),"有効",IF(T131&gt;=3,"要確認","除外")))</f>
        <v>要確認</v>
      </c>
      <c r="V131" s="325" t="str">
        <f t="shared" ref="V131:V194" si="52">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 t="shared" ref="Z131:Z194" si="54">IF(AND(E131&lt;&gt;"",G131&lt;&gt;"",G131&lt;&gt;0),(E131-G131)/G131*100,"")</f>
        <v>-0.63492063492063489</v>
      </c>
      <c r="AA131" s="325" t="str">
        <f t="shared" ref="AA131:AA194" si="55">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 t="shared" ref="AD131:AD194" si="56">IF(OR(C131="",AB131="",AC131="",AB131=0,AC131=0),"",IF(AND(E131&gt;AB131,AB131&gt;AC131),"パーフェクト▲",IF(E131&gt;AC131,"上昇トレンド▲",IF(AND(E131&lt;AB131,AB131&lt;AC131),"下降トレンド▼","もみ合い→"))))</f>
        <v>上昇トレンド▲</v>
      </c>
      <c r="AE131" s="325" t="str">
        <f t="shared" ref="AE131:AE194" si="57">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 t="shared" ref="AG131:AG194" si="58">IF(AND(T131&gt;=7,C131&lt;&gt;""),T131,0)</f>
        <v>8</v>
      </c>
      <c r="AH131">
        <f t="shared" ref="AH131:AH194" si="59">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IFERROR((終値!$E$5-INDEX(終値!$E$5:$CZ$5,1,$AN$2))/INDEX(終値!$E$5:$CZ$5,1,$AN$2)*100,"")</f>
        <v>1.0179378228534113</v>
      </c>
      <c r="AK131" s="374">
        <f t="shared" ref="AK131:AK194" si="60">IF(OR(AI131="",AJ131=""),"",AI131-AJ131)</f>
        <v>0.9364595712833963</v>
      </c>
      <c r="AL131" s="372">
        <f t="shared" ref="AL131:AL194" si="61">IF(AK131="","",IF(AK131&lt;-5,3,IF(AK131&lt;0,1,IF(AK131&lt;3,-1,-2))))</f>
        <v>-1</v>
      </c>
      <c r="AO131" s="376" t="str">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 t="shared" ref="AP131:AP194" si="63">IF($AO131="上ヒゲ陰線▼",2,IF($AO131="大陰線▼",2,IF($AO131="長い下ヒゲ(反発警戒)",-2,0)))</f>
        <v>0</v>
      </c>
      <c r="AQ131">
        <f>IF(C131&lt;&gt;"",始値!F146,"")</f>
        <v>316</v>
      </c>
      <c r="AR131">
        <f>IF(C131&lt;&gt;"",高値!F146,"")</f>
        <v>322</v>
      </c>
      <c r="AS131">
        <f>IF(C131&lt;&gt;"",安値!F146,"")</f>
        <v>313</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 t="shared" ref="AU131:AU194" si="65">IF(AT131="上ヒゲ陰線▼",2,IF(AT131="大陰線▼",2,IF(AT131="長い下ヒゲ(反発)",-2,0)))</f>
        <v>0</v>
      </c>
      <c r="BA131">
        <f>IFERROR((SUM(OFFSET(高値!$E$6,IFERROR(MATCH($C131,銘柄管理!$B$6:$B$305,0),MATCH(TEXT($C131,"0"),銘柄管理!$B$6:$B$305,0))-1,0,1,14))-SUM(OFFSET(安値!$E$6,IFERROR(MATCH($C131,銘柄管理!$B$6:$B$305,0),MATCH(TEXT($C131,"0"),銘柄管理!$B$6:$B$305,0))-1,0,1,14)))/SUM(OFFSET(終値!$E$6,IFERROR(MATCH($C131,銘柄管理!$B$6:$B$305,0),MATCH(TEXT($C131,"0"),銘柄管理!$B$6:$B$305,0))-1,0,1,14))*100,"")</f>
      </c>
      <c r="BB131">
        <f>IFERROR((MAX(OFFSET(高値!$E$6,IFERROR(MATCH($C131,銘柄管理!$B$6:$B$305,0),MATCH(TEXT($C131,"0"),銘柄管理!$B$6:$B$305,0))-1,0,1,25))-MIN(OFFSET(安値!$E$6,IFERROR(MATCH($C131,銘柄管理!$B$6:$B$305,0),MATCH(TEXT($C131,"0"),銘柄管理!$B$6:$B$305,0))-1,0,1,25)))/$E131*100,"")</f>
      </c>
      <c r="BC131">
        <f>IFERROR(($F131-$G131)/$G131*100,"")</f>
      </c>
      <c r="BD131">
        <f>IFERROR(($E131-MAX(OFFSET(高値!$E$6,IFERROR(MATCH($C131,銘柄管理!$B$6:$B$305,0),MATCH(TEXT($C131,"0"),銘柄管理!$B$6:$B$305,0))-1,0,1,25)))/MAX(OFFSET(高値!$E$6,IFERROR(MATCH($C131,銘柄管理!$B$6:$B$305,0),MATCH(TEXT($C131,"0"),銘柄管理!$B$6:$B$305,0))-1,0,1,25))*100,"")</f>
      </c>
      <c r="BE131">
        <f>IFERROR(($H131-$I131)/$F131*100,"")</f>
      </c>
      <c r="BF131">
        <f>IFERROR(-(($BA131-AVERAGE($BA$3:$BA$206))/STDEV($BA$3:$BA$206))-(($BE131-AVERAGE($BE$3:$BE$206))/STDEV($BE$3:$BE$206))-(($BB131-AVERAGE($BB$3:$BB$206))/STDEV($BB$3:$BB$206))-(($Z131-AVERAGE($Z$3:$Z$206))/STDEV($Z$3:$Z$206))-(($BC131-AVERAGE($BC$3:$BC$206))/STDEV($BC$3:$BC$206)),"")</f>
      </c>
      <c r="BG131">
        <f>IF(OR($C131="",$C131="TOPX",$BA131="",$BF131=""),0,IF(AND($BK$10=1,$BA131&lt;=$BK$2,$BB131&lt;=$BK$3,$BC131&lt;=$BK$4,$Z131&lt;=$BK$5,$Z131&gt;=$BK$6,$BD131&gt;=$BK$7,$BE131&lt;=$BK$8),1,0))</f>
      </c>
      <c r="BH131">
        <f>IF($C131="","",IF($BG131=1,"○ゲート通過",IF($BK$10&lt;&gt;1,"― この方向は停止中",IF($BA131&gt;$BK$2,"×値動きが荒い",IF($BB131&gt;$BK$3,"×レンジが広い",IF($BC131&gt;$BK$4,"×窓を開けて上昇",IF($Z131&gt;$BK$5,"×前日に急騰",IF($Z131&lt;$BK$6,"×前日に急落",IF($BD131&lt;$BK$7,"×高値から離れすぎ",IF($BE131&gt;$BK$8,"×当日の値幅が大きい","×")))))))))</f>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 t="shared" si="44"/>
        <v>-11.359782977280435</v>
      </c>
      <c r="M132" s="333">
        <f>IF(C132&lt;&gt;"",IFERROR(AVERAGE(出来高!E156:I156),""),"")</f>
        <v>1458900</v>
      </c>
      <c r="N132" s="333">
        <f>IF(C132&lt;&gt;"",IFERROR(AVERAGE(出来高!E156:AC156),""),"")</f>
        <v>980244</v>
      </c>
      <c r="O132" s="335">
        <f t="shared" si="45"/>
        <v>0.98725066831174169</v>
      </c>
      <c r="P132" s="212" t="str">
        <f t="shared" si="46"/>
        <v>減少↓</v>
      </c>
      <c r="Q132" s="212" t="str">
        <f t="shared" si="47"/>
        <v>様子見▲</v>
      </c>
      <c r="R132" s="333">
        <f t="shared" si="48"/>
        <v>2405</v>
      </c>
      <c r="S132" s="333">
        <f t="shared" si="49"/>
        <v>2719</v>
      </c>
      <c r="T132" s="325">
        <f>IF(C132="","",IFERROR(IF(W132&lt;=22,-4,IF(W132&lt;=28,-2,IF(W132&lt;=45,2,IF(W132&lt;=55,1,0))))+IF(X132&lt;0,2,0)+IF(AD132="下降トレンド▼",3,IF(AD132="もみ合い→",1,0))+IF(V132="年初来安値圏●",3,IF(V132="安値圏",2,0))+IF(Q132="売り▼",2,0)+IF(P132="急増↑↑",2,IF(P132="増加↑",1,0))+IF(Z132&lt;0,1,0)+IF(L132&lt;=-30,2,IF(L132&lt;=-15,1,0))+IF(AE132="25日戻り売り★",2,IF(AE132="5日戻り売り○",1,0))+N(AL132)+N(AP132)+N(AU132),0))</f>
      </c>
      <c r="U132" s="212" t="str">
        <f t="shared" si="51"/>
        <v>要確認</v>
      </c>
      <c r="V132" s="212" t="str">
        <f t="shared" si="52"/>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 t="shared" si="53"/>
        <v>相場上昇・見送り | 上昇トレンド▲ MACD- RSI:46.1 前日比:+2.6% [5点]</v>
      </c>
      <c r="Z132" s="338">
        <f t="shared" si="54"/>
        <v>2.5902668759811616</v>
      </c>
      <c r="AA132" s="212" t="str">
        <f t="shared" si="55"/>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 t="shared" si="56"/>
        <v>上昇トレンド▲</v>
      </c>
      <c r="AE132" s="212" t="str">
        <f t="shared" si="57"/>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 t="shared" si="58"/>
        <v>0</v>
      </c>
      <c r="AH132">
        <f t="shared" si="59"/>
        <v>0</v>
      </c>
      <c r="AI132" s="373">
        <f t="array" ref="AI132">IF(C132="","",IFERROR((INDEX(終値!$E:$E,MATCH(TEXT(C132,"0"),終値!$A:$A,0))-INDEX(終値!$E:$CZ,MATCH(TEXT(C132,"0"),終値!$A:$A,0),$AN$2))/INDEX(終値!$E:$CZ,MATCH(TEXT(C132,"0"),終値!$A:$A,0),$AN$2)*100,""))</f>
        <v>-5.1523947750362842</v>
      </c>
      <c r="AJ132" s="373">
        <f t="array" ref="AJ132">IFERROR((終値!$E$5-INDEX(終値!$E$5:$CZ$5,1,$AN$2))/INDEX(終値!$E$5:$CZ$5,1,$AN$2)*100,"")</f>
        <v>1.0179378228534113</v>
      </c>
      <c r="AK132" s="374">
        <f t="shared" si="60"/>
        <v>-6.1703325978896952</v>
      </c>
      <c r="AL132" s="372">
        <f t="shared" si="61"/>
        <v>3</v>
      </c>
      <c r="AO132" s="376" t="str">
        <f t="shared" si="62"/>
        <v>通常</v>
      </c>
      <c r="AP132" s="377">
        <f t="shared" si="63"/>
        <v>0</v>
      </c>
      <c r="AQ132">
        <f>IF(C132&lt;&gt;"",始値!F156,"")</f>
        <v>2524</v>
      </c>
      <c r="AR132">
        <f>IF(C132&lt;&gt;"",高値!F156,"")</f>
        <v>2577</v>
      </c>
      <c r="AS132">
        <f>IF(C132&lt;&gt;"",安値!F156,"")</f>
        <v>2520</v>
      </c>
      <c r="AT132" t="str">
        <f t="shared" si="64"/>
        <v>通常</v>
      </c>
      <c r="AU132">
        <f t="shared" si="65"/>
        <v>0</v>
      </c>
      <c r="BA132">
        <f>IFERROR((SUM(OFFSET(高値!$E$6,IFERROR(MATCH($C132,銘柄管理!$B$6:$B$305,0),MATCH(TEXT($C132,"0"),銘柄管理!$B$6:$B$305,0))-1,0,1,14))-SUM(OFFSET(安値!$E$6,IFERROR(MATCH($C132,銘柄管理!$B$6:$B$305,0),MATCH(TEXT($C132,"0"),銘柄管理!$B$6:$B$305,0))-1,0,1,14)))/SUM(OFFSET(終値!$E$6,IFERROR(MATCH($C132,銘柄管理!$B$6:$B$305,0),MATCH(TEXT($C132,"0"),銘柄管理!$B$6:$B$305,0))-1,0,1,14))*100,"")</f>
      </c>
      <c r="BB132">
        <f>IFERROR((MAX(OFFSET(高値!$E$6,IFERROR(MATCH($C132,銘柄管理!$B$6:$B$305,0),MATCH(TEXT($C132,"0"),銘柄管理!$B$6:$B$305,0))-1,0,1,25))-MIN(OFFSET(安値!$E$6,IFERROR(MATCH($C132,銘柄管理!$B$6:$B$305,0),MATCH(TEXT($C132,"0"),銘柄管理!$B$6:$B$305,0))-1,0,1,25)))/$E132*100,"")</f>
      </c>
      <c r="BC132">
        <f>IFERROR(($F132-$G132)/$G132*100,"")</f>
      </c>
      <c r="BD132">
        <f>IFERROR(($E132-MAX(OFFSET(高値!$E$6,IFERROR(MATCH($C132,銘柄管理!$B$6:$B$305,0),MATCH(TEXT($C132,"0"),銘柄管理!$B$6:$B$305,0))-1,0,1,25)))/MAX(OFFSET(高値!$E$6,IFERROR(MATCH($C132,銘柄管理!$B$6:$B$305,0),MATCH(TEXT($C132,"0"),銘柄管理!$B$6:$B$305,0))-1,0,1,25))*100,"")</f>
      </c>
      <c r="BE132">
        <f>IFERROR(($H132-$I132)/$F132*100,"")</f>
      </c>
      <c r="BF132">
        <f>IFERROR(-(($BA132-AVERAGE($BA$3:$BA$206))/STDEV($BA$3:$BA$206))-(($BE132-AVERAGE($BE$3:$BE$206))/STDEV($BE$3:$BE$206))-(($BB132-AVERAGE($BB$3:$BB$206))/STDEV($BB$3:$BB$206))-(($Z132-AVERAGE($Z$3:$Z$206))/STDEV($Z$3:$Z$206))-(($BC132-AVERAGE($BC$3:$BC$206))/STDEV($BC$3:$BC$206)),"")</f>
      </c>
      <c r="BG132">
        <f>IF(OR($C132="",$C132="TOPX",$BA132="",$BF132=""),0,IF(AND($BK$10=1,$BA132&lt;=$BK$2,$BB132&lt;=$BK$3,$BC132&lt;=$BK$4,$Z132&lt;=$BK$5,$Z132&gt;=$BK$6,$BD132&gt;=$BK$7,$BE132&lt;=$BK$8),1,0))</f>
      </c>
      <c r="BH132">
        <f>IF($C132="","",IF($BG132=1,"○ゲート通過",IF($BK$10&lt;&gt;1,"― この方向は停止中",IF($BA132&gt;$BK$2,"×値動きが荒い",IF($BB132&gt;$BK$3,"×レンジが広い",IF($BC132&gt;$BK$4,"×窓を開けて上昇",IF($Z132&gt;$BK$5,"×前日に急騰",IF($Z132&lt;$BK$6,"×前日に急落",IF($BD132&lt;$BK$7,"×高値から離れすぎ",IF($BE132&gt;$BK$8,"×当日の値幅が大きい","×")))))))))</f>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 t="shared" si="44"/>
        <v>-8.268493787016606</v>
      </c>
      <c r="M133" s="326">
        <f>IF(C133&lt;&gt;"",IFERROR(AVERAGE(出来高!E165:I165),""),"")</f>
        <v>239600</v>
      </c>
      <c r="N133" s="326">
        <f>IF(C133&lt;&gt;"",IFERROR(AVERAGE(出来高!E165:AC165),""),"")</f>
        <v>338028</v>
      </c>
      <c r="O133" s="328">
        <f t="shared" si="45"/>
        <v>0.70701168614357257</v>
      </c>
      <c r="P133" s="325" t="str">
        <f t="shared" si="46"/>
        <v>減少↓</v>
      </c>
      <c r="Q133" s="325" t="str">
        <f t="shared" si="47"/>
        <v>様子見▲</v>
      </c>
      <c r="R133" s="326">
        <f t="shared" si="48"/>
        <v>7267</v>
      </c>
      <c r="S133" s="326">
        <f t="shared" si="49"/>
        <v>8215</v>
      </c>
      <c r="T133" s="325">
        <f>IF(C133="","",IFERROR(IF(W133&lt;=22,-4,IF(W133&lt;=28,-2,IF(W133&lt;=45,2,IF(W133&lt;=55,1,0))))+IF(X133&lt;0,2,0)+IF(AD133="下降トレンド▼",3,IF(AD133="もみ合い→",1,0))+IF(V133="年初来安値圏●",3,IF(V133="安値圏",2,0))+IF(Q133="売り▼",2,0)+IF(P133="急増↑↑",2,IF(P133="増加↑",1,0))+IF(Z133&lt;0,1,0)+IF(L133&lt;=-30,2,IF(L133&lt;=-15,1,0))+IF(AE133="25日戻り売り★",2,IF(AE133="5日戻り売り○",1,0))+N(AL133)+N(AP133)+N(AU133),0))</f>
      </c>
      <c r="U133" s="325" t="str">
        <f t="shared" si="51"/>
        <v>要確認</v>
      </c>
      <c r="V133" s="325" t="str">
        <f t="shared" si="52"/>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 t="shared" si="53"/>
        <v>△過熱・様子見 | パーフェクト▲ MACD+ RSI:72.9 [過熱] 前日比:+2.0%前日[上ヒゲ陰線▼] [3点]</v>
      </c>
      <c r="Z133" s="331">
        <f t="shared" si="54"/>
        <v>1.9752130131680867</v>
      </c>
      <c r="AA133" s="325" t="str">
        <f t="shared" si="55"/>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 t="shared" si="56"/>
        <v>パーフェクト▲</v>
      </c>
      <c r="AE133" s="325" t="str">
        <f t="shared" si="57"/>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 t="shared" si="58"/>
        <v>0</v>
      </c>
      <c r="AH133">
        <f t="shared" si="59"/>
        <v>0</v>
      </c>
      <c r="AI133" s="373">
        <f t="array" ref="AI133">IF(C133="","",IFERROR((INDEX(終値!$E:$E,MATCH(TEXT(C133,"0"),終値!$A:$A,0))-INDEX(終値!$E:$CZ,MATCH(TEXT(C133,"0"),終値!$A:$A,0),$AN$2))/INDEX(終値!$E:$CZ,MATCH(TEXT(C133,"0"),終値!$A:$A,0),$AN$2)*100,""))</f>
        <v>30.389567514031036</v>
      </c>
      <c r="AJ133" s="373">
        <f t="array" ref="AJ133">IFERROR((終値!$E$5-INDEX(終値!$E$5:$CZ$5,1,$AN$2))/INDEX(終値!$E$5:$CZ$5,1,$AN$2)*100,"")</f>
        <v>1.0179378228534113</v>
      </c>
      <c r="AK133" s="374">
        <f t="shared" si="60"/>
        <v>29.371629691177624</v>
      </c>
      <c r="AL133" s="372">
        <f t="shared" si="61"/>
        <v>-2</v>
      </c>
      <c r="AO133" s="376" t="str">
        <f t="shared" si="62"/>
        <v>通常</v>
      </c>
      <c r="AP133" s="377">
        <f t="shared" si="63"/>
        <v>0</v>
      </c>
      <c r="AQ133">
        <f>IF(C133&lt;&gt;"",始値!F165,"")</f>
        <v>7781</v>
      </c>
      <c r="AR133">
        <f>IF(C133&lt;&gt;"",高値!F165,"")</f>
        <v>7935</v>
      </c>
      <c r="AS133">
        <f>IF(C133&lt;&gt;"",安値!F165,"")</f>
        <v>7746</v>
      </c>
      <c r="AT133" t="str">
        <f t="shared" si="64"/>
        <v>上ヒゲ陰線▼</v>
      </c>
      <c r="AU133">
        <f t="shared" si="65"/>
        <v>2</v>
      </c>
      <c r="BA133">
        <f>IFERROR((SUM(OFFSET(高値!$E$6,IFERROR(MATCH($C133,銘柄管理!$B$6:$B$305,0),MATCH(TEXT($C133,"0"),銘柄管理!$B$6:$B$305,0))-1,0,1,14))-SUM(OFFSET(安値!$E$6,IFERROR(MATCH($C133,銘柄管理!$B$6:$B$305,0),MATCH(TEXT($C133,"0"),銘柄管理!$B$6:$B$305,0))-1,0,1,14)))/SUM(OFFSET(終値!$E$6,IFERROR(MATCH($C133,銘柄管理!$B$6:$B$305,0),MATCH(TEXT($C133,"0"),銘柄管理!$B$6:$B$305,0))-1,0,1,14))*100,"")</f>
      </c>
      <c r="BB133">
        <f>IFERROR((MAX(OFFSET(高値!$E$6,IFERROR(MATCH($C133,銘柄管理!$B$6:$B$305,0),MATCH(TEXT($C133,"0"),銘柄管理!$B$6:$B$305,0))-1,0,1,25))-MIN(OFFSET(安値!$E$6,IFERROR(MATCH($C133,銘柄管理!$B$6:$B$305,0),MATCH(TEXT($C133,"0"),銘柄管理!$B$6:$B$305,0))-1,0,1,25)))/$E133*100,"")</f>
      </c>
      <c r="BC133">
        <f>IFERROR(($F133-$G133)/$G133*100,"")</f>
      </c>
      <c r="BD133">
        <f>IFERROR(($E133-MAX(OFFSET(高値!$E$6,IFERROR(MATCH($C133,銘柄管理!$B$6:$B$305,0),MATCH(TEXT($C133,"0"),銘柄管理!$B$6:$B$305,0))-1,0,1,25)))/MAX(OFFSET(高値!$E$6,IFERROR(MATCH($C133,銘柄管理!$B$6:$B$305,0),MATCH(TEXT($C133,"0"),銘柄管理!$B$6:$B$305,0))-1,0,1,25))*100,"")</f>
      </c>
      <c r="BE133">
        <f>IFERROR(($H133-$I133)/$F133*100,"")</f>
      </c>
      <c r="BF133">
        <f>IFERROR(-(($BA133-AVERAGE($BA$3:$BA$206))/STDEV($BA$3:$BA$206))-(($BE133-AVERAGE($BE$3:$BE$206))/STDEV($BE$3:$BE$206))-(($BB133-AVERAGE($BB$3:$BB$206))/STDEV($BB$3:$BB$206))-(($Z133-AVERAGE($Z$3:$Z$206))/STDEV($Z$3:$Z$206))-(($BC133-AVERAGE($BC$3:$BC$206))/STDEV($BC$3:$BC$206)),"")</f>
      </c>
      <c r="BG133">
        <f>IF(OR($C133="",$C133="TOPX",$BA133="",$BF133=""),0,IF(AND($BK$10=1,$BA133&lt;=$BK$2,$BB133&lt;=$BK$3,$BC133&lt;=$BK$4,$Z133&lt;=$BK$5,$Z133&gt;=$BK$6,$BD133&gt;=$BK$7,$BE133&lt;=$BK$8),1,0))</f>
      </c>
      <c r="BH133">
        <f>IF($C133="","",IF($BG133=1,"○ゲート通過",IF($BK$10&lt;&gt;1,"― この方向は停止中",IF($BA133&gt;$BK$2,"×値動きが荒い",IF($BB133&gt;$BK$3,"×レンジが広い",IF($BC133&gt;$BK$4,"×窓を開けて上昇",IF($Z133&gt;$BK$5,"×前日に急騰",IF($Z133&lt;$BK$6,"×前日に急落",IF($BD133&lt;$BK$7,"×高値から離れすぎ",IF($BE133&gt;$BK$8,"×当日の値幅が大きい","×")))))))))</f>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 t="shared" si="44"/>
        <v>-22.037914691943129</v>
      </c>
      <c r="M134" s="333">
        <f>IF(C134&lt;&gt;"",IFERROR(AVERAGE(出来高!E167:I167),""),"")</f>
        <v>160860</v>
      </c>
      <c r="N134" s="333">
        <f>IF(C134&lt;&gt;"",IFERROR(AVERAGE(出来高!E167:AC167),""),"")</f>
        <v>143537.5</v>
      </c>
      <c r="O134" s="335">
        <f t="shared" si="45"/>
        <v>0.58498072858386174</v>
      </c>
      <c r="P134" s="212" t="str">
        <f t="shared" si="46"/>
        <v>減少↓</v>
      </c>
      <c r="Q134" s="212" t="str">
        <f t="shared" si="47"/>
        <v>中立→</v>
      </c>
      <c r="R134" s="333">
        <f t="shared" si="48"/>
        <v>3027</v>
      </c>
      <c r="S134" s="333">
        <f t="shared" si="49"/>
        <v>3422</v>
      </c>
      <c r="T134" s="325">
        <f>IF(C134="","",IFERROR(IF(W134&lt;=22,-4,IF(W134&lt;=28,-2,IF(W134&lt;=45,2,IF(W134&lt;=55,1,0))))+IF(X134&lt;0,2,0)+IF(AD134="下降トレンド▼",3,IF(AD134="もみ合い→",1,0))+IF(V134="年初来安値圏●",3,IF(V134="安値圏",2,0))+IF(Q134="売り▼",2,0)+IF(P134="急増↑↑",2,IF(P134="増加↑",1,0))+IF(Z134&lt;0,1,0)+IF(L134&lt;=-30,2,IF(L134&lt;=-15,1,0))+IF(AE134="25日戻り売り★",2,IF(AE134="5日戻り売り○",1,0))+N(AL134)+N(AP134)+N(AU134),0))</f>
      </c>
      <c r="U134" s="212" t="str">
        <f t="shared" si="51"/>
        <v>要確認</v>
      </c>
      <c r="V134" s="212" t="str">
        <f t="shared" si="52"/>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 t="shared" si="53"/>
        <v>相場上昇・見送り | パーフェクト▲ MACD- RSI:50.7 前日比:-1.3% [6点]</v>
      </c>
      <c r="Z134" s="338">
        <f t="shared" si="54"/>
        <v>-1.3493253373313343</v>
      </c>
      <c r="AA134" s="212" t="str">
        <f t="shared" si="55"/>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 t="shared" si="56"/>
        <v>パーフェクト▲</v>
      </c>
      <c r="AE134" s="212" t="str">
        <f t="shared" si="57"/>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 t="shared" si="58"/>
        <v>0</v>
      </c>
      <c r="AH134">
        <f t="shared" si="59"/>
        <v>0</v>
      </c>
      <c r="AI134" s="373">
        <f t="array" ref="AI134">IF(C134="","",IFERROR((INDEX(終値!$E:$E,MATCH(TEXT(C134,"0"),終値!$A:$A,0))-INDEX(終値!$E:$CZ,MATCH(TEXT(C134,"0"),終値!$A:$A,0),$AN$2))/INDEX(終値!$E:$CZ,MATCH(TEXT(C134,"0"),終値!$A:$A,0),$AN$2)*100,""))</f>
        <v>-1.791044776119403</v>
      </c>
      <c r="AJ134" s="373">
        <f t="array" ref="AJ134">IFERROR((終値!$E$5-INDEX(終値!$E$5:$CZ$5,1,$AN$2))/INDEX(終値!$E$5:$CZ$5,1,$AN$2)*100,"")</f>
        <v>1.0179378228534113</v>
      </c>
      <c r="AK134" s="374">
        <f t="shared" si="60"/>
        <v>-2.8089825989728143</v>
      </c>
      <c r="AL134" s="372">
        <f t="shared" si="61"/>
        <v>1</v>
      </c>
      <c r="AO134" s="376" t="str">
        <f t="shared" si="62"/>
        <v>通常</v>
      </c>
      <c r="AP134" s="377">
        <f t="shared" si="63"/>
        <v>0</v>
      </c>
      <c r="AQ134">
        <f>IF(C134&lt;&gt;"",始値!F167,"")</f>
        <v>3235</v>
      </c>
      <c r="AR134">
        <f>IF(C134&lt;&gt;"",高値!F167,"")</f>
        <v>3350</v>
      </c>
      <c r="AS134">
        <f>IF(C134&lt;&gt;"",安値!F167,"")</f>
        <v>3235</v>
      </c>
      <c r="AT134" t="str">
        <f t="shared" si="64"/>
        <v>通常</v>
      </c>
      <c r="AU134">
        <f t="shared" si="65"/>
        <v>0</v>
      </c>
      <c r="BA134">
        <f>IFERROR((SUM(OFFSET(高値!$E$6,IFERROR(MATCH($C134,銘柄管理!$B$6:$B$305,0),MATCH(TEXT($C134,"0"),銘柄管理!$B$6:$B$305,0))-1,0,1,14))-SUM(OFFSET(安値!$E$6,IFERROR(MATCH($C134,銘柄管理!$B$6:$B$305,0),MATCH(TEXT($C134,"0"),銘柄管理!$B$6:$B$305,0))-1,0,1,14)))/SUM(OFFSET(終値!$E$6,IFERROR(MATCH($C134,銘柄管理!$B$6:$B$305,0),MATCH(TEXT($C134,"0"),銘柄管理!$B$6:$B$305,0))-1,0,1,14))*100,"")</f>
      </c>
      <c r="BB134">
        <f>IFERROR((MAX(OFFSET(高値!$E$6,IFERROR(MATCH($C134,銘柄管理!$B$6:$B$305,0),MATCH(TEXT($C134,"0"),銘柄管理!$B$6:$B$305,0))-1,0,1,25))-MIN(OFFSET(安値!$E$6,IFERROR(MATCH($C134,銘柄管理!$B$6:$B$305,0),MATCH(TEXT($C134,"0"),銘柄管理!$B$6:$B$305,0))-1,0,1,25)))/$E134*100,"")</f>
      </c>
      <c r="BC134">
        <f>IFERROR(($F134-$G134)/$G134*100,"")</f>
      </c>
      <c r="BD134">
        <f>IFERROR(($E134-MAX(OFFSET(高値!$E$6,IFERROR(MATCH($C134,銘柄管理!$B$6:$B$305,0),MATCH(TEXT($C134,"0"),銘柄管理!$B$6:$B$305,0))-1,0,1,25)))/MAX(OFFSET(高値!$E$6,IFERROR(MATCH($C134,銘柄管理!$B$6:$B$305,0),MATCH(TEXT($C134,"0"),銘柄管理!$B$6:$B$305,0))-1,0,1,25))*100,"")</f>
      </c>
      <c r="BE134">
        <f>IFERROR(($H134-$I134)/$F134*100,"")</f>
      </c>
      <c r="BF134">
        <f>IFERROR(-(($BA134-AVERAGE($BA$3:$BA$206))/STDEV($BA$3:$BA$206))-(($BE134-AVERAGE($BE$3:$BE$206))/STDEV($BE$3:$BE$206))-(($BB134-AVERAGE($BB$3:$BB$206))/STDEV($BB$3:$BB$206))-(($Z134-AVERAGE($Z$3:$Z$206))/STDEV($Z$3:$Z$206))-(($BC134-AVERAGE($BC$3:$BC$206))/STDEV($BC$3:$BC$206)),"")</f>
      </c>
      <c r="BG134">
        <f>IF(OR($C134="",$C134="TOPX",$BA134="",$BF134=""),0,IF(AND($BK$10=1,$BA134&lt;=$BK$2,$BB134&lt;=$BK$3,$BC134&lt;=$BK$4,$Z134&lt;=$BK$5,$Z134&gt;=$BK$6,$BD134&gt;=$BK$7,$BE134&lt;=$BK$8),1,0))</f>
      </c>
      <c r="BH134">
        <f>IF($C134="","",IF($BG134=1,"○ゲート通過",IF($BK$10&lt;&gt;1,"― この方向は停止中",IF($BA134&gt;$BK$2,"×値動きが荒い",IF($BB134&gt;$BK$3,"×レンジが広い",IF($BC134&gt;$BK$4,"×窓を開けて上昇",IF($Z134&gt;$BK$5,"×前日に急騰",IF($Z134&lt;$BK$6,"×前日に急落",IF($BD134&lt;$BK$7,"×高値から離れすぎ",IF($BE134&gt;$BK$8,"×当日の値幅が大きい","×")))))))))</f>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 t="shared" si="44"/>
        <v>-13.543441226575808</v>
      </c>
      <c r="M135" s="326">
        <f>IF(C135&lt;&gt;"",IFERROR(AVERAGE(出来高!E168:I168),""),"")</f>
        <v>24980</v>
      </c>
      <c r="N135" s="326">
        <f>IF(C135&lt;&gt;"",IFERROR(AVERAGE(出来高!E168:AC168),""),"")</f>
        <v>24295.833333333332</v>
      </c>
      <c r="O135" s="328">
        <f t="shared" si="45"/>
        <v>0.89671737389911932</v>
      </c>
      <c r="P135" s="325" t="str">
        <f t="shared" si="46"/>
        <v>減少↓</v>
      </c>
      <c r="Q135" s="325" t="str">
        <f t="shared" si="47"/>
        <v>中立→</v>
      </c>
      <c r="R135" s="326">
        <f t="shared" si="48"/>
        <v>1868</v>
      </c>
      <c r="S135" s="326">
        <f t="shared" si="49"/>
        <v>2111</v>
      </c>
      <c r="T135" s="325">
        <f>IF(C135="","",IFERROR(IF(W135&lt;=22,-4,IF(W135&lt;=28,-2,IF(W135&lt;=45,2,IF(W135&lt;=55,1,0))))+IF(X135&lt;0,2,0)+IF(AD135="下降トレンド▼",3,IF(AD135="もみ合い→",1,0))+IF(V135="年初来安値圏●",3,IF(V135="安値圏",2,0))+IF(Q135="売り▼",2,0)+IF(P135="急増↑↑",2,IF(P135="増加↑",1,0))+IF(Z135&lt;0,1,0)+IF(L135&lt;=-30,2,IF(L135&lt;=-15,1,0))+IF(AE135="25日戻り売り★",2,IF(AE135="5日戻り売り○",1,0))+N(AL135)+N(AP135)+N(AU135),0))</f>
      </c>
      <c r="U135" s="325" t="str">
        <f t="shared" si="51"/>
        <v>要確認</v>
      </c>
      <c r="V135" s="325" t="str">
        <f t="shared" si="52"/>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 t="shared" si="53"/>
        <v>相場上昇・見送り | パーフェクト▲ MACD- RSI:50.3 前日比:-0.1% [上ヒゲ陰線▼] [4点]</v>
      </c>
      <c r="Z135" s="331">
        <f t="shared" si="54"/>
        <v>-0.14756517461878996</v>
      </c>
      <c r="AA135" s="325" t="str">
        <f t="shared" si="55"/>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 t="shared" si="56"/>
        <v>パーフェクト▲</v>
      </c>
      <c r="AE135" s="325" t="str">
        <f t="shared" si="57"/>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 t="shared" si="58"/>
        <v>0</v>
      </c>
      <c r="AH135">
        <f t="shared" si="59"/>
        <v>0</v>
      </c>
      <c r="AI135" s="373">
        <f t="array" ref="AI135">IF(C135="","",IFERROR((INDEX(終値!$E:$E,MATCH(TEXT(C135,"0"),終値!$A:$A,0))-INDEX(終値!$E:$CZ,MATCH(TEXT(C135,"0"),終値!$A:$A,0),$AN$2))/INDEX(終値!$E:$CZ,MATCH(TEXT(C135,"0"),終値!$A:$A,0),$AN$2)*100,""))</f>
        <v>5.3997923156801662</v>
      </c>
      <c r="AJ135" s="373">
        <f t="array" ref="AJ135">IFERROR((終値!$E$5-INDEX(終値!$E$5:$CZ$5,1,$AN$2))/INDEX(終値!$E$5:$CZ$5,1,$AN$2)*100,"")</f>
        <v>1.0179378228534113</v>
      </c>
      <c r="AK135" s="374">
        <f t="shared" si="60"/>
        <v>4.3818544928267551</v>
      </c>
      <c r="AL135" s="372">
        <f t="shared" si="61"/>
        <v>-2</v>
      </c>
      <c r="AO135" s="376" t="str">
        <f t="shared" si="62"/>
        <v>上ヒゲ陰線▼</v>
      </c>
      <c r="AP135" s="377">
        <f t="shared" si="63"/>
        <v>2</v>
      </c>
      <c r="AQ135">
        <f>IF(C135&lt;&gt;"",始値!F168,"")</f>
        <v>2016</v>
      </c>
      <c r="AR135">
        <f>IF(C135&lt;&gt;"",高値!F168,"")</f>
        <v>2064</v>
      </c>
      <c r="AS135">
        <f>IF(C135&lt;&gt;"",安値!F168,"")</f>
        <v>2016</v>
      </c>
      <c r="AT135" t="str">
        <f t="shared" si="64"/>
        <v>通常</v>
      </c>
      <c r="AU135">
        <f t="shared" si="65"/>
        <v>0</v>
      </c>
      <c r="BA135">
        <f>IFERROR((SUM(OFFSET(高値!$E$6,IFERROR(MATCH($C135,銘柄管理!$B$6:$B$305,0),MATCH(TEXT($C135,"0"),銘柄管理!$B$6:$B$305,0))-1,0,1,14))-SUM(OFFSET(安値!$E$6,IFERROR(MATCH($C135,銘柄管理!$B$6:$B$305,0),MATCH(TEXT($C135,"0"),銘柄管理!$B$6:$B$305,0))-1,0,1,14)))/SUM(OFFSET(終値!$E$6,IFERROR(MATCH($C135,銘柄管理!$B$6:$B$305,0),MATCH(TEXT($C135,"0"),銘柄管理!$B$6:$B$305,0))-1,0,1,14))*100,"")</f>
      </c>
      <c r="BB135">
        <f>IFERROR((MAX(OFFSET(高値!$E$6,IFERROR(MATCH($C135,銘柄管理!$B$6:$B$305,0),MATCH(TEXT($C135,"0"),銘柄管理!$B$6:$B$305,0))-1,0,1,25))-MIN(OFFSET(安値!$E$6,IFERROR(MATCH($C135,銘柄管理!$B$6:$B$305,0),MATCH(TEXT($C135,"0"),銘柄管理!$B$6:$B$305,0))-1,0,1,25)))/$E135*100,"")</f>
      </c>
      <c r="BC135">
        <f>IFERROR(($F135-$G135)/$G135*100,"")</f>
      </c>
      <c r="BD135">
        <f>IFERROR(($E135-MAX(OFFSET(高値!$E$6,IFERROR(MATCH($C135,銘柄管理!$B$6:$B$305,0),MATCH(TEXT($C135,"0"),銘柄管理!$B$6:$B$305,0))-1,0,1,25)))/MAX(OFFSET(高値!$E$6,IFERROR(MATCH($C135,銘柄管理!$B$6:$B$305,0),MATCH(TEXT($C135,"0"),銘柄管理!$B$6:$B$305,0))-1,0,1,25))*100,"")</f>
      </c>
      <c r="BE135">
        <f>IFERROR(($H135-$I135)/$F135*100,"")</f>
      </c>
      <c r="BF135">
        <f>IFERROR(-(($BA135-AVERAGE($BA$3:$BA$206))/STDEV($BA$3:$BA$206))-(($BE135-AVERAGE($BE$3:$BE$206))/STDEV($BE$3:$BE$206))-(($BB135-AVERAGE($BB$3:$BB$206))/STDEV($BB$3:$BB$206))-(($Z135-AVERAGE($Z$3:$Z$206))/STDEV($Z$3:$Z$206))-(($BC135-AVERAGE($BC$3:$BC$206))/STDEV($BC$3:$BC$206)),"")</f>
      </c>
      <c r="BG135">
        <f>IF(OR($C135="",$C135="TOPX",$BA135="",$BF135=""),0,IF(AND($BK$10=1,$BA135&lt;=$BK$2,$BB135&lt;=$BK$3,$BC135&lt;=$BK$4,$Z135&lt;=$BK$5,$Z135&gt;=$BK$6,$BD135&gt;=$BK$7,$BE135&lt;=$BK$8),1,0))</f>
      </c>
      <c r="BH135">
        <f>IF($C135="","",IF($BG135=1,"○ゲート通過",IF($BK$10&lt;&gt;1,"― この方向は停止中",IF($BA135&gt;$BK$2,"×値動きが荒い",IF($BB135&gt;$BK$3,"×レンジが広い",IF($BC135&gt;$BK$4,"×窓を開けて上昇",IF($Z135&gt;$BK$5,"×前日に急騰",IF($Z135&lt;$BK$6,"×前日に急落",IF($BD135&lt;$BK$7,"×高値から離れすぎ",IF($BE135&gt;$BK$8,"×当日の値幅が大きい","×")))))))))</f>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 t="shared" si="44"/>
        <v>-13.544668587896252</v>
      </c>
      <c r="M136" s="333">
        <f>IF(C136&lt;&gt;"",IFERROR(AVERAGE(出来高!E169:I169),""),"")</f>
        <v>210320</v>
      </c>
      <c r="N136" s="333">
        <f>IF(C136&lt;&gt;"",IFERROR(AVERAGE(出来高!E169:AC169),""),"")</f>
        <v>184648</v>
      </c>
      <c r="O136" s="335">
        <f t="shared" si="45"/>
        <v>0.49591099277291745</v>
      </c>
      <c r="P136" s="212" t="str">
        <f t="shared" si="46"/>
        <v>減少↓</v>
      </c>
      <c r="Q136" s="212" t="str">
        <f t="shared" si="47"/>
        <v>様子見▲</v>
      </c>
      <c r="R136" s="333">
        <f t="shared" si="48"/>
        <v>828</v>
      </c>
      <c r="S136" s="333">
        <f t="shared" si="49"/>
        <v>936</v>
      </c>
      <c r="T136" s="325">
        <f>IF(C136="","",IFERROR(IF(W136&lt;=22,-4,IF(W136&lt;=28,-2,IF(W136&lt;=45,2,IF(W136&lt;=55,1,0))))+IF(X136&lt;0,2,0)+IF(AD136="下降トレンド▼",3,IF(AD136="もみ合い→",1,0))+IF(V136="年初来安値圏●",3,IF(V136="安値圏",2,0))+IF(Q136="売り▼",2,0)+IF(P136="急増↑↑",2,IF(P136="増加↑",1,0))+IF(Z136&lt;0,1,0)+IF(L136&lt;=-30,2,IF(L136&lt;=-15,1,0))+IF(AE136="25日戻り売り★",2,IF(AE136="5日戻り売り○",1,0))+N(AL136)+N(AP136)+N(AU136),0))</f>
      </c>
      <c r="U136" s="212" t="str">
        <f t="shared" si="51"/>
        <v>要確認</v>
      </c>
      <c r="V136" s="212" t="str">
        <f t="shared" si="52"/>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 t="shared" si="53"/>
        <v>○逆張り売り | もみ合い→ 25日戻り売り★ MACD- RSI:38.3 前日比:+1.2% [4点]</v>
      </c>
      <c r="Z136" s="338">
        <f t="shared" si="54"/>
        <v>1.2373453318335208</v>
      </c>
      <c r="AA136" s="212" t="str">
        <f t="shared" si="55"/>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 t="shared" si="56"/>
        <v>もみ合い→</v>
      </c>
      <c r="AE136" s="212" t="str">
        <f t="shared" si="57"/>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 t="shared" si="58"/>
        <v>0</v>
      </c>
      <c r="AH136">
        <f t="shared" si="59"/>
        <v>0</v>
      </c>
      <c r="AI136" s="373">
        <f t="array" ref="AI136">IF(C136="","",IFERROR((INDEX(終値!$E:$E,MATCH(TEXT(C136,"0"),終値!$A:$A,0))-INDEX(終値!$E:$CZ,MATCH(TEXT(C136,"0"),終値!$A:$A,0),$AN$2))/INDEX(終値!$E:$CZ,MATCH(TEXT(C136,"0"),終値!$A:$A,0),$AN$2)*100,""))</f>
        <v>2.5056947608200453</v>
      </c>
      <c r="AJ136" s="373">
        <f t="array" ref="AJ136">IFERROR((終値!$E$5-INDEX(終値!$E$5:$CZ$5,1,$AN$2))/INDEX(終値!$E$5:$CZ$5,1,$AN$2)*100,"")</f>
        <v>1.0179378228534113</v>
      </c>
      <c r="AK136" s="374">
        <f t="shared" si="60"/>
        <v>1.487756937966634</v>
      </c>
      <c r="AL136" s="372">
        <f t="shared" si="61"/>
        <v>-1</v>
      </c>
      <c r="AO136" s="376" t="str">
        <f t="shared" si="62"/>
        <v>通常</v>
      </c>
      <c r="AP136" s="377">
        <f t="shared" si="63"/>
        <v>0</v>
      </c>
      <c r="AQ136">
        <f>IF(C136&lt;&gt;"",始値!F169,"")</f>
        <v>891</v>
      </c>
      <c r="AR136">
        <f>IF(C136&lt;&gt;"",高値!F169,"")</f>
        <v>900</v>
      </c>
      <c r="AS136">
        <f>IF(C136&lt;&gt;"",安値!F169,"")</f>
        <v>885</v>
      </c>
      <c r="AT136" t="str">
        <f t="shared" si="64"/>
        <v>通常</v>
      </c>
      <c r="AU136">
        <f t="shared" si="65"/>
        <v>0</v>
      </c>
      <c r="BA136">
        <f>IFERROR((SUM(OFFSET(高値!$E$6,IFERROR(MATCH($C136,銘柄管理!$B$6:$B$305,0),MATCH(TEXT($C136,"0"),銘柄管理!$B$6:$B$305,0))-1,0,1,14))-SUM(OFFSET(安値!$E$6,IFERROR(MATCH($C136,銘柄管理!$B$6:$B$305,0),MATCH(TEXT($C136,"0"),銘柄管理!$B$6:$B$305,0))-1,0,1,14)))/SUM(OFFSET(終値!$E$6,IFERROR(MATCH($C136,銘柄管理!$B$6:$B$305,0),MATCH(TEXT($C136,"0"),銘柄管理!$B$6:$B$305,0))-1,0,1,14))*100,"")</f>
      </c>
      <c r="BB136">
        <f>IFERROR((MAX(OFFSET(高値!$E$6,IFERROR(MATCH($C136,銘柄管理!$B$6:$B$305,0),MATCH(TEXT($C136,"0"),銘柄管理!$B$6:$B$305,0))-1,0,1,25))-MIN(OFFSET(安値!$E$6,IFERROR(MATCH($C136,銘柄管理!$B$6:$B$305,0),MATCH(TEXT($C136,"0"),銘柄管理!$B$6:$B$305,0))-1,0,1,25)))/$E136*100,"")</f>
      </c>
      <c r="BC136">
        <f>IFERROR(($F136-$G136)/$G136*100,"")</f>
      </c>
      <c r="BD136">
        <f>IFERROR(($E136-MAX(OFFSET(高値!$E$6,IFERROR(MATCH($C136,銘柄管理!$B$6:$B$305,0),MATCH(TEXT($C136,"0"),銘柄管理!$B$6:$B$305,0))-1,0,1,25)))/MAX(OFFSET(高値!$E$6,IFERROR(MATCH($C136,銘柄管理!$B$6:$B$305,0),MATCH(TEXT($C136,"0"),銘柄管理!$B$6:$B$305,0))-1,0,1,25))*100,"")</f>
      </c>
      <c r="BE136">
        <f>IFERROR(($H136-$I136)/$F136*100,"")</f>
      </c>
      <c r="BF136">
        <f>IFERROR(-(($BA136-AVERAGE($BA$3:$BA$206))/STDEV($BA$3:$BA$206))-(($BE136-AVERAGE($BE$3:$BE$206))/STDEV($BE$3:$BE$206))-(($BB136-AVERAGE($BB$3:$BB$206))/STDEV($BB$3:$BB$206))-(($Z136-AVERAGE($Z$3:$Z$206))/STDEV($Z$3:$Z$206))-(($BC136-AVERAGE($BC$3:$BC$206))/STDEV($BC$3:$BC$206)),"")</f>
      </c>
      <c r="BG136">
        <f>IF(OR($C136="",$C136="TOPX",$BA136="",$BF136=""),0,IF(AND($BK$10=1,$BA136&lt;=$BK$2,$BB136&lt;=$BK$3,$BC136&lt;=$BK$4,$Z136&lt;=$BK$5,$Z136&gt;=$BK$6,$BD136&gt;=$BK$7,$BE136&lt;=$BK$8),1,0))</f>
      </c>
      <c r="BH136">
        <f>IF($C136="","",IF($BG136=1,"○ゲート通過",IF($BK$10&lt;&gt;1,"― この方向は停止中",IF($BA136&gt;$BK$2,"×値動きが荒い",IF($BB136&gt;$BK$3,"×レンジが広い",IF($BC136&gt;$BK$4,"×窓を開けて上昇",IF($Z136&gt;$BK$5,"×前日に急騰",IF($Z136&lt;$BK$6,"×前日に急落",IF($BD136&lt;$BK$7,"×高値から離れすぎ",IF($BE136&gt;$BK$8,"×当日の値幅が大きい","×")))))))))</f>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 t="shared" si="44"/>
        <v>-3.6967418546365911</v>
      </c>
      <c r="M137" s="326">
        <f>IF(C137&lt;&gt;"",IFERROR(AVERAGE(出来高!E177:I177),""),"")</f>
        <v>553600</v>
      </c>
      <c r="N137" s="326">
        <f>IF(C137&lt;&gt;"",IFERROR(AVERAGE(出来高!E177:AC177),""),"")</f>
        <v>553600</v>
      </c>
      <c r="O137" s="328">
        <f t="shared" si="45"/>
        <v>0.82351878612716767</v>
      </c>
      <c r="P137" s="325" t="str">
        <f t="shared" si="46"/>
        <v>減少↓</v>
      </c>
      <c r="Q137" s="325" t="str">
        <f t="shared" si="47"/>
        <v>様子見▲</v>
      </c>
      <c r="R137" s="326">
        <f t="shared" si="48"/>
        <v>1414</v>
      </c>
      <c r="S137" s="326">
        <f t="shared" si="49"/>
        <v>1598</v>
      </c>
      <c r="T137" s="325">
        <f>IF(C137="","",IFERROR(IF(W137&lt;=22,-4,IF(W137&lt;=28,-2,IF(W137&lt;=45,2,IF(W137&lt;=55,1,0))))+IF(X137&lt;0,2,0)+IF(AD137="下降トレンド▼",3,IF(AD137="もみ合い→",1,0))+IF(V137="年初来安値圏●",3,IF(V137="安値圏",2,0))+IF(Q137="売り▼",2,0)+IF(P137="急増↑↑",2,IF(P137="増加↑",1,0))+IF(Z137&lt;0,1,0)+IF(L137&lt;=-30,2,IF(L137&lt;=-15,1,0))+IF(AE137="25日戻り売り★",2,IF(AE137="5日戻り売り○",1,0))+N(AL137)+N(AP137)+N(AU137),0))</f>
      </c>
      <c r="U137" s="325" t="str">
        <f t="shared" si="51"/>
        <v>除外</v>
      </c>
      <c r="V137" s="325" t="str">
        <f t="shared" si="52"/>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 t="shared" si="53"/>
        <v>相場上昇・見送り | パーフェクト▲ MACD+ RSI:50.0 前日比:+0.5% [1点]</v>
      </c>
      <c r="Z137" s="331">
        <f t="shared" si="54"/>
        <v>0.52321778940483976</v>
      </c>
      <c r="AA137" s="325" t="str">
        <f t="shared" si="55"/>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 t="shared" si="56"/>
        <v>パーフェクト▲</v>
      </c>
      <c r="AE137" s="325" t="str">
        <f t="shared" si="57"/>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 t="shared" si="58"/>
        <v>0</v>
      </c>
      <c r="AH137">
        <f t="shared" si="59"/>
        <v>0</v>
      </c>
      <c r="AI137" s="373" t="str">
        <f t="array" ref="AI137">IF(C137="","",IFERROR((INDEX(終値!$E:$E,MATCH(TEXT(C137,"0"),終値!$A:$A,0))-INDEX(終値!$E:$CZ,MATCH(TEXT(C137,"0"),終値!$A:$A,0),$AN$2))/INDEX(終値!$E:$CZ,MATCH(TEXT(C137,"0"),終値!$A:$A,0),$AN$2)*100,""))</f>
        <v/>
      </c>
      <c r="AJ137" s="373">
        <f t="array" ref="AJ137">IFERROR((終値!$E$5-INDEX(終値!$E$5:$CZ$5,1,$AN$2))/INDEX(終値!$E$5:$CZ$5,1,$AN$2)*100,"")</f>
        <v>1.0179378228534113</v>
      </c>
      <c r="AK137" s="374" t="str">
        <f t="shared" si="60"/>
        <v/>
      </c>
      <c r="AL137" s="372" t="str">
        <f t="shared" si="61"/>
        <v/>
      </c>
      <c r="AO137" s="376" t="str">
        <f t="shared" si="62"/>
        <v>通常</v>
      </c>
      <c r="AP137" s="377">
        <f t="shared" si="63"/>
        <v>0</v>
      </c>
      <c r="AQ137">
        <f>IF(C137&lt;&gt;"",始値!F177,"")</f>
        <v>1465</v>
      </c>
      <c r="AR137">
        <f>IF(C137&lt;&gt;"",高値!F177,"")</f>
        <v>1535</v>
      </c>
      <c r="AS137">
        <f>IF(C137&lt;&gt;"",安値!F177,"")</f>
        <v>1465</v>
      </c>
      <c r="AT137" t="str">
        <f t="shared" si="64"/>
        <v>通常</v>
      </c>
      <c r="AU137">
        <f t="shared" si="65"/>
        <v>0</v>
      </c>
      <c r="BA137">
        <f>IFERROR((SUM(OFFSET(高値!$E$6,IFERROR(MATCH($C137,銘柄管理!$B$6:$B$305,0),MATCH(TEXT($C137,"0"),銘柄管理!$B$6:$B$305,0))-1,0,1,14))-SUM(OFFSET(安値!$E$6,IFERROR(MATCH($C137,銘柄管理!$B$6:$B$305,0),MATCH(TEXT($C137,"0"),銘柄管理!$B$6:$B$305,0))-1,0,1,14)))/SUM(OFFSET(終値!$E$6,IFERROR(MATCH($C137,銘柄管理!$B$6:$B$305,0),MATCH(TEXT($C137,"0"),銘柄管理!$B$6:$B$305,0))-1,0,1,14))*100,"")</f>
      </c>
      <c r="BB137">
        <f>IFERROR((MAX(OFFSET(高値!$E$6,IFERROR(MATCH($C137,銘柄管理!$B$6:$B$305,0),MATCH(TEXT($C137,"0"),銘柄管理!$B$6:$B$305,0))-1,0,1,25))-MIN(OFFSET(安値!$E$6,IFERROR(MATCH($C137,銘柄管理!$B$6:$B$305,0),MATCH(TEXT($C137,"0"),銘柄管理!$B$6:$B$305,0))-1,0,1,25)))/$E137*100,"")</f>
      </c>
      <c r="BC137">
        <f>IFERROR(($F137-$G137)/$G137*100,"")</f>
      </c>
      <c r="BD137">
        <f>IFERROR(($E137-MAX(OFFSET(高値!$E$6,IFERROR(MATCH($C137,銘柄管理!$B$6:$B$305,0),MATCH(TEXT($C137,"0"),銘柄管理!$B$6:$B$305,0))-1,0,1,25)))/MAX(OFFSET(高値!$E$6,IFERROR(MATCH($C137,銘柄管理!$B$6:$B$305,0),MATCH(TEXT($C137,"0"),銘柄管理!$B$6:$B$305,0))-1,0,1,25))*100,"")</f>
      </c>
      <c r="BE137">
        <f>IFERROR(($H137-$I137)/$F137*100,"")</f>
      </c>
      <c r="BF137">
        <f>IFERROR(-(($BA137-AVERAGE($BA$3:$BA$206))/STDEV($BA$3:$BA$206))-(($BE137-AVERAGE($BE$3:$BE$206))/STDEV($BE$3:$BE$206))-(($BB137-AVERAGE($BB$3:$BB$206))/STDEV($BB$3:$BB$206))-(($Z137-AVERAGE($Z$3:$Z$206))/STDEV($Z$3:$Z$206))-(($BC137-AVERAGE($BC$3:$BC$206))/STDEV($BC$3:$BC$206)),"")</f>
      </c>
      <c r="BG137">
        <f>IF(OR($C137="",$C137="TOPX",$BA137="",$BF137=""),0,IF(AND($BK$10=1,$BA137&lt;=$BK$2,$BB137&lt;=$BK$3,$BC137&lt;=$BK$4,$Z137&lt;=$BK$5,$Z137&gt;=$BK$6,$BD137&gt;=$BK$7,$BE137&lt;=$BK$8),1,0))</f>
      </c>
      <c r="BH137">
        <f>IF($C137="","",IF($BG137=1,"○ゲート通過",IF($BK$10&lt;&gt;1,"― この方向は停止中",IF($BA137&gt;$BK$2,"×値動きが荒い",IF($BB137&gt;$BK$3,"×レンジが広い",IF($BC137&gt;$BK$4,"×窓を開けて上昇",IF($Z137&gt;$BK$5,"×前日に急騰",IF($Z137&lt;$BK$6,"×前日に急落",IF($BD137&lt;$BK$7,"×高値から離れすぎ",IF($BE137&gt;$BK$8,"×当日の値幅が大きい","×")))))))))</f>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 t="shared" si="44"/>
        <v>-32.041116005873718</v>
      </c>
      <c r="M138" s="333">
        <f>IF(C138&lt;&gt;"",IFERROR(AVERAGE(出来高!E193:I193),""),"")</f>
        <v>418560</v>
      </c>
      <c r="N138" s="333">
        <f>IF(C138&lt;&gt;"",IFERROR(AVERAGE(出来高!E193:AC193),""),"")</f>
        <v>619792</v>
      </c>
      <c r="O138" s="335">
        <f t="shared" si="45"/>
        <v>1.177131116207951</v>
      </c>
      <c r="P138" s="212" t="str">
        <f t="shared" si="46"/>
        <v>普通→</v>
      </c>
      <c r="Q138" s="212" t="str">
        <f t="shared" si="47"/>
        <v>様子見▲</v>
      </c>
      <c r="R138" s="333">
        <f t="shared" si="48"/>
        <v>2129</v>
      </c>
      <c r="S138" s="333">
        <f t="shared" si="49"/>
        <v>2407</v>
      </c>
      <c r="T138" s="325">
        <f>IF(C138="","",IFERROR(IF(W138&lt;=22,-4,IF(W138&lt;=28,-2,IF(W138&lt;=45,2,IF(W138&lt;=55,1,0))))+IF(X138&lt;0,2,0)+IF(AD138="下降トレンド▼",3,IF(AD138="もみ合い→",1,0))+IF(V138="年初来安値圏●",3,IF(V138="安値圏",2,0))+IF(Q138="売り▼",2,0)+IF(P138="急増↑↑",2,IF(P138="増加↑",1,0))+IF(Z138&lt;0,1,0)+IF(L138&lt;=-30,2,IF(L138&lt;=-15,1,0))+IF(AE138="25日戻り売り★",2,IF(AE138="5日戻り売り○",1,0))+N(AL138)+N(AP138)+N(AU138),0))</f>
      </c>
      <c r="U138" s="212" t="str">
        <f t="shared" si="51"/>
        <v>要確認</v>
      </c>
      <c r="V138" s="212" t="str">
        <f t="shared" si="52"/>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 t="shared" si="53"/>
        <v>相場上昇・見送り | パーフェクト▲ MACD+ RSI:56.9 前日比:+1.1% [安値圏] [3点]</v>
      </c>
      <c r="Z138" s="338">
        <f t="shared" si="54"/>
        <v>1.1363636363636365</v>
      </c>
      <c r="AA138" s="212" t="str">
        <f t="shared" si="55"/>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 t="shared" si="56"/>
        <v>パーフェクト▲</v>
      </c>
      <c r="AE138" s="212" t="str">
        <f t="shared" si="57"/>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 t="shared" si="58"/>
        <v>0</v>
      </c>
      <c r="AH138">
        <f t="shared" si="59"/>
        <v>0</v>
      </c>
      <c r="AI138" s="373">
        <f t="array" ref="AI138">IF(C138="","",IFERROR((INDEX(終値!$E:$E,MATCH(TEXT(C138,"0"),終値!$A:$A,0))-INDEX(終値!$E:$CZ,MATCH(TEXT(C138,"0"),終値!$A:$A,0),$AN$2))/INDEX(終値!$E:$CZ,MATCH(TEXT(C138,"0"),終値!$A:$A,0),$AN$2)*100,""))</f>
        <v>20.520833333333332</v>
      </c>
      <c r="AJ138" s="373">
        <f t="array" ref="AJ138">IFERROR((終値!$E$5-INDEX(終値!$E$5:$CZ$5,1,$AN$2))/INDEX(終値!$E$5:$CZ$5,1,$AN$2)*100,"")</f>
        <v>1.0179378228534113</v>
      </c>
      <c r="AK138" s="374">
        <f t="shared" si="60"/>
        <v>19.50289551047992</v>
      </c>
      <c r="AL138" s="372">
        <f t="shared" si="61"/>
        <v>-2</v>
      </c>
      <c r="AO138" s="376" t="str">
        <f t="shared" si="62"/>
        <v>通常</v>
      </c>
      <c r="AP138" s="377">
        <f t="shared" si="63"/>
        <v>0</v>
      </c>
      <c r="AQ138">
        <f>IF(C138&lt;&gt;"",始値!F193,"")</f>
        <v>2182</v>
      </c>
      <c r="AR138">
        <f>IF(C138&lt;&gt;"",高値!F193,"")</f>
        <v>2310</v>
      </c>
      <c r="AS138">
        <f>IF(C138&lt;&gt;"",安値!F193,"")</f>
        <v>2160</v>
      </c>
      <c r="AT138" t="str">
        <f t="shared" si="64"/>
        <v>通常</v>
      </c>
      <c r="AU138">
        <f t="shared" si="65"/>
        <v>0</v>
      </c>
      <c r="BA138">
        <f>IFERROR((SUM(OFFSET(高値!$E$6,IFERROR(MATCH($C138,銘柄管理!$B$6:$B$305,0),MATCH(TEXT($C138,"0"),銘柄管理!$B$6:$B$305,0))-1,0,1,14))-SUM(OFFSET(安値!$E$6,IFERROR(MATCH($C138,銘柄管理!$B$6:$B$305,0),MATCH(TEXT($C138,"0"),銘柄管理!$B$6:$B$305,0))-1,0,1,14)))/SUM(OFFSET(終値!$E$6,IFERROR(MATCH($C138,銘柄管理!$B$6:$B$305,0),MATCH(TEXT($C138,"0"),銘柄管理!$B$6:$B$305,0))-1,0,1,14))*100,"")</f>
      </c>
      <c r="BB138">
        <f>IFERROR((MAX(OFFSET(高値!$E$6,IFERROR(MATCH($C138,銘柄管理!$B$6:$B$305,0),MATCH(TEXT($C138,"0"),銘柄管理!$B$6:$B$305,0))-1,0,1,25))-MIN(OFFSET(安値!$E$6,IFERROR(MATCH($C138,銘柄管理!$B$6:$B$305,0),MATCH(TEXT($C138,"0"),銘柄管理!$B$6:$B$305,0))-1,0,1,25)))/$E138*100,"")</f>
      </c>
      <c r="BC138">
        <f>IFERROR(($F138-$G138)/$G138*100,"")</f>
      </c>
      <c r="BD138">
        <f>IFERROR(($E138-MAX(OFFSET(高値!$E$6,IFERROR(MATCH($C138,銘柄管理!$B$6:$B$305,0),MATCH(TEXT($C138,"0"),銘柄管理!$B$6:$B$305,0))-1,0,1,25)))/MAX(OFFSET(高値!$E$6,IFERROR(MATCH($C138,銘柄管理!$B$6:$B$305,0),MATCH(TEXT($C138,"0"),銘柄管理!$B$6:$B$305,0))-1,0,1,25))*100,"")</f>
      </c>
      <c r="BE138">
        <f>IFERROR(($H138-$I138)/$F138*100,"")</f>
      </c>
      <c r="BF138">
        <f>IFERROR(-(($BA138-AVERAGE($BA$3:$BA$206))/STDEV($BA$3:$BA$206))-(($BE138-AVERAGE($BE$3:$BE$206))/STDEV($BE$3:$BE$206))-(($BB138-AVERAGE($BB$3:$BB$206))/STDEV($BB$3:$BB$206))-(($Z138-AVERAGE($Z$3:$Z$206))/STDEV($Z$3:$Z$206))-(($BC138-AVERAGE($BC$3:$BC$206))/STDEV($BC$3:$BC$206)),"")</f>
      </c>
      <c r="BG138">
        <f>IF(OR($C138="",$C138="TOPX",$BA138="",$BF138=""),0,IF(AND($BK$10=1,$BA138&lt;=$BK$2,$BB138&lt;=$BK$3,$BC138&lt;=$BK$4,$Z138&lt;=$BK$5,$Z138&gt;=$BK$6,$BD138&gt;=$BK$7,$BE138&lt;=$BK$8),1,0))</f>
      </c>
      <c r="BH138">
        <f>IF($C138="","",IF($BG138=1,"○ゲート通過",IF($BK$10&lt;&gt;1,"― この方向は停止中",IF($BA138&gt;$BK$2,"×値動きが荒い",IF($BB138&gt;$BK$3,"×レンジが広い",IF($BC138&gt;$BK$4,"×窓を開けて上昇",IF($Z138&gt;$BK$5,"×前日に急騰",IF($Z138&lt;$BK$6,"×前日に急落",IF($BD138&lt;$BK$7,"×高値から離れすぎ",IF($BE138&gt;$BK$8,"×当日の値幅が大きい","×")))))))))</f>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 t="shared" si="44"/>
        <v>-22.299536116633529</v>
      </c>
      <c r="M139" s="326">
        <f>IF(C139&lt;&gt;"",IFERROR(AVERAGE(出来高!E11:I11),""),"")</f>
        <v>7196020</v>
      </c>
      <c r="N139" s="326">
        <f>IF(C139&lt;&gt;"",IFERROR(AVERAGE(出来高!E11:AC11),""),"")</f>
        <v>7094672</v>
      </c>
      <c r="O139" s="328">
        <f t="shared" si="45"/>
        <v>0.75985058407286254</v>
      </c>
      <c r="P139" s="325" t="str">
        <f t="shared" si="46"/>
        <v>減少↓</v>
      </c>
      <c r="Q139" s="325" t="str">
        <f t="shared" si="47"/>
        <v>様子見▲</v>
      </c>
      <c r="R139" s="326">
        <f t="shared" si="48"/>
        <v>4315</v>
      </c>
      <c r="S139" s="326">
        <f t="shared" si="49"/>
        <v>4878</v>
      </c>
      <c r="T139" s="325">
        <f>IF(C139="","",IFERROR(IF(W139&lt;=22,-4,IF(W139&lt;=28,-2,IF(W139&lt;=45,2,IF(W139&lt;=55,1,0))))+IF(X139&lt;0,2,0)+IF(AD139="下降トレンド▼",3,IF(AD139="もみ合い→",1,0))+IF(V139="年初来安値圏●",3,IF(V139="安値圏",2,0))+IF(Q139="売り▼",2,0)+IF(P139="急増↑↑",2,IF(P139="増加↑",1,0))+IF(Z139&lt;0,1,0)+IF(L139&lt;=-30,2,IF(L139&lt;=-15,1,0))+IF(AE139="25日戻り売り★",2,IF(AE139="5日戻り売り○",1,0))+N(AL139)+N(AP139)+N(AU139),0))</f>
      </c>
      <c r="U139" s="325" t="str">
        <f t="shared" si="51"/>
        <v>除外</v>
      </c>
      <c r="V139" s="325" t="str">
        <f t="shared" si="52"/>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 t="shared" si="53"/>
        <v>相場上昇・見送り | パーフェクト▲ MACD+ RSI:62.0 前日比:+1.3% [1点]</v>
      </c>
      <c r="Z139" s="331">
        <f t="shared" si="54"/>
        <v>1.2740228892247896</v>
      </c>
      <c r="AA139" s="325" t="str">
        <f t="shared" si="55"/>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 t="shared" si="56"/>
        <v>パーフェクト▲</v>
      </c>
      <c r="AE139" s="325" t="str">
        <f t="shared" si="57"/>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 t="shared" si="58"/>
        <v>0</v>
      </c>
      <c r="AH139">
        <f t="shared" si="59"/>
        <v>0</v>
      </c>
      <c r="AI139" s="373">
        <f t="array" ref="AI139">IF(C139="","",IFERROR((INDEX(終値!$E:$E,MATCH(TEXT(C139,"0"),終値!$A:$A,0))-INDEX(終値!$E:$CZ,MATCH(TEXT(C139,"0"),終値!$A:$A,0),$AN$2))/INDEX(終値!$E:$CZ,MATCH(TEXT(C139,"0"),終値!$A:$A,0),$AN$2)*100,""))</f>
        <v>17.809595579000252</v>
      </c>
      <c r="AJ139" s="373">
        <f t="array" ref="AJ139">IFERROR((終値!$E$5-INDEX(終値!$E$5:$CZ$5,1,$AN$2))/INDEX(終値!$E$5:$CZ$5,1,$AN$2)*100,"")</f>
        <v>1.0179378228534113</v>
      </c>
      <c r="AK139" s="374">
        <f t="shared" si="60"/>
        <v>16.79165775614684</v>
      </c>
      <c r="AL139" s="372">
        <f t="shared" si="61"/>
        <v>-2</v>
      </c>
      <c r="AO139" s="376" t="str">
        <f t="shared" si="62"/>
        <v>通常</v>
      </c>
      <c r="AP139" s="377">
        <f t="shared" si="63"/>
        <v>0</v>
      </c>
      <c r="AQ139">
        <f>IF(C139&lt;&gt;"",始値!F11,"")</f>
        <v>4677</v>
      </c>
      <c r="AR139">
        <f>IF(C139&lt;&gt;"",高値!F11,"")</f>
        <v>4753</v>
      </c>
      <c r="AS139">
        <f>IF(C139&lt;&gt;"",安値!F11,"")</f>
        <v>4631</v>
      </c>
      <c r="AT139" t="str">
        <f t="shared" si="64"/>
        <v>通常</v>
      </c>
      <c r="AU139">
        <f t="shared" si="65"/>
        <v>0</v>
      </c>
      <c r="BA139">
        <f>IFERROR((SUM(OFFSET(高値!$E$6,IFERROR(MATCH($C139,銘柄管理!$B$6:$B$305,0),MATCH(TEXT($C139,"0"),銘柄管理!$B$6:$B$305,0))-1,0,1,14))-SUM(OFFSET(安値!$E$6,IFERROR(MATCH($C139,銘柄管理!$B$6:$B$305,0),MATCH(TEXT($C139,"0"),銘柄管理!$B$6:$B$305,0))-1,0,1,14)))/SUM(OFFSET(終値!$E$6,IFERROR(MATCH($C139,銘柄管理!$B$6:$B$305,0),MATCH(TEXT($C139,"0"),銘柄管理!$B$6:$B$305,0))-1,0,1,14))*100,"")</f>
      </c>
      <c r="BB139">
        <f>IFERROR((MAX(OFFSET(高値!$E$6,IFERROR(MATCH($C139,銘柄管理!$B$6:$B$305,0),MATCH(TEXT($C139,"0"),銘柄管理!$B$6:$B$305,0))-1,0,1,25))-MIN(OFFSET(安値!$E$6,IFERROR(MATCH($C139,銘柄管理!$B$6:$B$305,0),MATCH(TEXT($C139,"0"),銘柄管理!$B$6:$B$305,0))-1,0,1,25)))/$E139*100,"")</f>
      </c>
      <c r="BC139">
        <f>IFERROR(($F139-$G139)/$G139*100,"")</f>
      </c>
      <c r="BD139">
        <f>IFERROR(($E139-MAX(OFFSET(高値!$E$6,IFERROR(MATCH($C139,銘柄管理!$B$6:$B$305,0),MATCH(TEXT($C139,"0"),銘柄管理!$B$6:$B$305,0))-1,0,1,25)))/MAX(OFFSET(高値!$E$6,IFERROR(MATCH($C139,銘柄管理!$B$6:$B$305,0),MATCH(TEXT($C139,"0"),銘柄管理!$B$6:$B$305,0))-1,0,1,25))*100,"")</f>
      </c>
      <c r="BE139">
        <f>IFERROR(($H139-$I139)/$F139*100,"")</f>
      </c>
      <c r="BF139">
        <f>IFERROR(-(($BA139-AVERAGE($BA$3:$BA$206))/STDEV($BA$3:$BA$206))-(($BE139-AVERAGE($BE$3:$BE$206))/STDEV($BE$3:$BE$206))-(($BB139-AVERAGE($BB$3:$BB$206))/STDEV($BB$3:$BB$206))-(($Z139-AVERAGE($Z$3:$Z$206))/STDEV($Z$3:$Z$206))-(($BC139-AVERAGE($BC$3:$BC$206))/STDEV($BC$3:$BC$206)),"")</f>
      </c>
      <c r="BG139">
        <f>IF(OR($C139="",$C139="TOPX",$BA139="",$BF139=""),0,IF(AND($BK$10=1,$BA139&lt;=$BK$2,$BB139&lt;=$BK$3,$BC139&lt;=$BK$4,$Z139&lt;=$BK$5,$Z139&gt;=$BK$6,$BD139&gt;=$BK$7,$BE139&lt;=$BK$8),1,0))</f>
      </c>
      <c r="BH139">
        <f>IF($C139="","",IF($BG139=1,"○ゲート通過",IF($BK$10&lt;&gt;1,"― この方向は停止中",IF($BA139&gt;$BK$2,"×値動きが荒い",IF($BB139&gt;$BK$3,"×レンジが広い",IF($BC139&gt;$BK$4,"×窓を開けて上昇",IF($Z139&gt;$BK$5,"×前日に急騰",IF($Z139&lt;$BK$6,"×前日に急落",IF($BD139&lt;$BK$7,"×高値から離れすぎ",IF($BE139&gt;$BK$8,"×当日の値幅が大きい","×")))))))))</f>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 t="shared" si="44"/>
        <v>-24.685816876122082</v>
      </c>
      <c r="M140" s="333">
        <f>IF(C140&lt;&gt;"",IFERROR(AVERAGE(出来高!E24:I24),""),"")</f>
        <v>3579260</v>
      </c>
      <c r="N140" s="333">
        <f>IF(C140&lt;&gt;"",IFERROR(AVERAGE(出来高!E24:AC24),""),"")</f>
        <v>3500392</v>
      </c>
      <c r="O140" s="335">
        <f t="shared" si="45"/>
        <v>0.90135949889083222</v>
      </c>
      <c r="P140" s="212" t="str">
        <f t="shared" si="46"/>
        <v>減少↓</v>
      </c>
      <c r="Q140" s="212" t="str">
        <f t="shared" si="47"/>
        <v>様子見▲</v>
      </c>
      <c r="R140" s="333">
        <f t="shared" si="48"/>
        <v>1158</v>
      </c>
      <c r="S140" s="333">
        <f t="shared" si="49"/>
        <v>1309</v>
      </c>
      <c r="T140" s="325">
        <f>IF(C140="","",IFERROR(IF(W140&lt;=22,-4,IF(W140&lt;=28,-2,IF(W140&lt;=45,2,IF(W140&lt;=55,1,0))))+IF(X140&lt;0,2,0)+IF(AD140="下降トレンド▼",3,IF(AD140="もみ合い→",1,0))+IF(V140="年初来安値圏●",3,IF(V140="安値圏",2,0))+IF(Q140="売り▼",2,0)+IF(P140="急増↑↑",2,IF(P140="増加↑",1,0))+IF(Z140&lt;0,1,0)+IF(L140&lt;=-30,2,IF(L140&lt;=-15,1,0))+IF(AE140="25日戻り売り★",2,IF(AE140="5日戻り売り○",1,0))+N(AL140)+N(AP140)+N(AU140),0))</f>
      </c>
      <c r="U140" s="212" t="str">
        <f t="shared" si="51"/>
        <v>要確認</v>
      </c>
      <c r="V140" s="212" t="str">
        <f t="shared" si="52"/>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 t="shared" si="53"/>
        <v>○逆張り売り | もみ合い→ 25日戻り売り★ MACD+ RSI:42.5 前日比:+1.4% [安値圏] [4点]</v>
      </c>
      <c r="Z140" s="338">
        <f t="shared" si="54"/>
        <v>1.4101531023368252</v>
      </c>
      <c r="AA140" s="212" t="str">
        <f t="shared" si="55"/>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 t="shared" si="56"/>
        <v>もみ合い→</v>
      </c>
      <c r="AE140" s="212" t="str">
        <f t="shared" si="57"/>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 t="shared" si="58"/>
        <v>0</v>
      </c>
      <c r="AH140">
        <f t="shared" si="59"/>
        <v>0</v>
      </c>
      <c r="AI140" s="373">
        <f t="array" ref="AI140">IF(C140="","",IFERROR((INDEX(終値!$E:$E,MATCH(TEXT(C140,"0"),終値!$A:$A,0))-INDEX(終値!$E:$CZ,MATCH(TEXT(C140,"0"),終値!$A:$A,0),$AN$2))/INDEX(終値!$E:$CZ,MATCH(TEXT(C140,"0"),終値!$A:$A,0),$AN$2)*100,""))</f>
        <v>6.0682680151706698</v>
      </c>
      <c r="AJ140" s="373">
        <f t="array" ref="AJ140">IFERROR((終値!$E$5-INDEX(終値!$E$5:$CZ$5,1,$AN$2))/INDEX(終値!$E$5:$CZ$5,1,$AN$2)*100,"")</f>
        <v>1.0179378228534113</v>
      </c>
      <c r="AK140" s="374">
        <f t="shared" si="60"/>
        <v>5.0503301923172588</v>
      </c>
      <c r="AL140" s="372">
        <f t="shared" si="61"/>
        <v>-2</v>
      </c>
      <c r="AO140" s="376" t="str">
        <f t="shared" si="62"/>
        <v>通常</v>
      </c>
      <c r="AP140" s="377">
        <f t="shared" si="63"/>
        <v>0</v>
      </c>
      <c r="AQ140">
        <f>IF(C140&lt;&gt;"",始値!F24,"")</f>
        <v>1244.5</v>
      </c>
      <c r="AR140">
        <f>IF(C140&lt;&gt;"",高値!F24,"")</f>
        <v>1255</v>
      </c>
      <c r="AS140">
        <f>IF(C140&lt;&gt;"",安値!F24,"")</f>
        <v>1231</v>
      </c>
      <c r="AT140" t="str">
        <f t="shared" si="64"/>
        <v>通常</v>
      </c>
      <c r="AU140">
        <f t="shared" si="65"/>
        <v>0</v>
      </c>
      <c r="BA140">
        <f>IFERROR((SUM(OFFSET(高値!$E$6,IFERROR(MATCH($C140,銘柄管理!$B$6:$B$305,0),MATCH(TEXT($C140,"0"),銘柄管理!$B$6:$B$305,0))-1,0,1,14))-SUM(OFFSET(安値!$E$6,IFERROR(MATCH($C140,銘柄管理!$B$6:$B$305,0),MATCH(TEXT($C140,"0"),銘柄管理!$B$6:$B$305,0))-1,0,1,14)))/SUM(OFFSET(終値!$E$6,IFERROR(MATCH($C140,銘柄管理!$B$6:$B$305,0),MATCH(TEXT($C140,"0"),銘柄管理!$B$6:$B$305,0))-1,0,1,14))*100,"")</f>
      </c>
      <c r="BB140">
        <f>IFERROR((MAX(OFFSET(高値!$E$6,IFERROR(MATCH($C140,銘柄管理!$B$6:$B$305,0),MATCH(TEXT($C140,"0"),銘柄管理!$B$6:$B$305,0))-1,0,1,25))-MIN(OFFSET(安値!$E$6,IFERROR(MATCH($C140,銘柄管理!$B$6:$B$305,0),MATCH(TEXT($C140,"0"),銘柄管理!$B$6:$B$305,0))-1,0,1,25)))/$E140*100,"")</f>
      </c>
      <c r="BC140">
        <f>IFERROR(($F140-$G140)/$G140*100,"")</f>
      </c>
      <c r="BD140">
        <f>IFERROR(($E140-MAX(OFFSET(高値!$E$6,IFERROR(MATCH($C140,銘柄管理!$B$6:$B$305,0),MATCH(TEXT($C140,"0"),銘柄管理!$B$6:$B$305,0))-1,0,1,25)))/MAX(OFFSET(高値!$E$6,IFERROR(MATCH($C140,銘柄管理!$B$6:$B$305,0),MATCH(TEXT($C140,"0"),銘柄管理!$B$6:$B$305,0))-1,0,1,25))*100,"")</f>
      </c>
      <c r="BE140">
        <f>IFERROR(($H140-$I140)/$F140*100,"")</f>
      </c>
      <c r="BF140">
        <f>IFERROR(-(($BA140-AVERAGE($BA$3:$BA$206))/STDEV($BA$3:$BA$206))-(($BE140-AVERAGE($BE$3:$BE$206))/STDEV($BE$3:$BE$206))-(($BB140-AVERAGE($BB$3:$BB$206))/STDEV($BB$3:$BB$206))-(($Z140-AVERAGE($Z$3:$Z$206))/STDEV($Z$3:$Z$206))-(($BC140-AVERAGE($BC$3:$BC$206))/STDEV($BC$3:$BC$206)),"")</f>
      </c>
      <c r="BG140">
        <f>IF(OR($C140="",$C140="TOPX",$BA140="",$BF140=""),0,IF(AND($BK$10=1,$BA140&lt;=$BK$2,$BB140&lt;=$BK$3,$BC140&lt;=$BK$4,$Z140&lt;=$BK$5,$Z140&gt;=$BK$6,$BD140&gt;=$BK$7,$BE140&lt;=$BK$8),1,0))</f>
      </c>
      <c r="BH140">
        <f>IF($C140="","",IF($BG140=1,"○ゲート通過",IF($BK$10&lt;&gt;1,"― この方向は停止中",IF($BA140&gt;$BK$2,"×値動きが荒い",IF($BB140&gt;$BK$3,"×レンジが広い",IF($BC140&gt;$BK$4,"×窓を開けて上昇",IF($Z140&gt;$BK$5,"×前日に急騰",IF($Z140&lt;$BK$6,"×前日に急落",IF($BD140&lt;$BK$7,"×高値から離れすぎ",IF($BE140&gt;$BK$8,"×当日の値幅が大きい","×")))))))))</f>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 t="shared" si="44"/>
        <v>-16.264090177133657</v>
      </c>
      <c r="M141" s="326">
        <f>IF(C141&lt;&gt;"",IFERROR(AVERAGE(出来高!E29:I29),""),"")</f>
        <v>7169920</v>
      </c>
      <c r="N141" s="326">
        <f>IF(C141&lt;&gt;"",IFERROR(AVERAGE(出来高!E29:AC29),""),"")</f>
        <v>6764208</v>
      </c>
      <c r="O141" s="328">
        <f t="shared" si="45"/>
        <v>0.90285526198339727</v>
      </c>
      <c r="P141" s="325" t="str">
        <f t="shared" si="46"/>
        <v>減少↓</v>
      </c>
      <c r="Q141" s="325" t="str">
        <f t="shared" si="47"/>
        <v>様子見▲</v>
      </c>
      <c r="R141" s="326">
        <f t="shared" si="48"/>
        <v>1196</v>
      </c>
      <c r="S141" s="326">
        <f t="shared" si="49"/>
        <v>1352</v>
      </c>
      <c r="T141" s="325">
        <f>IF(C141="","",IFERROR(IF(W141&lt;=22,-4,IF(W141&lt;=28,-2,IF(W141&lt;=45,2,IF(W141&lt;=55,1,0))))+IF(X141&lt;0,2,0)+IF(AD141="下降トレンド▼",3,IF(AD141="もみ合い→",1,0))+IF(V141="年初来安値圏●",3,IF(V141="安値圏",2,0))+IF(Q141="売り▼",2,0)+IF(P141="急増↑↑",2,IF(P141="増加↑",1,0))+IF(Z141&lt;0,1,0)+IF(L141&lt;=-30,2,IF(L141&lt;=-15,1,0))+IF(AE141="25日戻り売り★",2,IF(AE141="5日戻り売り○",1,0))+N(AL141)+N(AP141)+N(AU141),0))</f>
      </c>
      <c r="U141" s="325" t="str">
        <f t="shared" si="51"/>
        <v>除外</v>
      </c>
      <c r="V141" s="325" t="str">
        <f t="shared" si="52"/>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 t="shared" si="53"/>
        <v>相場上昇・見送り | パーフェクト▲ MACD+ RSI:50.0 前日比:+1.3% [0点]</v>
      </c>
      <c r="Z141" s="331">
        <f t="shared" si="54"/>
        <v>1.3250194855806703</v>
      </c>
      <c r="AA141" s="325" t="str">
        <f t="shared" si="55"/>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 t="shared" si="56"/>
        <v>パーフェクト▲</v>
      </c>
      <c r="AE141" s="325" t="str">
        <f t="shared" si="57"/>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 t="shared" si="58"/>
        <v>0</v>
      </c>
      <c r="AH141">
        <f t="shared" si="59"/>
        <v>0</v>
      </c>
      <c r="AI141" s="373">
        <f t="array" ref="AI141">IF(C141="","",IFERROR((INDEX(終値!$E:$E,MATCH(TEXT(C141,"0"),終値!$A:$A,0))-INDEX(終値!$E:$CZ,MATCH(TEXT(C141,"0"),終値!$A:$A,0),$AN$2))/INDEX(終値!$E:$CZ,MATCH(TEXT(C141,"0"),終値!$A:$A,0),$AN$2)*100,""))</f>
        <v>7.839070924927416</v>
      </c>
      <c r="AJ141" s="373">
        <f t="array" ref="AJ141">IFERROR((終値!$E$5-INDEX(終値!$E$5:$CZ$5,1,$AN$2))/INDEX(終値!$E$5:$CZ$5,1,$AN$2)*100,"")</f>
        <v>1.0179378228534113</v>
      </c>
      <c r="AK141" s="374">
        <f t="shared" si="60"/>
        <v>6.8211331020740049</v>
      </c>
      <c r="AL141" s="372">
        <f t="shared" si="61"/>
        <v>-2</v>
      </c>
      <c r="AO141" s="376" t="str">
        <f t="shared" si="62"/>
        <v>通常</v>
      </c>
      <c r="AP141" s="377">
        <f t="shared" si="63"/>
        <v>0</v>
      </c>
      <c r="AQ141">
        <f>IF(C141&lt;&gt;"",始値!F29,"")</f>
        <v>1279</v>
      </c>
      <c r="AR141">
        <f>IF(C141&lt;&gt;"",高値!F29,"")</f>
        <v>1301</v>
      </c>
      <c r="AS141">
        <f>IF(C141&lt;&gt;"",安値!F29,"")</f>
        <v>1273.5</v>
      </c>
      <c r="AT141" t="str">
        <f t="shared" si="64"/>
        <v>通常</v>
      </c>
      <c r="AU141">
        <f t="shared" si="65"/>
        <v>0</v>
      </c>
      <c r="BA141">
        <f>IFERROR((SUM(OFFSET(高値!$E$6,IFERROR(MATCH($C141,銘柄管理!$B$6:$B$305,0),MATCH(TEXT($C141,"0"),銘柄管理!$B$6:$B$305,0))-1,0,1,14))-SUM(OFFSET(安値!$E$6,IFERROR(MATCH($C141,銘柄管理!$B$6:$B$305,0),MATCH(TEXT($C141,"0"),銘柄管理!$B$6:$B$305,0))-1,0,1,14)))/SUM(OFFSET(終値!$E$6,IFERROR(MATCH($C141,銘柄管理!$B$6:$B$305,0),MATCH(TEXT($C141,"0"),銘柄管理!$B$6:$B$305,0))-1,0,1,14))*100,"")</f>
      </c>
      <c r="BB141">
        <f>IFERROR((MAX(OFFSET(高値!$E$6,IFERROR(MATCH($C141,銘柄管理!$B$6:$B$305,0),MATCH(TEXT($C141,"0"),銘柄管理!$B$6:$B$305,0))-1,0,1,25))-MIN(OFFSET(安値!$E$6,IFERROR(MATCH($C141,銘柄管理!$B$6:$B$305,0),MATCH(TEXT($C141,"0"),銘柄管理!$B$6:$B$305,0))-1,0,1,25)))/$E141*100,"")</f>
      </c>
      <c r="BC141">
        <f>IFERROR(($F141-$G141)/$G141*100,"")</f>
      </c>
      <c r="BD141">
        <f>IFERROR(($E141-MAX(OFFSET(高値!$E$6,IFERROR(MATCH($C141,銘柄管理!$B$6:$B$305,0),MATCH(TEXT($C141,"0"),銘柄管理!$B$6:$B$305,0))-1,0,1,25)))/MAX(OFFSET(高値!$E$6,IFERROR(MATCH($C141,銘柄管理!$B$6:$B$305,0),MATCH(TEXT($C141,"0"),銘柄管理!$B$6:$B$305,0))-1,0,1,25))*100,"")</f>
      </c>
      <c r="BE141">
        <f>IFERROR(($H141-$I141)/$F141*100,"")</f>
      </c>
      <c r="BF141">
        <f>IFERROR(-(($BA141-AVERAGE($BA$3:$BA$206))/STDEV($BA$3:$BA$206))-(($BE141-AVERAGE($BE$3:$BE$206))/STDEV($BE$3:$BE$206))-(($BB141-AVERAGE($BB$3:$BB$206))/STDEV($BB$3:$BB$206))-(($Z141-AVERAGE($Z$3:$Z$206))/STDEV($Z$3:$Z$206))-(($BC141-AVERAGE($BC$3:$BC$206))/STDEV($BC$3:$BC$206)),"")</f>
      </c>
      <c r="BG141">
        <f>IF(OR($C141="",$C141="TOPX",$BA141="",$BF141=""),0,IF(AND($BK$10=1,$BA141&lt;=$BK$2,$BB141&lt;=$BK$3,$BC141&lt;=$BK$4,$Z141&lt;=$BK$5,$Z141&gt;=$BK$6,$BD141&gt;=$BK$7,$BE141&lt;=$BK$8),1,0))</f>
      </c>
      <c r="BH141">
        <f>IF($C141="","",IF($BG141=1,"○ゲート通過",IF($BK$10&lt;&gt;1,"― この方向は停止中",IF($BA141&gt;$BK$2,"×値動きが荒い",IF($BB141&gt;$BK$3,"×レンジが広い",IF($BC141&gt;$BK$4,"×窓を開けて上昇",IF($Z141&gt;$BK$5,"×前日に急騰",IF($Z141&lt;$BK$6,"×前日に急落",IF($BD141&lt;$BK$7,"×高値から離れすぎ",IF($BE141&gt;$BK$8,"×当日の値幅が大きい","×")))))))))</f>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 t="shared" si="44"/>
        <v>-1.1768349334159183</v>
      </c>
      <c r="M142" s="333">
        <f>IF(C142&lt;&gt;"",IFERROR(AVERAGE(出来高!E48:I48),""),"")</f>
        <v>1423000</v>
      </c>
      <c r="N142" s="333">
        <f>IF(C142&lt;&gt;"",IFERROR(AVERAGE(出来高!E48:AC48),""),"")</f>
        <v>1069400</v>
      </c>
      <c r="O142" s="335">
        <f t="shared" si="45"/>
        <v>1.2791286015460295</v>
      </c>
      <c r="P142" s="212" t="str">
        <f t="shared" si="46"/>
        <v>普通→</v>
      </c>
      <c r="Q142" s="212" t="str">
        <f t="shared" si="47"/>
        <v>中立→</v>
      </c>
      <c r="R142" s="333">
        <f t="shared" si="48"/>
        <v>1468</v>
      </c>
      <c r="S142" s="333">
        <f t="shared" si="49"/>
        <v>1659</v>
      </c>
      <c r="T142" s="325">
        <f>IF(C142="","",IFERROR(IF(W142&lt;=22,-4,IF(W142&lt;=28,-2,IF(W142&lt;=45,2,IF(W142&lt;=55,1,0))))+IF(X142&lt;0,2,0)+IF(AD142="下降トレンド▼",3,IF(AD142="もみ合い→",1,0))+IF(V142="年初来安値圏●",3,IF(V142="安値圏",2,0))+IF(Q142="売り▼",2,0)+IF(P142="急増↑↑",2,IF(P142="増加↑",1,0))+IF(Z142&lt;0,1,0)+IF(L142&lt;=-30,2,IF(L142&lt;=-15,1,0))+IF(AE142="25日戻り売り★",2,IF(AE142="5日戻り売り○",1,0))+N(AL142)+N(AP142)+N(AU142),0))</f>
      </c>
      <c r="U142" s="212" t="str">
        <f t="shared" si="51"/>
        <v>除外</v>
      </c>
      <c r="V142" s="212" t="str">
        <f t="shared" si="52"/>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 t="shared" si="53"/>
        <v>◎反落確認 | パーフェクト▲ MACD+ RSI:77.0 [過熱] 前日比:-1.2% [2点]</v>
      </c>
      <c r="Z142" s="338">
        <f t="shared" si="54"/>
        <v>-1.1768349334159183</v>
      </c>
      <c r="AA142" s="212" t="str">
        <f t="shared" si="55"/>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 t="shared" si="56"/>
        <v>パーフェクト▲</v>
      </c>
      <c r="AE142" s="212" t="str">
        <f t="shared" si="57"/>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 t="shared" si="58"/>
        <v>0</v>
      </c>
      <c r="AH142">
        <f t="shared" si="59"/>
        <v>0</v>
      </c>
      <c r="AI142" s="373">
        <f t="array" ref="AI142">IF(C142="","",IFERROR((INDEX(終値!$E:$E,MATCH(TEXT(C142,"0"),終値!$A:$A,0))-INDEX(終値!$E:$CZ,MATCH(TEXT(C142,"0"),終値!$A:$A,0),$AN$2))/INDEX(終値!$E:$CZ,MATCH(TEXT(C142,"0"),終値!$A:$A,0),$AN$2)*100,""))</f>
        <v>12.716354645001765</v>
      </c>
      <c r="AJ142" s="373">
        <f t="array" ref="AJ142">IFERROR((終値!$E$5-INDEX(終値!$E$5:$CZ$5,1,$AN$2))/INDEX(終値!$E$5:$CZ$5,1,$AN$2)*100,"")</f>
        <v>1.0179378228534113</v>
      </c>
      <c r="AK142" s="374">
        <f t="shared" si="60"/>
        <v>11.698416822148353</v>
      </c>
      <c r="AL142" s="372">
        <f t="shared" si="61"/>
        <v>-2</v>
      </c>
      <c r="AO142" s="376" t="str">
        <f t="shared" si="62"/>
        <v>通常</v>
      </c>
      <c r="AP142" s="377">
        <f t="shared" si="63"/>
        <v>0</v>
      </c>
      <c r="AQ142">
        <f>IF(C142&lt;&gt;"",始値!F48,"")</f>
        <v>1507</v>
      </c>
      <c r="AR142">
        <f>IF(C142&lt;&gt;"",高値!F48,"")</f>
        <v>1614.5</v>
      </c>
      <c r="AS142">
        <f>IF(C142&lt;&gt;"",安値!F48,"")</f>
        <v>1492</v>
      </c>
      <c r="AT142" t="str">
        <f t="shared" si="64"/>
        <v>通常</v>
      </c>
      <c r="AU142">
        <f t="shared" si="65"/>
        <v>0</v>
      </c>
      <c r="BA142">
        <f>IFERROR((SUM(OFFSET(高値!$E$6,IFERROR(MATCH($C142,銘柄管理!$B$6:$B$305,0),MATCH(TEXT($C142,"0"),銘柄管理!$B$6:$B$305,0))-1,0,1,14))-SUM(OFFSET(安値!$E$6,IFERROR(MATCH($C142,銘柄管理!$B$6:$B$305,0),MATCH(TEXT($C142,"0"),銘柄管理!$B$6:$B$305,0))-1,0,1,14)))/SUM(OFFSET(終値!$E$6,IFERROR(MATCH($C142,銘柄管理!$B$6:$B$305,0),MATCH(TEXT($C142,"0"),銘柄管理!$B$6:$B$305,0))-1,0,1,14))*100,"")</f>
      </c>
      <c r="BB142">
        <f>IFERROR((MAX(OFFSET(高値!$E$6,IFERROR(MATCH($C142,銘柄管理!$B$6:$B$305,0),MATCH(TEXT($C142,"0"),銘柄管理!$B$6:$B$305,0))-1,0,1,25))-MIN(OFFSET(安値!$E$6,IFERROR(MATCH($C142,銘柄管理!$B$6:$B$305,0),MATCH(TEXT($C142,"0"),銘柄管理!$B$6:$B$305,0))-1,0,1,25)))/$E142*100,"")</f>
      </c>
      <c r="BC142">
        <f>IFERROR(($F142-$G142)/$G142*100,"")</f>
      </c>
      <c r="BD142">
        <f>IFERROR(($E142-MAX(OFFSET(高値!$E$6,IFERROR(MATCH($C142,銘柄管理!$B$6:$B$305,0),MATCH(TEXT($C142,"0"),銘柄管理!$B$6:$B$305,0))-1,0,1,25)))/MAX(OFFSET(高値!$E$6,IFERROR(MATCH($C142,銘柄管理!$B$6:$B$305,0),MATCH(TEXT($C142,"0"),銘柄管理!$B$6:$B$305,0))-1,0,1,25))*100,"")</f>
      </c>
      <c r="BE142">
        <f>IFERROR(($H142-$I142)/$F142*100,"")</f>
      </c>
      <c r="BF142">
        <f>IFERROR(-(($BA142-AVERAGE($BA$3:$BA$206))/STDEV($BA$3:$BA$206))-(($BE142-AVERAGE($BE$3:$BE$206))/STDEV($BE$3:$BE$206))-(($BB142-AVERAGE($BB$3:$BB$206))/STDEV($BB$3:$BB$206))-(($Z142-AVERAGE($Z$3:$Z$206))/STDEV($Z$3:$Z$206))-(($BC142-AVERAGE($BC$3:$BC$206))/STDEV($BC$3:$BC$206)),"")</f>
      </c>
      <c r="BG142">
        <f>IF(OR($C142="",$C142="TOPX",$BA142="",$BF142=""),0,IF(AND($BK$10=1,$BA142&lt;=$BK$2,$BB142&lt;=$BK$3,$BC142&lt;=$BK$4,$Z142&lt;=$BK$5,$Z142&gt;=$BK$6,$BD142&gt;=$BK$7,$BE142&lt;=$BK$8),1,0))</f>
      </c>
      <c r="BH142">
        <f>IF($C142="","",IF($BG142=1,"○ゲート通過",IF($BK$10&lt;&gt;1,"― この方向は停止中",IF($BA142&gt;$BK$2,"×値動きが荒い",IF($BB142&gt;$BK$3,"×レンジが広い",IF($BC142&gt;$BK$4,"×窓を開けて上昇",IF($Z142&gt;$BK$5,"×前日に急騰",IF($Z142&lt;$BK$6,"×前日に急落",IF($BD142&lt;$BK$7,"×高値から離れすぎ",IF($BE142&gt;$BK$8,"×当日の値幅が大きい","×")))))))))</f>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 t="shared" si="44"/>
        <v>-17.741165234001912</v>
      </c>
      <c r="M143" s="326">
        <f>IF(C143&lt;&gt;"",IFERROR(AVERAGE(出来高!E88:I88),""),"")</f>
        <v>3053580</v>
      </c>
      <c r="N143" s="326">
        <f>IF(C143&lt;&gt;"",IFERROR(AVERAGE(出来高!E88:AC88),""),"")</f>
        <v>2849512</v>
      </c>
      <c r="O143" s="328">
        <f t="shared" si="45"/>
        <v>0.74561662049135768</v>
      </c>
      <c r="P143" s="325" t="str">
        <f t="shared" si="46"/>
        <v>減少↓</v>
      </c>
      <c r="Q143" s="325" t="str">
        <f t="shared" si="47"/>
        <v>様子見▲</v>
      </c>
      <c r="R143" s="326">
        <f t="shared" si="48"/>
        <v>1585</v>
      </c>
      <c r="S143" s="326">
        <f t="shared" si="49"/>
        <v>1791</v>
      </c>
      <c r="T143" s="325">
        <f>IF(C143="","",IFERROR(IF(W143&lt;=22,-4,IF(W143&lt;=28,-2,IF(W143&lt;=45,2,IF(W143&lt;=55,1,0))))+IF(X143&lt;0,2,0)+IF(AD143="下降トレンド▼",3,IF(AD143="もみ合い→",1,0))+IF(V143="年初来安値圏●",3,IF(V143="安値圏",2,0))+IF(Q143="売り▼",2,0)+IF(P143="急増↑↑",2,IF(P143="増加↑",1,0))+IF(Z143&lt;0,1,0)+IF(L143&lt;=-30,2,IF(L143&lt;=-15,1,0))+IF(AE143="25日戻り売り★",2,IF(AE143="5日戻り売り○",1,0))+N(AL143)+N(AP143)+N(AU143),0))</f>
      </c>
      <c r="U143" s="325" t="str">
        <f t="shared" si="51"/>
        <v>要確認</v>
      </c>
      <c r="V143" s="325" t="str">
        <f t="shared" si="52"/>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 t="shared" si="53"/>
        <v>相場上昇・見送り | もみ合い→ MACD- RSI:41.8 前日比:+0.6% [3点]</v>
      </c>
      <c r="Z143" s="331">
        <f t="shared" si="54"/>
        <v>0.58394160583941601</v>
      </c>
      <c r="AA143" s="325" t="str">
        <f t="shared" si="55"/>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 t="shared" si="56"/>
        <v>もみ合い→</v>
      </c>
      <c r="AE143" s="325" t="str">
        <f t="shared" si="57"/>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 t="shared" si="58"/>
        <v>0</v>
      </c>
      <c r="AH143">
        <f t="shared" si="59"/>
        <v>0</v>
      </c>
      <c r="AI143" s="373">
        <f t="array" ref="AI143">IF(C143="","",IFERROR((INDEX(終値!$E:$E,MATCH(TEXT(C143,"0"),終値!$A:$A,0))-INDEX(終値!$E:$CZ,MATCH(TEXT(C143,"0"),終値!$A:$A,0),$AN$2))/INDEX(終値!$E:$CZ,MATCH(TEXT(C143,"0"),終値!$A:$A,0),$AN$2)*100,""))</f>
        <v>3.4845298888555121</v>
      </c>
      <c r="AJ143" s="373">
        <f t="array" ref="AJ143">IFERROR((終値!$E$5-INDEX(終値!$E$5:$CZ$5,1,$AN$2))/INDEX(終値!$E$5:$CZ$5,1,$AN$2)*100,"")</f>
        <v>1.0179378228534113</v>
      </c>
      <c r="AK143" s="374">
        <f t="shared" si="60"/>
        <v>2.466592066002101</v>
      </c>
      <c r="AL143" s="372">
        <f t="shared" si="61"/>
        <v>-1</v>
      </c>
      <c r="AO143" s="376" t="str">
        <f t="shared" si="62"/>
        <v>通常</v>
      </c>
      <c r="AP143" s="377">
        <f t="shared" si="63"/>
        <v>0</v>
      </c>
      <c r="AQ143">
        <f>IF(C143&lt;&gt;"",始値!F88,"")</f>
        <v>1719</v>
      </c>
      <c r="AR143">
        <f>IF(C143&lt;&gt;"",高値!F88,"")</f>
        <v>1728</v>
      </c>
      <c r="AS143">
        <f>IF(C143&lt;&gt;"",安値!F88,"")</f>
        <v>1699</v>
      </c>
      <c r="AT143" t="str">
        <f t="shared" si="64"/>
        <v>通常</v>
      </c>
      <c r="AU143">
        <f t="shared" si="65"/>
        <v>0</v>
      </c>
      <c r="BA143">
        <f>IFERROR((SUM(OFFSET(高値!$E$6,IFERROR(MATCH($C143,銘柄管理!$B$6:$B$305,0),MATCH(TEXT($C143,"0"),銘柄管理!$B$6:$B$305,0))-1,0,1,14))-SUM(OFFSET(安値!$E$6,IFERROR(MATCH($C143,銘柄管理!$B$6:$B$305,0),MATCH(TEXT($C143,"0"),銘柄管理!$B$6:$B$305,0))-1,0,1,14)))/SUM(OFFSET(終値!$E$6,IFERROR(MATCH($C143,銘柄管理!$B$6:$B$305,0),MATCH(TEXT($C143,"0"),銘柄管理!$B$6:$B$305,0))-1,0,1,14))*100,"")</f>
      </c>
      <c r="BB143">
        <f>IFERROR((MAX(OFFSET(高値!$E$6,IFERROR(MATCH($C143,銘柄管理!$B$6:$B$305,0),MATCH(TEXT($C143,"0"),銘柄管理!$B$6:$B$305,0))-1,0,1,25))-MIN(OFFSET(安値!$E$6,IFERROR(MATCH($C143,銘柄管理!$B$6:$B$305,0),MATCH(TEXT($C143,"0"),銘柄管理!$B$6:$B$305,0))-1,0,1,25)))/$E143*100,"")</f>
      </c>
      <c r="BC143">
        <f>IFERROR(($F143-$G143)/$G143*100,"")</f>
      </c>
      <c r="BD143">
        <f>IFERROR(($E143-MAX(OFFSET(高値!$E$6,IFERROR(MATCH($C143,銘柄管理!$B$6:$B$305,0),MATCH(TEXT($C143,"0"),銘柄管理!$B$6:$B$305,0))-1,0,1,25)))/MAX(OFFSET(高値!$E$6,IFERROR(MATCH($C143,銘柄管理!$B$6:$B$305,0),MATCH(TEXT($C143,"0"),銘柄管理!$B$6:$B$305,0))-1,0,1,25))*100,"")</f>
      </c>
      <c r="BE143">
        <f>IFERROR(($H143-$I143)/$F143*100,"")</f>
      </c>
      <c r="BF143">
        <f>IFERROR(-(($BA143-AVERAGE($BA$3:$BA$206))/STDEV($BA$3:$BA$206))-(($BE143-AVERAGE($BE$3:$BE$206))/STDEV($BE$3:$BE$206))-(($BB143-AVERAGE($BB$3:$BB$206))/STDEV($BB$3:$BB$206))-(($Z143-AVERAGE($Z$3:$Z$206))/STDEV($Z$3:$Z$206))-(($BC143-AVERAGE($BC$3:$BC$206))/STDEV($BC$3:$BC$206)),"")</f>
      </c>
      <c r="BG143">
        <f>IF(OR($C143="",$C143="TOPX",$BA143="",$BF143=""),0,IF(AND($BK$10=1,$BA143&lt;=$BK$2,$BB143&lt;=$BK$3,$BC143&lt;=$BK$4,$Z143&lt;=$BK$5,$Z143&gt;=$BK$6,$BD143&gt;=$BK$7,$BE143&lt;=$BK$8),1,0))</f>
      </c>
      <c r="BH143">
        <f>IF($C143="","",IF($BG143=1,"○ゲート通過",IF($BK$10&lt;&gt;1,"― この方向は停止中",IF($BA143&gt;$BK$2,"×値動きが荒い",IF($BB143&gt;$BK$3,"×レンジが広い",IF($BC143&gt;$BK$4,"×窓を開けて上昇",IF($Z143&gt;$BK$5,"×前日に急騰",IF($Z143&lt;$BK$6,"×前日に急落",IF($BD143&lt;$BK$7,"×高値から離れすぎ",IF($BE143&gt;$BK$8,"×当日の値幅が大きい","×")))))))))</f>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 t="shared" si="44"/>
        <v>-55.555555555555557</v>
      </c>
      <c r="M144" s="333">
        <f>IF(C144&lt;&gt;"",IFERROR(AVERAGE(出来高!E93:I93),""),"")</f>
        <v>269200</v>
      </c>
      <c r="N144" s="333">
        <f>IF(C144&lt;&gt;"",IFERROR(AVERAGE(出来高!E93:AC93),""),"")</f>
        <v>497712</v>
      </c>
      <c r="O144" s="335">
        <f t="shared" si="45"/>
        <v>0.83098068350668652</v>
      </c>
      <c r="P144" s="212" t="str">
        <f t="shared" si="46"/>
        <v>減少↓</v>
      </c>
      <c r="Q144" s="212" t="str">
        <f t="shared" si="47"/>
        <v>中立→</v>
      </c>
      <c r="R144" s="333">
        <f t="shared" si="48"/>
        <v>670</v>
      </c>
      <c r="S144" s="333">
        <f t="shared" si="49"/>
        <v>757</v>
      </c>
      <c r="T144" s="325">
        <f>IF(C144="","",IFERROR(IF(W144&lt;=22,-4,IF(W144&lt;=28,-2,IF(W144&lt;=45,2,IF(W144&lt;=55,1,0))))+IF(X144&lt;0,2,0)+IF(AD144="下降トレンド▼",3,IF(AD144="もみ合い→",1,0))+IF(V144="年初来安値圏●",3,IF(V144="安値圏",2,0))+IF(Q144="売り▼",2,0)+IF(P144="急増↑↑",2,IF(P144="増加↑",1,0))+IF(Z144&lt;0,1,0)+IF(L144&lt;=-30,2,IF(L144&lt;=-15,1,0))+IF(AE144="25日戻り売り★",2,IF(AE144="5日戻り売り○",1,0))+N(AL144)+N(AP144)+N(AU144),0))</f>
      </c>
      <c r="U144" s="212" t="str">
        <f t="shared" si="51"/>
        <v>要確認</v>
      </c>
      <c r="V144" s="212" t="str">
        <f t="shared" si="52"/>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 t="shared" si="53"/>
        <v>★逆張り売り | 下降トレンド▼ 5日戻り売り○ MACD- RSI:35.6 前日比:-1.9% [年初来安値圏] [15点]</v>
      </c>
      <c r="Z144" s="338">
        <f t="shared" si="54"/>
        <v>-1.8867924528301887</v>
      </c>
      <c r="AA144" s="212" t="str">
        <f t="shared" si="55"/>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 t="shared" si="56"/>
        <v>下降トレンド▼</v>
      </c>
      <c r="AE144" s="212" t="str">
        <f t="shared" si="57"/>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 t="shared" si="58"/>
        <v>15</v>
      </c>
      <c r="AH144">
        <f t="shared" si="59"/>
        <v>149856</v>
      </c>
      <c r="AI144" s="373">
        <f t="array" ref="AI144">IF(C144="","",IFERROR((INDEX(終値!$E:$E,MATCH(TEXT(C144,"0"),終値!$A:$A,0))-INDEX(終値!$E:$CZ,MATCH(TEXT(C144,"0"),終値!$A:$A,0),$AN$2))/INDEX(終値!$E:$CZ,MATCH(TEXT(C144,"0"),終値!$A:$A,0),$AN$2)*100,""))</f>
        <v>-16.894977168949772</v>
      </c>
      <c r="AJ144" s="373">
        <f t="array" ref="AJ144">IFERROR((終値!$E$5-INDEX(終値!$E$5:$CZ$5,1,$AN$2))/INDEX(終値!$E$5:$CZ$5,1,$AN$2)*100,"")</f>
        <v>1.0179378228534113</v>
      </c>
      <c r="AK144" s="374">
        <f t="shared" si="60"/>
        <v>-17.912914991803184</v>
      </c>
      <c r="AL144" s="372">
        <f t="shared" si="61"/>
        <v>3</v>
      </c>
      <c r="AO144" s="376" t="str">
        <f t="shared" si="62"/>
        <v>通常</v>
      </c>
      <c r="AP144" s="377">
        <f t="shared" si="63"/>
        <v>0</v>
      </c>
      <c r="AQ144">
        <f>IF(C144&lt;&gt;"",始値!F93,"")</f>
        <v>733</v>
      </c>
      <c r="AR144">
        <f>IF(C144&lt;&gt;"",高値!F93,"")</f>
        <v>755</v>
      </c>
      <c r="AS144">
        <f>IF(C144&lt;&gt;"",安値!F93,"")</f>
        <v>733</v>
      </c>
      <c r="AT144" t="str">
        <f t="shared" si="64"/>
        <v>通常</v>
      </c>
      <c r="AU144">
        <f t="shared" si="65"/>
        <v>0</v>
      </c>
      <c r="BA144">
        <f>IFERROR((SUM(OFFSET(高値!$E$6,IFERROR(MATCH($C144,銘柄管理!$B$6:$B$305,0),MATCH(TEXT($C144,"0"),銘柄管理!$B$6:$B$305,0))-1,0,1,14))-SUM(OFFSET(安値!$E$6,IFERROR(MATCH($C144,銘柄管理!$B$6:$B$305,0),MATCH(TEXT($C144,"0"),銘柄管理!$B$6:$B$305,0))-1,0,1,14)))/SUM(OFFSET(終値!$E$6,IFERROR(MATCH($C144,銘柄管理!$B$6:$B$305,0),MATCH(TEXT($C144,"0"),銘柄管理!$B$6:$B$305,0))-1,0,1,14))*100,"")</f>
      </c>
      <c r="BB144">
        <f>IFERROR((MAX(OFFSET(高値!$E$6,IFERROR(MATCH($C144,銘柄管理!$B$6:$B$305,0),MATCH(TEXT($C144,"0"),銘柄管理!$B$6:$B$305,0))-1,0,1,25))-MIN(OFFSET(安値!$E$6,IFERROR(MATCH($C144,銘柄管理!$B$6:$B$305,0),MATCH(TEXT($C144,"0"),銘柄管理!$B$6:$B$305,0))-1,0,1,25)))/$E144*100,"")</f>
      </c>
      <c r="BC144">
        <f>IFERROR(($F144-$G144)/$G144*100,"")</f>
      </c>
      <c r="BD144">
        <f>IFERROR(($E144-MAX(OFFSET(高値!$E$6,IFERROR(MATCH($C144,銘柄管理!$B$6:$B$305,0),MATCH(TEXT($C144,"0"),銘柄管理!$B$6:$B$305,0))-1,0,1,25)))/MAX(OFFSET(高値!$E$6,IFERROR(MATCH($C144,銘柄管理!$B$6:$B$305,0),MATCH(TEXT($C144,"0"),銘柄管理!$B$6:$B$305,0))-1,0,1,25))*100,"")</f>
      </c>
      <c r="BE144">
        <f>IFERROR(($H144-$I144)/$F144*100,"")</f>
      </c>
      <c r="BF144">
        <f>IFERROR(-(($BA144-AVERAGE($BA$3:$BA$206))/STDEV($BA$3:$BA$206))-(($BE144-AVERAGE($BE$3:$BE$206))/STDEV($BE$3:$BE$206))-(($BB144-AVERAGE($BB$3:$BB$206))/STDEV($BB$3:$BB$206))-(($Z144-AVERAGE($Z$3:$Z$206))/STDEV($Z$3:$Z$206))-(($BC144-AVERAGE($BC$3:$BC$206))/STDEV($BC$3:$BC$206)),"")</f>
      </c>
      <c r="BG144">
        <f>IF(OR($C144="",$C144="TOPX",$BA144="",$BF144=""),0,IF(AND($BK$10=1,$BA144&lt;=$BK$2,$BB144&lt;=$BK$3,$BC144&lt;=$BK$4,$Z144&lt;=$BK$5,$Z144&gt;=$BK$6,$BD144&gt;=$BK$7,$BE144&lt;=$BK$8),1,0))</f>
      </c>
      <c r="BH144">
        <f>IF($C144="","",IF($BG144=1,"○ゲート通過",IF($BK$10&lt;&gt;1,"― この方向は停止中",IF($BA144&gt;$BK$2,"×値動きが荒い",IF($BB144&gt;$BK$3,"×レンジが広い",IF($BC144&gt;$BK$4,"×窓を開けて上昇",IF($Z144&gt;$BK$5,"×前日に急騰",IF($Z144&lt;$BK$6,"×前日に急落",IF($BD144&lt;$BK$7,"×高値から離れすぎ",IF($BE144&gt;$BK$8,"×当日の値幅が大きい","×")))))))))</f>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 t="shared" si="44"/>
        <v>-3.8945233265720081</v>
      </c>
      <c r="M145" s="326">
        <f>IF(C145&lt;&gt;"",IFERROR(AVERAGE(出来高!E98:I98),""),"")</f>
        <v>8540860</v>
      </c>
      <c r="N145" s="326">
        <f>IF(C145&lt;&gt;"",IFERROR(AVERAGE(出来高!E98:AC98),""),"")</f>
        <v>6489016.666666667</v>
      </c>
      <c r="O145" s="328">
        <f t="shared" si="45"/>
        <v>0.57582023355961809</v>
      </c>
      <c r="P145" s="325" t="str">
        <f t="shared" si="46"/>
        <v>減少↓</v>
      </c>
      <c r="Q145" s="325" t="str">
        <f t="shared" si="47"/>
        <v>様子見▲</v>
      </c>
      <c r="R145" s="326">
        <f t="shared" si="48"/>
        <v>1090</v>
      </c>
      <c r="S145" s="326">
        <f t="shared" si="49"/>
        <v>1232</v>
      </c>
      <c r="T145" s="325">
        <f>IF(C145="","",IFERROR(IF(W145&lt;=22,-4,IF(W145&lt;=28,-2,IF(W145&lt;=45,2,IF(W145&lt;=55,1,0))))+IF(X145&lt;0,2,0)+IF(AD145="下降トレンド▼",3,IF(AD145="もみ合い→",1,0))+IF(V145="年初来安値圏●",3,IF(V145="安値圏",2,0))+IF(Q145="売り▼",2,0)+IF(P145="急増↑↑",2,IF(P145="増加↑",1,0))+IF(Z145&lt;0,1,0)+IF(L145&lt;=-30,2,IF(L145&lt;=-15,1,0))+IF(AE145="25日戻り売り★",2,IF(AE145="5日戻り売り○",1,0))+N(AL145)+N(AP145)+N(AU145),0))</f>
      </c>
      <c r="U145" s="325" t="str">
        <f t="shared" si="51"/>
        <v>除外</v>
      </c>
      <c r="V145" s="325" t="str">
        <f t="shared" si="52"/>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 t="shared" si="53"/>
        <v>相場上昇・見送り | パーフェクト▲ MACD- RSI:48.8 前日比:+2.6% [0点]</v>
      </c>
      <c r="Z145" s="331">
        <f t="shared" si="54"/>
        <v>2.59852750108272</v>
      </c>
      <c r="AA145" s="325" t="str">
        <f t="shared" si="55"/>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 t="shared" si="56"/>
        <v>パーフェクト▲</v>
      </c>
      <c r="AE145" s="325" t="str">
        <f t="shared" si="57"/>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 t="shared" si="58"/>
        <v>0</v>
      </c>
      <c r="AH145">
        <f t="shared" si="59"/>
        <v>0</v>
      </c>
      <c r="AI145" s="373">
        <f t="array" ref="AI145">IF(C145="","",IFERROR((INDEX(終値!$E:$E,MATCH(TEXT(C145,"0"),終値!$A:$A,0))-INDEX(終値!$E:$CZ,MATCH(TEXT(C145,"0"),終値!$A:$A,0),$AN$2))/INDEX(終値!$E:$CZ,MATCH(TEXT(C145,"0"),終値!$A:$A,0),$AN$2)*100,""))</f>
        <v>6.2331838565022419</v>
      </c>
      <c r="AJ145" s="373">
        <f t="array" ref="AJ145">IFERROR((終値!$E$5-INDEX(終値!$E$5:$CZ$5,1,$AN$2))/INDEX(終値!$E$5:$CZ$5,1,$AN$2)*100,"")</f>
        <v>1.0179378228534113</v>
      </c>
      <c r="AK145" s="374">
        <f t="shared" si="60"/>
        <v>5.2152460336488309</v>
      </c>
      <c r="AL145" s="372">
        <f t="shared" si="61"/>
        <v>-2</v>
      </c>
      <c r="AO145" s="376" t="str">
        <f t="shared" si="62"/>
        <v>通常</v>
      </c>
      <c r="AP145" s="377">
        <f t="shared" si="63"/>
        <v>0</v>
      </c>
      <c r="AQ145">
        <f>IF(C145&lt;&gt;"",始値!F98,"")</f>
        <v>1130</v>
      </c>
      <c r="AR145">
        <f>IF(C145&lt;&gt;"",高値!F98,"")</f>
        <v>1164</v>
      </c>
      <c r="AS145">
        <f>IF(C145&lt;&gt;"",安値!F98,"")</f>
        <v>1123</v>
      </c>
      <c r="AT145" t="str">
        <f t="shared" si="64"/>
        <v>通常</v>
      </c>
      <c r="AU145">
        <f t="shared" si="65"/>
        <v>0</v>
      </c>
      <c r="BA145">
        <f>IFERROR((SUM(OFFSET(高値!$E$6,IFERROR(MATCH($C145,銘柄管理!$B$6:$B$305,0),MATCH(TEXT($C145,"0"),銘柄管理!$B$6:$B$305,0))-1,0,1,14))-SUM(OFFSET(安値!$E$6,IFERROR(MATCH($C145,銘柄管理!$B$6:$B$305,0),MATCH(TEXT($C145,"0"),銘柄管理!$B$6:$B$305,0))-1,0,1,14)))/SUM(OFFSET(終値!$E$6,IFERROR(MATCH($C145,銘柄管理!$B$6:$B$305,0),MATCH(TEXT($C145,"0"),銘柄管理!$B$6:$B$305,0))-1,0,1,14))*100,"")</f>
      </c>
      <c r="BB145">
        <f>IFERROR((MAX(OFFSET(高値!$E$6,IFERROR(MATCH($C145,銘柄管理!$B$6:$B$305,0),MATCH(TEXT($C145,"0"),銘柄管理!$B$6:$B$305,0))-1,0,1,25))-MIN(OFFSET(安値!$E$6,IFERROR(MATCH($C145,銘柄管理!$B$6:$B$305,0),MATCH(TEXT($C145,"0"),銘柄管理!$B$6:$B$305,0))-1,0,1,25)))/$E145*100,"")</f>
      </c>
      <c r="BC145">
        <f>IFERROR(($F145-$G145)/$G145*100,"")</f>
      </c>
      <c r="BD145">
        <f>IFERROR(($E145-MAX(OFFSET(高値!$E$6,IFERROR(MATCH($C145,銘柄管理!$B$6:$B$305,0),MATCH(TEXT($C145,"0"),銘柄管理!$B$6:$B$305,0))-1,0,1,25)))/MAX(OFFSET(高値!$E$6,IFERROR(MATCH($C145,銘柄管理!$B$6:$B$305,0),MATCH(TEXT($C145,"0"),銘柄管理!$B$6:$B$305,0))-1,0,1,25))*100,"")</f>
      </c>
      <c r="BE145">
        <f>IFERROR(($H145-$I145)/$F145*100,"")</f>
      </c>
      <c r="BF145">
        <f>IFERROR(-(($BA145-AVERAGE($BA$3:$BA$206))/STDEV($BA$3:$BA$206))-(($BE145-AVERAGE($BE$3:$BE$206))/STDEV($BE$3:$BE$206))-(($BB145-AVERAGE($BB$3:$BB$206))/STDEV($BB$3:$BB$206))-(($Z145-AVERAGE($Z$3:$Z$206))/STDEV($Z$3:$Z$206))-(($BC145-AVERAGE($BC$3:$BC$206))/STDEV($BC$3:$BC$206)),"")</f>
      </c>
      <c r="BG145">
        <f>IF(OR($C145="",$C145="TOPX",$BA145="",$BF145=""),0,IF(AND($BK$10=1,$BA145&lt;=$BK$2,$BB145&lt;=$BK$3,$BC145&lt;=$BK$4,$Z145&lt;=$BK$5,$Z145&gt;=$BK$6,$BD145&gt;=$BK$7,$BE145&lt;=$BK$8),1,0))</f>
      </c>
      <c r="BH145">
        <f>IF($C145="","",IF($BG145=1,"○ゲート通過",IF($BK$10&lt;&gt;1,"― この方向は停止中",IF($BA145&gt;$BK$2,"×値動きが荒い",IF($BB145&gt;$BK$3,"×レンジが広い",IF($BC145&gt;$BK$4,"×窓を開けて上昇",IF($Z145&gt;$BK$5,"×前日に急騰",IF($Z145&lt;$BK$6,"×前日に急落",IF($BD145&lt;$BK$7,"×高値から離れすぎ",IF($BE145&gt;$BK$8,"×当日の値幅が大きい","×")))))))))</f>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 t="shared" si="44"/>
        <v>-44.506172839506178</v>
      </c>
      <c r="M146" s="333">
        <f>IF(C146&lt;&gt;"",IFERROR(AVERAGE(出来高!E111:I111),""),"")</f>
        <v>256380</v>
      </c>
      <c r="N146" s="333">
        <f>IF(C146&lt;&gt;"",IFERROR(AVERAGE(出来高!E111:AC111),""),"")</f>
        <v>396204.16666666669</v>
      </c>
      <c r="O146" s="335">
        <f t="shared" si="45"/>
        <v>0.58389890007020828</v>
      </c>
      <c r="P146" s="212" t="str">
        <f t="shared" si="46"/>
        <v>減少↓</v>
      </c>
      <c r="Q146" s="212" t="str">
        <f t="shared" si="47"/>
        <v>様子見▲</v>
      </c>
      <c r="R146" s="333">
        <f t="shared" si="48"/>
        <v>827</v>
      </c>
      <c r="S146" s="333">
        <f t="shared" si="49"/>
        <v>935</v>
      </c>
      <c r="T146" s="325">
        <f>IF(C146="","",IFERROR(IF(W146&lt;=22,-4,IF(W146&lt;=28,-2,IF(W146&lt;=45,2,IF(W146&lt;=55,1,0))))+IF(X146&lt;0,2,0)+IF(AD146="下降トレンド▼",3,IF(AD146="もみ合い→",1,0))+IF(V146="年初来安値圏●",3,IF(V146="安値圏",2,0))+IF(Q146="売り▼",2,0)+IF(P146="急増↑↑",2,IF(P146="増加↑",1,0))+IF(Z146&lt;0,1,0)+IF(L146&lt;=-30,2,IF(L146&lt;=-15,1,0))+IF(AE146="25日戻り売り★",2,IF(AE146="5日戻り売り○",1,0))+N(AL146)+N(AP146)+N(AU146),0))</f>
      </c>
      <c r="U146" s="212" t="str">
        <f t="shared" si="51"/>
        <v>要確認</v>
      </c>
      <c r="V146" s="212" t="str">
        <f t="shared" si="52"/>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 t="shared" si="53"/>
        <v>相場上昇・見送り | パーフェクト▲ MACD- RSI:51.2 前日比:+0.7% [年初来安値圏] [11点]</v>
      </c>
      <c r="Z146" s="338">
        <f t="shared" si="54"/>
        <v>0.67189249720044786</v>
      </c>
      <c r="AA146" s="212" t="str">
        <f t="shared" si="55"/>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 t="shared" si="56"/>
        <v>パーフェクト▲</v>
      </c>
      <c r="AE146" s="212" t="str">
        <f t="shared" si="57"/>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 t="shared" si="58"/>
        <v>11</v>
      </c>
      <c r="AH146">
        <f t="shared" si="59"/>
        <v>109854</v>
      </c>
      <c r="AI146" s="373">
        <f t="array" ref="AI146">IF(C146="","",IFERROR((INDEX(終値!$E:$E,MATCH(TEXT(C146,"0"),終値!$A:$A,0))-INDEX(終値!$E:$CZ,MATCH(TEXT(C146,"0"),終値!$A:$A,0),$AN$2))/INDEX(終値!$E:$CZ,MATCH(TEXT(C146,"0"),終値!$A:$A,0),$AN$2)*100,""))</f>
        <v>-4.3617021276595747</v>
      </c>
      <c r="AJ146" s="373">
        <f t="array" ref="AJ146">IFERROR((終値!$E$5-INDEX(終値!$E$5:$CZ$5,1,$AN$2))/INDEX(終値!$E$5:$CZ$5,1,$AN$2)*100,"")</f>
        <v>1.0179378228534113</v>
      </c>
      <c r="AK146" s="374">
        <f t="shared" si="60"/>
        <v>-5.3796399505129857</v>
      </c>
      <c r="AL146" s="372">
        <f t="shared" si="61"/>
        <v>3</v>
      </c>
      <c r="AO146" s="376" t="str">
        <f t="shared" si="62"/>
        <v>通常</v>
      </c>
      <c r="AP146" s="377">
        <f t="shared" si="63"/>
        <v>0</v>
      </c>
      <c r="AQ146">
        <f>IF(C146&lt;&gt;"",始値!F111,"")</f>
        <v>866</v>
      </c>
      <c r="AR146">
        <f>IF(C146&lt;&gt;"",高値!F111,"")</f>
        <v>898</v>
      </c>
      <c r="AS146">
        <f>IF(C146&lt;&gt;"",安値!F111,"")</f>
        <v>865</v>
      </c>
      <c r="AT146" t="str">
        <f t="shared" si="64"/>
        <v>通常</v>
      </c>
      <c r="AU146">
        <f t="shared" si="65"/>
        <v>0</v>
      </c>
      <c r="BA146">
        <f>IFERROR((SUM(OFFSET(高値!$E$6,IFERROR(MATCH($C146,銘柄管理!$B$6:$B$305,0),MATCH(TEXT($C146,"0"),銘柄管理!$B$6:$B$305,0))-1,0,1,14))-SUM(OFFSET(安値!$E$6,IFERROR(MATCH($C146,銘柄管理!$B$6:$B$305,0),MATCH(TEXT($C146,"0"),銘柄管理!$B$6:$B$305,0))-1,0,1,14)))/SUM(OFFSET(終値!$E$6,IFERROR(MATCH($C146,銘柄管理!$B$6:$B$305,0),MATCH(TEXT($C146,"0"),銘柄管理!$B$6:$B$305,0))-1,0,1,14))*100,"")</f>
      </c>
      <c r="BB146">
        <f>IFERROR((MAX(OFFSET(高値!$E$6,IFERROR(MATCH($C146,銘柄管理!$B$6:$B$305,0),MATCH(TEXT($C146,"0"),銘柄管理!$B$6:$B$305,0))-1,0,1,25))-MIN(OFFSET(安値!$E$6,IFERROR(MATCH($C146,銘柄管理!$B$6:$B$305,0),MATCH(TEXT($C146,"0"),銘柄管理!$B$6:$B$305,0))-1,0,1,25)))/$E146*100,"")</f>
      </c>
      <c r="BC146">
        <f>IFERROR(($F146-$G146)/$G146*100,"")</f>
      </c>
      <c r="BD146">
        <f>IFERROR(($E146-MAX(OFFSET(高値!$E$6,IFERROR(MATCH($C146,銘柄管理!$B$6:$B$305,0),MATCH(TEXT($C146,"0"),銘柄管理!$B$6:$B$305,0))-1,0,1,25)))/MAX(OFFSET(高値!$E$6,IFERROR(MATCH($C146,銘柄管理!$B$6:$B$305,0),MATCH(TEXT($C146,"0"),銘柄管理!$B$6:$B$305,0))-1,0,1,25))*100,"")</f>
      </c>
      <c r="BE146">
        <f>IFERROR(($H146-$I146)/$F146*100,"")</f>
      </c>
      <c r="BF146">
        <f>IFERROR(-(($BA146-AVERAGE($BA$3:$BA$206))/STDEV($BA$3:$BA$206))-(($BE146-AVERAGE($BE$3:$BE$206))/STDEV($BE$3:$BE$206))-(($BB146-AVERAGE($BB$3:$BB$206))/STDEV($BB$3:$BB$206))-(($Z146-AVERAGE($Z$3:$Z$206))/STDEV($Z$3:$Z$206))-(($BC146-AVERAGE($BC$3:$BC$206))/STDEV($BC$3:$BC$206)),"")</f>
      </c>
      <c r="BG146">
        <f>IF(OR($C146="",$C146="TOPX",$BA146="",$BF146=""),0,IF(AND($BK$10=1,$BA146&lt;=$BK$2,$BB146&lt;=$BK$3,$BC146&lt;=$BK$4,$Z146&lt;=$BK$5,$Z146&gt;=$BK$6,$BD146&gt;=$BK$7,$BE146&lt;=$BK$8),1,0))</f>
      </c>
      <c r="BH146">
        <f>IF($C146="","",IF($BG146=1,"○ゲート通過",IF($BK$10&lt;&gt;1,"― この方向は停止中",IF($BA146&gt;$BK$2,"×値動きが荒い",IF($BB146&gt;$BK$3,"×レンジが広い",IF($BC146&gt;$BK$4,"×窓を開けて上昇",IF($Z146&gt;$BK$5,"×前日に急騰",IF($Z146&lt;$BK$6,"×前日に急落",IF($BD146&lt;$BK$7,"×高値から離れすぎ",IF($BE146&gt;$BK$8,"×当日の値幅が大きい","×")))))))))</f>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 t="shared" si="44"/>
        <v>-40.753461414618442</v>
      </c>
      <c r="M147" s="326">
        <f>IF(C147&lt;&gt;"",IFERROR(AVERAGE(出来高!E117:I117),""),"")</f>
        <v>1057000</v>
      </c>
      <c r="N147" s="326">
        <f>IF(C147&lt;&gt;"",IFERROR(AVERAGE(出来高!E117:AC117),""),"")</f>
        <v>1103732</v>
      </c>
      <c r="O147" s="328">
        <f t="shared" si="45"/>
        <v>1.1195837275307474</v>
      </c>
      <c r="P147" s="325" t="str">
        <f t="shared" si="46"/>
        <v>普通→</v>
      </c>
      <c r="Q147" s="325" t="str">
        <f t="shared" si="47"/>
        <v>中立→</v>
      </c>
      <c r="R147" s="326">
        <f t="shared" si="48"/>
        <v>5078</v>
      </c>
      <c r="S147" s="326">
        <f t="shared" si="49"/>
        <v>5741</v>
      </c>
      <c r="T147" s="325">
        <f>IF(C147="","",IFERROR(IF(W147&lt;=22,-4,IF(W147&lt;=28,-2,IF(W147&lt;=45,2,IF(W147&lt;=55,1,0))))+IF(X147&lt;0,2,0)+IF(AD147="下降トレンド▼",3,IF(AD147="もみ合い→",1,0))+IF(V147="年初来安値圏●",3,IF(V147="安値圏",2,0))+IF(Q147="売り▼",2,0)+IF(P147="急増↑↑",2,IF(P147="増加↑",1,0))+IF(Z147&lt;0,1,0)+IF(L147&lt;=-30,2,IF(L147&lt;=-15,1,0))+IF(AE147="25日戻り売り★",2,IF(AE147="5日戻り売り○",1,0))+N(AL147)+N(AP147)+N(AU147),0))</f>
      </c>
      <c r="U147" s="325" t="str">
        <f t="shared" si="51"/>
        <v>要確認</v>
      </c>
      <c r="V147" s="325" t="str">
        <f t="shared" si="52"/>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 t="shared" si="53"/>
        <v>相場上昇・見送り | 上昇トレンド▲ MACD- RSI:46.9 前日比:-0.6% [年初来安値圏] [6点]</v>
      </c>
      <c r="Z147" s="331">
        <f t="shared" si="54"/>
        <v>-0.57636887608069165</v>
      </c>
      <c r="AA147" s="325" t="str">
        <f t="shared" si="55"/>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 t="shared" si="56"/>
        <v>上昇トレンド▲</v>
      </c>
      <c r="AE147" s="325" t="str">
        <f t="shared" si="57"/>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 t="shared" si="58"/>
        <v>0</v>
      </c>
      <c r="AH147">
        <f t="shared" si="59"/>
        <v>0</v>
      </c>
      <c r="AI147" s="373">
        <f t="array" ref="AI147">IF(C147="","",IFERROR((INDEX(終値!$E:$E,MATCH(TEXT(C147,"0"),終値!$A:$A,0))-INDEX(終値!$E:$CZ,MATCH(TEXT(C147,"0"),終値!$A:$A,0),$AN$2))/INDEX(終値!$E:$CZ,MATCH(TEXT(C147,"0"),終値!$A:$A,0),$AN$2)*100,""))</f>
        <v>7.7493656060901817</v>
      </c>
      <c r="AJ147" s="373">
        <f t="array" ref="AJ147">IFERROR((終値!$E$5-INDEX(終値!$E$5:$CZ$5,1,$AN$2))/INDEX(終値!$E$5:$CZ$5,1,$AN$2)*100,"")</f>
        <v>1.0179378228534113</v>
      </c>
      <c r="AK147" s="374">
        <f t="shared" si="60"/>
        <v>6.7314277832367706</v>
      </c>
      <c r="AL147" s="372">
        <f t="shared" si="61"/>
        <v>-2</v>
      </c>
      <c r="AO147" s="376" t="str">
        <f t="shared" si="62"/>
        <v>通常</v>
      </c>
      <c r="AP147" s="377">
        <f t="shared" si="63"/>
        <v>0</v>
      </c>
      <c r="AQ147">
        <f>IF(C147&lt;&gt;"",始値!F117,"")</f>
        <v>5355</v>
      </c>
      <c r="AR147">
        <f>IF(C147&lt;&gt;"",高値!F117,"")</f>
        <v>5602</v>
      </c>
      <c r="AS147">
        <f>IF(C147&lt;&gt;"",安値!F117,"")</f>
        <v>5291</v>
      </c>
      <c r="AT147" t="str">
        <f t="shared" si="64"/>
        <v>通常</v>
      </c>
      <c r="AU147">
        <f t="shared" si="65"/>
        <v>0</v>
      </c>
      <c r="BA147">
        <f>IFERROR((SUM(OFFSET(高値!$E$6,IFERROR(MATCH($C147,銘柄管理!$B$6:$B$305,0),MATCH(TEXT($C147,"0"),銘柄管理!$B$6:$B$305,0))-1,0,1,14))-SUM(OFFSET(安値!$E$6,IFERROR(MATCH($C147,銘柄管理!$B$6:$B$305,0),MATCH(TEXT($C147,"0"),銘柄管理!$B$6:$B$305,0))-1,0,1,14)))/SUM(OFFSET(終値!$E$6,IFERROR(MATCH($C147,銘柄管理!$B$6:$B$305,0),MATCH(TEXT($C147,"0"),銘柄管理!$B$6:$B$305,0))-1,0,1,14))*100,"")</f>
      </c>
      <c r="BB147">
        <f>IFERROR((MAX(OFFSET(高値!$E$6,IFERROR(MATCH($C147,銘柄管理!$B$6:$B$305,0),MATCH(TEXT($C147,"0"),銘柄管理!$B$6:$B$305,0))-1,0,1,25))-MIN(OFFSET(安値!$E$6,IFERROR(MATCH($C147,銘柄管理!$B$6:$B$305,0),MATCH(TEXT($C147,"0"),銘柄管理!$B$6:$B$305,0))-1,0,1,25)))/$E147*100,"")</f>
      </c>
      <c r="BC147">
        <f>IFERROR(($F147-$G147)/$G147*100,"")</f>
      </c>
      <c r="BD147">
        <f>IFERROR(($E147-MAX(OFFSET(高値!$E$6,IFERROR(MATCH($C147,銘柄管理!$B$6:$B$305,0),MATCH(TEXT($C147,"0"),銘柄管理!$B$6:$B$305,0))-1,0,1,25)))/MAX(OFFSET(高値!$E$6,IFERROR(MATCH($C147,銘柄管理!$B$6:$B$305,0),MATCH(TEXT($C147,"0"),銘柄管理!$B$6:$B$305,0))-1,0,1,25))*100,"")</f>
      </c>
      <c r="BE147">
        <f>IFERROR(($H147-$I147)/$F147*100,"")</f>
      </c>
      <c r="BF147">
        <f>IFERROR(-(($BA147-AVERAGE($BA$3:$BA$206))/STDEV($BA$3:$BA$206))-(($BE147-AVERAGE($BE$3:$BE$206))/STDEV($BE$3:$BE$206))-(($BB147-AVERAGE($BB$3:$BB$206))/STDEV($BB$3:$BB$206))-(($Z147-AVERAGE($Z$3:$Z$206))/STDEV($Z$3:$Z$206))-(($BC147-AVERAGE($BC$3:$BC$206))/STDEV($BC$3:$BC$206)),"")</f>
      </c>
      <c r="BG147">
        <f>IF(OR($C147="",$C147="TOPX",$BA147="",$BF147=""),0,IF(AND($BK$10=1,$BA147&lt;=$BK$2,$BB147&lt;=$BK$3,$BC147&lt;=$BK$4,$Z147&lt;=$BK$5,$Z147&gt;=$BK$6,$BD147&gt;=$BK$7,$BE147&lt;=$BK$8),1,0))</f>
      </c>
      <c r="BH147">
        <f>IF($C147="","",IF($BG147=1,"○ゲート通過",IF($BK$10&lt;&gt;1,"― この方向は停止中",IF($BA147&gt;$BK$2,"×値動きが荒い",IF($BB147&gt;$BK$3,"×レンジが広い",IF($BC147&gt;$BK$4,"×窓を開けて上昇",IF($Z147&gt;$BK$5,"×前日に急騰",IF($Z147&lt;$BK$6,"×前日に急落",IF($BD147&lt;$BK$7,"×高値から離れすぎ",IF($BE147&gt;$BK$8,"×当日の値幅が大きい","×")))))))))</f>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 t="shared" si="44"/>
        <v>-25.391095066185322</v>
      </c>
      <c r="M148" s="333">
        <f>IF(C148&lt;&gt;"",IFERROR(AVERAGE(出来高!E121:I121),""),"")</f>
        <v>296600</v>
      </c>
      <c r="N148" s="333">
        <f>IF(C148&lt;&gt;"",IFERROR(AVERAGE(出来高!E121:AC121),""),"")</f>
        <v>340300</v>
      </c>
      <c r="O148" s="335">
        <f t="shared" si="45"/>
        <v>1.1641942009440325</v>
      </c>
      <c r="P148" s="212" t="str">
        <f t="shared" si="46"/>
        <v>普通→</v>
      </c>
      <c r="Q148" s="212" t="str">
        <f t="shared" si="47"/>
        <v>中立→</v>
      </c>
      <c r="R148" s="333">
        <f t="shared" si="48"/>
        <v>2852</v>
      </c>
      <c r="S148" s="333">
        <f t="shared" si="49"/>
        <v>3224</v>
      </c>
      <c r="T148" s="325">
        <f>IF(C148="","",IFERROR(IF(W148&lt;=22,-4,IF(W148&lt;=28,-2,IF(W148&lt;=45,2,IF(W148&lt;=55,1,0))))+IF(X148&lt;0,2,0)+IF(AD148="下降トレンド▼",3,IF(AD148="もみ合い→",1,0))+IF(V148="年初来安値圏●",3,IF(V148="安値圏",2,0))+IF(Q148="売り▼",2,0)+IF(P148="急増↑↑",2,IF(P148="増加↑",1,0))+IF(Z148&lt;0,1,0)+IF(L148&lt;=-30,2,IF(L148&lt;=-15,1,0))+IF(AE148="25日戻り売り★",2,IF(AE148="5日戻り売り○",1,0))+N(AL148)+N(AP148)+N(AU148),0))</f>
      </c>
      <c r="U148" s="212" t="str">
        <f t="shared" si="51"/>
        <v>要確認</v>
      </c>
      <c r="V148" s="212" t="str">
        <f t="shared" si="52"/>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 t="shared" si="53"/>
        <v>相場上昇・見送り | パーフェクト▲ MACD- RSI:46.8 前日比:-1.0% [安値圏] [9点]</v>
      </c>
      <c r="Z148" s="338">
        <f t="shared" si="54"/>
        <v>-0.95846645367412142</v>
      </c>
      <c r="AA148" s="212" t="str">
        <f t="shared" si="55"/>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 t="shared" si="56"/>
        <v>パーフェクト▲</v>
      </c>
      <c r="AE148" s="212" t="str">
        <f t="shared" si="57"/>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 t="shared" si="58"/>
        <v>9</v>
      </c>
      <c r="AH148">
        <f t="shared" si="59"/>
        <v>89852</v>
      </c>
      <c r="AI148" s="373">
        <f t="array" ref="AI148">IF(C148="","",IFERROR((INDEX(終値!$E:$E,MATCH(TEXT(C148,"0"),終値!$A:$A,0))-INDEX(終値!$E:$CZ,MATCH(TEXT(C148,"0"),終値!$A:$A,0),$AN$2))/INDEX(終値!$E:$CZ,MATCH(TEXT(C148,"0"),終値!$A:$A,0),$AN$2)*100,""))</f>
        <v>-5.6316590563165905</v>
      </c>
      <c r="AJ148" s="373">
        <f t="array" ref="AJ148">IFERROR((終値!$E$5-INDEX(終値!$E$5:$CZ$5,1,$AN$2))/INDEX(終値!$E$5:$CZ$5,1,$AN$2)*100,"")</f>
        <v>1.0179378228534113</v>
      </c>
      <c r="AK148" s="374">
        <f t="shared" si="60"/>
        <v>-6.6495968791700015</v>
      </c>
      <c r="AL148" s="372">
        <f t="shared" si="61"/>
        <v>3</v>
      </c>
      <c r="AO148" s="376" t="str">
        <f t="shared" si="62"/>
        <v>通常</v>
      </c>
      <c r="AP148" s="377">
        <f t="shared" si="63"/>
        <v>0</v>
      </c>
      <c r="AQ148">
        <f>IF(C148&lt;&gt;"",始値!F121,"")</f>
        <v>2980</v>
      </c>
      <c r="AR148">
        <f>IF(C148&lt;&gt;"",高値!F121,"")</f>
        <v>3145</v>
      </c>
      <c r="AS148">
        <f>IF(C148&lt;&gt;"",安値!F121,"")</f>
        <v>2972</v>
      </c>
      <c r="AT148" t="str">
        <f t="shared" si="64"/>
        <v>通常</v>
      </c>
      <c r="AU148">
        <f t="shared" si="65"/>
        <v>0</v>
      </c>
      <c r="BA148">
        <f>IFERROR((SUM(OFFSET(高値!$E$6,IFERROR(MATCH($C148,銘柄管理!$B$6:$B$305,0),MATCH(TEXT($C148,"0"),銘柄管理!$B$6:$B$305,0))-1,0,1,14))-SUM(OFFSET(安値!$E$6,IFERROR(MATCH($C148,銘柄管理!$B$6:$B$305,0),MATCH(TEXT($C148,"0"),銘柄管理!$B$6:$B$305,0))-1,0,1,14)))/SUM(OFFSET(終値!$E$6,IFERROR(MATCH($C148,銘柄管理!$B$6:$B$305,0),MATCH(TEXT($C148,"0"),銘柄管理!$B$6:$B$305,0))-1,0,1,14))*100,"")</f>
      </c>
      <c r="BB148">
        <f>IFERROR((MAX(OFFSET(高値!$E$6,IFERROR(MATCH($C148,銘柄管理!$B$6:$B$305,0),MATCH(TEXT($C148,"0"),銘柄管理!$B$6:$B$305,0))-1,0,1,25))-MIN(OFFSET(安値!$E$6,IFERROR(MATCH($C148,銘柄管理!$B$6:$B$305,0),MATCH(TEXT($C148,"0"),銘柄管理!$B$6:$B$305,0))-1,0,1,25)))/$E148*100,"")</f>
      </c>
      <c r="BC148">
        <f>IFERROR(($F148-$G148)/$G148*100,"")</f>
      </c>
      <c r="BD148">
        <f>IFERROR(($E148-MAX(OFFSET(高値!$E$6,IFERROR(MATCH($C148,銘柄管理!$B$6:$B$305,0),MATCH(TEXT($C148,"0"),銘柄管理!$B$6:$B$305,0))-1,0,1,25)))/MAX(OFFSET(高値!$E$6,IFERROR(MATCH($C148,銘柄管理!$B$6:$B$305,0),MATCH(TEXT($C148,"0"),銘柄管理!$B$6:$B$305,0))-1,0,1,25))*100,"")</f>
      </c>
      <c r="BE148">
        <f>IFERROR(($H148-$I148)/$F148*100,"")</f>
      </c>
      <c r="BF148">
        <f>IFERROR(-(($BA148-AVERAGE($BA$3:$BA$206))/STDEV($BA$3:$BA$206))-(($BE148-AVERAGE($BE$3:$BE$206))/STDEV($BE$3:$BE$206))-(($BB148-AVERAGE($BB$3:$BB$206))/STDEV($BB$3:$BB$206))-(($Z148-AVERAGE($Z$3:$Z$206))/STDEV($Z$3:$Z$206))-(($BC148-AVERAGE($BC$3:$BC$206))/STDEV($BC$3:$BC$206)),"")</f>
      </c>
      <c r="BG148">
        <f>IF(OR($C148="",$C148="TOPX",$BA148="",$BF148=""),0,IF(AND($BK$10=1,$BA148&lt;=$BK$2,$BB148&lt;=$BK$3,$BC148&lt;=$BK$4,$Z148&lt;=$BK$5,$Z148&gt;=$BK$6,$BD148&gt;=$BK$7,$BE148&lt;=$BK$8),1,0))</f>
      </c>
      <c r="BH148">
        <f>IF($C148="","",IF($BG148=1,"○ゲート通過",IF($BK$10&lt;&gt;1,"― この方向は停止中",IF($BA148&gt;$BK$2,"×値動きが荒い",IF($BB148&gt;$BK$3,"×レンジが広い",IF($BC148&gt;$BK$4,"×窓を開けて上昇",IF($Z148&gt;$BK$5,"×前日に急騰",IF($Z148&lt;$BK$6,"×前日に急落",IF($BD148&lt;$BK$7,"×高値から離れすぎ",IF($BE148&gt;$BK$8,"×当日の値幅が大きい","×")))))))))</f>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 t="shared" si="44"/>
        <v>-15.147313691507799</v>
      </c>
      <c r="M149" s="326">
        <f>IF(C149&lt;&gt;"",IFERROR(AVERAGE(出来高!E125:I125),""),"")</f>
        <v>106800</v>
      </c>
      <c r="N149" s="326">
        <f>IF(C149&lt;&gt;"",IFERROR(AVERAGE(出来高!E125:AC125),""),"")</f>
        <v>115548</v>
      </c>
      <c r="O149" s="328">
        <f t="shared" si="45"/>
        <v>1.1132958801498127</v>
      </c>
      <c r="P149" s="325" t="str">
        <f t="shared" si="46"/>
        <v>普通→</v>
      </c>
      <c r="Q149" s="325" t="str">
        <f t="shared" si="47"/>
        <v>様子見▲</v>
      </c>
      <c r="R149" s="326">
        <f t="shared" si="48"/>
        <v>2252</v>
      </c>
      <c r="S149" s="326">
        <f t="shared" si="49"/>
        <v>2546</v>
      </c>
      <c r="T149" s="325">
        <f>IF(C149="","",IFERROR(IF(W149&lt;=22,-4,IF(W149&lt;=28,-2,IF(W149&lt;=45,2,IF(W149&lt;=55,1,0))))+IF(X149&lt;0,2,0)+IF(AD149="下降トレンド▼",3,IF(AD149="もみ合い→",1,0))+IF(V149="年初来安値圏●",3,IF(V149="安値圏",2,0))+IF(Q149="売り▼",2,0)+IF(P149="急増↑↑",2,IF(P149="増加↑",1,0))+IF(Z149&lt;0,1,0)+IF(L149&lt;=-30,2,IF(L149&lt;=-15,1,0))+IF(AE149="25日戻り売り★",2,IF(AE149="5日戻り売り○",1,0))+N(AL149)+N(AP149)+N(AU149),0))</f>
      </c>
      <c r="U149" s="325" t="str">
        <f t="shared" si="51"/>
        <v>要確認</v>
      </c>
      <c r="V149" s="325" t="str">
        <f t="shared" si="52"/>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 t="shared" si="53"/>
        <v>○逆張り売り | もみ合い→ 25日戻り売り★ MACD- RSI:39.0 前日比:+0.6% [5点]</v>
      </c>
      <c r="Z149" s="331">
        <f t="shared" si="54"/>
        <v>0.57518488085456043</v>
      </c>
      <c r="AA149" s="325" t="str">
        <f t="shared" si="55"/>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 t="shared" si="56"/>
        <v>もみ合い→</v>
      </c>
      <c r="AE149" s="325" t="str">
        <f t="shared" si="57"/>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 t="shared" si="58"/>
        <v>0</v>
      </c>
      <c r="AH149">
        <f t="shared" si="59"/>
        <v>0</v>
      </c>
      <c r="AI149" s="373">
        <f t="array" ref="AI149">IF(C149="","",IFERROR((INDEX(終値!$E:$E,MATCH(TEXT(C149,"0"),終値!$A:$A,0))-INDEX(終値!$E:$CZ,MATCH(TEXT(C149,"0"),終値!$A:$A,0),$AN$2))/INDEX(終値!$E:$CZ,MATCH(TEXT(C149,"0"),終値!$A:$A,0),$AN$2)*100,""))</f>
        <v>2.5555090071219104</v>
      </c>
      <c r="AJ149" s="373">
        <f t="array" ref="AJ149">IFERROR((終値!$E$5-INDEX(終値!$E$5:$CZ$5,1,$AN$2))/INDEX(終値!$E$5:$CZ$5,1,$AN$2)*100,"")</f>
        <v>1.0179378228534113</v>
      </c>
      <c r="AK149" s="374">
        <f t="shared" si="60"/>
        <v>1.5375711842684991</v>
      </c>
      <c r="AL149" s="372">
        <f t="shared" si="61"/>
        <v>-1</v>
      </c>
      <c r="AO149" s="376" t="str">
        <f t="shared" si="62"/>
        <v>通常</v>
      </c>
      <c r="AP149" s="377">
        <f t="shared" si="63"/>
        <v>0</v>
      </c>
      <c r="AQ149">
        <f>IF(C149&lt;&gt;"",始値!F125,"")</f>
        <v>2425</v>
      </c>
      <c r="AR149">
        <f>IF(C149&lt;&gt;"",高値!F125,"")</f>
        <v>2445</v>
      </c>
      <c r="AS149">
        <f>IF(C149&lt;&gt;"",安値!F125,"")</f>
        <v>2414</v>
      </c>
      <c r="AT149" t="str">
        <f t="shared" si="64"/>
        <v>通常</v>
      </c>
      <c r="AU149">
        <f t="shared" si="65"/>
        <v>0</v>
      </c>
      <c r="BA149">
        <f>IFERROR((SUM(OFFSET(高値!$E$6,IFERROR(MATCH($C149,銘柄管理!$B$6:$B$305,0),MATCH(TEXT($C149,"0"),銘柄管理!$B$6:$B$305,0))-1,0,1,14))-SUM(OFFSET(安値!$E$6,IFERROR(MATCH($C149,銘柄管理!$B$6:$B$305,0),MATCH(TEXT($C149,"0"),銘柄管理!$B$6:$B$305,0))-1,0,1,14)))/SUM(OFFSET(終値!$E$6,IFERROR(MATCH($C149,銘柄管理!$B$6:$B$305,0),MATCH(TEXT($C149,"0"),銘柄管理!$B$6:$B$305,0))-1,0,1,14))*100,"")</f>
      </c>
      <c r="BB149">
        <f>IFERROR((MAX(OFFSET(高値!$E$6,IFERROR(MATCH($C149,銘柄管理!$B$6:$B$305,0),MATCH(TEXT($C149,"0"),銘柄管理!$B$6:$B$305,0))-1,0,1,25))-MIN(OFFSET(安値!$E$6,IFERROR(MATCH($C149,銘柄管理!$B$6:$B$305,0),MATCH(TEXT($C149,"0"),銘柄管理!$B$6:$B$305,0))-1,0,1,25)))/$E149*100,"")</f>
      </c>
      <c r="BC149">
        <f>IFERROR(($F149-$G149)/$G149*100,"")</f>
      </c>
      <c r="BD149">
        <f>IFERROR(($E149-MAX(OFFSET(高値!$E$6,IFERROR(MATCH($C149,銘柄管理!$B$6:$B$305,0),MATCH(TEXT($C149,"0"),銘柄管理!$B$6:$B$305,0))-1,0,1,25)))/MAX(OFFSET(高値!$E$6,IFERROR(MATCH($C149,銘柄管理!$B$6:$B$305,0),MATCH(TEXT($C149,"0"),銘柄管理!$B$6:$B$305,0))-1,0,1,25))*100,"")</f>
      </c>
      <c r="BE149">
        <f>IFERROR(($H149-$I149)/$F149*100,"")</f>
      </c>
      <c r="BF149">
        <f>IFERROR(-(($BA149-AVERAGE($BA$3:$BA$206))/STDEV($BA$3:$BA$206))-(($BE149-AVERAGE($BE$3:$BE$206))/STDEV($BE$3:$BE$206))-(($BB149-AVERAGE($BB$3:$BB$206))/STDEV($BB$3:$BB$206))-(($Z149-AVERAGE($Z$3:$Z$206))/STDEV($Z$3:$Z$206))-(($BC149-AVERAGE($BC$3:$BC$206))/STDEV($BC$3:$BC$206)),"")</f>
      </c>
      <c r="BG149">
        <f>IF(OR($C149="",$C149="TOPX",$BA149="",$BF149=""),0,IF(AND($BK$10=1,$BA149&lt;=$BK$2,$BB149&lt;=$BK$3,$BC149&lt;=$BK$4,$Z149&lt;=$BK$5,$Z149&gt;=$BK$6,$BD149&gt;=$BK$7,$BE149&lt;=$BK$8),1,0))</f>
      </c>
      <c r="BH149">
        <f>IF($C149="","",IF($BG149=1,"○ゲート通過",IF($BK$10&lt;&gt;1,"― この方向は停止中",IF($BA149&gt;$BK$2,"×値動きが荒い",IF($BB149&gt;$BK$3,"×レンジが広い",IF($BC149&gt;$BK$4,"×窓を開けて上昇",IF($Z149&gt;$BK$5,"×前日に急騰",IF($Z149&lt;$BK$6,"×前日に急落",IF($BD149&lt;$BK$7,"×高値から離れすぎ",IF($BE149&gt;$BK$8,"×当日の値幅が大きい","×")))))))))</f>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 t="shared" si="44"/>
        <v>-89.444444444444443</v>
      </c>
      <c r="M150" s="333">
        <f>IF(C150&lt;&gt;"",IFERROR(AVERAGE(出来高!E137:I137),""),"")</f>
        <v>3800860</v>
      </c>
      <c r="N150" s="333">
        <f>IF(C150&lt;&gt;"",IFERROR(AVERAGE(出来高!E137:AC137),""),"")</f>
        <v>3863145.8333333335</v>
      </c>
      <c r="O150" s="335">
        <f t="shared" si="45"/>
        <v>0.35981330540982831</v>
      </c>
      <c r="P150" s="212" t="str">
        <f t="shared" si="46"/>
        <v>減少↓</v>
      </c>
      <c r="Q150" s="212" t="str">
        <f t="shared" si="47"/>
        <v>中立→</v>
      </c>
      <c r="R150" s="333">
        <f t="shared" si="48"/>
        <v>70</v>
      </c>
      <c r="S150" s="333">
        <f t="shared" si="49"/>
        <v>79</v>
      </c>
      <c r="T150" s="325">
        <f>IF(C150="","",IFERROR(IF(W150&lt;=22,-4,IF(W150&lt;=28,-2,IF(W150&lt;=45,2,IF(W150&lt;=55,1,0))))+IF(X150&lt;0,2,0)+IF(AD150="下降トレンド▼",3,IF(AD150="もみ合い→",1,0))+IF(V150="年初来安値圏●",3,IF(V150="安値圏",2,0))+IF(Q150="売り▼",2,0)+IF(P150="急増↑↑",2,IF(P150="増加↑",1,0))+IF(Z150&lt;0,1,0)+IF(L150&lt;=-30,2,IF(L150&lt;=-15,1,0))+IF(AE150="25日戻り売り★",2,IF(AE150="5日戻り売り○",1,0))+N(AL150)+N(AP150)+N(AU150),0))</f>
      </c>
      <c r="U150" s="212" t="str">
        <f t="shared" si="51"/>
        <v>要確認</v>
      </c>
      <c r="V150" s="212" t="str">
        <f t="shared" si="52"/>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 t="shared" si="53"/>
        <v>相場上昇・見送り | 下降トレンド▼ MACD- RSI:34.5 前日比:-2.6% [年初来安値圏] [14点]</v>
      </c>
      <c r="Z150" s="338">
        <f t="shared" si="54"/>
        <v>-2.5641025641025639</v>
      </c>
      <c r="AA150" s="212" t="str">
        <f t="shared" si="55"/>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 t="shared" si="56"/>
        <v>下降トレンド▼</v>
      </c>
      <c r="AE150" s="212" t="str">
        <f t="shared" si="57"/>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 t="shared" si="58"/>
        <v>14</v>
      </c>
      <c r="AH150">
        <f t="shared" si="59"/>
        <v>139850</v>
      </c>
      <c r="AI150" s="373">
        <f t="array" ref="AI150">IF(C150="","",IFERROR((INDEX(終値!$E:$E,MATCH(TEXT(C150,"0"),終値!$A:$A,0))-INDEX(終値!$E:$CZ,MATCH(TEXT(C150,"0"),終値!$A:$A,0),$AN$2))/INDEX(終値!$E:$CZ,MATCH(TEXT(C150,"0"),終値!$A:$A,0),$AN$2)*100,""))</f>
        <v>-69.721115537848604</v>
      </c>
      <c r="AJ150" s="373">
        <f t="array" ref="AJ150">IFERROR((終値!$E$5-INDEX(終値!$E$5:$CZ$5,1,$AN$2))/INDEX(終値!$E$5:$CZ$5,1,$AN$2)*100,"")</f>
        <v>1.0179378228534113</v>
      </c>
      <c r="AK150" s="374">
        <f t="shared" si="60"/>
        <v>-70.739053360702016</v>
      </c>
      <c r="AL150" s="372">
        <f t="shared" si="61"/>
        <v>3</v>
      </c>
      <c r="AO150" s="376" t="str">
        <f t="shared" si="62"/>
        <v>通常</v>
      </c>
      <c r="AP150" s="377">
        <f t="shared" si="63"/>
        <v>0</v>
      </c>
      <c r="AQ150">
        <f>IF(C150&lt;&gt;"",始値!F137,"")</f>
        <v>78</v>
      </c>
      <c r="AR150">
        <f>IF(C150&lt;&gt;"",高値!F137,"")</f>
        <v>81</v>
      </c>
      <c r="AS150">
        <f>IF(C150&lt;&gt;"",安値!F137,"")</f>
        <v>74</v>
      </c>
      <c r="AT150" t="str">
        <f t="shared" si="64"/>
        <v>通常</v>
      </c>
      <c r="AU150">
        <f t="shared" si="65"/>
        <v>0</v>
      </c>
      <c r="BA150">
        <f>IFERROR((SUM(OFFSET(高値!$E$6,IFERROR(MATCH($C150,銘柄管理!$B$6:$B$305,0),MATCH(TEXT($C150,"0"),銘柄管理!$B$6:$B$305,0))-1,0,1,14))-SUM(OFFSET(安値!$E$6,IFERROR(MATCH($C150,銘柄管理!$B$6:$B$305,0),MATCH(TEXT($C150,"0"),銘柄管理!$B$6:$B$305,0))-1,0,1,14)))/SUM(OFFSET(終値!$E$6,IFERROR(MATCH($C150,銘柄管理!$B$6:$B$305,0),MATCH(TEXT($C150,"0"),銘柄管理!$B$6:$B$305,0))-1,0,1,14))*100,"")</f>
      </c>
      <c r="BB150">
        <f>IFERROR((MAX(OFFSET(高値!$E$6,IFERROR(MATCH($C150,銘柄管理!$B$6:$B$305,0),MATCH(TEXT($C150,"0"),銘柄管理!$B$6:$B$305,0))-1,0,1,25))-MIN(OFFSET(安値!$E$6,IFERROR(MATCH($C150,銘柄管理!$B$6:$B$305,0),MATCH(TEXT($C150,"0"),銘柄管理!$B$6:$B$305,0))-1,0,1,25)))/$E150*100,"")</f>
      </c>
      <c r="BC150">
        <f>IFERROR(($F150-$G150)/$G150*100,"")</f>
      </c>
      <c r="BD150">
        <f>IFERROR(($E150-MAX(OFFSET(高値!$E$6,IFERROR(MATCH($C150,銘柄管理!$B$6:$B$305,0),MATCH(TEXT($C150,"0"),銘柄管理!$B$6:$B$305,0))-1,0,1,25)))/MAX(OFFSET(高値!$E$6,IFERROR(MATCH($C150,銘柄管理!$B$6:$B$305,0),MATCH(TEXT($C150,"0"),銘柄管理!$B$6:$B$305,0))-1,0,1,25))*100,"")</f>
      </c>
      <c r="BE150">
        <f>IFERROR(($H150-$I150)/$F150*100,"")</f>
      </c>
      <c r="BF150">
        <f>IFERROR(-(($BA150-AVERAGE($BA$3:$BA$206))/STDEV($BA$3:$BA$206))-(($BE150-AVERAGE($BE$3:$BE$206))/STDEV($BE$3:$BE$206))-(($BB150-AVERAGE($BB$3:$BB$206))/STDEV($BB$3:$BB$206))-(($Z150-AVERAGE($Z$3:$Z$206))/STDEV($Z$3:$Z$206))-(($BC150-AVERAGE($BC$3:$BC$206))/STDEV($BC$3:$BC$206)),"")</f>
      </c>
      <c r="BG150">
        <f>IF(OR($C150="",$C150="TOPX",$BA150="",$BF150=""),0,IF(AND($BK$10=1,$BA150&lt;=$BK$2,$BB150&lt;=$BK$3,$BC150&lt;=$BK$4,$Z150&lt;=$BK$5,$Z150&gt;=$BK$6,$BD150&gt;=$BK$7,$BE150&lt;=$BK$8),1,0))</f>
      </c>
      <c r="BH150">
        <f>IF($C150="","",IF($BG150=1,"○ゲート通過",IF($BK$10&lt;&gt;1,"― この方向は停止中",IF($BA150&gt;$BK$2,"×値動きが荒い",IF($BB150&gt;$BK$3,"×レンジが広い",IF($BC150&gt;$BK$4,"×窓を開けて上昇",IF($Z150&gt;$BK$5,"×前日に急騰",IF($Z150&lt;$BK$6,"×前日に急落",IF($BD150&lt;$BK$7,"×高値から離れすぎ",IF($BE150&gt;$BK$8,"×当日の値幅が大きい","×")))))))))</f>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 t="shared" si="44"/>
        <v>-24.793650793650794</v>
      </c>
      <c r="M151" s="326">
        <f>IF(C151&lt;&gt;"",IFERROR(AVERAGE(出来高!E150:I150),""),"")</f>
        <v>4527780</v>
      </c>
      <c r="N151" s="326">
        <f>IF(C151&lt;&gt;"",IFERROR(AVERAGE(出来高!E150:AC150),""),"")</f>
        <v>3053824</v>
      </c>
      <c r="O151" s="328">
        <f t="shared" si="45"/>
        <v>0.69064751379263123</v>
      </c>
      <c r="P151" s="325" t="str">
        <f t="shared" si="46"/>
        <v>減少↓</v>
      </c>
      <c r="Q151" s="325" t="str">
        <f t="shared" si="47"/>
        <v>様子見▲</v>
      </c>
      <c r="R151" s="326">
        <f t="shared" si="48"/>
        <v>4359</v>
      </c>
      <c r="S151" s="326">
        <f t="shared" si="49"/>
        <v>4928</v>
      </c>
      <c r="T151" s="325">
        <f>IF(C151="","",IFERROR(IF(W151&lt;=22,-4,IF(W151&lt;=28,-2,IF(W151&lt;=45,2,IF(W151&lt;=55,1,0))))+IF(X151&lt;0,2,0)+IF(AD151="下降トレンド▼",3,IF(AD151="もみ合い→",1,0))+IF(V151="年初来安値圏●",3,IF(V151="安値圏",2,0))+IF(Q151="売り▼",2,0)+IF(P151="急増↑↑",2,IF(P151="増加↑",1,0))+IF(Z151&lt;0,1,0)+IF(L151&lt;=-30,2,IF(L151&lt;=-15,1,0))+IF(AE151="25日戻り売り★",2,IF(AE151="5日戻り売り○",1,0))+N(AL151)+N(AP151)+N(AU151),0))</f>
      </c>
      <c r="U151" s="325" t="str">
        <f t="shared" si="51"/>
        <v>要確認</v>
      </c>
      <c r="V151" s="325" t="str">
        <f t="shared" si="52"/>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 t="shared" si="53"/>
        <v>相場上昇・見送り | もみ合い→ MACD- RSI:41.1 前日比:+3.7% [安値圏] [4点]</v>
      </c>
      <c r="Z151" s="331">
        <f t="shared" si="54"/>
        <v>3.6761487964989055</v>
      </c>
      <c r="AA151" s="325" t="str">
        <f t="shared" si="55"/>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 t="shared" si="56"/>
        <v>もみ合い→</v>
      </c>
      <c r="AE151" s="325" t="str">
        <f t="shared" si="57"/>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 t="shared" si="58"/>
        <v>0</v>
      </c>
      <c r="AH151">
        <f t="shared" si="59"/>
        <v>0</v>
      </c>
      <c r="AI151" s="373">
        <f t="array" ref="AI151">IF(C151="","",IFERROR((INDEX(終値!$E:$E,MATCH(TEXT(C151,"0"),終値!$A:$A,0))-INDEX(終値!$E:$CZ,MATCH(TEXT(C151,"0"),終値!$A:$A,0),$AN$2))/INDEX(終値!$E:$CZ,MATCH(TEXT(C151,"0"),終値!$A:$A,0),$AN$2)*100,""))</f>
        <v>4.1089870358163045</v>
      </c>
      <c r="AJ151" s="373">
        <f t="array" ref="AJ151">IFERROR((終値!$E$5-INDEX(終値!$E$5:$CZ$5,1,$AN$2))/INDEX(終値!$E$5:$CZ$5,1,$AN$2)*100,"")</f>
        <v>1.0179378228534113</v>
      </c>
      <c r="AK151" s="374">
        <f t="shared" si="60"/>
        <v>3.0910492129628935</v>
      </c>
      <c r="AL151" s="372">
        <f t="shared" si="61"/>
        <v>-2</v>
      </c>
      <c r="AO151" s="376" t="str">
        <f t="shared" si="62"/>
        <v>通常</v>
      </c>
      <c r="AP151" s="377">
        <f t="shared" si="63"/>
        <v>0</v>
      </c>
      <c r="AQ151">
        <f>IF(C151&lt;&gt;"",始値!F150,"")</f>
        <v>4589</v>
      </c>
      <c r="AR151">
        <f>IF(C151&lt;&gt;"",高値!F150,"")</f>
        <v>4660</v>
      </c>
      <c r="AS151">
        <f>IF(C151&lt;&gt;"",安値!F150,"")</f>
        <v>4486</v>
      </c>
      <c r="AT151" t="str">
        <f t="shared" si="64"/>
        <v>通常</v>
      </c>
      <c r="AU151">
        <f t="shared" si="65"/>
        <v>0</v>
      </c>
      <c r="BA151">
        <f>IFERROR((SUM(OFFSET(高値!$E$6,IFERROR(MATCH($C151,銘柄管理!$B$6:$B$305,0),MATCH(TEXT($C151,"0"),銘柄管理!$B$6:$B$305,0))-1,0,1,14))-SUM(OFFSET(安値!$E$6,IFERROR(MATCH($C151,銘柄管理!$B$6:$B$305,0),MATCH(TEXT($C151,"0"),銘柄管理!$B$6:$B$305,0))-1,0,1,14)))/SUM(OFFSET(終値!$E$6,IFERROR(MATCH($C151,銘柄管理!$B$6:$B$305,0),MATCH(TEXT($C151,"0"),銘柄管理!$B$6:$B$305,0))-1,0,1,14))*100,"")</f>
      </c>
      <c r="BB151">
        <f>IFERROR((MAX(OFFSET(高値!$E$6,IFERROR(MATCH($C151,銘柄管理!$B$6:$B$305,0),MATCH(TEXT($C151,"0"),銘柄管理!$B$6:$B$305,0))-1,0,1,25))-MIN(OFFSET(安値!$E$6,IFERROR(MATCH($C151,銘柄管理!$B$6:$B$305,0),MATCH(TEXT($C151,"0"),銘柄管理!$B$6:$B$305,0))-1,0,1,25)))/$E151*100,"")</f>
      </c>
      <c r="BC151">
        <f>IFERROR(($F151-$G151)/$G151*100,"")</f>
      </c>
      <c r="BD151">
        <f>IFERROR(($E151-MAX(OFFSET(高値!$E$6,IFERROR(MATCH($C151,銘柄管理!$B$6:$B$305,0),MATCH(TEXT($C151,"0"),銘柄管理!$B$6:$B$305,0))-1,0,1,25)))/MAX(OFFSET(高値!$E$6,IFERROR(MATCH($C151,銘柄管理!$B$6:$B$305,0),MATCH(TEXT($C151,"0"),銘柄管理!$B$6:$B$305,0))-1,0,1,25))*100,"")</f>
      </c>
      <c r="BE151">
        <f>IFERROR(($H151-$I151)/$F151*100,"")</f>
      </c>
      <c r="BF151">
        <f>IFERROR(-(($BA151-AVERAGE($BA$3:$BA$206))/STDEV($BA$3:$BA$206))-(($BE151-AVERAGE($BE$3:$BE$206))/STDEV($BE$3:$BE$206))-(($BB151-AVERAGE($BB$3:$BB$206))/STDEV($BB$3:$BB$206))-(($Z151-AVERAGE($Z$3:$Z$206))/STDEV($Z$3:$Z$206))-(($BC151-AVERAGE($BC$3:$BC$206))/STDEV($BC$3:$BC$206)),"")</f>
      </c>
      <c r="BG151">
        <f>IF(OR($C151="",$C151="TOPX",$BA151="",$BF151=""),0,IF(AND($BK$10=1,$BA151&lt;=$BK$2,$BB151&lt;=$BK$3,$BC151&lt;=$BK$4,$Z151&lt;=$BK$5,$Z151&gt;=$BK$6,$BD151&gt;=$BK$7,$BE151&lt;=$BK$8),1,0))</f>
      </c>
      <c r="BH151">
        <f>IF($C151="","",IF($BG151=1,"○ゲート通過",IF($BK$10&lt;&gt;1,"― この方向は停止中",IF($BA151&gt;$BK$2,"×値動きが荒い",IF($BB151&gt;$BK$3,"×レンジが広い",IF($BC151&gt;$BK$4,"×窓を開けて上昇",IF($Z151&gt;$BK$5,"×前日に急騰",IF($Z151&lt;$BK$6,"×前日に急落",IF($BD151&lt;$BK$7,"×高値から離れすぎ",IF($BE151&gt;$BK$8,"×当日の値幅が大きい","×")))))))))</f>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 t="shared" si="44"/>
        <v>-7.2975879551390381</v>
      </c>
      <c r="M152" s="333">
        <f>IF(C152&lt;&gt;"",IFERROR(AVERAGE(出来高!E157:I157),""),"")</f>
        <v>570620</v>
      </c>
      <c r="N152" s="333">
        <f>IF(C152&lt;&gt;"",IFERROR(AVERAGE(出来高!E157:AC157),""),"")</f>
        <v>537636</v>
      </c>
      <c r="O152" s="335">
        <f t="shared" si="45"/>
        <v>0.77249307770495246</v>
      </c>
      <c r="P152" s="212" t="str">
        <f t="shared" si="46"/>
        <v>減少↓</v>
      </c>
      <c r="Q152" s="212" t="str">
        <f t="shared" si="47"/>
        <v>様子見▲</v>
      </c>
      <c r="R152" s="333">
        <f t="shared" si="48"/>
        <v>5551</v>
      </c>
      <c r="S152" s="333">
        <f t="shared" si="49"/>
        <v>6275</v>
      </c>
      <c r="T152" s="325">
        <f>IF(C152="","",IFERROR(IF(W152&lt;=22,-4,IF(W152&lt;=28,-2,IF(W152&lt;=45,2,IF(W152&lt;=55,1,0))))+IF(X152&lt;0,2,0)+IF(AD152="下降トレンド▼",3,IF(AD152="もみ合い→",1,0))+IF(V152="年初来安値圏●",3,IF(V152="安値圏",2,0))+IF(Q152="売り▼",2,0)+IF(P152="急増↑↑",2,IF(P152="増加↑",1,0))+IF(Z152&lt;0,1,0)+IF(L152&lt;=-30,2,IF(L152&lt;=-15,1,0))+IF(AE152="25日戻り売り★",2,IF(AE152="5日戻り売り○",1,0))+N(AL152)+N(AP152)+N(AU152),0))</f>
      </c>
      <c r="U152" s="212" t="str">
        <f t="shared" si="51"/>
        <v>要確認</v>
      </c>
      <c r="V152" s="212" t="str">
        <f t="shared" si="52"/>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 t="shared" si="53"/>
        <v>相場上昇・見送り | 上昇トレンド▲ MACD- RSI:41.1 前日比:+1.7% [3点]</v>
      </c>
      <c r="Z152" s="338">
        <f t="shared" si="54"/>
        <v>1.6509433962264151</v>
      </c>
      <c r="AA152" s="212" t="str">
        <f t="shared" si="55"/>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 t="shared" si="56"/>
        <v>上昇トレンド▲</v>
      </c>
      <c r="AE152" s="212" t="str">
        <f t="shared" si="57"/>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 t="shared" si="58"/>
        <v>0</v>
      </c>
      <c r="AH152">
        <f t="shared" si="59"/>
        <v>0</v>
      </c>
      <c r="AI152" s="373">
        <f t="array" ref="AI152">IF(C152="","",IFERROR((INDEX(終値!$E:$E,MATCH(TEXT(C152,"0"),終値!$A:$A,0))-INDEX(終値!$E:$CZ,MATCH(TEXT(C152,"0"),終値!$A:$A,0),$AN$2))/INDEX(終値!$E:$CZ,MATCH(TEXT(C152,"0"),終値!$A:$A,0),$AN$2)*100,""))</f>
        <v>0.23255813953488372</v>
      </c>
      <c r="AJ152" s="373">
        <f t="array" ref="AJ152">IFERROR((終値!$E$5-INDEX(終値!$E$5:$CZ$5,1,$AN$2))/INDEX(終値!$E$5:$CZ$5,1,$AN$2)*100,"")</f>
        <v>1.0179378228534113</v>
      </c>
      <c r="AK152" s="374">
        <f t="shared" si="60"/>
        <v>-0.78537968331852759</v>
      </c>
      <c r="AL152" s="372">
        <f t="shared" si="61"/>
        <v>1</v>
      </c>
      <c r="AO152" s="376" t="str">
        <f t="shared" si="62"/>
        <v>通常</v>
      </c>
      <c r="AP152" s="377">
        <f t="shared" si="63"/>
        <v>0</v>
      </c>
      <c r="AQ152">
        <f>IF(C152&lt;&gt;"",始値!F157,"")</f>
        <v>5800</v>
      </c>
      <c r="AR152">
        <f>IF(C152&lt;&gt;"",高値!F157,"")</f>
        <v>5955</v>
      </c>
      <c r="AS152">
        <f>IF(C152&lt;&gt;"",安値!F157,"")</f>
        <v>5800</v>
      </c>
      <c r="AT152" t="str">
        <f t="shared" si="64"/>
        <v>通常</v>
      </c>
      <c r="AU152">
        <f t="shared" si="65"/>
        <v>0</v>
      </c>
      <c r="BA152">
        <f>IFERROR((SUM(OFFSET(高値!$E$6,IFERROR(MATCH($C152,銘柄管理!$B$6:$B$305,0),MATCH(TEXT($C152,"0"),銘柄管理!$B$6:$B$305,0))-1,0,1,14))-SUM(OFFSET(安値!$E$6,IFERROR(MATCH($C152,銘柄管理!$B$6:$B$305,0),MATCH(TEXT($C152,"0"),銘柄管理!$B$6:$B$305,0))-1,0,1,14)))/SUM(OFFSET(終値!$E$6,IFERROR(MATCH($C152,銘柄管理!$B$6:$B$305,0),MATCH(TEXT($C152,"0"),銘柄管理!$B$6:$B$305,0))-1,0,1,14))*100,"")</f>
      </c>
      <c r="BB152">
        <f>IFERROR((MAX(OFFSET(高値!$E$6,IFERROR(MATCH($C152,銘柄管理!$B$6:$B$305,0),MATCH(TEXT($C152,"0"),銘柄管理!$B$6:$B$305,0))-1,0,1,25))-MIN(OFFSET(安値!$E$6,IFERROR(MATCH($C152,銘柄管理!$B$6:$B$305,0),MATCH(TEXT($C152,"0"),銘柄管理!$B$6:$B$305,0))-1,0,1,25)))/$E152*100,"")</f>
      </c>
      <c r="BC152">
        <f>IFERROR(($F152-$G152)/$G152*100,"")</f>
      </c>
      <c r="BD152">
        <f>IFERROR(($E152-MAX(OFFSET(高値!$E$6,IFERROR(MATCH($C152,銘柄管理!$B$6:$B$305,0),MATCH(TEXT($C152,"0"),銘柄管理!$B$6:$B$305,0))-1,0,1,25)))/MAX(OFFSET(高値!$E$6,IFERROR(MATCH($C152,銘柄管理!$B$6:$B$305,0),MATCH(TEXT($C152,"0"),銘柄管理!$B$6:$B$305,0))-1,0,1,25))*100,"")</f>
      </c>
      <c r="BE152">
        <f>IFERROR(($H152-$I152)/$F152*100,"")</f>
      </c>
      <c r="BF152">
        <f>IFERROR(-(($BA152-AVERAGE($BA$3:$BA$206))/STDEV($BA$3:$BA$206))-(($BE152-AVERAGE($BE$3:$BE$206))/STDEV($BE$3:$BE$206))-(($BB152-AVERAGE($BB$3:$BB$206))/STDEV($BB$3:$BB$206))-(($Z152-AVERAGE($Z$3:$Z$206))/STDEV($Z$3:$Z$206))-(($BC152-AVERAGE($BC$3:$BC$206))/STDEV($BC$3:$BC$206)),"")</f>
      </c>
      <c r="BG152">
        <f>IF(OR($C152="",$C152="TOPX",$BA152="",$BF152=""),0,IF(AND($BK$10=1,$BA152&lt;=$BK$2,$BB152&lt;=$BK$3,$BC152&lt;=$BK$4,$Z152&lt;=$BK$5,$Z152&gt;=$BK$6,$BD152&gt;=$BK$7,$BE152&lt;=$BK$8),1,0))</f>
      </c>
      <c r="BH152">
        <f>IF($C152="","",IF($BG152=1,"○ゲート通過",IF($BK$10&lt;&gt;1,"― この方向は停止中",IF($BA152&gt;$BK$2,"×値動きが荒い",IF($BB152&gt;$BK$3,"×レンジが広い",IF($BC152&gt;$BK$4,"×窓を開けて上昇",IF($Z152&gt;$BK$5,"×前日に急騰",IF($Z152&lt;$BK$6,"×前日に急落",IF($BD152&lt;$BK$7,"×高値から離れすぎ",IF($BE152&gt;$BK$8,"×当日の値幅が大きい","×")))))))))</f>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 t="shared" si="44"/>
        <v>-20.611748348974626</v>
      </c>
      <c r="M153" s="326">
        <f>IF(C153&lt;&gt;"",IFERROR(AVERAGE(出来高!E166:I166),""),"")</f>
        <v>17620</v>
      </c>
      <c r="N153" s="326">
        <f>IF(C153&lt;&gt;"",IFERROR(AVERAGE(出来高!E166:AC166),""),"")</f>
        <v>25232</v>
      </c>
      <c r="O153" s="328">
        <f t="shared" si="45"/>
        <v>0.38592508513053347</v>
      </c>
      <c r="P153" s="325" t="str">
        <f t="shared" si="46"/>
        <v>減少↓</v>
      </c>
      <c r="Q153" s="325" t="str">
        <f t="shared" si="47"/>
        <v>様子見▲</v>
      </c>
      <c r="R153" s="326">
        <f t="shared" si="48"/>
        <v>2101</v>
      </c>
      <c r="S153" s="326">
        <f t="shared" si="49"/>
        <v>2375</v>
      </c>
      <c r="T153" s="325">
        <f>IF(C153="","",IFERROR(IF(W153&lt;=22,-4,IF(W153&lt;=28,-2,IF(W153&lt;=45,2,IF(W153&lt;=55,1,0))))+IF(X153&lt;0,2,0)+IF(AD153="下降トレンド▼",3,IF(AD153="もみ合い→",1,0))+IF(V153="年初来安値圏●",3,IF(V153="安値圏",2,0))+IF(Q153="売り▼",2,0)+IF(P153="急増↑↑",2,IF(P153="増加↑",1,0))+IF(Z153&lt;0,1,0)+IF(L153&lt;=-30,2,IF(L153&lt;=-15,1,0))+IF(AE153="25日戻り売り★",2,IF(AE153="5日戻り売り○",1,0))+N(AL153)+N(AP153)+N(AU153),0))</f>
      </c>
      <c r="U153" s="325" t="str">
        <f t="shared" si="51"/>
        <v>要確認</v>
      </c>
      <c r="V153" s="325" t="str">
        <f t="shared" si="52"/>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 t="shared" si="53"/>
        <v>★逆張り売り | 下降トレンド▼ 25日戻り売り★ MACD- RSI:37.5 前日比:+0.1%前日[大陰線▼] [11点]</v>
      </c>
      <c r="Z153" s="331">
        <f t="shared" si="54"/>
        <v>8.7642418930762495E-2</v>
      </c>
      <c r="AA153" s="325" t="str">
        <f t="shared" si="55"/>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 t="shared" si="56"/>
        <v>下降トレンド▼</v>
      </c>
      <c r="AE153" s="325" t="str">
        <f t="shared" si="57"/>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 t="shared" si="58"/>
        <v>11</v>
      </c>
      <c r="AH153">
        <f t="shared" si="59"/>
        <v>109847</v>
      </c>
      <c r="AI153" s="373">
        <f t="array" ref="AI153">IF(C153="","",IFERROR((INDEX(終値!$E:$E,MATCH(TEXT(C153,"0"),終値!$A:$A,0))-INDEX(終値!$E:$CZ,MATCH(TEXT(C153,"0"),終値!$A:$A,0),$AN$2))/INDEX(終値!$E:$CZ,MATCH(TEXT(C153,"0"),終値!$A:$A,0),$AN$2)*100,""))</f>
        <v>-1.1255411255411256</v>
      </c>
      <c r="AJ153" s="373">
        <f t="array" ref="AJ153">IFERROR((終値!$E$5-INDEX(終値!$E$5:$CZ$5,1,$AN$2))/INDEX(終値!$E$5:$CZ$5,1,$AN$2)*100,"")</f>
        <v>1.0179378228534113</v>
      </c>
      <c r="AK153" s="374">
        <f t="shared" si="60"/>
        <v>-2.1434789483945371</v>
      </c>
      <c r="AL153" s="372">
        <f t="shared" si="61"/>
        <v>1</v>
      </c>
      <c r="AO153" s="376" t="str">
        <f t="shared" si="62"/>
        <v>通常</v>
      </c>
      <c r="AP153" s="377">
        <f t="shared" si="63"/>
        <v>0</v>
      </c>
      <c r="AQ153">
        <f>IF(C153&lt;&gt;"",始値!F166,"")</f>
        <v>2312</v>
      </c>
      <c r="AR153">
        <f>IF(C153&lt;&gt;"",高値!F166,"")</f>
        <v>2312</v>
      </c>
      <c r="AS153">
        <f>IF(C153&lt;&gt;"",安値!F166,"")</f>
        <v>2282</v>
      </c>
      <c r="AT153" t="str">
        <f t="shared" si="64"/>
        <v>大陰線▼</v>
      </c>
      <c r="AU153">
        <f t="shared" si="65"/>
        <v>2</v>
      </c>
      <c r="BA153">
        <f>IFERROR((SUM(OFFSET(高値!$E$6,IFERROR(MATCH($C153,銘柄管理!$B$6:$B$305,0),MATCH(TEXT($C153,"0"),銘柄管理!$B$6:$B$305,0))-1,0,1,14))-SUM(OFFSET(安値!$E$6,IFERROR(MATCH($C153,銘柄管理!$B$6:$B$305,0),MATCH(TEXT($C153,"0"),銘柄管理!$B$6:$B$305,0))-1,0,1,14)))/SUM(OFFSET(終値!$E$6,IFERROR(MATCH($C153,銘柄管理!$B$6:$B$305,0),MATCH(TEXT($C153,"0"),銘柄管理!$B$6:$B$305,0))-1,0,1,14))*100,"")</f>
      </c>
      <c r="BB153">
        <f>IFERROR((MAX(OFFSET(高値!$E$6,IFERROR(MATCH($C153,銘柄管理!$B$6:$B$305,0),MATCH(TEXT($C153,"0"),銘柄管理!$B$6:$B$305,0))-1,0,1,25))-MIN(OFFSET(安値!$E$6,IFERROR(MATCH($C153,銘柄管理!$B$6:$B$305,0),MATCH(TEXT($C153,"0"),銘柄管理!$B$6:$B$305,0))-1,0,1,25)))/$E153*100,"")</f>
      </c>
      <c r="BC153">
        <f>IFERROR(($F153-$G153)/$G153*100,"")</f>
      </c>
      <c r="BD153">
        <f>IFERROR(($E153-MAX(OFFSET(高値!$E$6,IFERROR(MATCH($C153,銘柄管理!$B$6:$B$305,0),MATCH(TEXT($C153,"0"),銘柄管理!$B$6:$B$305,0))-1,0,1,25)))/MAX(OFFSET(高値!$E$6,IFERROR(MATCH($C153,銘柄管理!$B$6:$B$305,0),MATCH(TEXT($C153,"0"),銘柄管理!$B$6:$B$305,0))-1,0,1,25))*100,"")</f>
      </c>
      <c r="BE153">
        <f>IFERROR(($H153-$I153)/$F153*100,"")</f>
      </c>
      <c r="BF153">
        <f>IFERROR(-(($BA153-AVERAGE($BA$3:$BA$206))/STDEV($BA$3:$BA$206))-(($BE153-AVERAGE($BE$3:$BE$206))/STDEV($BE$3:$BE$206))-(($BB153-AVERAGE($BB$3:$BB$206))/STDEV($BB$3:$BB$206))-(($Z153-AVERAGE($Z$3:$Z$206))/STDEV($Z$3:$Z$206))-(($BC153-AVERAGE($BC$3:$BC$206))/STDEV($BC$3:$BC$206)),"")</f>
      </c>
      <c r="BG153">
        <f>IF(OR($C153="",$C153="TOPX",$BA153="",$BF153=""),0,IF(AND($BK$10=1,$BA153&lt;=$BK$2,$BB153&lt;=$BK$3,$BC153&lt;=$BK$4,$Z153&lt;=$BK$5,$Z153&gt;=$BK$6,$BD153&gt;=$BK$7,$BE153&lt;=$BK$8),1,0))</f>
      </c>
      <c r="BH153">
        <f>IF($C153="","",IF($BG153=1,"○ゲート通過",IF($BK$10&lt;&gt;1,"― この方向は停止中",IF($BA153&gt;$BK$2,"×値動きが荒い",IF($BB153&gt;$BK$3,"×レンジが広い",IF($BC153&gt;$BK$4,"×窓を開けて上昇",IF($Z153&gt;$BK$5,"×前日に急騰",IF($Z153&lt;$BK$6,"×前日に急落",IF($BD153&lt;$BK$7,"×高値から離れすぎ",IF($BE153&gt;$BK$8,"×当日の値幅が大きい","×")))))))))</f>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 t="shared" si="44"/>
        <v>-19.377013963480131</v>
      </c>
      <c r="M154" s="333">
        <f>IF(C154&lt;&gt;"",IFERROR(AVERAGE(出来高!E174:I174),""),"")</f>
        <v>326140</v>
      </c>
      <c r="N154" s="333">
        <f>IF(C154&lt;&gt;"",IFERROR(AVERAGE(出来高!E174:AC174),""),"")</f>
        <v>291716</v>
      </c>
      <c r="O154" s="335">
        <f t="shared" si="45"/>
        <v>0.60188875942846631</v>
      </c>
      <c r="P154" s="212" t="str">
        <f t="shared" si="46"/>
        <v>減少↓</v>
      </c>
      <c r="Q154" s="212" t="str">
        <f t="shared" si="47"/>
        <v>様子見▲</v>
      </c>
      <c r="R154" s="333">
        <f t="shared" si="48"/>
        <v>3453</v>
      </c>
      <c r="S154" s="333">
        <f t="shared" si="49"/>
        <v>3903</v>
      </c>
      <c r="T154" s="325">
        <f>IF(C154="","",IFERROR(IF(W154&lt;=22,-4,IF(W154&lt;=28,-2,IF(W154&lt;=45,2,IF(W154&lt;=55,1,0))))+IF(X154&lt;0,2,0)+IF(AD154="下降トレンド▼",3,IF(AD154="もみ合い→",1,0))+IF(V154="年初来安値圏●",3,IF(V154="安値圏",2,0))+IF(Q154="売り▼",2,0)+IF(P154="急増↑↑",2,IF(P154="増加↑",1,0))+IF(Z154&lt;0,1,0)+IF(L154&lt;=-30,2,IF(L154&lt;=-15,1,0))+IF(AE154="25日戻り売り★",2,IF(AE154="5日戻り売り○",1,0))+N(AL154)+N(AP154)+N(AU154),0))</f>
      </c>
      <c r="U154" s="212" t="str">
        <f t="shared" si="51"/>
        <v>除外</v>
      </c>
      <c r="V154" s="212" t="str">
        <f t="shared" si="52"/>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 t="shared" si="53"/>
        <v>○逆張り売り | もみ合い→ 25日戻り売り★ MACD+ RSI:42.6 前日比:+2.5% [2点]</v>
      </c>
      <c r="Z154" s="338">
        <f t="shared" si="54"/>
        <v>2.4849808847624248</v>
      </c>
      <c r="AA154" s="212" t="str">
        <f t="shared" si="55"/>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 t="shared" si="56"/>
        <v>もみ合い→</v>
      </c>
      <c r="AE154" s="212" t="str">
        <f t="shared" si="57"/>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 t="shared" si="58"/>
        <v>0</v>
      </c>
      <c r="AH154">
        <f t="shared" si="59"/>
        <v>0</v>
      </c>
      <c r="AI154" s="373">
        <f t="array" ref="AI154">IF(C154="","",IFERROR((INDEX(終値!$E:$E,MATCH(TEXT(C154,"0"),終値!$A:$A,0))-INDEX(終値!$E:$CZ,MATCH(TEXT(C154,"0"),終値!$A:$A,0),$AN$2))/INDEX(終値!$E:$CZ,MATCH(TEXT(C154,"0"),終値!$A:$A,0),$AN$2)*100,""))</f>
        <v>13.07622777945164</v>
      </c>
      <c r="AJ154" s="373">
        <f t="array" ref="AJ154">IFERROR((終値!$E$5-INDEX(終値!$E$5:$CZ$5,1,$AN$2))/INDEX(終値!$E$5:$CZ$5,1,$AN$2)*100,"")</f>
        <v>1.0179378228534113</v>
      </c>
      <c r="AK154" s="374">
        <f t="shared" si="60"/>
        <v>12.058289956598228</v>
      </c>
      <c r="AL154" s="372">
        <f t="shared" si="61"/>
        <v>-2</v>
      </c>
      <c r="AO154" s="376" t="str">
        <f t="shared" si="62"/>
        <v>通常</v>
      </c>
      <c r="AP154" s="377">
        <f t="shared" si="63"/>
        <v>0</v>
      </c>
      <c r="AQ154">
        <f>IF(C154&lt;&gt;"",始値!F174,"")</f>
        <v>3710</v>
      </c>
      <c r="AR154">
        <f>IF(C154&lt;&gt;"",高値!F174,"")</f>
        <v>3713</v>
      </c>
      <c r="AS154">
        <f>IF(C154&lt;&gt;"",安値!F174,"")</f>
        <v>3617</v>
      </c>
      <c r="AT154" t="str">
        <f t="shared" si="64"/>
        <v>通常</v>
      </c>
      <c r="AU154">
        <f t="shared" si="65"/>
        <v>0</v>
      </c>
      <c r="BA154">
        <f>IFERROR((SUM(OFFSET(高値!$E$6,IFERROR(MATCH($C154,銘柄管理!$B$6:$B$305,0),MATCH(TEXT($C154,"0"),銘柄管理!$B$6:$B$305,0))-1,0,1,14))-SUM(OFFSET(安値!$E$6,IFERROR(MATCH($C154,銘柄管理!$B$6:$B$305,0),MATCH(TEXT($C154,"0"),銘柄管理!$B$6:$B$305,0))-1,0,1,14)))/SUM(OFFSET(終値!$E$6,IFERROR(MATCH($C154,銘柄管理!$B$6:$B$305,0),MATCH(TEXT($C154,"0"),銘柄管理!$B$6:$B$305,0))-1,0,1,14))*100,"")</f>
      </c>
      <c r="BB154">
        <f>IFERROR((MAX(OFFSET(高値!$E$6,IFERROR(MATCH($C154,銘柄管理!$B$6:$B$305,0),MATCH(TEXT($C154,"0"),銘柄管理!$B$6:$B$305,0))-1,0,1,25))-MIN(OFFSET(安値!$E$6,IFERROR(MATCH($C154,銘柄管理!$B$6:$B$305,0),MATCH(TEXT($C154,"0"),銘柄管理!$B$6:$B$305,0))-1,0,1,25)))/$E154*100,"")</f>
      </c>
      <c r="BC154">
        <f>IFERROR(($F154-$G154)/$G154*100,"")</f>
      </c>
      <c r="BD154">
        <f>IFERROR(($E154-MAX(OFFSET(高値!$E$6,IFERROR(MATCH($C154,銘柄管理!$B$6:$B$305,0),MATCH(TEXT($C154,"0"),銘柄管理!$B$6:$B$305,0))-1,0,1,25)))/MAX(OFFSET(高値!$E$6,IFERROR(MATCH($C154,銘柄管理!$B$6:$B$305,0),MATCH(TEXT($C154,"0"),銘柄管理!$B$6:$B$305,0))-1,0,1,25))*100,"")</f>
      </c>
      <c r="BE154">
        <f>IFERROR(($H154-$I154)/$F154*100,"")</f>
      </c>
      <c r="BF154">
        <f>IFERROR(-(($BA154-AVERAGE($BA$3:$BA$206))/STDEV($BA$3:$BA$206))-(($BE154-AVERAGE($BE$3:$BE$206))/STDEV($BE$3:$BE$206))-(($BB154-AVERAGE($BB$3:$BB$206))/STDEV($BB$3:$BB$206))-(($Z154-AVERAGE($Z$3:$Z$206))/STDEV($Z$3:$Z$206))-(($BC154-AVERAGE($BC$3:$BC$206))/STDEV($BC$3:$BC$206)),"")</f>
      </c>
      <c r="BG154">
        <f>IF(OR($C154="",$C154="TOPX",$BA154="",$BF154=""),0,IF(AND($BK$10=1,$BA154&lt;=$BK$2,$BB154&lt;=$BK$3,$BC154&lt;=$BK$4,$Z154&lt;=$BK$5,$Z154&gt;=$BK$6,$BD154&gt;=$BK$7,$BE154&lt;=$BK$8),1,0))</f>
      </c>
      <c r="BH154">
        <f>IF($C154="","",IF($BG154=1,"○ゲート通過",IF($BK$10&lt;&gt;1,"― この方向は停止中",IF($BA154&gt;$BK$2,"×値動きが荒い",IF($BB154&gt;$BK$3,"×レンジが広い",IF($BC154&gt;$BK$4,"×窓を開けて上昇",IF($Z154&gt;$BK$5,"×前日に急騰",IF($Z154&lt;$BK$6,"×前日に急落",IF($BD154&lt;$BK$7,"×高値から離れすぎ",IF($BE154&gt;$BK$8,"×当日の値幅が大きい","×")))))))))</f>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 t="shared" si="44"/>
        <v>-9.6055684454756367</v>
      </c>
      <c r="M155" s="326">
        <f>IF(C155&lt;&gt;"",IFERROR(AVERAGE(出来高!E178:I178),""),"")</f>
        <v>418920</v>
      </c>
      <c r="N155" s="326">
        <f>IF(C155&lt;&gt;"",IFERROR(AVERAGE(出来高!E178:AC178),""),"")</f>
        <v>328625</v>
      </c>
      <c r="O155" s="328">
        <f t="shared" si="45"/>
        <v>0.47336006874820968</v>
      </c>
      <c r="P155" s="325" t="str">
        <f t="shared" si="46"/>
        <v>減少↓</v>
      </c>
      <c r="Q155" s="325" t="str">
        <f t="shared" si="47"/>
        <v>様子見▲</v>
      </c>
      <c r="R155" s="326">
        <f t="shared" si="48"/>
        <v>3584</v>
      </c>
      <c r="S155" s="326">
        <f t="shared" si="49"/>
        <v>4052</v>
      </c>
      <c r="T155" s="325">
        <f>IF(C155="","",IFERROR(IF(W155&lt;=22,-4,IF(W155&lt;=28,-2,IF(W155&lt;=45,2,IF(W155&lt;=55,1,0))))+IF(X155&lt;0,2,0)+IF(AD155="下降トレンド▼",3,IF(AD155="もみ合い→",1,0))+IF(V155="年初来安値圏●",3,IF(V155="安値圏",2,0))+IF(Q155="売り▼",2,0)+IF(P155="急増↑↑",2,IF(P155="増加↑",1,0))+IF(Z155&lt;0,1,0)+IF(L155&lt;=-30,2,IF(L155&lt;=-15,1,0))+IF(AE155="25日戻り売り★",2,IF(AE155="5日戻り売り○",1,0))+N(AL155)+N(AP155)+N(AU155),0))</f>
      </c>
      <c r="U155" s="325" t="str">
        <f t="shared" si="51"/>
        <v>除外</v>
      </c>
      <c r="V155" s="325" t="str">
        <f t="shared" si="52"/>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 t="shared" si="53"/>
        <v>相場上昇・見送り | パーフェクト▲ MACD+ RSI:50.6 前日比:+0.4%前日[長い下ヒゲ(反発)] [-3点]</v>
      </c>
      <c r="Z155" s="331">
        <f t="shared" si="54"/>
        <v>0.41237113402061859</v>
      </c>
      <c r="AA155" s="325" t="str">
        <f t="shared" si="55"/>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 t="shared" si="56"/>
        <v>パーフェクト▲</v>
      </c>
      <c r="AE155" s="325" t="str">
        <f t="shared" si="57"/>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 t="shared" si="58"/>
        <v>0</v>
      </c>
      <c r="AH155">
        <f t="shared" si="59"/>
        <v>0</v>
      </c>
      <c r="AI155" s="373">
        <f t="array" ref="AI155">IF(C155="","",IFERROR((INDEX(終値!$E:$E,MATCH(TEXT(C155,"0"),終値!$A:$A,0))-INDEX(終値!$E:$CZ,MATCH(TEXT(C155,"0"),終値!$A:$A,0),$AN$2))/INDEX(終値!$E:$CZ,MATCH(TEXT(C155,"0"),終値!$A:$A,0),$AN$2)*100,""))</f>
        <v>6.5354115395132624</v>
      </c>
      <c r="AJ155" s="373">
        <f t="array" ref="AJ155">IFERROR((終値!$E$5-INDEX(終値!$E$5:$CZ$5,1,$AN$2))/INDEX(終値!$E$5:$CZ$5,1,$AN$2)*100,"")</f>
        <v>1.0179378228534113</v>
      </c>
      <c r="AK155" s="374">
        <f t="shared" si="60"/>
        <v>5.5174737166598513</v>
      </c>
      <c r="AL155" s="372">
        <f t="shared" si="61"/>
        <v>-2</v>
      </c>
      <c r="AO155" s="376" t="str">
        <f t="shared" si="62"/>
        <v>通常</v>
      </c>
      <c r="AP155" s="377">
        <f t="shared" si="63"/>
        <v>0</v>
      </c>
      <c r="AQ155">
        <f>IF(C155&lt;&gt;"",始値!F178,"")</f>
        <v>3868</v>
      </c>
      <c r="AR155">
        <f>IF(C155&lt;&gt;"",高値!F178,"")</f>
        <v>3884</v>
      </c>
      <c r="AS155">
        <f>IF(C155&lt;&gt;"",安値!F178,"")</f>
        <v>3829</v>
      </c>
      <c r="AT155" t="str">
        <f t="shared" si="64"/>
        <v>長い下ヒゲ(反発)</v>
      </c>
      <c r="AU155">
        <f t="shared" si="65"/>
        <v>-2</v>
      </c>
      <c r="BA155">
        <f>IFERROR((SUM(OFFSET(高値!$E$6,IFERROR(MATCH($C155,銘柄管理!$B$6:$B$305,0),MATCH(TEXT($C155,"0"),銘柄管理!$B$6:$B$305,0))-1,0,1,14))-SUM(OFFSET(安値!$E$6,IFERROR(MATCH($C155,銘柄管理!$B$6:$B$305,0),MATCH(TEXT($C155,"0"),銘柄管理!$B$6:$B$305,0))-1,0,1,14)))/SUM(OFFSET(終値!$E$6,IFERROR(MATCH($C155,銘柄管理!$B$6:$B$305,0),MATCH(TEXT($C155,"0"),銘柄管理!$B$6:$B$305,0))-1,0,1,14))*100,"")</f>
      </c>
      <c r="BB155">
        <f>IFERROR((MAX(OFFSET(高値!$E$6,IFERROR(MATCH($C155,銘柄管理!$B$6:$B$305,0),MATCH(TEXT($C155,"0"),銘柄管理!$B$6:$B$305,0))-1,0,1,25))-MIN(OFFSET(安値!$E$6,IFERROR(MATCH($C155,銘柄管理!$B$6:$B$305,0),MATCH(TEXT($C155,"0"),銘柄管理!$B$6:$B$305,0))-1,0,1,25)))/$E155*100,"")</f>
      </c>
      <c r="BC155">
        <f>IFERROR(($F155-$G155)/$G155*100,"")</f>
      </c>
      <c r="BD155">
        <f>IFERROR(($E155-MAX(OFFSET(高値!$E$6,IFERROR(MATCH($C155,銘柄管理!$B$6:$B$305,0),MATCH(TEXT($C155,"0"),銘柄管理!$B$6:$B$305,0))-1,0,1,25)))/MAX(OFFSET(高値!$E$6,IFERROR(MATCH($C155,銘柄管理!$B$6:$B$305,0),MATCH(TEXT($C155,"0"),銘柄管理!$B$6:$B$305,0))-1,0,1,25))*100,"")</f>
      </c>
      <c r="BE155">
        <f>IFERROR(($H155-$I155)/$F155*100,"")</f>
      </c>
      <c r="BF155">
        <f>IFERROR(-(($BA155-AVERAGE($BA$3:$BA$206))/STDEV($BA$3:$BA$206))-(($BE155-AVERAGE($BE$3:$BE$206))/STDEV($BE$3:$BE$206))-(($BB155-AVERAGE($BB$3:$BB$206))/STDEV($BB$3:$BB$206))-(($Z155-AVERAGE($Z$3:$Z$206))/STDEV($Z$3:$Z$206))-(($BC155-AVERAGE($BC$3:$BC$206))/STDEV($BC$3:$BC$206)),"")</f>
      </c>
      <c r="BG155">
        <f>IF(OR($C155="",$C155="TOPX",$BA155="",$BF155=""),0,IF(AND($BK$10=1,$BA155&lt;=$BK$2,$BB155&lt;=$BK$3,$BC155&lt;=$BK$4,$Z155&lt;=$BK$5,$Z155&gt;=$BK$6,$BD155&gt;=$BK$7,$BE155&lt;=$BK$8),1,0))</f>
      </c>
      <c r="BH155">
        <f>IF($C155="","",IF($BG155=1,"○ゲート通過",IF($BK$10&lt;&gt;1,"― この方向は停止中",IF($BA155&gt;$BK$2,"×値動きが荒い",IF($BB155&gt;$BK$3,"×レンジが広い",IF($BC155&gt;$BK$4,"×窓を開けて上昇",IF($Z155&gt;$BK$5,"×前日に急騰",IF($Z155&lt;$BK$6,"×前日に急落",IF($BD155&lt;$BK$7,"×高値から離れすぎ",IF($BE155&gt;$BK$8,"×当日の値幅が大きい","×")))))))))</f>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 t="shared" si="44"/>
        <v>-29.784866468842729</v>
      </c>
      <c r="M156" s="333">
        <f>IF(C156&lt;&gt;"",IFERROR(AVERAGE(出来高!E180:I180),""),"")</f>
        <v>167920</v>
      </c>
      <c r="N156" s="333">
        <f>IF(C156&lt;&gt;"",IFERROR(AVERAGE(出来高!E180:AC180),""),"")</f>
        <v>125712.5</v>
      </c>
      <c r="O156" s="335">
        <f t="shared" si="45"/>
        <v>0.79085278704144835</v>
      </c>
      <c r="P156" s="212" t="str">
        <f t="shared" si="46"/>
        <v>減少↓</v>
      </c>
      <c r="Q156" s="212" t="str">
        <f t="shared" si="47"/>
        <v>様子見▲</v>
      </c>
      <c r="R156" s="333">
        <f t="shared" si="48"/>
        <v>1742</v>
      </c>
      <c r="S156" s="333">
        <f t="shared" si="49"/>
        <v>1969</v>
      </c>
      <c r="T156" s="325">
        <f>IF(C156="","",IFERROR(IF(W156&lt;=22,-4,IF(W156&lt;=28,-2,IF(W156&lt;=45,2,IF(W156&lt;=55,1,0))))+IF(X156&lt;0,2,0)+IF(AD156="下降トレンド▼",3,IF(AD156="もみ合い→",1,0))+IF(V156="年初来安値圏●",3,IF(V156="安値圏",2,0))+IF(Q156="売り▼",2,0)+IF(P156="急増↑↑",2,IF(P156="増加↑",1,0))+IF(Z156&lt;0,1,0)+IF(L156&lt;=-30,2,IF(L156&lt;=-15,1,0))+IF(AE156="25日戻り売り★",2,IF(AE156="5日戻り売り○",1,0))+N(AL156)+N(AP156)+N(AU156),0))</f>
      </c>
      <c r="U156" s="212" t="str">
        <f t="shared" si="51"/>
        <v>除外</v>
      </c>
      <c r="V156" s="212" t="str">
        <f t="shared" si="52"/>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 t="shared" si="53"/>
        <v>相場上昇・見送り | パーフェクト▲ MACD+ RSI:50.3 前日比:+1.5% [安値圏] [2点]</v>
      </c>
      <c r="Z156" s="338">
        <f t="shared" si="54"/>
        <v>1.5013404825737267</v>
      </c>
      <c r="AA156" s="212" t="str">
        <f t="shared" si="55"/>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 t="shared" si="56"/>
        <v>パーフェクト▲</v>
      </c>
      <c r="AE156" s="212" t="str">
        <f t="shared" si="57"/>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 t="shared" si="58"/>
        <v>0</v>
      </c>
      <c r="AH156">
        <f t="shared" si="59"/>
        <v>0</v>
      </c>
      <c r="AI156" s="373">
        <f t="array" ref="AI156">IF(C156="","",IFERROR((INDEX(終値!$E:$E,MATCH(TEXT(C156,"0"),終値!$A:$A,0))-INDEX(終値!$E:$CZ,MATCH(TEXT(C156,"0"),終値!$A:$A,0),$AN$2))/INDEX(終値!$E:$CZ,MATCH(TEXT(C156,"0"),終値!$A:$A,0),$AN$2)*100,""))</f>
        <v>10.122164048865621</v>
      </c>
      <c r="AJ156" s="373">
        <f t="array" ref="AJ156">IFERROR((終値!$E$5-INDEX(終値!$E$5:$CZ$5,1,$AN$2))/INDEX(終値!$E$5:$CZ$5,1,$AN$2)*100,"")</f>
        <v>1.0179378228534113</v>
      </c>
      <c r="AK156" s="374">
        <f t="shared" si="60"/>
        <v>9.1042262260122087</v>
      </c>
      <c r="AL156" s="372">
        <f t="shared" si="61"/>
        <v>-2</v>
      </c>
      <c r="AO156" s="376" t="str">
        <f t="shared" si="62"/>
        <v>通常</v>
      </c>
      <c r="AP156" s="377">
        <f t="shared" si="63"/>
        <v>0</v>
      </c>
      <c r="AQ156">
        <f>IF(C156&lt;&gt;"",始値!F180,"")</f>
        <v>1866</v>
      </c>
      <c r="AR156">
        <f>IF(C156&lt;&gt;"",高値!F180,"")</f>
        <v>1873</v>
      </c>
      <c r="AS156">
        <f>IF(C156&lt;&gt;"",安値!F180,"")</f>
        <v>1852</v>
      </c>
      <c r="AT156" t="str">
        <f t="shared" si="64"/>
        <v>通常</v>
      </c>
      <c r="AU156">
        <f t="shared" si="65"/>
        <v>0</v>
      </c>
      <c r="BA156">
        <f>IFERROR((SUM(OFFSET(高値!$E$6,IFERROR(MATCH($C156,銘柄管理!$B$6:$B$305,0),MATCH(TEXT($C156,"0"),銘柄管理!$B$6:$B$305,0))-1,0,1,14))-SUM(OFFSET(安値!$E$6,IFERROR(MATCH($C156,銘柄管理!$B$6:$B$305,0),MATCH(TEXT($C156,"0"),銘柄管理!$B$6:$B$305,0))-1,0,1,14)))/SUM(OFFSET(終値!$E$6,IFERROR(MATCH($C156,銘柄管理!$B$6:$B$305,0),MATCH(TEXT($C156,"0"),銘柄管理!$B$6:$B$305,0))-1,0,1,14))*100,"")</f>
      </c>
      <c r="BB156">
        <f>IFERROR((MAX(OFFSET(高値!$E$6,IFERROR(MATCH($C156,銘柄管理!$B$6:$B$305,0),MATCH(TEXT($C156,"0"),銘柄管理!$B$6:$B$305,0))-1,0,1,25))-MIN(OFFSET(安値!$E$6,IFERROR(MATCH($C156,銘柄管理!$B$6:$B$305,0),MATCH(TEXT($C156,"0"),銘柄管理!$B$6:$B$305,0))-1,0,1,25)))/$E156*100,"")</f>
      </c>
      <c r="BC156">
        <f>IFERROR(($F156-$G156)/$G156*100,"")</f>
      </c>
      <c r="BD156">
        <f>IFERROR(($E156-MAX(OFFSET(高値!$E$6,IFERROR(MATCH($C156,銘柄管理!$B$6:$B$305,0),MATCH(TEXT($C156,"0"),銘柄管理!$B$6:$B$305,0))-1,0,1,25)))/MAX(OFFSET(高値!$E$6,IFERROR(MATCH($C156,銘柄管理!$B$6:$B$305,0),MATCH(TEXT($C156,"0"),銘柄管理!$B$6:$B$305,0))-1,0,1,25))*100,"")</f>
      </c>
      <c r="BE156">
        <f>IFERROR(($H156-$I156)/$F156*100,"")</f>
      </c>
      <c r="BF156">
        <f>IFERROR(-(($BA156-AVERAGE($BA$3:$BA$206))/STDEV($BA$3:$BA$206))-(($BE156-AVERAGE($BE$3:$BE$206))/STDEV($BE$3:$BE$206))-(($BB156-AVERAGE($BB$3:$BB$206))/STDEV($BB$3:$BB$206))-(($Z156-AVERAGE($Z$3:$Z$206))/STDEV($Z$3:$Z$206))-(($BC156-AVERAGE($BC$3:$BC$206))/STDEV($BC$3:$BC$206)),"")</f>
      </c>
      <c r="BG156">
        <f>IF(OR($C156="",$C156="TOPX",$BA156="",$BF156=""),0,IF(AND($BK$10=1,$BA156&lt;=$BK$2,$BB156&lt;=$BK$3,$BC156&lt;=$BK$4,$Z156&lt;=$BK$5,$Z156&gt;=$BK$6,$BD156&gt;=$BK$7,$BE156&lt;=$BK$8),1,0))</f>
      </c>
      <c r="BH156">
        <f>IF($C156="","",IF($BG156=1,"○ゲート通過",IF($BK$10&lt;&gt;1,"― この方向は停止中",IF($BA156&gt;$BK$2,"×値動きが荒い",IF($BB156&gt;$BK$3,"×レンジが広い",IF($BC156&gt;$BK$4,"×窓を開けて上昇",IF($Z156&gt;$BK$5,"×前日に急騰",IF($Z156&lt;$BK$6,"×前日に急落",IF($BD156&lt;$BK$7,"×高値から離れすぎ",IF($BE156&gt;$BK$8,"×当日の値幅が大きい","×")))))))))</f>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 t="shared" si="44"/>
        <v>-19.308231173380037</v>
      </c>
      <c r="M157" s="326">
        <f>IF(C157&lt;&gt;"",IFERROR(AVERAGE(出来高!E181:I181),""),"")</f>
        <v>1023140</v>
      </c>
      <c r="N157" s="326">
        <f>IF(C157&lt;&gt;"",IFERROR(AVERAGE(出来高!E181:AC181),""),"")</f>
        <v>932964</v>
      </c>
      <c r="O157" s="328">
        <f t="shared" si="45"/>
        <v>0.91101901987997735</v>
      </c>
      <c r="P157" s="325" t="str">
        <f t="shared" si="46"/>
        <v>減少↓</v>
      </c>
      <c r="Q157" s="325" t="str">
        <f t="shared" si="47"/>
        <v>様子見▲</v>
      </c>
      <c r="R157" s="326">
        <f t="shared" si="48"/>
        <v>848</v>
      </c>
      <c r="S157" s="326">
        <f t="shared" si="49"/>
        <v>958</v>
      </c>
      <c r="T157" s="325">
        <f>IF(C157="","",IFERROR(IF(W157&lt;=22,-4,IF(W157&lt;=28,-2,IF(W157&lt;=45,2,IF(W157&lt;=55,1,0))))+IF(X157&lt;0,2,0)+IF(AD157="下降トレンド▼",3,IF(AD157="もみ合い→",1,0))+IF(V157="年初来安値圏●",3,IF(V157="安値圏",2,0))+IF(Q157="売り▼",2,0)+IF(P157="急増↑↑",2,IF(P157="増加↑",1,0))+IF(Z157&lt;0,1,0)+IF(L157&lt;=-30,2,IF(L157&lt;=-15,1,0))+IF(AE157="25日戻り売り★",2,IF(AE157="5日戻り売り○",1,0))+N(AL157)+N(AP157)+N(AU157),0))</f>
      </c>
      <c r="U157" s="325" t="str">
        <f t="shared" si="51"/>
        <v>要確認</v>
      </c>
      <c r="V157" s="325" t="str">
        <f t="shared" si="52"/>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 t="shared" si="53"/>
        <v>★逆張り売り | 下降トレンド▼ 25日戻り売り★ MACD+ RSI:51.3 前日比:+0.6% [5点]</v>
      </c>
      <c r="Z157" s="331">
        <f t="shared" si="54"/>
        <v>0.62240663900415438</v>
      </c>
      <c r="AA157" s="325" t="str">
        <f t="shared" si="55"/>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 t="shared" si="56"/>
        <v>下降トレンド▼</v>
      </c>
      <c r="AE157" s="325" t="str">
        <f t="shared" si="57"/>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 t="shared" si="58"/>
        <v>0</v>
      </c>
      <c r="AH157">
        <f t="shared" si="59"/>
        <v>0</v>
      </c>
      <c r="AI157" s="373">
        <f t="array" ref="AI157">IF(C157="","",IFERROR((INDEX(終値!$E:$E,MATCH(TEXT(C157,"0"),終値!$A:$A,0))-INDEX(終値!$E:$CZ,MATCH(TEXT(C157,"0"),終値!$A:$A,0),$AN$2))/INDEX(終値!$E:$CZ,MATCH(TEXT(C157,"0"),終値!$A:$A,0),$AN$2)*100,""))</f>
        <v>5.3142857142857141</v>
      </c>
      <c r="AJ157" s="373">
        <f t="array" ref="AJ157">IFERROR((終値!$E$5-INDEX(終値!$E$5:$CZ$5,1,$AN$2))/INDEX(終値!$E$5:$CZ$5,1,$AN$2)*100,"")</f>
        <v>1.0179378228534113</v>
      </c>
      <c r="AK157" s="374">
        <f t="shared" si="60"/>
        <v>4.296347891432303</v>
      </c>
      <c r="AL157" s="372">
        <f t="shared" si="61"/>
        <v>-2</v>
      </c>
      <c r="AO157" s="376" t="str">
        <f t="shared" si="62"/>
        <v>通常</v>
      </c>
      <c r="AP157" s="377">
        <f t="shared" si="63"/>
        <v>0</v>
      </c>
      <c r="AQ157">
        <f>IF(C157&lt;&gt;"",始値!F181,"")</f>
        <v>924.7</v>
      </c>
      <c r="AR157">
        <f>IF(C157&lt;&gt;"",高値!F181,"")</f>
        <v>939.6</v>
      </c>
      <c r="AS157">
        <f>IF(C157&lt;&gt;"",安値!F181,"")</f>
        <v>910.4</v>
      </c>
      <c r="AT157" t="str">
        <f t="shared" si="64"/>
        <v>通常</v>
      </c>
      <c r="AU157">
        <f t="shared" si="65"/>
        <v>0</v>
      </c>
      <c r="BA157">
        <f>IFERROR((SUM(OFFSET(高値!$E$6,IFERROR(MATCH($C157,銘柄管理!$B$6:$B$305,0),MATCH(TEXT($C157,"0"),銘柄管理!$B$6:$B$305,0))-1,0,1,14))-SUM(OFFSET(安値!$E$6,IFERROR(MATCH($C157,銘柄管理!$B$6:$B$305,0),MATCH(TEXT($C157,"0"),銘柄管理!$B$6:$B$305,0))-1,0,1,14)))/SUM(OFFSET(終値!$E$6,IFERROR(MATCH($C157,銘柄管理!$B$6:$B$305,0),MATCH(TEXT($C157,"0"),銘柄管理!$B$6:$B$305,0))-1,0,1,14))*100,"")</f>
      </c>
      <c r="BB157">
        <f>IFERROR((MAX(OFFSET(高値!$E$6,IFERROR(MATCH($C157,銘柄管理!$B$6:$B$305,0),MATCH(TEXT($C157,"0"),銘柄管理!$B$6:$B$305,0))-1,0,1,25))-MIN(OFFSET(安値!$E$6,IFERROR(MATCH($C157,銘柄管理!$B$6:$B$305,0),MATCH(TEXT($C157,"0"),銘柄管理!$B$6:$B$305,0))-1,0,1,25)))/$E157*100,"")</f>
      </c>
      <c r="BC157">
        <f>IFERROR(($F157-$G157)/$G157*100,"")</f>
      </c>
      <c r="BD157">
        <f>IFERROR(($E157-MAX(OFFSET(高値!$E$6,IFERROR(MATCH($C157,銘柄管理!$B$6:$B$305,0),MATCH(TEXT($C157,"0"),銘柄管理!$B$6:$B$305,0))-1,0,1,25)))/MAX(OFFSET(高値!$E$6,IFERROR(MATCH($C157,銘柄管理!$B$6:$B$305,0),MATCH(TEXT($C157,"0"),銘柄管理!$B$6:$B$305,0))-1,0,1,25))*100,"")</f>
      </c>
      <c r="BE157">
        <f>IFERROR(($H157-$I157)/$F157*100,"")</f>
      </c>
      <c r="BF157">
        <f>IFERROR(-(($BA157-AVERAGE($BA$3:$BA$206))/STDEV($BA$3:$BA$206))-(($BE157-AVERAGE($BE$3:$BE$206))/STDEV($BE$3:$BE$206))-(($BB157-AVERAGE($BB$3:$BB$206))/STDEV($BB$3:$BB$206))-(($Z157-AVERAGE($Z$3:$Z$206))/STDEV($Z$3:$Z$206))-(($BC157-AVERAGE($BC$3:$BC$206))/STDEV($BC$3:$BC$206)),"")</f>
      </c>
      <c r="BG157">
        <f>IF(OR($C157="",$C157="TOPX",$BA157="",$BF157=""),0,IF(AND($BK$10=1,$BA157&lt;=$BK$2,$BB157&lt;=$BK$3,$BC157&lt;=$BK$4,$Z157&lt;=$BK$5,$Z157&gt;=$BK$6,$BD157&gt;=$BK$7,$BE157&lt;=$BK$8),1,0))</f>
      </c>
      <c r="BH157">
        <f>IF($C157="","",IF($BG157=1,"○ゲート通過",IF($BK$10&lt;&gt;1,"― この方向は停止中",IF($BA157&gt;$BK$2,"×値動きが荒い",IF($BB157&gt;$BK$3,"×レンジが広い",IF($BC157&gt;$BK$4,"×窓を開けて上昇",IF($Z157&gt;$BK$5,"×前日に急騰",IF($Z157&lt;$BK$6,"×前日に急落",IF($BD157&lt;$BK$7,"×高値から離れすぎ",IF($BE157&gt;$BK$8,"×当日の値幅が大きい","×")))))))))</f>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 t="shared" si="44"/>
        <v>-13.36996336996337</v>
      </c>
      <c r="M158" s="333">
        <f>IF(C158&lt;&gt;"",IFERROR(AVERAGE(出来高!E182:I182),""),"")</f>
        <v>11960</v>
      </c>
      <c r="N158" s="333">
        <f>IF(C158&lt;&gt;"",IFERROR(AVERAGE(出来高!E182:AC182),""),"")</f>
        <v>14184</v>
      </c>
      <c r="O158" s="335">
        <f t="shared" si="45"/>
        <v>0.64381270903010035</v>
      </c>
      <c r="P158" s="212" t="str">
        <f t="shared" si="46"/>
        <v>減少↓</v>
      </c>
      <c r="Q158" s="212" t="str">
        <f t="shared" si="47"/>
        <v>様子見▲</v>
      </c>
      <c r="R158" s="333">
        <f t="shared" si="48"/>
        <v>2176</v>
      </c>
      <c r="S158" s="333">
        <f t="shared" si="49"/>
        <v>2460</v>
      </c>
      <c r="T158" s="325">
        <f>IF(C158="","",IFERROR(IF(W158&lt;=22,-4,IF(W158&lt;=28,-2,IF(W158&lt;=45,2,IF(W158&lt;=55,1,0))))+IF(X158&lt;0,2,0)+IF(AD158="下降トレンド▼",3,IF(AD158="もみ合い→",1,0))+IF(V158="年初来安値圏●",3,IF(V158="安値圏",2,0))+IF(Q158="売り▼",2,0)+IF(P158="急増↑↑",2,IF(P158="増加↑",1,0))+IF(Z158&lt;0,1,0)+IF(L158&lt;=-30,2,IF(L158&lt;=-15,1,0))+IF(AE158="25日戻り売り★",2,IF(AE158="5日戻り売り○",1,0))+N(AL158)+N(AP158)+N(AU158),0))</f>
      </c>
      <c r="U158" s="212" t="str">
        <f t="shared" si="51"/>
        <v>除外</v>
      </c>
      <c r="V158" s="212" t="str">
        <f t="shared" si="52"/>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 t="shared" si="53"/>
        <v>相場上昇・見送り | パーフェクト▲ MACD+ RSI:53.3 前日比:+1.2%前日[大陰線▼] [2点]</v>
      </c>
      <c r="Z158" s="338">
        <f t="shared" si="54"/>
        <v>1.2414383561643836</v>
      </c>
      <c r="AA158" s="212" t="str">
        <f t="shared" si="55"/>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 t="shared" si="56"/>
        <v>パーフェクト▲</v>
      </c>
      <c r="AE158" s="212" t="str">
        <f t="shared" si="57"/>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 t="shared" si="58"/>
        <v>0</v>
      </c>
      <c r="AH158">
        <f t="shared" si="59"/>
        <v>0</v>
      </c>
      <c r="AI158" s="373">
        <f t="array" ref="AI158">IF(C158="","",IFERROR((INDEX(終値!$E:$E,MATCH(TEXT(C158,"0"),終値!$A:$A,0))-INDEX(終値!$E:$CZ,MATCH(TEXT(C158,"0"),終値!$A:$A,0),$AN$2))/INDEX(終値!$E:$CZ,MATCH(TEXT(C158,"0"),終値!$A:$A,0),$AN$2)*100,""))</f>
        <v>4.0017590149516273</v>
      </c>
      <c r="AJ158" s="373">
        <f t="array" ref="AJ158">IFERROR((終値!$E$5-INDEX(終値!$E$5:$CZ$5,1,$AN$2))/INDEX(終値!$E$5:$CZ$5,1,$AN$2)*100,"")</f>
        <v>1.0179378228534113</v>
      </c>
      <c r="AK158" s="374">
        <f t="shared" si="60"/>
        <v>2.9838211920982163</v>
      </c>
      <c r="AL158" s="372">
        <f t="shared" si="61"/>
        <v>-1</v>
      </c>
      <c r="AO158" s="376" t="str">
        <f t="shared" si="62"/>
        <v>通常</v>
      </c>
      <c r="AP158" s="377">
        <f t="shared" si="63"/>
        <v>0</v>
      </c>
      <c r="AQ158">
        <f>IF(C158&lt;&gt;"",始値!F182,"")</f>
        <v>2357</v>
      </c>
      <c r="AR158">
        <f>IF(C158&lt;&gt;"",高値!F182,"")</f>
        <v>2358</v>
      </c>
      <c r="AS158">
        <f>IF(C158&lt;&gt;"",安値!F182,"")</f>
        <v>2333</v>
      </c>
      <c r="AT158" t="str">
        <f t="shared" si="64"/>
        <v>大陰線▼</v>
      </c>
      <c r="AU158">
        <f t="shared" si="65"/>
        <v>2</v>
      </c>
      <c r="BA158">
        <f>IFERROR((SUM(OFFSET(高値!$E$6,IFERROR(MATCH($C158,銘柄管理!$B$6:$B$305,0),MATCH(TEXT($C158,"0"),銘柄管理!$B$6:$B$305,0))-1,0,1,14))-SUM(OFFSET(安値!$E$6,IFERROR(MATCH($C158,銘柄管理!$B$6:$B$305,0),MATCH(TEXT($C158,"0"),銘柄管理!$B$6:$B$305,0))-1,0,1,14)))/SUM(OFFSET(終値!$E$6,IFERROR(MATCH($C158,銘柄管理!$B$6:$B$305,0),MATCH(TEXT($C158,"0"),銘柄管理!$B$6:$B$305,0))-1,0,1,14))*100,"")</f>
      </c>
      <c r="BB158">
        <f>IFERROR((MAX(OFFSET(高値!$E$6,IFERROR(MATCH($C158,銘柄管理!$B$6:$B$305,0),MATCH(TEXT($C158,"0"),銘柄管理!$B$6:$B$305,0))-1,0,1,25))-MIN(OFFSET(安値!$E$6,IFERROR(MATCH($C158,銘柄管理!$B$6:$B$305,0),MATCH(TEXT($C158,"0"),銘柄管理!$B$6:$B$305,0))-1,0,1,25)))/$E158*100,"")</f>
      </c>
      <c r="BC158">
        <f>IFERROR(($F158-$G158)/$G158*100,"")</f>
      </c>
      <c r="BD158">
        <f>IFERROR(($E158-MAX(OFFSET(高値!$E$6,IFERROR(MATCH($C158,銘柄管理!$B$6:$B$305,0),MATCH(TEXT($C158,"0"),銘柄管理!$B$6:$B$305,0))-1,0,1,25)))/MAX(OFFSET(高値!$E$6,IFERROR(MATCH($C158,銘柄管理!$B$6:$B$305,0),MATCH(TEXT($C158,"0"),銘柄管理!$B$6:$B$305,0))-1,0,1,25))*100,"")</f>
      </c>
      <c r="BE158">
        <f>IFERROR(($H158-$I158)/$F158*100,"")</f>
      </c>
      <c r="BF158">
        <f>IFERROR(-(($BA158-AVERAGE($BA$3:$BA$206))/STDEV($BA$3:$BA$206))-(($BE158-AVERAGE($BE$3:$BE$206))/STDEV($BE$3:$BE$206))-(($BB158-AVERAGE($BB$3:$BB$206))/STDEV($BB$3:$BB$206))-(($Z158-AVERAGE($Z$3:$Z$206))/STDEV($Z$3:$Z$206))-(($BC158-AVERAGE($BC$3:$BC$206))/STDEV($BC$3:$BC$206)),"")</f>
      </c>
      <c r="BG158">
        <f>IF(OR($C158="",$C158="TOPX",$BA158="",$BF158=""),0,IF(AND($BK$10=1,$BA158&lt;=$BK$2,$BB158&lt;=$BK$3,$BC158&lt;=$BK$4,$Z158&lt;=$BK$5,$Z158&gt;=$BK$6,$BD158&gt;=$BK$7,$BE158&lt;=$BK$8),1,0))</f>
      </c>
      <c r="BH158">
        <f>IF($C158="","",IF($BG158=1,"○ゲート通過",IF($BK$10&lt;&gt;1,"― この方向は停止中",IF($BA158&gt;$BK$2,"×値動きが荒い",IF($BB158&gt;$BK$3,"×レンジが広い",IF($BC158&gt;$BK$4,"×窓を開けて上昇",IF($Z158&gt;$BK$5,"×前日に急騰",IF($Z158&lt;$BK$6,"×前日に急落",IF($BD158&lt;$BK$7,"×高値から離れすぎ",IF($BE158&gt;$BK$8,"×当日の値幅が大きい","×")))))))))</f>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 t="shared" si="44"/>
        <v>-20.351966873706004</v>
      </c>
      <c r="M159" s="326">
        <f>IF(C159&lt;&gt;"",IFERROR(AVERAGE(出来高!E184:I184),""),"")</f>
        <v>3419500</v>
      </c>
      <c r="N159" s="326">
        <f>IF(C159&lt;&gt;"",IFERROR(AVERAGE(出来高!E184:AC184),""),"")</f>
        <v>3138100</v>
      </c>
      <c r="O159" s="328">
        <f t="shared" si="45"/>
        <v>0.6305892674367598</v>
      </c>
      <c r="P159" s="325" t="str">
        <f t="shared" si="46"/>
        <v>減少↓</v>
      </c>
      <c r="Q159" s="325" t="str">
        <f t="shared" si="47"/>
        <v>様子見▲</v>
      </c>
      <c r="R159" s="326">
        <f t="shared" si="48"/>
        <v>3539</v>
      </c>
      <c r="S159" s="326">
        <f t="shared" si="49"/>
        <v>4001</v>
      </c>
      <c r="T159" s="325">
        <f>IF(C159="","",IFERROR(IF(W159&lt;=22,-4,IF(W159&lt;=28,-2,IF(W159&lt;=45,2,IF(W159&lt;=55,1,0))))+IF(X159&lt;0,2,0)+IF(AD159="下降トレンド▼",3,IF(AD159="もみ合い→",1,0))+IF(V159="年初来安値圏●",3,IF(V159="安値圏",2,0))+IF(Q159="売り▼",2,0)+IF(P159="急増↑↑",2,IF(P159="増加↑",1,0))+IF(Z159&lt;0,1,0)+IF(L159&lt;=-30,2,IF(L159&lt;=-15,1,0))+IF(AE159="25日戻り売り★",2,IF(AE159="5日戻り売り○",1,0))+N(AL159)+N(AP159)+N(AU159),0))</f>
      </c>
      <c r="U159" s="325" t="str">
        <f t="shared" si="51"/>
        <v>要確認</v>
      </c>
      <c r="V159" s="325" t="str">
        <f t="shared" si="52"/>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 t="shared" si="53"/>
        <v>★逆張り売り | 下降トレンド▼ 25日戻り売り★ MACD+ RSI:56.4 前日比:+0.4%前日[長い下ヒゲ(反発)] [3点]</v>
      </c>
      <c r="Z159" s="331">
        <f t="shared" si="54"/>
        <v>0.44386422976501305</v>
      </c>
      <c r="AA159" s="325" t="str">
        <f t="shared" si="55"/>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 t="shared" si="56"/>
        <v>下降トレンド▼</v>
      </c>
      <c r="AE159" s="325" t="str">
        <f t="shared" si="57"/>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 t="shared" si="58"/>
        <v>0</v>
      </c>
      <c r="AH159">
        <f t="shared" si="59"/>
        <v>0</v>
      </c>
      <c r="AI159" s="373">
        <f t="array" ref="AI159">IF(C159="","",IFERROR((INDEX(終値!$E:$E,MATCH(TEXT(C159,"0"),終値!$A:$A,0))-INDEX(終値!$E:$CZ,MATCH(TEXT(C159,"0"),終値!$A:$A,0),$AN$2))/INDEX(終値!$E:$CZ,MATCH(TEXT(C159,"0"),終値!$A:$A,0),$AN$2)*100,""))</f>
        <v>13.682033096926713</v>
      </c>
      <c r="AJ159" s="373">
        <f t="array" ref="AJ159">IFERROR((終値!$E$5-INDEX(終値!$E$5:$CZ$5,1,$AN$2))/INDEX(終値!$E$5:$CZ$5,1,$AN$2)*100,"")</f>
        <v>1.0179378228534113</v>
      </c>
      <c r="AK159" s="374">
        <f t="shared" si="60"/>
        <v>12.664095274073301</v>
      </c>
      <c r="AL159" s="372">
        <f t="shared" si="61"/>
        <v>-2</v>
      </c>
      <c r="AO159" s="376" t="str">
        <f t="shared" si="62"/>
        <v>通常</v>
      </c>
      <c r="AP159" s="377">
        <f t="shared" si="63"/>
        <v>0</v>
      </c>
      <c r="AQ159">
        <f>IF(C159&lt;&gt;"",始値!F184,"")</f>
        <v>3840</v>
      </c>
      <c r="AR159">
        <f>IF(C159&lt;&gt;"",高値!F184,"")</f>
        <v>3844</v>
      </c>
      <c r="AS159">
        <f>IF(C159&lt;&gt;"",安値!F184,"")</f>
        <v>3764</v>
      </c>
      <c r="AT159" t="str">
        <f t="shared" si="64"/>
        <v>長い下ヒゲ(反発)</v>
      </c>
      <c r="AU159">
        <f t="shared" si="65"/>
        <v>-2</v>
      </c>
      <c r="BA159">
        <f>IFERROR((SUM(OFFSET(高値!$E$6,IFERROR(MATCH($C159,銘柄管理!$B$6:$B$305,0),MATCH(TEXT($C159,"0"),銘柄管理!$B$6:$B$305,0))-1,0,1,14))-SUM(OFFSET(安値!$E$6,IFERROR(MATCH($C159,銘柄管理!$B$6:$B$305,0),MATCH(TEXT($C159,"0"),銘柄管理!$B$6:$B$305,0))-1,0,1,14)))/SUM(OFFSET(終値!$E$6,IFERROR(MATCH($C159,銘柄管理!$B$6:$B$305,0),MATCH(TEXT($C159,"0"),銘柄管理!$B$6:$B$305,0))-1,0,1,14))*100,"")</f>
      </c>
      <c r="BB159">
        <f>IFERROR((MAX(OFFSET(高値!$E$6,IFERROR(MATCH($C159,銘柄管理!$B$6:$B$305,0),MATCH(TEXT($C159,"0"),銘柄管理!$B$6:$B$305,0))-1,0,1,25))-MIN(OFFSET(安値!$E$6,IFERROR(MATCH($C159,銘柄管理!$B$6:$B$305,0),MATCH(TEXT($C159,"0"),銘柄管理!$B$6:$B$305,0))-1,0,1,25)))/$E159*100,"")</f>
      </c>
      <c r="BC159">
        <f>IFERROR(($F159-$G159)/$G159*100,"")</f>
      </c>
      <c r="BD159">
        <f>IFERROR(($E159-MAX(OFFSET(高値!$E$6,IFERROR(MATCH($C159,銘柄管理!$B$6:$B$305,0),MATCH(TEXT($C159,"0"),銘柄管理!$B$6:$B$305,0))-1,0,1,25)))/MAX(OFFSET(高値!$E$6,IFERROR(MATCH($C159,銘柄管理!$B$6:$B$305,0),MATCH(TEXT($C159,"0"),銘柄管理!$B$6:$B$305,0))-1,0,1,25))*100,"")</f>
      </c>
      <c r="BE159">
        <f>IFERROR(($H159-$I159)/$F159*100,"")</f>
      </c>
      <c r="BF159">
        <f>IFERROR(-(($BA159-AVERAGE($BA$3:$BA$206))/STDEV($BA$3:$BA$206))-(($BE159-AVERAGE($BE$3:$BE$206))/STDEV($BE$3:$BE$206))-(($BB159-AVERAGE($BB$3:$BB$206))/STDEV($BB$3:$BB$206))-(($Z159-AVERAGE($Z$3:$Z$206))/STDEV($Z$3:$Z$206))-(($BC159-AVERAGE($BC$3:$BC$206))/STDEV($BC$3:$BC$206)),"")</f>
      </c>
      <c r="BG159">
        <f>IF(OR($C159="",$C159="TOPX",$BA159="",$BF159=""),0,IF(AND($BK$10=1,$BA159&lt;=$BK$2,$BB159&lt;=$BK$3,$BC159&lt;=$BK$4,$Z159&lt;=$BK$5,$Z159&gt;=$BK$6,$BD159&gt;=$BK$7,$BE159&lt;=$BK$8),1,0))</f>
      </c>
      <c r="BH159">
        <f>IF($C159="","",IF($BG159=1,"○ゲート通過",IF($BK$10&lt;&gt;1,"― この方向は停止中",IF($BA159&gt;$BK$2,"×値動きが荒い",IF($BB159&gt;$BK$3,"×レンジが広い",IF($BC159&gt;$BK$4,"×窓を開けて上昇",IF($Z159&gt;$BK$5,"×前日に急騰",IF($Z159&lt;$BK$6,"×前日に急落",IF($BD159&lt;$BK$7,"×高値から離れすぎ",IF($BE159&gt;$BK$8,"×当日の値幅が大きい","×")))))))))</f>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 t="shared" si="44"/>
        <v>-10.44039483675019</v>
      </c>
      <c r="M160" s="333">
        <f>IF(C160&lt;&gt;"",IFERROR(AVERAGE(出来高!E185:I185),""),"")</f>
        <v>86920</v>
      </c>
      <c r="N160" s="333">
        <f>IF(C160&lt;&gt;"",IFERROR(AVERAGE(出来高!E185:AC185),""),"")</f>
        <v>75796</v>
      </c>
      <c r="O160" s="335">
        <f t="shared" si="45"/>
        <v>0.81914404049700873</v>
      </c>
      <c r="P160" s="212" t="str">
        <f t="shared" si="46"/>
        <v>減少↓</v>
      </c>
      <c r="Q160" s="212" t="str">
        <f t="shared" si="47"/>
        <v>様子見▲</v>
      </c>
      <c r="R160" s="333">
        <f t="shared" si="48"/>
        <v>2170</v>
      </c>
      <c r="S160" s="333">
        <f t="shared" si="49"/>
        <v>2453</v>
      </c>
      <c r="T160" s="325">
        <f>IF(C160="","",IFERROR(IF(W160&lt;=22,-4,IF(W160&lt;=28,-2,IF(W160&lt;=45,2,IF(W160&lt;=55,1,0))))+IF(X160&lt;0,2,0)+IF(AD160="下降トレンド▼",3,IF(AD160="もみ合い→",1,0))+IF(V160="年初来安値圏●",3,IF(V160="安値圏",2,0))+IF(Q160="売り▼",2,0)+IF(P160="急増↑↑",2,IF(P160="増加↑",1,0))+IF(Z160&lt;0,1,0)+IF(L160&lt;=-30,2,IF(L160&lt;=-15,1,0))+IF(AE160="25日戻り売り★",2,IF(AE160="5日戻り売り○",1,0))+N(AL160)+N(AP160)+N(AU160),0))</f>
      </c>
      <c r="U160" s="212" t="str">
        <f t="shared" si="51"/>
        <v>除外</v>
      </c>
      <c r="V160" s="212" t="str">
        <f t="shared" si="52"/>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 t="shared" si="53"/>
        <v>相場上昇・見送り | 上昇トレンド▲ 5日戻り売り○ MACD+ RSI:50.0 前日比:+1.1%前日[大陰線▼] [2点]</v>
      </c>
      <c r="Z160" s="338">
        <f t="shared" si="54"/>
        <v>1.1144449207029576</v>
      </c>
      <c r="AA160" s="212" t="str">
        <f t="shared" si="55"/>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 t="shared" si="56"/>
        <v>上昇トレンド▲</v>
      </c>
      <c r="AE160" s="212" t="str">
        <f t="shared" si="57"/>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 t="shared" si="58"/>
        <v>0</v>
      </c>
      <c r="AH160">
        <f t="shared" si="59"/>
        <v>0</v>
      </c>
      <c r="AI160" s="373">
        <f t="array" ref="AI160">IF(C160="","",IFERROR((INDEX(終値!$E:$E,MATCH(TEXT(C160,"0"),終値!$A:$A,0))-INDEX(終値!$E:$CZ,MATCH(TEXT(C160,"0"),終値!$A:$A,0),$AN$2))/INDEX(終値!$E:$CZ,MATCH(TEXT(C160,"0"),終値!$A:$A,0),$AN$2)*100,""))</f>
        <v>6.02247191011236</v>
      </c>
      <c r="AJ160" s="373">
        <f t="array" ref="AJ160">IFERROR((終値!$E$5-INDEX(終値!$E$5:$CZ$5,1,$AN$2))/INDEX(終値!$E$5:$CZ$5,1,$AN$2)*100,"")</f>
        <v>1.0179378228534113</v>
      </c>
      <c r="AK160" s="374">
        <f t="shared" si="60"/>
        <v>5.004534087258949</v>
      </c>
      <c r="AL160" s="372">
        <f t="shared" si="61"/>
        <v>-2</v>
      </c>
      <c r="AO160" s="376" t="str">
        <f t="shared" si="62"/>
        <v>通常</v>
      </c>
      <c r="AP160" s="377">
        <f t="shared" si="63"/>
        <v>0</v>
      </c>
      <c r="AQ160">
        <f>IF(C160&lt;&gt;"",始値!F185,"")</f>
        <v>2381</v>
      </c>
      <c r="AR160">
        <f>IF(C160&lt;&gt;"",高値!F185,"")</f>
        <v>2397</v>
      </c>
      <c r="AS160">
        <f>IF(C160&lt;&gt;"",安値!F185,"")</f>
        <v>2333</v>
      </c>
      <c r="AT160" t="str">
        <f t="shared" si="64"/>
        <v>大陰線▼</v>
      </c>
      <c r="AU160">
        <f t="shared" si="65"/>
        <v>2</v>
      </c>
      <c r="BA160">
        <f>IFERROR((SUM(OFFSET(高値!$E$6,IFERROR(MATCH($C160,銘柄管理!$B$6:$B$305,0),MATCH(TEXT($C160,"0"),銘柄管理!$B$6:$B$305,0))-1,0,1,14))-SUM(OFFSET(安値!$E$6,IFERROR(MATCH($C160,銘柄管理!$B$6:$B$305,0),MATCH(TEXT($C160,"0"),銘柄管理!$B$6:$B$305,0))-1,0,1,14)))/SUM(OFFSET(終値!$E$6,IFERROR(MATCH($C160,銘柄管理!$B$6:$B$305,0),MATCH(TEXT($C160,"0"),銘柄管理!$B$6:$B$305,0))-1,0,1,14))*100,"")</f>
      </c>
      <c r="BB160">
        <f>IFERROR((MAX(OFFSET(高値!$E$6,IFERROR(MATCH($C160,銘柄管理!$B$6:$B$305,0),MATCH(TEXT($C160,"0"),銘柄管理!$B$6:$B$305,0))-1,0,1,25))-MIN(OFFSET(安値!$E$6,IFERROR(MATCH($C160,銘柄管理!$B$6:$B$305,0),MATCH(TEXT($C160,"0"),銘柄管理!$B$6:$B$305,0))-1,0,1,25)))/$E160*100,"")</f>
      </c>
      <c r="BC160">
        <f>IFERROR(($F160-$G160)/$G160*100,"")</f>
      </c>
      <c r="BD160">
        <f>IFERROR(($E160-MAX(OFFSET(高値!$E$6,IFERROR(MATCH($C160,銘柄管理!$B$6:$B$305,0),MATCH(TEXT($C160,"0"),銘柄管理!$B$6:$B$305,0))-1,0,1,25)))/MAX(OFFSET(高値!$E$6,IFERROR(MATCH($C160,銘柄管理!$B$6:$B$305,0),MATCH(TEXT($C160,"0"),銘柄管理!$B$6:$B$305,0))-1,0,1,25))*100,"")</f>
      </c>
      <c r="BE160">
        <f>IFERROR(($H160-$I160)/$F160*100,"")</f>
      </c>
      <c r="BF160">
        <f>IFERROR(-(($BA160-AVERAGE($BA$3:$BA$206))/STDEV($BA$3:$BA$206))-(($BE160-AVERAGE($BE$3:$BE$206))/STDEV($BE$3:$BE$206))-(($BB160-AVERAGE($BB$3:$BB$206))/STDEV($BB$3:$BB$206))-(($Z160-AVERAGE($Z$3:$Z$206))/STDEV($Z$3:$Z$206))-(($BC160-AVERAGE($BC$3:$BC$206))/STDEV($BC$3:$BC$206)),"")</f>
      </c>
      <c r="BG160">
        <f>IF(OR($C160="",$C160="TOPX",$BA160="",$BF160=""),0,IF(AND($BK$10=1,$BA160&lt;=$BK$2,$BB160&lt;=$BK$3,$BC160&lt;=$BK$4,$Z160&lt;=$BK$5,$Z160&gt;=$BK$6,$BD160&gt;=$BK$7,$BE160&lt;=$BK$8),1,0))</f>
      </c>
      <c r="BH160">
        <f>IF($C160="","",IF($BG160=1,"○ゲート通過",IF($BK$10&lt;&gt;1,"― この方向は停止中",IF($BA160&gt;$BK$2,"×値動きが荒い",IF($BB160&gt;$BK$3,"×レンジが広い",IF($BC160&gt;$BK$4,"×窓を開けて上昇",IF($Z160&gt;$BK$5,"×前日に急騰",IF($Z160&lt;$BK$6,"×前日に急落",IF($BD160&lt;$BK$7,"×高値から離れすぎ",IF($BE160&gt;$BK$8,"×当日の値幅が大きい","×")))))))))</f>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 t="shared" si="44"/>
        <v>-16.328401204661521</v>
      </c>
      <c r="M161" s="326">
        <f>IF(C161&lt;&gt;"",IFERROR(AVERAGE(出来高!E187:I187),""),"")</f>
        <v>3836180</v>
      </c>
      <c r="N161" s="326">
        <f>IF(C161&lt;&gt;"",IFERROR(AVERAGE(出来高!E187:AC187),""),"")</f>
        <v>2134460</v>
      </c>
      <c r="O161" s="328">
        <f t="shared" si="45"/>
        <v>0.38321976549588394</v>
      </c>
      <c r="P161" s="325" t="str">
        <f t="shared" si="46"/>
        <v>減少↓</v>
      </c>
      <c r="Q161" s="325" t="str">
        <f t="shared" si="47"/>
        <v>様子見▲</v>
      </c>
      <c r="R161" s="326">
        <f t="shared" si="48"/>
        <v>588</v>
      </c>
      <c r="S161" s="326">
        <f t="shared" si="49"/>
        <v>665</v>
      </c>
      <c r="T161" s="325">
        <f>IF(C161="","",IFERROR(IF(W161&lt;=22,-4,IF(W161&lt;=28,-2,IF(W161&lt;=45,2,IF(W161&lt;=55,1,0))))+IF(X161&lt;0,2,0)+IF(AD161="下降トレンド▼",3,IF(AD161="もみ合い→",1,0))+IF(V161="年初来安値圏●",3,IF(V161="安値圏",2,0))+IF(Q161="売り▼",2,0)+IF(P161="急増↑↑",2,IF(P161="増加↑",1,0))+IF(Z161&lt;0,1,0)+IF(L161&lt;=-30,2,IF(L161&lt;=-15,1,0))+IF(AE161="25日戻り売り★",2,IF(AE161="5日戻り売り○",1,0))+N(AL161)+N(AP161)+N(AU161),0))</f>
      </c>
      <c r="U161" s="325" t="str">
        <f t="shared" si="51"/>
        <v>要確認</v>
      </c>
      <c r="V161" s="325" t="str">
        <f t="shared" si="52"/>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 t="shared" si="53"/>
        <v>相場上昇・見送り | もみ合い→ MACD- RSI:34.7 前日比:+0.6%前日[長い下ヒゲ(反発)] [3点]</v>
      </c>
      <c r="Z161" s="331">
        <f t="shared" si="54"/>
        <v>0.55074744295830058</v>
      </c>
      <c r="AA161" s="325" t="str">
        <f t="shared" si="55"/>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 t="shared" si="56"/>
        <v>もみ合い→</v>
      </c>
      <c r="AE161" s="325" t="str">
        <f t="shared" si="57"/>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 t="shared" si="58"/>
        <v>0</v>
      </c>
      <c r="AH161">
        <f t="shared" si="59"/>
        <v>0</v>
      </c>
      <c r="AI161" s="373">
        <f t="array" ref="AI161">IF(C161="","",IFERROR((INDEX(終値!$E:$E,MATCH(TEXT(C161,"0"),終値!$A:$A,0))-INDEX(終値!$E:$CZ,MATCH(TEXT(C161,"0"),終値!$A:$A,0),$AN$2))/INDEX(終値!$E:$CZ,MATCH(TEXT(C161,"0"),終値!$A:$A,0),$AN$2)*100,""))</f>
        <v>0.58240201479616649</v>
      </c>
      <c r="AJ161" s="373">
        <f t="array" ref="AJ161">IFERROR((終値!$E$5-INDEX(終値!$E$5:$CZ$5,1,$AN$2))/INDEX(終値!$E$5:$CZ$5,1,$AN$2)*100,"")</f>
        <v>1.0179378228534113</v>
      </c>
      <c r="AK161" s="374">
        <f t="shared" si="60"/>
        <v>-0.43553580805724479</v>
      </c>
      <c r="AL161" s="372">
        <f t="shared" si="61"/>
        <v>1</v>
      </c>
      <c r="AO161" s="376" t="str">
        <f t="shared" si="62"/>
        <v>通常</v>
      </c>
      <c r="AP161" s="377">
        <f t="shared" si="63"/>
        <v>0</v>
      </c>
      <c r="AQ161">
        <f>IF(C161&lt;&gt;"",始値!F187,"")</f>
        <v>637</v>
      </c>
      <c r="AR161">
        <f>IF(C161&lt;&gt;"",高値!F187,"")</f>
        <v>637</v>
      </c>
      <c r="AS161">
        <f>IF(C161&lt;&gt;"",安値!F187,"")</f>
        <v>629.29999999999995</v>
      </c>
      <c r="AT161" t="str">
        <f t="shared" si="64"/>
        <v>長い下ヒゲ(反発)</v>
      </c>
      <c r="AU161">
        <f t="shared" si="65"/>
        <v>-2</v>
      </c>
      <c r="BA161">
        <f>IFERROR((SUM(OFFSET(高値!$E$6,IFERROR(MATCH($C161,銘柄管理!$B$6:$B$305,0),MATCH(TEXT($C161,"0"),銘柄管理!$B$6:$B$305,0))-1,0,1,14))-SUM(OFFSET(安値!$E$6,IFERROR(MATCH($C161,銘柄管理!$B$6:$B$305,0),MATCH(TEXT($C161,"0"),銘柄管理!$B$6:$B$305,0))-1,0,1,14)))/SUM(OFFSET(終値!$E$6,IFERROR(MATCH($C161,銘柄管理!$B$6:$B$305,0),MATCH(TEXT($C161,"0"),銘柄管理!$B$6:$B$305,0))-1,0,1,14))*100,"")</f>
      </c>
      <c r="BB161">
        <f>IFERROR((MAX(OFFSET(高値!$E$6,IFERROR(MATCH($C161,銘柄管理!$B$6:$B$305,0),MATCH(TEXT($C161,"0"),銘柄管理!$B$6:$B$305,0))-1,0,1,25))-MIN(OFFSET(安値!$E$6,IFERROR(MATCH($C161,銘柄管理!$B$6:$B$305,0),MATCH(TEXT($C161,"0"),銘柄管理!$B$6:$B$305,0))-1,0,1,25)))/$E161*100,"")</f>
      </c>
      <c r="BC161">
        <f>IFERROR(($F161-$G161)/$G161*100,"")</f>
      </c>
      <c r="BD161">
        <f>IFERROR(($E161-MAX(OFFSET(高値!$E$6,IFERROR(MATCH($C161,銘柄管理!$B$6:$B$305,0),MATCH(TEXT($C161,"0"),銘柄管理!$B$6:$B$305,0))-1,0,1,25)))/MAX(OFFSET(高値!$E$6,IFERROR(MATCH($C161,銘柄管理!$B$6:$B$305,0),MATCH(TEXT($C161,"0"),銘柄管理!$B$6:$B$305,0))-1,0,1,25))*100,"")</f>
      </c>
      <c r="BE161">
        <f>IFERROR(($H161-$I161)/$F161*100,"")</f>
      </c>
      <c r="BF161">
        <f>IFERROR(-(($BA161-AVERAGE($BA$3:$BA$206))/STDEV($BA$3:$BA$206))-(($BE161-AVERAGE($BE$3:$BE$206))/STDEV($BE$3:$BE$206))-(($BB161-AVERAGE($BB$3:$BB$206))/STDEV($BB$3:$BB$206))-(($Z161-AVERAGE($Z$3:$Z$206))/STDEV($Z$3:$Z$206))-(($BC161-AVERAGE($BC$3:$BC$206))/STDEV($BC$3:$BC$206)),"")</f>
      </c>
      <c r="BG161">
        <f>IF(OR($C161="",$C161="TOPX",$BA161="",$BF161=""),0,IF(AND($BK$10=1,$BA161&lt;=$BK$2,$BB161&lt;=$BK$3,$BC161&lt;=$BK$4,$Z161&lt;=$BK$5,$Z161&gt;=$BK$6,$BD161&gt;=$BK$7,$BE161&lt;=$BK$8),1,0))</f>
      </c>
      <c r="BH161">
        <f>IF($C161="","",IF($BG161=1,"○ゲート通過",IF($BK$10&lt;&gt;1,"― この方向は停止中",IF($BA161&gt;$BK$2,"×値動きが荒い",IF($BB161&gt;$BK$3,"×レンジが広い",IF($BC161&gt;$BK$4,"×窓を開けて上昇",IF($Z161&gt;$BK$5,"×前日に急騰",IF($Z161&lt;$BK$6,"×前日に急落",IF($BD161&lt;$BK$7,"×高値から離れすぎ",IF($BE161&gt;$BK$8,"×当日の値幅が大きい","×")))))))))</f>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 t="shared" si="44"/>
        <v>-23.552077062010842</v>
      </c>
      <c r="M162" s="333">
        <f>IF(C162&lt;&gt;"",IFERROR(AVERAGE(出来高!E188:I188),""),"")</f>
        <v>3302160</v>
      </c>
      <c r="N162" s="333">
        <f>IF(C162&lt;&gt;"",IFERROR(AVERAGE(出来高!E188:AC188),""),"")</f>
        <v>3311376</v>
      </c>
      <c r="O162" s="335">
        <f t="shared" si="45"/>
        <v>0.95831213508733681</v>
      </c>
      <c r="P162" s="212" t="str">
        <f t="shared" si="46"/>
        <v>減少↓</v>
      </c>
      <c r="Q162" s="212" t="str">
        <f t="shared" si="47"/>
        <v>様子見▲</v>
      </c>
      <c r="R162" s="333">
        <f t="shared" si="48"/>
        <v>584</v>
      </c>
      <c r="S162" s="333">
        <f t="shared" si="49"/>
        <v>660</v>
      </c>
      <c r="T162" s="325">
        <f>IF(C162="","",IFERROR(IF(W162&lt;=22,-4,IF(W162&lt;=28,-2,IF(W162&lt;=45,2,IF(W162&lt;=55,1,0))))+IF(X162&lt;0,2,0)+IF(AD162="下降トレンド▼",3,IF(AD162="もみ合い→",1,0))+IF(V162="年初来安値圏●",3,IF(V162="安値圏",2,0))+IF(Q162="売り▼",2,0)+IF(P162="急増↑↑",2,IF(P162="増加↑",1,0))+IF(Z162&lt;0,1,0)+IF(L162&lt;=-30,2,IF(L162&lt;=-15,1,0))+IF(AE162="25日戻り売り★",2,IF(AE162="5日戻り売り○",1,0))+N(AL162)+N(AP162)+N(AU162),0))</f>
      </c>
      <c r="U162" s="212" t="str">
        <f t="shared" si="51"/>
        <v>要確認</v>
      </c>
      <c r="V162" s="212" t="str">
        <f t="shared" si="52"/>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 t="shared" si="53"/>
        <v>相場上昇・見送り | パーフェクト▲ MACD- RSI:44.1 前日比:+2.1% [安値圏] [6点]</v>
      </c>
      <c r="Z162" s="338">
        <f t="shared" si="54"/>
        <v>2.1396396396396322</v>
      </c>
      <c r="AA162" s="212" t="str">
        <f t="shared" si="55"/>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 t="shared" si="56"/>
        <v>パーフェクト▲</v>
      </c>
      <c r="AE162" s="212" t="str">
        <f t="shared" si="57"/>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 t="shared" si="58"/>
        <v>0</v>
      </c>
      <c r="AH162">
        <f t="shared" si="59"/>
        <v>0</v>
      </c>
      <c r="AI162" s="373">
        <f t="array" ref="AI162">IF(C162="","",IFERROR((INDEX(終値!$E:$E,MATCH(TEXT(C162,"0"),終値!$A:$A,0))-INDEX(終値!$E:$CZ,MATCH(TEXT(C162,"0"),終値!$A:$A,0),$AN$2))/INDEX(終値!$E:$CZ,MATCH(TEXT(C162,"0"),終値!$A:$A,0),$AN$2)*100,""))</f>
        <v>-0.20433825840931596</v>
      </c>
      <c r="AJ162" s="373">
        <f t="array" ref="AJ162">IFERROR((終値!$E$5-INDEX(終値!$E$5:$CZ$5,1,$AN$2))/INDEX(終値!$E$5:$CZ$5,1,$AN$2)*100,"")</f>
        <v>1.0179378228534113</v>
      </c>
      <c r="AK162" s="374">
        <f t="shared" si="60"/>
        <v>-1.2222760812627271</v>
      </c>
      <c r="AL162" s="372">
        <f t="shared" si="61"/>
        <v>1</v>
      </c>
      <c r="AO162" s="376" t="str">
        <f t="shared" si="62"/>
        <v>通常</v>
      </c>
      <c r="AP162" s="377">
        <f t="shared" si="63"/>
        <v>0</v>
      </c>
      <c r="AQ162">
        <f>IF(C162&lt;&gt;"",始値!F188,"")</f>
        <v>617</v>
      </c>
      <c r="AR162">
        <f>IF(C162&lt;&gt;"",高値!F188,"")</f>
        <v>632.9</v>
      </c>
      <c r="AS162">
        <f>IF(C162&lt;&gt;"",安値!F188,"")</f>
        <v>612.5</v>
      </c>
      <c r="AT162" t="str">
        <f t="shared" si="64"/>
        <v>通常</v>
      </c>
      <c r="AU162">
        <f t="shared" si="65"/>
        <v>0</v>
      </c>
      <c r="BA162">
        <f>IFERROR((SUM(OFFSET(高値!$E$6,IFERROR(MATCH($C162,銘柄管理!$B$6:$B$305,0),MATCH(TEXT($C162,"0"),銘柄管理!$B$6:$B$305,0))-1,0,1,14))-SUM(OFFSET(安値!$E$6,IFERROR(MATCH($C162,銘柄管理!$B$6:$B$305,0),MATCH(TEXT($C162,"0"),銘柄管理!$B$6:$B$305,0))-1,0,1,14)))/SUM(OFFSET(終値!$E$6,IFERROR(MATCH($C162,銘柄管理!$B$6:$B$305,0),MATCH(TEXT($C162,"0"),銘柄管理!$B$6:$B$305,0))-1,0,1,14))*100,"")</f>
      </c>
      <c r="BB162">
        <f>IFERROR((MAX(OFFSET(高値!$E$6,IFERROR(MATCH($C162,銘柄管理!$B$6:$B$305,0),MATCH(TEXT($C162,"0"),銘柄管理!$B$6:$B$305,0))-1,0,1,25))-MIN(OFFSET(安値!$E$6,IFERROR(MATCH($C162,銘柄管理!$B$6:$B$305,0),MATCH(TEXT($C162,"0"),銘柄管理!$B$6:$B$305,0))-1,0,1,25)))/$E162*100,"")</f>
      </c>
      <c r="BC162">
        <f>IFERROR(($F162-$G162)/$G162*100,"")</f>
      </c>
      <c r="BD162">
        <f>IFERROR(($E162-MAX(OFFSET(高値!$E$6,IFERROR(MATCH($C162,銘柄管理!$B$6:$B$305,0),MATCH(TEXT($C162,"0"),銘柄管理!$B$6:$B$305,0))-1,0,1,25)))/MAX(OFFSET(高値!$E$6,IFERROR(MATCH($C162,銘柄管理!$B$6:$B$305,0),MATCH(TEXT($C162,"0"),銘柄管理!$B$6:$B$305,0))-1,0,1,25))*100,"")</f>
      </c>
      <c r="BE162">
        <f>IFERROR(($H162-$I162)/$F162*100,"")</f>
      </c>
      <c r="BF162">
        <f>IFERROR(-(($BA162-AVERAGE($BA$3:$BA$206))/STDEV($BA$3:$BA$206))-(($BE162-AVERAGE($BE$3:$BE$206))/STDEV($BE$3:$BE$206))-(($BB162-AVERAGE($BB$3:$BB$206))/STDEV($BB$3:$BB$206))-(($Z162-AVERAGE($Z$3:$Z$206))/STDEV($Z$3:$Z$206))-(($BC162-AVERAGE($BC$3:$BC$206))/STDEV($BC$3:$BC$206)),"")</f>
      </c>
      <c r="BG162">
        <f>IF(OR($C162="",$C162="TOPX",$BA162="",$BF162=""),0,IF(AND($BK$10=1,$BA162&lt;=$BK$2,$BB162&lt;=$BK$3,$BC162&lt;=$BK$4,$Z162&lt;=$BK$5,$Z162&gt;=$BK$6,$BD162&gt;=$BK$7,$BE162&lt;=$BK$8),1,0))</f>
      </c>
      <c r="BH162">
        <f>IF($C162="","",IF($BG162=1,"○ゲート通過",IF($BK$10&lt;&gt;1,"― この方向は停止中",IF($BA162&gt;$BK$2,"×値動きが荒い",IF($BB162&gt;$BK$3,"×レンジが広い",IF($BC162&gt;$BK$4,"×窓を開けて上昇",IF($Z162&gt;$BK$5,"×前日に急騰",IF($Z162&lt;$BK$6,"×前日に急落",IF($BD162&lt;$BK$7,"×高値から離れすぎ",IF($BE162&gt;$BK$8,"×当日の値幅が大きい","×")))))))))</f>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 t="shared" si="44"/>
        <v>-16.813186813186814</v>
      </c>
      <c r="M163" s="326">
        <f>IF(C163&lt;&gt;"",IFERROR(AVERAGE(出来高!E189:I189),""),"")</f>
        <v>2093260</v>
      </c>
      <c r="N163" s="326">
        <f>IF(C163&lt;&gt;"",IFERROR(AVERAGE(出来高!E189:AC189),""),"")</f>
        <v>1468836</v>
      </c>
      <c r="O163" s="328">
        <f t="shared" si="45"/>
        <v>1.1747704537420101</v>
      </c>
      <c r="P163" s="325" t="str">
        <f t="shared" si="46"/>
        <v>普通→</v>
      </c>
      <c r="Q163" s="325" t="str">
        <f t="shared" si="47"/>
        <v>様子見▲</v>
      </c>
      <c r="R163" s="326">
        <f t="shared" si="48"/>
        <v>1741</v>
      </c>
      <c r="S163" s="326">
        <f t="shared" si="49"/>
        <v>1968</v>
      </c>
      <c r="T163" s="325">
        <f>IF(C163="","",IFERROR(IF(W163&lt;=22,-4,IF(W163&lt;=28,-2,IF(W163&lt;=45,2,IF(W163&lt;=55,1,0))))+IF(X163&lt;0,2,0)+IF(AD163="下降トレンド▼",3,IF(AD163="もみ合い→",1,0))+IF(V163="年初来安値圏●",3,IF(V163="安値圏",2,0))+IF(Q163="売り▼",2,0)+IF(P163="急増↑↑",2,IF(P163="増加↑",1,0))+IF(Z163&lt;0,1,0)+IF(L163&lt;=-30,2,IF(L163&lt;=-15,1,0))+IF(AE163="25日戻り売り★",2,IF(AE163="5日戻り売り○",1,0))+N(AL163)+N(AP163)+N(AU163),0))</f>
      </c>
      <c r="U163" s="325" t="str">
        <f t="shared" si="51"/>
        <v>除外</v>
      </c>
      <c r="V163" s="325" t="str">
        <f t="shared" si="52"/>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 t="shared" si="53"/>
        <v>相場上昇・見送り | 下降トレンド▼ MACD+ RSI:41.3 前日比:+0.7% [長い下ヒゲ(反発警戒)] [1点]</v>
      </c>
      <c r="Z163" s="331">
        <f t="shared" si="54"/>
        <v>0.66489361702127658</v>
      </c>
      <c r="AA163" s="325" t="str">
        <f t="shared" si="55"/>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 t="shared" si="56"/>
        <v>下降トレンド▼</v>
      </c>
      <c r="AE163" s="325" t="str">
        <f t="shared" si="57"/>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 t="shared" si="58"/>
        <v>0</v>
      </c>
      <c r="AH163">
        <f t="shared" si="59"/>
        <v>0</v>
      </c>
      <c r="AI163" s="373">
        <f t="array" ref="AI163">IF(C163="","",IFERROR((INDEX(終値!$E:$E,MATCH(TEXT(C163,"0"),終値!$A:$A,0))-INDEX(終値!$E:$CZ,MATCH(TEXT(C163,"0"),終値!$A:$A,0),$AN$2))/INDEX(終値!$E:$CZ,MATCH(TEXT(C163,"0"),終値!$A:$A,0),$AN$2)*100,""))</f>
        <v>2.8812177222071211</v>
      </c>
      <c r="AJ163" s="373">
        <f t="array" ref="AJ163">IFERROR((終値!$E$5-INDEX(終値!$E$5:$CZ$5,1,$AN$2))/INDEX(終値!$E$5:$CZ$5,1,$AN$2)*100,"")</f>
        <v>1.0179378228534113</v>
      </c>
      <c r="AK163" s="374">
        <f t="shared" si="60"/>
        <v>1.8632798993537099</v>
      </c>
      <c r="AL163" s="372">
        <f t="shared" si="61"/>
        <v>-1</v>
      </c>
      <c r="AO163" s="376" t="str">
        <f t="shared" si="62"/>
        <v>長い下ヒゲ(反発警戒)</v>
      </c>
      <c r="AP163" s="377">
        <f t="shared" si="63"/>
        <v>-2</v>
      </c>
      <c r="AQ163">
        <f>IF(C163&lt;&gt;"",始値!F189,"")</f>
        <v>1910</v>
      </c>
      <c r="AR163">
        <f>IF(C163&lt;&gt;"",高値!F189,"")</f>
        <v>1961.5</v>
      </c>
      <c r="AS163">
        <f>IF(C163&lt;&gt;"",安値!F189,"")</f>
        <v>1876</v>
      </c>
      <c r="AT163" t="str">
        <f t="shared" si="64"/>
        <v>通常</v>
      </c>
      <c r="AU163">
        <f t="shared" si="65"/>
        <v>0</v>
      </c>
      <c r="BA163">
        <f>IFERROR((SUM(OFFSET(高値!$E$6,IFERROR(MATCH($C163,銘柄管理!$B$6:$B$305,0),MATCH(TEXT($C163,"0"),銘柄管理!$B$6:$B$305,0))-1,0,1,14))-SUM(OFFSET(安値!$E$6,IFERROR(MATCH($C163,銘柄管理!$B$6:$B$305,0),MATCH(TEXT($C163,"0"),銘柄管理!$B$6:$B$305,0))-1,0,1,14)))/SUM(OFFSET(終値!$E$6,IFERROR(MATCH($C163,銘柄管理!$B$6:$B$305,0),MATCH(TEXT($C163,"0"),銘柄管理!$B$6:$B$305,0))-1,0,1,14))*100,"")</f>
      </c>
      <c r="BB163">
        <f>IFERROR((MAX(OFFSET(高値!$E$6,IFERROR(MATCH($C163,銘柄管理!$B$6:$B$305,0),MATCH(TEXT($C163,"0"),銘柄管理!$B$6:$B$305,0))-1,0,1,25))-MIN(OFFSET(安値!$E$6,IFERROR(MATCH($C163,銘柄管理!$B$6:$B$305,0),MATCH(TEXT($C163,"0"),銘柄管理!$B$6:$B$305,0))-1,0,1,25)))/$E163*100,"")</f>
      </c>
      <c r="BC163">
        <f>IFERROR(($F163-$G163)/$G163*100,"")</f>
      </c>
      <c r="BD163">
        <f>IFERROR(($E163-MAX(OFFSET(高値!$E$6,IFERROR(MATCH($C163,銘柄管理!$B$6:$B$305,0),MATCH(TEXT($C163,"0"),銘柄管理!$B$6:$B$305,0))-1,0,1,25)))/MAX(OFFSET(高値!$E$6,IFERROR(MATCH($C163,銘柄管理!$B$6:$B$305,0),MATCH(TEXT($C163,"0"),銘柄管理!$B$6:$B$305,0))-1,0,1,25))*100,"")</f>
      </c>
      <c r="BE163">
        <f>IFERROR(($H163-$I163)/$F163*100,"")</f>
      </c>
      <c r="BF163">
        <f>IFERROR(-(($BA163-AVERAGE($BA$3:$BA$206))/STDEV($BA$3:$BA$206))-(($BE163-AVERAGE($BE$3:$BE$206))/STDEV($BE$3:$BE$206))-(($BB163-AVERAGE($BB$3:$BB$206))/STDEV($BB$3:$BB$206))-(($Z163-AVERAGE($Z$3:$Z$206))/STDEV($Z$3:$Z$206))-(($BC163-AVERAGE($BC$3:$BC$206))/STDEV($BC$3:$BC$206)),"")</f>
      </c>
      <c r="BG163">
        <f>IF(OR($C163="",$C163="TOPX",$BA163="",$BF163=""),0,IF(AND($BK$10=1,$BA163&lt;=$BK$2,$BB163&lt;=$BK$3,$BC163&lt;=$BK$4,$Z163&lt;=$BK$5,$Z163&gt;=$BK$6,$BD163&gt;=$BK$7,$BE163&lt;=$BK$8),1,0))</f>
      </c>
      <c r="BH163">
        <f>IF($C163="","",IF($BG163=1,"○ゲート通過",IF($BK$10&lt;&gt;1,"― この方向は停止中",IF($BA163&gt;$BK$2,"×値動きが荒い",IF($BB163&gt;$BK$3,"×レンジが広い",IF($BC163&gt;$BK$4,"×窓を開けて上昇",IF($Z163&gt;$BK$5,"×前日に急騰",IF($Z163&lt;$BK$6,"×前日に急落",IF($BD163&lt;$BK$7,"×高値から離れすぎ",IF($BE163&gt;$BK$8,"×当日の値幅が大きい","×")))))))))</f>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 t="shared" si="44"/>
        <v>-7.2411635908664369</v>
      </c>
      <c r="M164" s="333">
        <f>IF(C164&lt;&gt;"",IFERROR(AVERAGE(出来高!E206:I206),""),"")</f>
        <v>4034420</v>
      </c>
      <c r="N164" s="333">
        <f>IF(C164&lt;&gt;"",IFERROR(AVERAGE(出来高!E206:AC206),""),"")</f>
        <v>2991568</v>
      </c>
      <c r="O164" s="335">
        <f t="shared" si="45"/>
        <v>0.81062457552758516</v>
      </c>
      <c r="P164" s="212" t="str">
        <f t="shared" si="46"/>
        <v>減少↓</v>
      </c>
      <c r="Q164" s="212" t="str">
        <f t="shared" si="47"/>
        <v>様子見▲</v>
      </c>
      <c r="R164" s="333">
        <f t="shared" si="48"/>
        <v>5457</v>
      </c>
      <c r="S164" s="333">
        <f t="shared" si="49"/>
        <v>6168</v>
      </c>
      <c r="T164" s="325">
        <f>IF(C164="","",IFERROR(IF(W164&lt;=22,-4,IF(W164&lt;=28,-2,IF(W164&lt;=45,2,IF(W164&lt;=55,1,0))))+IF(X164&lt;0,2,0)+IF(AD164="下降トレンド▼",3,IF(AD164="もみ合い→",1,0))+IF(V164="年初来安値圏●",3,IF(V164="安値圏",2,0))+IF(Q164="売り▼",2,0)+IF(P164="急増↑↑",2,IF(P164="増加↑",1,0))+IF(Z164&lt;0,1,0)+IF(L164&lt;=-30,2,IF(L164&lt;=-15,1,0))+IF(AE164="25日戻り売り★",2,IF(AE164="5日戻り売り○",1,0))+N(AL164)+N(AP164)+N(AU164),0))</f>
      </c>
      <c r="U164" s="212" t="str">
        <f t="shared" si="51"/>
        <v>除外</v>
      </c>
      <c r="V164" s="212" t="str">
        <f t="shared" si="52"/>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 t="shared" si="53"/>
        <v>相場上昇・見送り | 上昇トレンド▲ 5日戻り売り○ MACD+ RSI:59.2 前日比:+2.3%前日[大陰線▼] [2点]</v>
      </c>
      <c r="Z164" s="338">
        <f t="shared" si="54"/>
        <v>2.293894446360814</v>
      </c>
      <c r="AA164" s="212" t="str">
        <f t="shared" si="55"/>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 t="shared" si="56"/>
        <v>上昇トレンド▲</v>
      </c>
      <c r="AE164" s="212" t="str">
        <f t="shared" si="57"/>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 t="shared" si="58"/>
        <v>0</v>
      </c>
      <c r="AH164">
        <f t="shared" si="59"/>
        <v>0</v>
      </c>
      <c r="AI164" s="373">
        <f t="array" ref="AI164">IF(C164="","",IFERROR((INDEX(終値!$E:$E,MATCH(TEXT(C164,"0"),終値!$A:$A,0))-INDEX(終値!$E:$CZ,MATCH(TEXT(C164,"0"),終値!$A:$A,0),$AN$2))/INDEX(終値!$E:$CZ,MATCH(TEXT(C164,"0"),終値!$A:$A,0),$AN$2)*100,""))</f>
        <v>16.751968503937007</v>
      </c>
      <c r="AJ164" s="373">
        <f t="array" ref="AJ164">IFERROR((終値!$E$5-INDEX(終値!$E$5:$CZ$5,1,$AN$2))/INDEX(終値!$E$5:$CZ$5,1,$AN$2)*100,"")</f>
        <v>1.0179378228534113</v>
      </c>
      <c r="AK164" s="374">
        <f t="shared" si="60"/>
        <v>15.734030681083595</v>
      </c>
      <c r="AL164" s="372">
        <f t="shared" si="61"/>
        <v>-2</v>
      </c>
      <c r="AO164" s="376" t="str">
        <f t="shared" si="62"/>
        <v>通常</v>
      </c>
      <c r="AP164" s="377">
        <f t="shared" si="63"/>
        <v>0</v>
      </c>
      <c r="AQ164">
        <f>IF(C164&lt;&gt;"",始値!F206,"")</f>
        <v>5994</v>
      </c>
      <c r="AR164">
        <f>IF(C164&lt;&gt;"",高値!F206,"")</f>
        <v>6005</v>
      </c>
      <c r="AS164">
        <f>IF(C164&lt;&gt;"",安値!F206,"")</f>
        <v>5737</v>
      </c>
      <c r="AT164" t="str">
        <f t="shared" si="64"/>
        <v>大陰線▼</v>
      </c>
      <c r="AU164">
        <f t="shared" si="65"/>
        <v>2</v>
      </c>
      <c r="BA164">
        <f>IFERROR((SUM(OFFSET(高値!$E$6,IFERROR(MATCH($C164,銘柄管理!$B$6:$B$305,0),MATCH(TEXT($C164,"0"),銘柄管理!$B$6:$B$305,0))-1,0,1,14))-SUM(OFFSET(安値!$E$6,IFERROR(MATCH($C164,銘柄管理!$B$6:$B$305,0),MATCH(TEXT($C164,"0"),銘柄管理!$B$6:$B$305,0))-1,0,1,14)))/SUM(OFFSET(終値!$E$6,IFERROR(MATCH($C164,銘柄管理!$B$6:$B$305,0),MATCH(TEXT($C164,"0"),銘柄管理!$B$6:$B$305,0))-1,0,1,14))*100,"")</f>
      </c>
      <c r="BB164">
        <f>IFERROR((MAX(OFFSET(高値!$E$6,IFERROR(MATCH($C164,銘柄管理!$B$6:$B$305,0),MATCH(TEXT($C164,"0"),銘柄管理!$B$6:$B$305,0))-1,0,1,25))-MIN(OFFSET(安値!$E$6,IFERROR(MATCH($C164,銘柄管理!$B$6:$B$305,0),MATCH(TEXT($C164,"0"),銘柄管理!$B$6:$B$305,0))-1,0,1,25)))/$E164*100,"")</f>
      </c>
      <c r="BC164">
        <f>IFERROR(($F164-$G164)/$G164*100,"")</f>
      </c>
      <c r="BD164">
        <f>IFERROR(($E164-MAX(OFFSET(高値!$E$6,IFERROR(MATCH($C164,銘柄管理!$B$6:$B$305,0),MATCH(TEXT($C164,"0"),銘柄管理!$B$6:$B$305,0))-1,0,1,25)))/MAX(OFFSET(高値!$E$6,IFERROR(MATCH($C164,銘柄管理!$B$6:$B$305,0),MATCH(TEXT($C164,"0"),銘柄管理!$B$6:$B$305,0))-1,0,1,25))*100,"")</f>
      </c>
      <c r="BE164">
        <f>IFERROR(($H164-$I164)/$F164*100,"")</f>
      </c>
      <c r="BF164">
        <f>IFERROR(-(($BA164-AVERAGE($BA$3:$BA$206))/STDEV($BA$3:$BA$206))-(($BE164-AVERAGE($BE$3:$BE$206))/STDEV($BE$3:$BE$206))-(($BB164-AVERAGE($BB$3:$BB$206))/STDEV($BB$3:$BB$206))-(($Z164-AVERAGE($Z$3:$Z$206))/STDEV($Z$3:$Z$206))-(($BC164-AVERAGE($BC$3:$BC$206))/STDEV($BC$3:$BC$206)),"")</f>
      </c>
      <c r="BG164">
        <f>IF(OR($C164="",$C164="TOPX",$BA164="",$BF164=""),0,IF(AND($BK$10=1,$BA164&lt;=$BK$2,$BB164&lt;=$BK$3,$BC164&lt;=$BK$4,$Z164&lt;=$BK$5,$Z164&gt;=$BK$6,$BD164&gt;=$BK$7,$BE164&lt;=$BK$8),1,0))</f>
      </c>
      <c r="BH164">
        <f>IF($C164="","",IF($BG164=1,"○ゲート通過",IF($BK$10&lt;&gt;1,"― この方向は停止中",IF($BA164&gt;$BK$2,"×値動きが荒い",IF($BB164&gt;$BK$3,"×レンジが広い",IF($BC164&gt;$BK$4,"×窓を開けて上昇",IF($Z164&gt;$BK$5,"×前日に急騰",IF($Z164&lt;$BK$6,"×前日に急落",IF($BD164&lt;$BK$7,"×高値から離れすぎ",IF($BE164&gt;$BK$8,"×当日の値幅が大きい","×")))))))))</f>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 t="shared" si="44"/>
        <v>-11.201216421692854</v>
      </c>
      <c r="M165" s="326">
        <f>IF(C165&lt;&gt;"",IFERROR(AVERAGE(出来高!E7:I7),""),"")</f>
        <v>388500</v>
      </c>
      <c r="N165" s="326">
        <f>IF(C165&lt;&gt;"",IFERROR(AVERAGE(出来高!E7:AC7),""),"")</f>
        <v>396324</v>
      </c>
      <c r="O165" s="328">
        <f t="shared" si="45"/>
        <v>1.045045045045045</v>
      </c>
      <c r="P165" s="325" t="str">
        <f t="shared" si="46"/>
        <v>普通→</v>
      </c>
      <c r="Q165" s="325" t="str">
        <f t="shared" si="47"/>
        <v>様子見▲</v>
      </c>
      <c r="R165" s="326">
        <f t="shared" si="48"/>
        <v>1612</v>
      </c>
      <c r="S165" s="326">
        <f t="shared" si="49"/>
        <v>1822</v>
      </c>
      <c r="T165" s="325">
        <f>IF(C165="","",IFERROR(IF(W165&lt;=22,-4,IF(W165&lt;=28,-2,IF(W165&lt;=45,2,IF(W165&lt;=55,1,0))))+IF(X165&lt;0,2,0)+IF(AD165="下降トレンド▼",3,IF(AD165="もみ合い→",1,0))+IF(V165="年初来安値圏●",3,IF(V165="安値圏",2,0))+IF(Q165="売り▼",2,0)+IF(P165="急増↑↑",2,IF(P165="増加↑",1,0))+IF(Z165&lt;0,1,0)+IF(L165&lt;=-30,2,IF(L165&lt;=-15,1,0))+IF(AE165="25日戻り売り★",2,IF(AE165="5日戻り売り○",1,0))+N(AL165)+N(AP165)+N(AU165),0))</f>
      </c>
      <c r="U165" s="325" t="str">
        <f t="shared" si="51"/>
        <v>除外</v>
      </c>
      <c r="V165" s="325" t="str">
        <f t="shared" si="52"/>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 t="shared" si="53"/>
        <v>相場上昇・見送り | 上昇トレンド▲ MACD- RSI:43.6 前日比:+1.7% [1点]</v>
      </c>
      <c r="Z165" s="331">
        <f t="shared" si="54"/>
        <v>1.6831108531630876</v>
      </c>
      <c r="AA165" s="325" t="str">
        <f t="shared" si="55"/>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 t="shared" si="56"/>
        <v>上昇トレンド▲</v>
      </c>
      <c r="AE165" s="325" t="str">
        <f t="shared" si="57"/>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 t="shared" si="58"/>
        <v>0</v>
      </c>
      <c r="AH165">
        <f t="shared" si="59"/>
        <v>0</v>
      </c>
      <c r="AI165" s="373">
        <f t="array" ref="AI165">IF(C165="","",IFERROR((INDEX(終値!$E:$E,MATCH(TEXT(C165,"0"),終値!$A:$A,0))-INDEX(終値!$E:$CZ,MATCH(TEXT(C165,"0"),終値!$A:$A,0),$AN$2))/INDEX(終値!$E:$CZ,MATCH(TEXT(C165,"0"),終値!$A:$A,0),$AN$2)*100,""))</f>
        <v>2.756598240469208</v>
      </c>
      <c r="AJ165" s="373">
        <f t="array" ref="AJ165">IFERROR((終値!$E$5-INDEX(終値!$E$5:$CZ$5,1,$AN$2))/INDEX(終値!$E$5:$CZ$5,1,$AN$2)*100,"")</f>
        <v>1.0179378228534113</v>
      </c>
      <c r="AK165" s="374">
        <f t="shared" si="60"/>
        <v>1.7386604176157967</v>
      </c>
      <c r="AL165" s="372">
        <f t="shared" si="61"/>
        <v>-1</v>
      </c>
      <c r="AO165" s="376" t="str">
        <f t="shared" si="62"/>
        <v>通常</v>
      </c>
      <c r="AP165" s="377">
        <f t="shared" si="63"/>
        <v>0</v>
      </c>
      <c r="AQ165">
        <f>IF(C165&lt;&gt;"",始値!F7,"")</f>
        <v>1697</v>
      </c>
      <c r="AR165">
        <f>IF(C165&lt;&gt;"",高値!F7,"")</f>
        <v>1723</v>
      </c>
      <c r="AS165">
        <f>IF(C165&lt;&gt;"",安値!F7,"")</f>
        <v>1689</v>
      </c>
      <c r="AT165" t="str">
        <f t="shared" si="64"/>
        <v>通常</v>
      </c>
      <c r="AU165">
        <f t="shared" si="65"/>
        <v>0</v>
      </c>
      <c r="BA165">
        <f>IFERROR((SUM(OFFSET(高値!$E$6,IFERROR(MATCH($C165,銘柄管理!$B$6:$B$305,0),MATCH(TEXT($C165,"0"),銘柄管理!$B$6:$B$305,0))-1,0,1,14))-SUM(OFFSET(安値!$E$6,IFERROR(MATCH($C165,銘柄管理!$B$6:$B$305,0),MATCH(TEXT($C165,"0"),銘柄管理!$B$6:$B$305,0))-1,0,1,14)))/SUM(OFFSET(終値!$E$6,IFERROR(MATCH($C165,銘柄管理!$B$6:$B$305,0),MATCH(TEXT($C165,"0"),銘柄管理!$B$6:$B$305,0))-1,0,1,14))*100,"")</f>
      </c>
      <c r="BB165">
        <f>IFERROR((MAX(OFFSET(高値!$E$6,IFERROR(MATCH($C165,銘柄管理!$B$6:$B$305,0),MATCH(TEXT($C165,"0"),銘柄管理!$B$6:$B$305,0))-1,0,1,25))-MIN(OFFSET(安値!$E$6,IFERROR(MATCH($C165,銘柄管理!$B$6:$B$305,0),MATCH(TEXT($C165,"0"),銘柄管理!$B$6:$B$305,0))-1,0,1,25)))/$E165*100,"")</f>
      </c>
      <c r="BC165">
        <f>IFERROR(($F165-$G165)/$G165*100,"")</f>
      </c>
      <c r="BD165">
        <f>IFERROR(($E165-MAX(OFFSET(高値!$E$6,IFERROR(MATCH($C165,銘柄管理!$B$6:$B$305,0),MATCH(TEXT($C165,"0"),銘柄管理!$B$6:$B$305,0))-1,0,1,25)))/MAX(OFFSET(高値!$E$6,IFERROR(MATCH($C165,銘柄管理!$B$6:$B$305,0),MATCH(TEXT($C165,"0"),銘柄管理!$B$6:$B$305,0))-1,0,1,25))*100,"")</f>
      </c>
      <c r="BE165">
        <f>IFERROR(($H165-$I165)/$F165*100,"")</f>
      </c>
      <c r="BF165">
        <f>IFERROR(-(($BA165-AVERAGE($BA$3:$BA$206))/STDEV($BA$3:$BA$206))-(($BE165-AVERAGE($BE$3:$BE$206))/STDEV($BE$3:$BE$206))-(($BB165-AVERAGE($BB$3:$BB$206))/STDEV($BB$3:$BB$206))-(($Z165-AVERAGE($Z$3:$Z$206))/STDEV($Z$3:$Z$206))-(($BC165-AVERAGE($BC$3:$BC$206))/STDEV($BC$3:$BC$206)),"")</f>
      </c>
      <c r="BG165">
        <f>IF(OR($C165="",$C165="TOPX",$BA165="",$BF165=""),0,IF(AND($BK$10=1,$BA165&lt;=$BK$2,$BB165&lt;=$BK$3,$BC165&lt;=$BK$4,$Z165&lt;=$BK$5,$Z165&gt;=$BK$6,$BD165&gt;=$BK$7,$BE165&lt;=$BK$8),1,0))</f>
      </c>
      <c r="BH165">
        <f>IF($C165="","",IF($BG165=1,"○ゲート通過",IF($BK$10&lt;&gt;1,"― この方向は停止中",IF($BA165&gt;$BK$2,"×値動きが荒い",IF($BB165&gt;$BK$3,"×レンジが広い",IF($BC165&gt;$BK$4,"×窓を開けて上昇",IF($Z165&gt;$BK$5,"×前日に急騰",IF($Z165&lt;$BK$6,"×前日に急落",IF($BD165&lt;$BK$7,"×高値から離れすぎ",IF($BE165&gt;$BK$8,"×当日の値幅が大きい","×")))))))))</f>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 t="shared" si="44"/>
        <v>-30.171543895055496</v>
      </c>
      <c r="M166" s="333">
        <f>IF(C166&lt;&gt;"",IFERROR(AVERAGE(出来高!E12:I12),""),"")</f>
        <v>3763060</v>
      </c>
      <c r="N166" s="333">
        <f>IF(C166&lt;&gt;"",IFERROR(AVERAGE(出来高!E12:AC12),""),"")</f>
        <v>4475644</v>
      </c>
      <c r="O166" s="335">
        <f t="shared" si="45"/>
        <v>0.9477659139104877</v>
      </c>
      <c r="P166" s="212" t="str">
        <f t="shared" si="46"/>
        <v>減少↓</v>
      </c>
      <c r="Q166" s="212" t="str">
        <f t="shared" si="47"/>
        <v>様子見▲</v>
      </c>
      <c r="R166" s="333">
        <f t="shared" si="48"/>
        <v>3183</v>
      </c>
      <c r="S166" s="333">
        <f t="shared" si="49"/>
        <v>3598</v>
      </c>
      <c r="T166" s="325">
        <f>IF(C166="","",IFERROR(IF(W166&lt;=22,-4,IF(W166&lt;=28,-2,IF(W166&lt;=45,2,IF(W166&lt;=55,1,0))))+IF(X166&lt;0,2,0)+IF(AD166="下降トレンド▼",3,IF(AD166="もみ合い→",1,0))+IF(V166="年初来安値圏●",3,IF(V166="安値圏",2,0))+IF(Q166="売り▼",2,0)+IF(P166="急増↑↑",2,IF(P166="増加↑",1,0))+IF(Z166&lt;0,1,0)+IF(L166&lt;=-30,2,IF(L166&lt;=-15,1,0))+IF(AE166="25日戻り売り★",2,IF(AE166="5日戻り売り○",1,0))+N(AL166)+N(AP166)+N(AU166),0))</f>
      </c>
      <c r="U166" s="212" t="str">
        <f t="shared" si="51"/>
        <v>要確認</v>
      </c>
      <c r="V166" s="212" t="str">
        <f t="shared" si="52"/>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 t="shared" si="53"/>
        <v>★逆張り売り | 下降トレンド▼ 25日戻り売り★ MACD+ RSI:46.9 前日比:+1.9% [安値圏] [7点]</v>
      </c>
      <c r="Z166" s="338">
        <f t="shared" si="54"/>
        <v>1.9446081319976427</v>
      </c>
      <c r="AA166" s="212" t="str">
        <f t="shared" si="55"/>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 t="shared" si="56"/>
        <v>下降トレンド▼</v>
      </c>
      <c r="AE166" s="212" t="str">
        <f t="shared" si="57"/>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 t="shared" si="58"/>
        <v>7</v>
      </c>
      <c r="AH166">
        <f t="shared" si="59"/>
        <v>69834</v>
      </c>
      <c r="AI166" s="373">
        <f t="array" ref="AI166">IF(C166="","",IFERROR((INDEX(終値!$E:$E,MATCH(TEXT(C166,"0"),終値!$A:$A,0))-INDEX(終値!$E:$CZ,MATCH(TEXT(C166,"0"),終値!$A:$A,0),$AN$2))/INDEX(終値!$E:$CZ,MATCH(TEXT(C166,"0"),終値!$A:$A,0),$AN$2)*100,""))</f>
        <v>7.9563182527301084</v>
      </c>
      <c r="AJ166" s="373">
        <f t="array" ref="AJ166">IFERROR((終値!$E$5-INDEX(終値!$E$5:$CZ$5,1,$AN$2))/INDEX(終値!$E$5:$CZ$5,1,$AN$2)*100,"")</f>
        <v>1.0179378228534113</v>
      </c>
      <c r="AK166" s="374">
        <f t="shared" si="60"/>
        <v>6.9383804298766973</v>
      </c>
      <c r="AL166" s="372">
        <f t="shared" si="61"/>
        <v>-2</v>
      </c>
      <c r="AO166" s="376" t="str">
        <f t="shared" si="62"/>
        <v>通常</v>
      </c>
      <c r="AP166" s="377">
        <f t="shared" si="63"/>
        <v>0</v>
      </c>
      <c r="AQ166">
        <f>IF(C166&lt;&gt;"",始値!F12,"")</f>
        <v>3451</v>
      </c>
      <c r="AR166">
        <f>IF(C166&lt;&gt;"",高値!F12,"")</f>
        <v>3472</v>
      </c>
      <c r="AS166">
        <f>IF(C166&lt;&gt;"",安値!F12,"")</f>
        <v>3385</v>
      </c>
      <c r="AT166" t="str">
        <f t="shared" si="64"/>
        <v>通常</v>
      </c>
      <c r="AU166">
        <f t="shared" si="65"/>
        <v>0</v>
      </c>
      <c r="BA166">
        <f>IFERROR((SUM(OFFSET(高値!$E$6,IFERROR(MATCH($C166,銘柄管理!$B$6:$B$305,0),MATCH(TEXT($C166,"0"),銘柄管理!$B$6:$B$305,0))-1,0,1,14))-SUM(OFFSET(安値!$E$6,IFERROR(MATCH($C166,銘柄管理!$B$6:$B$305,0),MATCH(TEXT($C166,"0"),銘柄管理!$B$6:$B$305,0))-1,0,1,14)))/SUM(OFFSET(終値!$E$6,IFERROR(MATCH($C166,銘柄管理!$B$6:$B$305,0),MATCH(TEXT($C166,"0"),銘柄管理!$B$6:$B$305,0))-1,0,1,14))*100,"")</f>
      </c>
      <c r="BB166">
        <f>IFERROR((MAX(OFFSET(高値!$E$6,IFERROR(MATCH($C166,銘柄管理!$B$6:$B$305,0),MATCH(TEXT($C166,"0"),銘柄管理!$B$6:$B$305,0))-1,0,1,25))-MIN(OFFSET(安値!$E$6,IFERROR(MATCH($C166,銘柄管理!$B$6:$B$305,0),MATCH(TEXT($C166,"0"),銘柄管理!$B$6:$B$305,0))-1,0,1,25)))/$E166*100,"")</f>
      </c>
      <c r="BC166">
        <f>IFERROR(($F166-$G166)/$G166*100,"")</f>
      </c>
      <c r="BD166">
        <f>IFERROR(($E166-MAX(OFFSET(高値!$E$6,IFERROR(MATCH($C166,銘柄管理!$B$6:$B$305,0),MATCH(TEXT($C166,"0"),銘柄管理!$B$6:$B$305,0))-1,0,1,25)))/MAX(OFFSET(高値!$E$6,IFERROR(MATCH($C166,銘柄管理!$B$6:$B$305,0),MATCH(TEXT($C166,"0"),銘柄管理!$B$6:$B$305,0))-1,0,1,25))*100,"")</f>
      </c>
      <c r="BE166">
        <f>IFERROR(($H166-$I166)/$F166*100,"")</f>
      </c>
      <c r="BF166">
        <f>IFERROR(-(($BA166-AVERAGE($BA$3:$BA$206))/STDEV($BA$3:$BA$206))-(($BE166-AVERAGE($BE$3:$BE$206))/STDEV($BE$3:$BE$206))-(($BB166-AVERAGE($BB$3:$BB$206))/STDEV($BB$3:$BB$206))-(($Z166-AVERAGE($Z$3:$Z$206))/STDEV($Z$3:$Z$206))-(($BC166-AVERAGE($BC$3:$BC$206))/STDEV($BC$3:$BC$206)),"")</f>
      </c>
      <c r="BG166">
        <f>IF(OR($C166="",$C166="TOPX",$BA166="",$BF166=""),0,IF(AND($BK$10=1,$BA166&lt;=$BK$2,$BB166&lt;=$BK$3,$BC166&lt;=$BK$4,$Z166&lt;=$BK$5,$Z166&gt;=$BK$6,$BD166&gt;=$BK$7,$BE166&lt;=$BK$8),1,0))</f>
      </c>
      <c r="BH166">
        <f>IF($C166="","",IF($BG166=1,"○ゲート通過",IF($BK$10&lt;&gt;1,"― この方向は停止中",IF($BA166&gt;$BK$2,"×値動きが荒い",IF($BB166&gt;$BK$3,"×レンジが広い",IF($BC166&gt;$BK$4,"×窓を開けて上昇",IF($Z166&gt;$BK$5,"×前日に急騰",IF($Z166&lt;$BK$6,"×前日に急落",IF($BD166&lt;$BK$7,"×高値から離れすぎ",IF($BE166&gt;$BK$8,"×当日の値幅が大きい","×")))))))))</f>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 t="shared" si="44"/>
        <v>-21.997471554993677</v>
      </c>
      <c r="M167" s="326">
        <f>IF(C167&lt;&gt;"",IFERROR(AVERAGE(出来高!E14:I14),""),"")</f>
        <v>8010600</v>
      </c>
      <c r="N167" s="326">
        <f>IF(C167&lt;&gt;"",IFERROR(AVERAGE(出来高!E14:AC14),""),"")</f>
        <v>5130076</v>
      </c>
      <c r="O167" s="328">
        <f t="shared" si="45"/>
        <v>0.70353032232292212</v>
      </c>
      <c r="P167" s="325" t="str">
        <f t="shared" si="46"/>
        <v>減少↓</v>
      </c>
      <c r="Q167" s="325" t="str">
        <f t="shared" si="47"/>
        <v>様子見▲</v>
      </c>
      <c r="R167" s="326">
        <f t="shared" si="48"/>
        <v>4541</v>
      </c>
      <c r="S167" s="326">
        <f t="shared" si="49"/>
        <v>5133</v>
      </c>
      <c r="T167" s="325">
        <f>IF(C167="","",IFERROR(IF(W167&lt;=22,-4,IF(W167&lt;=28,-2,IF(W167&lt;=45,2,IF(W167&lt;=55,1,0))))+IF(X167&lt;0,2,0)+IF(AD167="下降トレンド▼",3,IF(AD167="もみ合い→",1,0))+IF(V167="年初来安値圏●",3,IF(V167="安値圏",2,0))+IF(Q167="売り▼",2,0)+IF(P167="急増↑↑",2,IF(P167="増加↑",1,0))+IF(Z167&lt;0,1,0)+IF(L167&lt;=-30,2,IF(L167&lt;=-15,1,0))+IF(AE167="25日戻り売り★",2,IF(AE167="5日戻り売り○",1,0))+N(AL167)+N(AP167)+N(AU167),0))</f>
      </c>
      <c r="U167" s="325" t="str">
        <f t="shared" si="51"/>
        <v>除外</v>
      </c>
      <c r="V167" s="325" t="str">
        <f t="shared" si="52"/>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 t="shared" si="53"/>
        <v>★逆張り売り | 下降トレンド▼ 5日戻り売り○ MACD+ RSI:39.8 前日比:+1.5%前日[長い下ヒゲ(反発)] [1点]</v>
      </c>
      <c r="Z167" s="331">
        <f t="shared" si="54"/>
        <v>1.5220074043603455</v>
      </c>
      <c r="AA167" s="325" t="str">
        <f t="shared" si="55"/>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 t="shared" si="56"/>
        <v>下降トレンド▼</v>
      </c>
      <c r="AE167" s="325" t="str">
        <f t="shared" si="57"/>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 t="shared" si="58"/>
        <v>0</v>
      </c>
      <c r="AH167">
        <f t="shared" si="59"/>
        <v>0</v>
      </c>
      <c r="AI167" s="373">
        <f t="array" ref="AI167">IF(C167="","",IFERROR((INDEX(終値!$E:$E,MATCH(TEXT(C167,"0"),終値!$A:$A,0))-INDEX(終値!$E:$CZ,MATCH(TEXT(C167,"0"),終値!$A:$A,0),$AN$2))/INDEX(終値!$E:$CZ,MATCH(TEXT(C167,"0"),終値!$A:$A,0),$AN$2)*100,""))</f>
        <v>5.7412167952013711</v>
      </c>
      <c r="AJ167" s="373">
        <f t="array" ref="AJ167">IFERROR((終値!$E$5-INDEX(終値!$E$5:$CZ$5,1,$AN$2))/INDEX(終値!$E$5:$CZ$5,1,$AN$2)*100,"")</f>
        <v>1.0179378228534113</v>
      </c>
      <c r="AK167" s="374">
        <f t="shared" si="60"/>
        <v>4.72327897234796</v>
      </c>
      <c r="AL167" s="372">
        <f t="shared" si="61"/>
        <v>-2</v>
      </c>
      <c r="AO167" s="376" t="str">
        <f t="shared" si="62"/>
        <v>通常</v>
      </c>
      <c r="AP167" s="377">
        <f t="shared" si="63"/>
        <v>0</v>
      </c>
      <c r="AQ167">
        <f>IF(C167&lt;&gt;"",始値!F14,"")</f>
        <v>4901</v>
      </c>
      <c r="AR167">
        <f>IF(C167&lt;&gt;"",高値!F14,"")</f>
        <v>4922</v>
      </c>
      <c r="AS167">
        <f>IF(C167&lt;&gt;"",安値!F14,"")</f>
        <v>4788</v>
      </c>
      <c r="AT167" t="str">
        <f t="shared" si="64"/>
        <v>長い下ヒゲ(反発)</v>
      </c>
      <c r="AU167">
        <f t="shared" si="65"/>
        <v>-2</v>
      </c>
      <c r="BA167">
        <f>IFERROR((SUM(OFFSET(高値!$E$6,IFERROR(MATCH($C167,銘柄管理!$B$6:$B$305,0),MATCH(TEXT($C167,"0"),銘柄管理!$B$6:$B$305,0))-1,0,1,14))-SUM(OFFSET(安値!$E$6,IFERROR(MATCH($C167,銘柄管理!$B$6:$B$305,0),MATCH(TEXT($C167,"0"),銘柄管理!$B$6:$B$305,0))-1,0,1,14)))/SUM(OFFSET(終値!$E$6,IFERROR(MATCH($C167,銘柄管理!$B$6:$B$305,0),MATCH(TEXT($C167,"0"),銘柄管理!$B$6:$B$305,0))-1,0,1,14))*100,"")</f>
      </c>
      <c r="BB167">
        <f>IFERROR((MAX(OFFSET(高値!$E$6,IFERROR(MATCH($C167,銘柄管理!$B$6:$B$305,0),MATCH(TEXT($C167,"0"),銘柄管理!$B$6:$B$305,0))-1,0,1,25))-MIN(OFFSET(安値!$E$6,IFERROR(MATCH($C167,銘柄管理!$B$6:$B$305,0),MATCH(TEXT($C167,"0"),銘柄管理!$B$6:$B$305,0))-1,0,1,25)))/$E167*100,"")</f>
      </c>
      <c r="BC167">
        <f>IFERROR(($F167-$G167)/$G167*100,"")</f>
      </c>
      <c r="BD167">
        <f>IFERROR(($E167-MAX(OFFSET(高値!$E$6,IFERROR(MATCH($C167,銘柄管理!$B$6:$B$305,0),MATCH(TEXT($C167,"0"),銘柄管理!$B$6:$B$305,0))-1,0,1,25)))/MAX(OFFSET(高値!$E$6,IFERROR(MATCH($C167,銘柄管理!$B$6:$B$305,0),MATCH(TEXT($C167,"0"),銘柄管理!$B$6:$B$305,0))-1,0,1,25))*100,"")</f>
      </c>
      <c r="BE167">
        <f>IFERROR(($H167-$I167)/$F167*100,"")</f>
      </c>
      <c r="BF167">
        <f>IFERROR(-(($BA167-AVERAGE($BA$3:$BA$206))/STDEV($BA$3:$BA$206))-(($BE167-AVERAGE($BE$3:$BE$206))/STDEV($BE$3:$BE$206))-(($BB167-AVERAGE($BB$3:$BB$206))/STDEV($BB$3:$BB$206))-(($Z167-AVERAGE($Z$3:$Z$206))/STDEV($Z$3:$Z$206))-(($BC167-AVERAGE($BC$3:$BC$206))/STDEV($BC$3:$BC$206)),"")</f>
      </c>
      <c r="BG167">
        <f>IF(OR($C167="",$C167="TOPX",$BA167="",$BF167=""),0,IF(AND($BK$10=1,$BA167&lt;=$BK$2,$BB167&lt;=$BK$3,$BC167&lt;=$BK$4,$Z167&lt;=$BK$5,$Z167&gt;=$BK$6,$BD167&gt;=$BK$7,$BE167&lt;=$BK$8),1,0))</f>
      </c>
      <c r="BH167">
        <f>IF($C167="","",IF($BG167=1,"○ゲート通過",IF($BK$10&lt;&gt;1,"― この方向は停止中",IF($BA167&gt;$BK$2,"×値動きが荒い",IF($BB167&gt;$BK$3,"×レンジが広い",IF($BC167&gt;$BK$4,"×窓を開けて上昇",IF($Z167&gt;$BK$5,"×前日に急騰",IF($Z167&lt;$BK$6,"×前日に急落",IF($BD167&lt;$BK$7,"×高値から離れすぎ",IF($BE167&gt;$BK$8,"×当日の値幅が大きい","×")))))))))</f>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 t="shared" si="44"/>
        <v>-4.849201655824956</v>
      </c>
      <c r="M168" s="333">
        <f>IF(C168&lt;&gt;"",IFERROR(AVERAGE(出来高!E22:I22),""),"")</f>
        <v>4114620</v>
      </c>
      <c r="N168" s="333">
        <f>IF(C168&lt;&gt;"",IFERROR(AVERAGE(出来高!E22:AC22),""),"")</f>
        <v>4694064</v>
      </c>
      <c r="O168" s="335">
        <f t="shared" si="45"/>
        <v>0.79803238209117733</v>
      </c>
      <c r="P168" s="212" t="str">
        <f t="shared" si="46"/>
        <v>減少↓</v>
      </c>
      <c r="Q168" s="212" t="str">
        <f t="shared" si="47"/>
        <v>様子見▲</v>
      </c>
      <c r="R168" s="333">
        <f t="shared" si="48"/>
        <v>4441</v>
      </c>
      <c r="S168" s="333">
        <f t="shared" si="49"/>
        <v>5020</v>
      </c>
      <c r="T168" s="325">
        <f>IF(C168="","",IFERROR(IF(W168&lt;=22,-4,IF(W168&lt;=28,-2,IF(W168&lt;=45,2,IF(W168&lt;=55,1,0))))+IF(X168&lt;0,2,0)+IF(AD168="下降トレンド▼",3,IF(AD168="もみ合い→",1,0))+IF(V168="年初来安値圏●",3,IF(V168="安値圏",2,0))+IF(Q168="売り▼",2,0)+IF(P168="急増↑↑",2,IF(P168="増加↑",1,0))+IF(Z168&lt;0,1,0)+IF(L168&lt;=-30,2,IF(L168&lt;=-15,1,0))+IF(AE168="25日戻り売り★",2,IF(AE168="5日戻り売り○",1,0))+N(AL168)+N(AP168)+N(AU168),0))</f>
      </c>
      <c r="U168" s="212" t="str">
        <f t="shared" si="51"/>
        <v>除外</v>
      </c>
      <c r="V168" s="212" t="str">
        <f t="shared" si="52"/>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 t="shared" si="53"/>
        <v>相場上昇・見送り | パーフェクト▲ MACD+ RSI:60.2 前日比:+1.0%前日[長い下ヒゲ(反発)] [-2点]</v>
      </c>
      <c r="Z168" s="338">
        <f t="shared" si="54"/>
        <v>1.0043942247332078</v>
      </c>
      <c r="AA168" s="212" t="str">
        <f t="shared" si="55"/>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 t="shared" si="56"/>
        <v>パーフェクト▲</v>
      </c>
      <c r="AE168" s="212" t="str">
        <f t="shared" si="57"/>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 t="shared" si="58"/>
        <v>0</v>
      </c>
      <c r="AH168">
        <f t="shared" si="59"/>
        <v>0</v>
      </c>
      <c r="AI168" s="373">
        <f t="array" ref="AI168">IF(C168="","",IFERROR((INDEX(終値!$E:$E,MATCH(TEXT(C168,"0"),終値!$A:$A,0))-INDEX(終値!$E:$CZ,MATCH(TEXT(C168,"0"),終値!$A:$A,0),$AN$2))/INDEX(終値!$E:$CZ,MATCH(TEXT(C168,"0"),終値!$A:$A,0),$AN$2)*100,""))</f>
        <v>12.754029432375614</v>
      </c>
      <c r="AJ168" s="373">
        <f t="array" ref="AJ168">IFERROR((終値!$E$5-INDEX(終値!$E$5:$CZ$5,1,$AN$2))/INDEX(終値!$E$5:$CZ$5,1,$AN$2)*100,"")</f>
        <v>1.0179378228534113</v>
      </c>
      <c r="AK168" s="374">
        <f t="shared" si="60"/>
        <v>11.736091609522202</v>
      </c>
      <c r="AL168" s="372">
        <f t="shared" si="61"/>
        <v>-2</v>
      </c>
      <c r="AO168" s="376" t="str">
        <f t="shared" si="62"/>
        <v>通常</v>
      </c>
      <c r="AP168" s="377">
        <f t="shared" si="63"/>
        <v>0</v>
      </c>
      <c r="AQ168">
        <f>IF(C168&lt;&gt;"",始値!F22,"")</f>
        <v>4809</v>
      </c>
      <c r="AR168">
        <f>IF(C168&lt;&gt;"",高値!F22,"")</f>
        <v>4822</v>
      </c>
      <c r="AS168">
        <f>IF(C168&lt;&gt;"",安値!F22,"")</f>
        <v>4731</v>
      </c>
      <c r="AT168" t="str">
        <f t="shared" si="64"/>
        <v>長い下ヒゲ(反発)</v>
      </c>
      <c r="AU168">
        <f t="shared" si="65"/>
        <v>-2</v>
      </c>
      <c r="BA168">
        <f>IFERROR((SUM(OFFSET(高値!$E$6,IFERROR(MATCH($C168,銘柄管理!$B$6:$B$305,0),MATCH(TEXT($C168,"0"),銘柄管理!$B$6:$B$305,0))-1,0,1,14))-SUM(OFFSET(安値!$E$6,IFERROR(MATCH($C168,銘柄管理!$B$6:$B$305,0),MATCH(TEXT($C168,"0"),銘柄管理!$B$6:$B$305,0))-1,0,1,14)))/SUM(OFFSET(終値!$E$6,IFERROR(MATCH($C168,銘柄管理!$B$6:$B$305,0),MATCH(TEXT($C168,"0"),銘柄管理!$B$6:$B$305,0))-1,0,1,14))*100,"")</f>
      </c>
      <c r="BB168">
        <f>IFERROR((MAX(OFFSET(高値!$E$6,IFERROR(MATCH($C168,銘柄管理!$B$6:$B$305,0),MATCH(TEXT($C168,"0"),銘柄管理!$B$6:$B$305,0))-1,0,1,25))-MIN(OFFSET(安値!$E$6,IFERROR(MATCH($C168,銘柄管理!$B$6:$B$305,0),MATCH(TEXT($C168,"0"),銘柄管理!$B$6:$B$305,0))-1,0,1,25)))/$E168*100,"")</f>
      </c>
      <c r="BC168">
        <f>IFERROR(($F168-$G168)/$G168*100,"")</f>
      </c>
      <c r="BD168">
        <f>IFERROR(($E168-MAX(OFFSET(高値!$E$6,IFERROR(MATCH($C168,銘柄管理!$B$6:$B$305,0),MATCH(TEXT($C168,"0"),銘柄管理!$B$6:$B$305,0))-1,0,1,25)))/MAX(OFFSET(高値!$E$6,IFERROR(MATCH($C168,銘柄管理!$B$6:$B$305,0),MATCH(TEXT($C168,"0"),銘柄管理!$B$6:$B$305,0))-1,0,1,25))*100,"")</f>
      </c>
      <c r="BE168">
        <f>IFERROR(($H168-$I168)/$F168*100,"")</f>
      </c>
      <c r="BF168">
        <f>IFERROR(-(($BA168-AVERAGE($BA$3:$BA$206))/STDEV($BA$3:$BA$206))-(($BE168-AVERAGE($BE$3:$BE$206))/STDEV($BE$3:$BE$206))-(($BB168-AVERAGE($BB$3:$BB$206))/STDEV($BB$3:$BB$206))-(($Z168-AVERAGE($Z$3:$Z$206))/STDEV($Z$3:$Z$206))-(($BC168-AVERAGE($BC$3:$BC$206))/STDEV($BC$3:$BC$206)),"")</f>
      </c>
      <c r="BG168">
        <f>IF(OR($C168="",$C168="TOPX",$BA168="",$BF168=""),0,IF(AND($BK$10=1,$BA168&lt;=$BK$2,$BB168&lt;=$BK$3,$BC168&lt;=$BK$4,$Z168&lt;=$BK$5,$Z168&gt;=$BK$6,$BD168&gt;=$BK$7,$BE168&lt;=$BK$8),1,0))</f>
      </c>
      <c r="BH168">
        <f>IF($C168="","",IF($BG168=1,"○ゲート通過",IF($BK$10&lt;&gt;1,"― この方向は停止中",IF($BA168&gt;$BK$2,"×値動きが荒い",IF($BB168&gt;$BK$3,"×レンジが広い",IF($BC168&gt;$BK$4,"×窓を開けて上昇",IF($Z168&gt;$BK$5,"×前日に急騰",IF($Z168&lt;$BK$6,"×前日に急落",IF($BD168&lt;$BK$7,"×高値から離れすぎ",IF($BE168&gt;$BK$8,"×当日の値幅が大きい","×")))))))))</f>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 t="shared" si="44"/>
        <v>-5.1043429216018055</v>
      </c>
      <c r="M169" s="326">
        <f>IF(C169&lt;&gt;"",IFERROR(AVERAGE(出来高!E27:I27),""),"")</f>
        <v>1261260</v>
      </c>
      <c r="N169" s="326">
        <f>IF(C169&lt;&gt;"",IFERROR(AVERAGE(出来高!E27:AC27),""),"")</f>
        <v>848964</v>
      </c>
      <c r="O169" s="328">
        <f t="shared" si="45"/>
        <v>0.95816881531167242</v>
      </c>
      <c r="P169" s="325" t="str">
        <f t="shared" si="46"/>
        <v>減少↓</v>
      </c>
      <c r="Q169" s="325" t="str">
        <f t="shared" si="47"/>
        <v>様子見▲</v>
      </c>
      <c r="R169" s="326">
        <f t="shared" si="48"/>
        <v>1548</v>
      </c>
      <c r="S169" s="326">
        <f t="shared" si="49"/>
        <v>1750</v>
      </c>
      <c r="T169" s="325">
        <f>IF(C169="","",IFERROR(IF(W169&lt;=22,-4,IF(W169&lt;=28,-2,IF(W169&lt;=45,2,IF(W169&lt;=55,1,0))))+IF(X169&lt;0,2,0)+IF(AD169="下降トレンド▼",3,IF(AD169="もみ合い→",1,0))+IF(V169="年初来安値圏●",3,IF(V169="安値圏",2,0))+IF(Q169="売り▼",2,0)+IF(P169="急増↑↑",2,IF(P169="増加↑",1,0))+IF(Z169&lt;0,1,0)+IF(L169&lt;=-30,2,IF(L169&lt;=-15,1,0))+IF(AE169="25日戻り売り★",2,IF(AE169="5日戻り売り○",1,0))+N(AL169)+N(AP169)+N(AU169),0))</f>
      </c>
      <c r="U169" s="325" t="str">
        <f t="shared" si="51"/>
        <v>除外</v>
      </c>
      <c r="V169" s="325" t="str">
        <f t="shared" si="52"/>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 t="shared" si="53"/>
        <v>相場上昇・見送り | 上昇トレンド▲ MACD- RSI:31.9 前日比:+3.2% [1点]</v>
      </c>
      <c r="Z169" s="331">
        <f t="shared" si="54"/>
        <v>3.1575720416922128</v>
      </c>
      <c r="AA169" s="325" t="str">
        <f t="shared" si="55"/>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 t="shared" si="56"/>
        <v>上昇トレンド▲</v>
      </c>
      <c r="AE169" s="325" t="str">
        <f t="shared" si="57"/>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 t="shared" si="58"/>
        <v>0</v>
      </c>
      <c r="AH169">
        <f t="shared" si="59"/>
        <v>0</v>
      </c>
      <c r="AI169" s="373">
        <f t="array" ref="AI169">IF(C169="","",IFERROR((INDEX(終値!$E:$E,MATCH(TEXT(C169,"0"),終値!$A:$A,0))-INDEX(終値!$E:$CZ,MATCH(TEXT(C169,"0"),終値!$A:$A,0),$AN$2))/INDEX(終値!$E:$CZ,MATCH(TEXT(C169,"0"),終値!$A:$A,0),$AN$2)*100,""))</f>
        <v>3.6979969183359018</v>
      </c>
      <c r="AJ169" s="373">
        <f t="array" ref="AJ169">IFERROR((終値!$E$5-INDEX(終値!$E$5:$CZ$5,1,$AN$2))/INDEX(終値!$E$5:$CZ$5,1,$AN$2)*100,"")</f>
        <v>1.0179378228534113</v>
      </c>
      <c r="AK169" s="374">
        <f t="shared" si="60"/>
        <v>2.6800590954824903</v>
      </c>
      <c r="AL169" s="372">
        <f t="shared" si="61"/>
        <v>-1</v>
      </c>
      <c r="AO169" s="376" t="str">
        <f t="shared" si="62"/>
        <v>通常</v>
      </c>
      <c r="AP169" s="377">
        <f t="shared" si="63"/>
        <v>0</v>
      </c>
      <c r="AQ169">
        <f>IF(C169&lt;&gt;"",始値!F27,"")</f>
        <v>1628.5</v>
      </c>
      <c r="AR169">
        <f>IF(C169&lt;&gt;"",高値!F27,"")</f>
        <v>1659</v>
      </c>
      <c r="AS169">
        <f>IF(C169&lt;&gt;"",安値!F27,"")</f>
        <v>1612</v>
      </c>
      <c r="AT169" t="str">
        <f t="shared" si="64"/>
        <v>通常</v>
      </c>
      <c r="AU169">
        <f t="shared" si="65"/>
        <v>0</v>
      </c>
      <c r="BA169">
        <f>IFERROR((SUM(OFFSET(高値!$E$6,IFERROR(MATCH($C169,銘柄管理!$B$6:$B$305,0),MATCH(TEXT($C169,"0"),銘柄管理!$B$6:$B$305,0))-1,0,1,14))-SUM(OFFSET(安値!$E$6,IFERROR(MATCH($C169,銘柄管理!$B$6:$B$305,0),MATCH(TEXT($C169,"0"),銘柄管理!$B$6:$B$305,0))-1,0,1,14)))/SUM(OFFSET(終値!$E$6,IFERROR(MATCH($C169,銘柄管理!$B$6:$B$305,0),MATCH(TEXT($C169,"0"),銘柄管理!$B$6:$B$305,0))-1,0,1,14))*100,"")</f>
      </c>
      <c r="BB169">
        <f>IFERROR((MAX(OFFSET(高値!$E$6,IFERROR(MATCH($C169,銘柄管理!$B$6:$B$305,0),MATCH(TEXT($C169,"0"),銘柄管理!$B$6:$B$305,0))-1,0,1,25))-MIN(OFFSET(安値!$E$6,IFERROR(MATCH($C169,銘柄管理!$B$6:$B$305,0),MATCH(TEXT($C169,"0"),銘柄管理!$B$6:$B$305,0))-1,0,1,25)))/$E169*100,"")</f>
      </c>
      <c r="BC169">
        <f>IFERROR(($F169-$G169)/$G169*100,"")</f>
      </c>
      <c r="BD169">
        <f>IFERROR(($E169-MAX(OFFSET(高値!$E$6,IFERROR(MATCH($C169,銘柄管理!$B$6:$B$305,0),MATCH(TEXT($C169,"0"),銘柄管理!$B$6:$B$305,0))-1,0,1,25)))/MAX(OFFSET(高値!$E$6,IFERROR(MATCH($C169,銘柄管理!$B$6:$B$305,0),MATCH(TEXT($C169,"0"),銘柄管理!$B$6:$B$305,0))-1,0,1,25))*100,"")</f>
      </c>
      <c r="BE169">
        <f>IFERROR(($H169-$I169)/$F169*100,"")</f>
      </c>
      <c r="BF169">
        <f>IFERROR(-(($BA169-AVERAGE($BA$3:$BA$206))/STDEV($BA$3:$BA$206))-(($BE169-AVERAGE($BE$3:$BE$206))/STDEV($BE$3:$BE$206))-(($BB169-AVERAGE($BB$3:$BB$206))/STDEV($BB$3:$BB$206))-(($Z169-AVERAGE($Z$3:$Z$206))/STDEV($Z$3:$Z$206))-(($BC169-AVERAGE($BC$3:$BC$206))/STDEV($BC$3:$BC$206)),"")</f>
      </c>
      <c r="BG169">
        <f>IF(OR($C169="",$C169="TOPX",$BA169="",$BF169=""),0,IF(AND($BK$10=1,$BA169&lt;=$BK$2,$BB169&lt;=$BK$3,$BC169&lt;=$BK$4,$Z169&lt;=$BK$5,$Z169&gt;=$BK$6,$BD169&gt;=$BK$7,$BE169&lt;=$BK$8),1,0))</f>
      </c>
      <c r="BH169">
        <f>IF($C169="","",IF($BG169=1,"○ゲート通過",IF($BK$10&lt;&gt;1,"― この方向は停止中",IF($BA169&gt;$BK$2,"×値動きが荒い",IF($BB169&gt;$BK$3,"×レンジが広い",IF($BC169&gt;$BK$4,"×窓を開けて上昇",IF($Z169&gt;$BK$5,"×前日に急騰",IF($Z169&lt;$BK$6,"×前日に急落",IF($BD169&lt;$BK$7,"×高値から離れすぎ",IF($BE169&gt;$BK$8,"×当日の値幅が大きい","×")))))))))</f>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 t="shared" si="44"/>
        <v>-12.78180354267311</v>
      </c>
      <c r="M170" s="333">
        <f>IF(C170&lt;&gt;"",IFERROR(AVERAGE(出来高!E34:I34),""),"")</f>
        <v>705860</v>
      </c>
      <c r="N170" s="333">
        <f>IF(C170&lt;&gt;"",IFERROR(AVERAGE(出来高!E34:AC34),""),"")</f>
        <v>607492</v>
      </c>
      <c r="O170" s="335">
        <f t="shared" si="45"/>
        <v>1.6370101719887797</v>
      </c>
      <c r="P170" s="212" t="str">
        <f t="shared" si="46"/>
        <v>増加↑</v>
      </c>
      <c r="Q170" s="212" t="str">
        <f t="shared" si="47"/>
        <v>様子見▲</v>
      </c>
      <c r="R170" s="333">
        <f t="shared" si="48"/>
        <v>3986</v>
      </c>
      <c r="S170" s="333">
        <f t="shared" si="49"/>
        <v>4506</v>
      </c>
      <c r="T170" s="325">
        <f>IF(C170="","",IFERROR(IF(W170&lt;=22,-4,IF(W170&lt;=28,-2,IF(W170&lt;=45,2,IF(W170&lt;=55,1,0))))+IF(X170&lt;0,2,0)+IF(AD170="下降トレンド▼",3,IF(AD170="もみ合い→",1,0))+IF(V170="年初来安値圏●",3,IF(V170="安値圏",2,0))+IF(Q170="売り▼",2,0)+IF(P170="急増↑↑",2,IF(P170="増加↑",1,0))+IF(Z170&lt;0,1,0)+IF(L170&lt;=-30,2,IF(L170&lt;=-15,1,0))+IF(AE170="25日戻り売り★",2,IF(AE170="5日戻り売り○",1,0))+N(AL170)+N(AP170)+N(AU170),0))</f>
      </c>
      <c r="U170" s="212" t="str">
        <f t="shared" si="51"/>
        <v>除外</v>
      </c>
      <c r="V170" s="212" t="str">
        <f t="shared" si="52"/>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 t="shared" si="53"/>
        <v>相場上昇・見送り | パーフェクト▲ MACD+ RSI:55.7 前日比:+5.9% [0点]</v>
      </c>
      <c r="Z170" s="338">
        <f t="shared" si="54"/>
        <v>5.9413202933985332</v>
      </c>
      <c r="AA170" s="212" t="str">
        <f t="shared" si="55"/>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 t="shared" si="56"/>
        <v>パーフェクト▲</v>
      </c>
      <c r="AE170" s="212" t="str">
        <f t="shared" si="57"/>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 t="shared" si="58"/>
        <v>0</v>
      </c>
      <c r="AH170">
        <f t="shared" si="59"/>
        <v>0</v>
      </c>
      <c r="AI170" s="373">
        <f t="array" ref="AI170">IF(C170="","",IFERROR((INDEX(終値!$E:$E,MATCH(TEXT(C170,"0"),終値!$A:$A,0))-INDEX(終値!$E:$CZ,MATCH(TEXT(C170,"0"),終値!$A:$A,0),$AN$2))/INDEX(終値!$E:$CZ,MATCH(TEXT(C170,"0"),終値!$A:$A,0),$AN$2)*100,""))</f>
        <v>11.359547674119764</v>
      </c>
      <c r="AJ170" s="373">
        <f t="array" ref="AJ170">IFERROR((終値!$E$5-INDEX(終値!$E$5:$CZ$5,1,$AN$2))/INDEX(終値!$E$5:$CZ$5,1,$AN$2)*100,"")</f>
        <v>1.0179378228534113</v>
      </c>
      <c r="AK170" s="374">
        <f t="shared" si="60"/>
        <v>10.341609851266352</v>
      </c>
      <c r="AL170" s="372">
        <f t="shared" si="61"/>
        <v>-2</v>
      </c>
      <c r="AO170" s="376" t="str">
        <f t="shared" si="62"/>
        <v>通常</v>
      </c>
      <c r="AP170" s="377">
        <f t="shared" si="63"/>
        <v>0</v>
      </c>
      <c r="AQ170">
        <f>IF(C170&lt;&gt;"",始値!F34,"")</f>
        <v>4058</v>
      </c>
      <c r="AR170">
        <f>IF(C170&lt;&gt;"",高値!F34,"")</f>
        <v>4126</v>
      </c>
      <c r="AS170">
        <f>IF(C170&lt;&gt;"",安値!F34,"")</f>
        <v>4026</v>
      </c>
      <c r="AT170" t="str">
        <f t="shared" si="64"/>
        <v>通常</v>
      </c>
      <c r="AU170">
        <f t="shared" si="65"/>
        <v>0</v>
      </c>
      <c r="BA170">
        <f>IFERROR((SUM(OFFSET(高値!$E$6,IFERROR(MATCH($C170,銘柄管理!$B$6:$B$305,0),MATCH(TEXT($C170,"0"),銘柄管理!$B$6:$B$305,0))-1,0,1,14))-SUM(OFFSET(安値!$E$6,IFERROR(MATCH($C170,銘柄管理!$B$6:$B$305,0),MATCH(TEXT($C170,"0"),銘柄管理!$B$6:$B$305,0))-1,0,1,14)))/SUM(OFFSET(終値!$E$6,IFERROR(MATCH($C170,銘柄管理!$B$6:$B$305,0),MATCH(TEXT($C170,"0"),銘柄管理!$B$6:$B$305,0))-1,0,1,14))*100,"")</f>
      </c>
      <c r="BB170">
        <f>IFERROR((MAX(OFFSET(高値!$E$6,IFERROR(MATCH($C170,銘柄管理!$B$6:$B$305,0),MATCH(TEXT($C170,"0"),銘柄管理!$B$6:$B$305,0))-1,0,1,25))-MIN(OFFSET(安値!$E$6,IFERROR(MATCH($C170,銘柄管理!$B$6:$B$305,0),MATCH(TEXT($C170,"0"),銘柄管理!$B$6:$B$305,0))-1,0,1,25)))/$E170*100,"")</f>
      </c>
      <c r="BC170">
        <f>IFERROR(($F170-$G170)/$G170*100,"")</f>
      </c>
      <c r="BD170">
        <f>IFERROR(($E170-MAX(OFFSET(高値!$E$6,IFERROR(MATCH($C170,銘柄管理!$B$6:$B$305,0),MATCH(TEXT($C170,"0"),銘柄管理!$B$6:$B$305,0))-1,0,1,25)))/MAX(OFFSET(高値!$E$6,IFERROR(MATCH($C170,銘柄管理!$B$6:$B$305,0),MATCH(TEXT($C170,"0"),銘柄管理!$B$6:$B$305,0))-1,0,1,25))*100,"")</f>
      </c>
      <c r="BE170">
        <f>IFERROR(($H170-$I170)/$F170*100,"")</f>
      </c>
      <c r="BF170">
        <f>IFERROR(-(($BA170-AVERAGE($BA$3:$BA$206))/STDEV($BA$3:$BA$206))-(($BE170-AVERAGE($BE$3:$BE$206))/STDEV($BE$3:$BE$206))-(($BB170-AVERAGE($BB$3:$BB$206))/STDEV($BB$3:$BB$206))-(($Z170-AVERAGE($Z$3:$Z$206))/STDEV($Z$3:$Z$206))-(($BC170-AVERAGE($BC$3:$BC$206))/STDEV($BC$3:$BC$206)),"")</f>
      </c>
      <c r="BG170">
        <f>IF(OR($C170="",$C170="TOPX",$BA170="",$BF170=""),0,IF(AND($BK$10=1,$BA170&lt;=$BK$2,$BB170&lt;=$BK$3,$BC170&lt;=$BK$4,$Z170&lt;=$BK$5,$Z170&gt;=$BK$6,$BD170&gt;=$BK$7,$BE170&lt;=$BK$8),1,0))</f>
      </c>
      <c r="BH170">
        <f>IF($C170="","",IF($BG170=1,"○ゲート通過",IF($BK$10&lt;&gt;1,"― この方向は停止中",IF($BA170&gt;$BK$2,"×値動きが荒い",IF($BB170&gt;$BK$3,"×レンジが広い",IF($BC170&gt;$BK$4,"×窓を開けて上昇",IF($Z170&gt;$BK$5,"×前日に急騰",IF($Z170&lt;$BK$6,"×前日に急落",IF($BD170&lt;$BK$7,"×高値から離れすぎ",IF($BE170&gt;$BK$8,"×当日の値幅が大きい","×")))))))))</f>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 t="shared" si="44"/>
        <v>-7.3953940966590981</v>
      </c>
      <c r="M171" s="326">
        <f>IF(C171&lt;&gt;"",IFERROR(AVERAGE(出来高!E39:I39),""),"")</f>
        <v>5093880</v>
      </c>
      <c r="N171" s="326">
        <f>IF(C171&lt;&gt;"",IFERROR(AVERAGE(出来高!E39:AC39),""),"")</f>
        <v>4330540</v>
      </c>
      <c r="O171" s="328">
        <f t="shared" si="45"/>
        <v>0.74640549051018079</v>
      </c>
      <c r="P171" s="325" t="str">
        <f t="shared" si="46"/>
        <v>減少↓</v>
      </c>
      <c r="Q171" s="325" t="str">
        <f t="shared" si="47"/>
        <v>様子見▲</v>
      </c>
      <c r="R171" s="326">
        <f t="shared" si="48"/>
        <v>1313</v>
      </c>
      <c r="S171" s="326">
        <f t="shared" si="49"/>
        <v>1485</v>
      </c>
      <c r="T171" s="325">
        <f>IF(C171="","",IFERROR(IF(W171&lt;=22,-4,IF(W171&lt;=28,-2,IF(W171&lt;=45,2,IF(W171&lt;=55,1,0))))+IF(X171&lt;0,2,0)+IF(AD171="下降トレンド▼",3,IF(AD171="もみ合い→",1,0))+IF(V171="年初来安値圏●",3,IF(V171="安値圏",2,0))+IF(Q171="売り▼",2,0)+IF(P171="急増↑↑",2,IF(P171="増加↑",1,0))+IF(Z171&lt;0,1,0)+IF(L171&lt;=-30,2,IF(L171&lt;=-15,1,0))+IF(AE171="25日戻り売り★",2,IF(AE171="5日戻り売り○",1,0))+N(AL171)+N(AP171)+N(AU171),0))</f>
      </c>
      <c r="U171" s="325" t="str">
        <f t="shared" si="51"/>
        <v>除外</v>
      </c>
      <c r="V171" s="325" t="str">
        <f t="shared" si="52"/>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 t="shared" si="53"/>
        <v>○逆張り売り | もみ合い→ 25日戻り売り★ MACD+ RSI:50.4 前日比:+0.8% [2点]</v>
      </c>
      <c r="Z171" s="331">
        <f t="shared" si="54"/>
        <v>0.7765619484645252</v>
      </c>
      <c r="AA171" s="325" t="str">
        <f t="shared" si="55"/>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 t="shared" si="56"/>
        <v>もみ合い→</v>
      </c>
      <c r="AE171" s="325" t="str">
        <f t="shared" si="57"/>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 t="shared" si="58"/>
        <v>0</v>
      </c>
      <c r="AH171">
        <f t="shared" si="59"/>
        <v>0</v>
      </c>
      <c r="AI171" s="373">
        <f t="array" ref="AI171">IF(C171="","",IFERROR((INDEX(終値!$E:$E,MATCH(TEXT(C171,"0"),終値!$A:$A,0))-INDEX(終値!$E:$CZ,MATCH(TEXT(C171,"0"),終値!$A:$A,0),$AN$2))/INDEX(終値!$E:$CZ,MATCH(TEXT(C171,"0"),終値!$A:$A,0),$AN$2)*100,""))</f>
        <v>9.1360856269113153</v>
      </c>
      <c r="AJ171" s="373">
        <f t="array" ref="AJ171">IFERROR((終値!$E$5-INDEX(終値!$E$5:$CZ$5,1,$AN$2))/INDEX(終値!$E$5:$CZ$5,1,$AN$2)*100,"")</f>
        <v>1.0179378228534113</v>
      </c>
      <c r="AK171" s="374">
        <f t="shared" si="60"/>
        <v>8.1181478040579034</v>
      </c>
      <c r="AL171" s="372">
        <f t="shared" si="61"/>
        <v>-2</v>
      </c>
      <c r="AO171" s="376" t="str">
        <f t="shared" si="62"/>
        <v>通常</v>
      </c>
      <c r="AP171" s="377">
        <f t="shared" si="63"/>
        <v>0</v>
      </c>
      <c r="AQ171">
        <f>IF(C171&lt;&gt;"",始値!F39,"")</f>
        <v>1414.5</v>
      </c>
      <c r="AR171">
        <f>IF(C171&lt;&gt;"",高値!F39,"")</f>
        <v>1422</v>
      </c>
      <c r="AS171">
        <f>IF(C171&lt;&gt;"",安値!F39,"")</f>
        <v>1405</v>
      </c>
      <c r="AT171" t="str">
        <f t="shared" si="64"/>
        <v>通常</v>
      </c>
      <c r="AU171">
        <f t="shared" si="65"/>
        <v>0</v>
      </c>
      <c r="BA171">
        <f>IFERROR((SUM(OFFSET(高値!$E$6,IFERROR(MATCH($C171,銘柄管理!$B$6:$B$305,0),MATCH(TEXT($C171,"0"),銘柄管理!$B$6:$B$305,0))-1,0,1,14))-SUM(OFFSET(安値!$E$6,IFERROR(MATCH($C171,銘柄管理!$B$6:$B$305,0),MATCH(TEXT($C171,"0"),銘柄管理!$B$6:$B$305,0))-1,0,1,14)))/SUM(OFFSET(終値!$E$6,IFERROR(MATCH($C171,銘柄管理!$B$6:$B$305,0),MATCH(TEXT($C171,"0"),銘柄管理!$B$6:$B$305,0))-1,0,1,14))*100,"")</f>
      </c>
      <c r="BB171">
        <f>IFERROR((MAX(OFFSET(高値!$E$6,IFERROR(MATCH($C171,銘柄管理!$B$6:$B$305,0),MATCH(TEXT($C171,"0"),銘柄管理!$B$6:$B$305,0))-1,0,1,25))-MIN(OFFSET(安値!$E$6,IFERROR(MATCH($C171,銘柄管理!$B$6:$B$305,0),MATCH(TEXT($C171,"0"),銘柄管理!$B$6:$B$305,0))-1,0,1,25)))/$E171*100,"")</f>
      </c>
      <c r="BC171">
        <f>IFERROR(($F171-$G171)/$G171*100,"")</f>
      </c>
      <c r="BD171">
        <f>IFERROR(($E171-MAX(OFFSET(高値!$E$6,IFERROR(MATCH($C171,銘柄管理!$B$6:$B$305,0),MATCH(TEXT($C171,"0"),銘柄管理!$B$6:$B$305,0))-1,0,1,25)))/MAX(OFFSET(高値!$E$6,IFERROR(MATCH($C171,銘柄管理!$B$6:$B$305,0),MATCH(TEXT($C171,"0"),銘柄管理!$B$6:$B$305,0))-1,0,1,25))*100,"")</f>
      </c>
      <c r="BE171">
        <f>IFERROR(($H171-$I171)/$F171*100,"")</f>
      </c>
      <c r="BF171">
        <f>IFERROR(-(($BA171-AVERAGE($BA$3:$BA$206))/STDEV($BA$3:$BA$206))-(($BE171-AVERAGE($BE$3:$BE$206))/STDEV($BE$3:$BE$206))-(($BB171-AVERAGE($BB$3:$BB$206))/STDEV($BB$3:$BB$206))-(($Z171-AVERAGE($Z$3:$Z$206))/STDEV($Z$3:$Z$206))-(($BC171-AVERAGE($BC$3:$BC$206))/STDEV($BC$3:$BC$206)),"")</f>
      </c>
      <c r="BG171">
        <f>IF(OR($C171="",$C171="TOPX",$BA171="",$BF171=""),0,IF(AND($BK$10=1,$BA171&lt;=$BK$2,$BB171&lt;=$BK$3,$BC171&lt;=$BK$4,$Z171&lt;=$BK$5,$Z171&gt;=$BK$6,$BD171&gt;=$BK$7,$BE171&lt;=$BK$8),1,0))</f>
      </c>
      <c r="BH171">
        <f>IF($C171="","",IF($BG171=1,"○ゲート通過",IF($BK$10&lt;&gt;1,"― この方向は停止中",IF($BA171&gt;$BK$2,"×値動きが荒い",IF($BB171&gt;$BK$3,"×レンジが広い",IF($BC171&gt;$BK$4,"×窓を開けて上昇",IF($Z171&gt;$BK$5,"×前日に急騰",IF($Z171&lt;$BK$6,"×前日に急落",IF($BD171&lt;$BK$7,"×高値から離れすぎ",IF($BE171&gt;$BK$8,"×当日の値幅が大きい","×")))))))))</f>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 t="shared" si="44"/>
        <v>-3.989656446250462</v>
      </c>
      <c r="M172" s="333">
        <f>IF(C172&lt;&gt;"",IFERROR(AVERAGE(出来高!E44:I44),""),"")</f>
        <v>7492260</v>
      </c>
      <c r="N172" s="333">
        <f>IF(C172&lt;&gt;"",IFERROR(AVERAGE(出来高!E44:AC44),""),"")</f>
        <v>4926844</v>
      </c>
      <c r="O172" s="335">
        <f t="shared" si="45"/>
        <v>2.4110482017442001</v>
      </c>
      <c r="P172" s="212" t="str">
        <f t="shared" si="46"/>
        <v>急増↑↑</v>
      </c>
      <c r="Q172" s="212" t="str">
        <f t="shared" si="47"/>
        <v>様子見▲</v>
      </c>
      <c r="R172" s="333">
        <f t="shared" si="48"/>
        <v>1196</v>
      </c>
      <c r="S172" s="333">
        <f t="shared" si="49"/>
        <v>1351</v>
      </c>
      <c r="T172" s="325">
        <f>IF(C172="","",IFERROR(IF(W172&lt;=22,-4,IF(W172&lt;=28,-2,IF(W172&lt;=45,2,IF(W172&lt;=55,1,0))))+IF(X172&lt;0,2,0)+IF(AD172="下降トレンド▼",3,IF(AD172="もみ合い→",1,0))+IF(V172="年初来安値圏●",3,IF(V172="安値圏",2,0))+IF(Q172="売り▼",2,0)+IF(P172="急増↑↑",2,IF(P172="増加↑",1,0))+IF(Z172&lt;0,1,0)+IF(L172&lt;=-30,2,IF(L172&lt;=-15,1,0))+IF(AE172="25日戻り売り★",2,IF(AE172="5日戻り売り○",1,0))+N(AL172)+N(AP172)+N(AU172),0))</f>
      </c>
      <c r="U172" s="212" t="str">
        <f t="shared" si="51"/>
        <v>除外</v>
      </c>
      <c r="V172" s="212" t="str">
        <f t="shared" si="52"/>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 t="shared" si="53"/>
        <v>相場上昇・見送り | パーフェクト▲ MACD+ RSI:53.4 前日比:+9.3% [1点]</v>
      </c>
      <c r="Z172" s="338">
        <f t="shared" si="54"/>
        <v>9.3395035759360532</v>
      </c>
      <c r="AA172" s="212" t="str">
        <f t="shared" si="55"/>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 t="shared" si="56"/>
        <v>パーフェクト▲</v>
      </c>
      <c r="AE172" s="212" t="str">
        <f t="shared" si="57"/>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 t="shared" si="58"/>
        <v>0</v>
      </c>
      <c r="AH172">
        <f t="shared" si="59"/>
        <v>0</v>
      </c>
      <c r="AI172" s="373">
        <f t="array" ref="AI172">IF(C172="","",IFERROR((INDEX(終値!$E:$E,MATCH(TEXT(C172,"0"),終値!$A:$A,0))-INDEX(終値!$E:$CZ,MATCH(TEXT(C172,"0"),終値!$A:$A,0),$AN$2))/INDEX(終値!$E:$CZ,MATCH(TEXT(C172,"0"),終値!$A:$A,0),$AN$2)*100,""))</f>
        <v>15.511111111111111</v>
      </c>
      <c r="AJ172" s="373">
        <f t="array" ref="AJ172">IFERROR((終値!$E$5-INDEX(終値!$E$5:$CZ$5,1,$AN$2))/INDEX(終値!$E$5:$CZ$5,1,$AN$2)*100,"")</f>
        <v>1.0179378228534113</v>
      </c>
      <c r="AK172" s="374">
        <f t="shared" si="60"/>
        <v>14.493173288257699</v>
      </c>
      <c r="AL172" s="372">
        <f t="shared" si="61"/>
        <v>-2</v>
      </c>
      <c r="AO172" s="376" t="str">
        <f t="shared" si="62"/>
        <v>通常</v>
      </c>
      <c r="AP172" s="377">
        <f t="shared" si="63"/>
        <v>0</v>
      </c>
      <c r="AQ172">
        <f>IF(C172&lt;&gt;"",始値!F44,"")</f>
        <v>1151</v>
      </c>
      <c r="AR172">
        <f>IF(C172&lt;&gt;"",高値!F44,"")</f>
        <v>1188.5</v>
      </c>
      <c r="AS172">
        <f>IF(C172&lt;&gt;"",安値!F44,"")</f>
        <v>1150.5</v>
      </c>
      <c r="AT172" t="str">
        <f t="shared" si="64"/>
        <v>通常</v>
      </c>
      <c r="AU172">
        <f t="shared" si="65"/>
        <v>0</v>
      </c>
      <c r="BA172">
        <f>IFERROR((SUM(OFFSET(高値!$E$6,IFERROR(MATCH($C172,銘柄管理!$B$6:$B$305,0),MATCH(TEXT($C172,"0"),銘柄管理!$B$6:$B$305,0))-1,0,1,14))-SUM(OFFSET(安値!$E$6,IFERROR(MATCH($C172,銘柄管理!$B$6:$B$305,0),MATCH(TEXT($C172,"0"),銘柄管理!$B$6:$B$305,0))-1,0,1,14)))/SUM(OFFSET(終値!$E$6,IFERROR(MATCH($C172,銘柄管理!$B$6:$B$305,0),MATCH(TEXT($C172,"0"),銘柄管理!$B$6:$B$305,0))-1,0,1,14))*100,"")</f>
      </c>
      <c r="BB172">
        <f>IFERROR((MAX(OFFSET(高値!$E$6,IFERROR(MATCH($C172,銘柄管理!$B$6:$B$305,0),MATCH(TEXT($C172,"0"),銘柄管理!$B$6:$B$305,0))-1,0,1,25))-MIN(OFFSET(安値!$E$6,IFERROR(MATCH($C172,銘柄管理!$B$6:$B$305,0),MATCH(TEXT($C172,"0"),銘柄管理!$B$6:$B$305,0))-1,0,1,25)))/$E172*100,"")</f>
      </c>
      <c r="BC172">
        <f>IFERROR(($F172-$G172)/$G172*100,"")</f>
      </c>
      <c r="BD172">
        <f>IFERROR(($E172-MAX(OFFSET(高値!$E$6,IFERROR(MATCH($C172,銘柄管理!$B$6:$B$305,0),MATCH(TEXT($C172,"0"),銘柄管理!$B$6:$B$305,0))-1,0,1,25)))/MAX(OFFSET(高値!$E$6,IFERROR(MATCH($C172,銘柄管理!$B$6:$B$305,0),MATCH(TEXT($C172,"0"),銘柄管理!$B$6:$B$305,0))-1,0,1,25))*100,"")</f>
      </c>
      <c r="BE172">
        <f>IFERROR(($H172-$I172)/$F172*100,"")</f>
      </c>
      <c r="BF172">
        <f>IFERROR(-(($BA172-AVERAGE($BA$3:$BA$206))/STDEV($BA$3:$BA$206))-(($BE172-AVERAGE($BE$3:$BE$206))/STDEV($BE$3:$BE$206))-(($BB172-AVERAGE($BB$3:$BB$206))/STDEV($BB$3:$BB$206))-(($Z172-AVERAGE($Z$3:$Z$206))/STDEV($Z$3:$Z$206))-(($BC172-AVERAGE($BC$3:$BC$206))/STDEV($BC$3:$BC$206)),"")</f>
      </c>
      <c r="BG172">
        <f>IF(OR($C172="",$C172="TOPX",$BA172="",$BF172=""),0,IF(AND($BK$10=1,$BA172&lt;=$BK$2,$BB172&lt;=$BK$3,$BC172&lt;=$BK$4,$Z172&lt;=$BK$5,$Z172&gt;=$BK$6,$BD172&gt;=$BK$7,$BE172&lt;=$BK$8),1,0))</f>
      </c>
      <c r="BH172">
        <f>IF($C172="","",IF($BG172=1,"○ゲート通過",IF($BK$10&lt;&gt;1,"― この方向は停止中",IF($BA172&gt;$BK$2,"×値動きが荒い",IF($BB172&gt;$BK$3,"×レンジが広い",IF($BC172&gt;$BK$4,"×窓を開けて上昇",IF($Z172&gt;$BK$5,"×前日に急騰",IF($Z172&lt;$BK$6,"×前日に急落",IF($BD172&lt;$BK$7,"×高値から離れすぎ",IF($BE172&gt;$BK$8,"×当日の値幅が大きい","×")))))))))</f>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 t="shared" si="44"/>
        <v>-2.3292369248356608</v>
      </c>
      <c r="M173" s="326">
        <f>IF(C173&lt;&gt;"",IFERROR(AVERAGE(出来高!E46:I46),""),"")</f>
        <v>53198400</v>
      </c>
      <c r="N173" s="326">
        <f>IF(C173&lt;&gt;"",IFERROR(AVERAGE(出来高!E46:AC46),""),"")</f>
        <v>42637258.333333336</v>
      </c>
      <c r="O173" s="328">
        <f t="shared" si="45"/>
        <v>0.99883643117086229</v>
      </c>
      <c r="P173" s="325" t="str">
        <f t="shared" si="46"/>
        <v>減少↓</v>
      </c>
      <c r="Q173" s="325" t="str">
        <f t="shared" si="47"/>
        <v>様子見▲</v>
      </c>
      <c r="R173" s="326">
        <f t="shared" si="48"/>
        <v>629</v>
      </c>
      <c r="S173" s="326">
        <f t="shared" si="49"/>
        <v>711</v>
      </c>
      <c r="T173" s="325">
        <f>IF(C173="","",IFERROR(IF(W173&lt;=22,-4,IF(W173&lt;=28,-2,IF(W173&lt;=45,2,IF(W173&lt;=55,1,0))))+IF(X173&lt;0,2,0)+IF(AD173="下降トレンド▼",3,IF(AD173="もみ合い→",1,0))+IF(V173="年初来安値圏●",3,IF(V173="安値圏",2,0))+IF(Q173="売り▼",2,0)+IF(P173="急増↑↑",2,IF(P173="増加↑",1,0))+IF(Z173&lt;0,1,0)+IF(L173&lt;=-30,2,IF(L173&lt;=-15,1,0))+IF(AE173="25日戻り売り★",2,IF(AE173="5日戻り売り○",1,0))+N(AL173)+N(AP173)+N(AU173),0))</f>
      </c>
      <c r="U173" s="325" t="str">
        <f t="shared" si="51"/>
        <v>除外</v>
      </c>
      <c r="V173" s="325" t="str">
        <f t="shared" si="52"/>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 t="shared" si="53"/>
        <v>相場上昇・見送り | パーフェクト▲ MACD+ RSI:53.6 前日比:+1.7% [-1点]</v>
      </c>
      <c r="Z173" s="331">
        <f t="shared" si="54"/>
        <v>1.7113095238095239</v>
      </c>
      <c r="AA173" s="325" t="str">
        <f t="shared" si="55"/>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 t="shared" si="56"/>
        <v>パーフェクト▲</v>
      </c>
      <c r="AE173" s="325" t="str">
        <f t="shared" si="57"/>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 t="shared" si="58"/>
        <v>0</v>
      </c>
      <c r="AH173">
        <f t="shared" si="59"/>
        <v>0</v>
      </c>
      <c r="AI173" s="373">
        <f t="array" ref="AI173">IF(C173="","",IFERROR((INDEX(終値!$E:$E,MATCH(TEXT(C173,"0"),終値!$A:$A,0))-INDEX(終値!$E:$CZ,MATCH(TEXT(C173,"0"),終値!$A:$A,0),$AN$2))/INDEX(終値!$E:$CZ,MATCH(TEXT(C173,"0"),終値!$A:$A,0),$AN$2)*100,""))</f>
        <v>28.719397363465159</v>
      </c>
      <c r="AJ173" s="373">
        <f t="array" ref="AJ173">IFERROR((終値!$E$5-INDEX(終値!$E$5:$CZ$5,1,$AN$2))/INDEX(終値!$E$5:$CZ$5,1,$AN$2)*100,"")</f>
        <v>1.0179378228534113</v>
      </c>
      <c r="AK173" s="374">
        <f t="shared" si="60"/>
        <v>27.701459540611747</v>
      </c>
      <c r="AL173" s="372">
        <f t="shared" si="61"/>
        <v>-2</v>
      </c>
      <c r="AO173" s="376" t="str">
        <f t="shared" si="62"/>
        <v>通常</v>
      </c>
      <c r="AP173" s="377">
        <f t="shared" si="63"/>
        <v>0</v>
      </c>
      <c r="AQ173">
        <f>IF(C173&lt;&gt;"",始値!F46,"")</f>
        <v>658</v>
      </c>
      <c r="AR173">
        <f>IF(C173&lt;&gt;"",高値!F46,"")</f>
        <v>675.7</v>
      </c>
      <c r="AS173">
        <f>IF(C173&lt;&gt;"",安値!F46,"")</f>
        <v>655.9</v>
      </c>
      <c r="AT173" t="str">
        <f t="shared" si="64"/>
        <v>通常</v>
      </c>
      <c r="AU173">
        <f t="shared" si="65"/>
        <v>0</v>
      </c>
      <c r="BA173">
        <f>IFERROR((SUM(OFFSET(高値!$E$6,IFERROR(MATCH($C173,銘柄管理!$B$6:$B$305,0),MATCH(TEXT($C173,"0"),銘柄管理!$B$6:$B$305,0))-1,0,1,14))-SUM(OFFSET(安値!$E$6,IFERROR(MATCH($C173,銘柄管理!$B$6:$B$305,0),MATCH(TEXT($C173,"0"),銘柄管理!$B$6:$B$305,0))-1,0,1,14)))/SUM(OFFSET(終値!$E$6,IFERROR(MATCH($C173,銘柄管理!$B$6:$B$305,0),MATCH(TEXT($C173,"0"),銘柄管理!$B$6:$B$305,0))-1,0,1,14))*100,"")</f>
      </c>
      <c r="BB173">
        <f>IFERROR((MAX(OFFSET(高値!$E$6,IFERROR(MATCH($C173,銘柄管理!$B$6:$B$305,0),MATCH(TEXT($C173,"0"),銘柄管理!$B$6:$B$305,0))-1,0,1,25))-MIN(OFFSET(安値!$E$6,IFERROR(MATCH($C173,銘柄管理!$B$6:$B$305,0),MATCH(TEXT($C173,"0"),銘柄管理!$B$6:$B$305,0))-1,0,1,25)))/$E173*100,"")</f>
      </c>
      <c r="BC173">
        <f>IFERROR(($F173-$G173)/$G173*100,"")</f>
      </c>
      <c r="BD173">
        <f>IFERROR(($E173-MAX(OFFSET(高値!$E$6,IFERROR(MATCH($C173,銘柄管理!$B$6:$B$305,0),MATCH(TEXT($C173,"0"),銘柄管理!$B$6:$B$305,0))-1,0,1,25)))/MAX(OFFSET(高値!$E$6,IFERROR(MATCH($C173,銘柄管理!$B$6:$B$305,0),MATCH(TEXT($C173,"0"),銘柄管理!$B$6:$B$305,0))-1,0,1,25))*100,"")</f>
      </c>
      <c r="BE173">
        <f>IFERROR(($H173-$I173)/$F173*100,"")</f>
      </c>
      <c r="BF173">
        <f>IFERROR(-(($BA173-AVERAGE($BA$3:$BA$206))/STDEV($BA$3:$BA$206))-(($BE173-AVERAGE($BE$3:$BE$206))/STDEV($BE$3:$BE$206))-(($BB173-AVERAGE($BB$3:$BB$206))/STDEV($BB$3:$BB$206))-(($Z173-AVERAGE($Z$3:$Z$206))/STDEV($Z$3:$Z$206))-(($BC173-AVERAGE($BC$3:$BC$206))/STDEV($BC$3:$BC$206)),"")</f>
      </c>
      <c r="BG173">
        <f>IF(OR($C173="",$C173="TOPX",$BA173="",$BF173=""),0,IF(AND($BK$10=1,$BA173&lt;=$BK$2,$BB173&lt;=$BK$3,$BC173&lt;=$BK$4,$Z173&lt;=$BK$5,$Z173&gt;=$BK$6,$BD173&gt;=$BK$7,$BE173&lt;=$BK$8),1,0))</f>
      </c>
      <c r="BH173">
        <f>IF($C173="","",IF($BG173=1,"○ゲート通過",IF($BK$10&lt;&gt;1,"― この方向は停止中",IF($BA173&gt;$BK$2,"×値動きが荒い",IF($BB173&gt;$BK$3,"×レンジが広い",IF($BC173&gt;$BK$4,"×窓を開けて上昇",IF($Z173&gt;$BK$5,"×前日に急騰",IF($Z173&lt;$BK$6,"×前日に急落",IF($BD173&lt;$BK$7,"×高値から離れすぎ",IF($BE173&gt;$BK$8,"×当日の値幅が大きい","×")))))))))</f>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 t="shared" si="44"/>
        <v>-7.687765706188002</v>
      </c>
      <c r="M174" s="333">
        <f>IF(C174&lt;&gt;"",IFERROR(AVERAGE(出来高!E52:I52),""),"")</f>
        <v>4208460</v>
      </c>
      <c r="N174" s="333">
        <f>IF(C174&lt;&gt;"",IFERROR(AVERAGE(出来高!E52:AC52),""),"")</f>
        <v>5066816</v>
      </c>
      <c r="O174" s="335">
        <f t="shared" si="45"/>
        <v>0.85777220170798818</v>
      </c>
      <c r="P174" s="212" t="str">
        <f t="shared" si="46"/>
        <v>減少↓</v>
      </c>
      <c r="Q174" s="212" t="str">
        <f t="shared" si="47"/>
        <v>様子見▲</v>
      </c>
      <c r="R174" s="333">
        <f t="shared" si="48"/>
        <v>7192</v>
      </c>
      <c r="S174" s="333">
        <f t="shared" si="49"/>
        <v>8130</v>
      </c>
      <c r="T174" s="325">
        <f>IF(C174="","",IFERROR(IF(W174&lt;=22,-4,IF(W174&lt;=28,-2,IF(W174&lt;=45,2,IF(W174&lt;=55,1,0))))+IF(X174&lt;0,2,0)+IF(AD174="下降トレンド▼",3,IF(AD174="もみ合い→",1,0))+IF(V174="年初来安値圏●",3,IF(V174="安値圏",2,0))+IF(Q174="売り▼",2,0)+IF(P174="急増↑↑",2,IF(P174="増加↑",1,0))+IF(Z174&lt;0,1,0)+IF(L174&lt;=-30,2,IF(L174&lt;=-15,1,0))+IF(AE174="25日戻り売り★",2,IF(AE174="5日戻り売り○",1,0))+N(AL174)+N(AP174)+N(AU174),0))</f>
      </c>
      <c r="U174" s="212" t="str">
        <f t="shared" si="51"/>
        <v>除外</v>
      </c>
      <c r="V174" s="212" t="str">
        <f t="shared" si="52"/>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 t="shared" si="53"/>
        <v>○逆張り売り | もみ合い→ 25日戻り売り★ MACD+ RSI:49.2 前日比:+1.0% [1点]</v>
      </c>
      <c r="Z174" s="338">
        <f t="shared" si="54"/>
        <v>0.96874192715060703</v>
      </c>
      <c r="AA174" s="212" t="str">
        <f t="shared" si="55"/>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 t="shared" si="56"/>
        <v>もみ合い→</v>
      </c>
      <c r="AE174" s="212" t="str">
        <f t="shared" si="57"/>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 t="shared" si="58"/>
        <v>0</v>
      </c>
      <c r="AH174">
        <f t="shared" si="59"/>
        <v>0</v>
      </c>
      <c r="AI174" s="373">
        <f t="array" ref="AI174">IF(C174="","",IFERROR((INDEX(終値!$E:$E,MATCH(TEXT(C174,"0"),終値!$A:$A,0))-INDEX(終値!$E:$CZ,MATCH(TEXT(C174,"0"),終値!$A:$A,0),$AN$2))/INDEX(終値!$E:$CZ,MATCH(TEXT(C174,"0"),終値!$A:$A,0),$AN$2)*100,""))</f>
        <v>9.9128233970753659</v>
      </c>
      <c r="AJ174" s="373">
        <f t="array" ref="AJ174">IFERROR((終値!$E$5-INDEX(終値!$E$5:$CZ$5,1,$AN$2))/INDEX(終値!$E$5:$CZ$5,1,$AN$2)*100,"")</f>
        <v>1.0179378228534113</v>
      </c>
      <c r="AK174" s="374">
        <f t="shared" si="60"/>
        <v>8.8948855742219539</v>
      </c>
      <c r="AL174" s="372">
        <f t="shared" si="61"/>
        <v>-2</v>
      </c>
      <c r="AO174" s="376" t="str">
        <f t="shared" si="62"/>
        <v>通常</v>
      </c>
      <c r="AP174" s="377">
        <f t="shared" si="63"/>
        <v>0</v>
      </c>
      <c r="AQ174">
        <f>IF(C174&lt;&gt;"",始値!F52,"")</f>
        <v>7717</v>
      </c>
      <c r="AR174">
        <f>IF(C174&lt;&gt;"",高値!F52,"")</f>
        <v>7819</v>
      </c>
      <c r="AS174">
        <f>IF(C174&lt;&gt;"",安値!F52,"")</f>
        <v>7682</v>
      </c>
      <c r="AT174" t="str">
        <f t="shared" si="64"/>
        <v>通常</v>
      </c>
      <c r="AU174">
        <f t="shared" si="65"/>
        <v>0</v>
      </c>
      <c r="BA174">
        <f>IFERROR((SUM(OFFSET(高値!$E$6,IFERROR(MATCH($C174,銘柄管理!$B$6:$B$305,0),MATCH(TEXT($C174,"0"),銘柄管理!$B$6:$B$305,0))-1,0,1,14))-SUM(OFFSET(安値!$E$6,IFERROR(MATCH($C174,銘柄管理!$B$6:$B$305,0),MATCH(TEXT($C174,"0"),銘柄管理!$B$6:$B$305,0))-1,0,1,14)))/SUM(OFFSET(終値!$E$6,IFERROR(MATCH($C174,銘柄管理!$B$6:$B$305,0),MATCH(TEXT($C174,"0"),銘柄管理!$B$6:$B$305,0))-1,0,1,14))*100,"")</f>
      </c>
      <c r="BB174">
        <f>IFERROR((MAX(OFFSET(高値!$E$6,IFERROR(MATCH($C174,銘柄管理!$B$6:$B$305,0),MATCH(TEXT($C174,"0"),銘柄管理!$B$6:$B$305,0))-1,0,1,25))-MIN(OFFSET(安値!$E$6,IFERROR(MATCH($C174,銘柄管理!$B$6:$B$305,0),MATCH(TEXT($C174,"0"),銘柄管理!$B$6:$B$305,0))-1,0,1,25)))/$E174*100,"")</f>
      </c>
      <c r="BC174">
        <f>IFERROR(($F174-$G174)/$G174*100,"")</f>
      </c>
      <c r="BD174">
        <f>IFERROR(($E174-MAX(OFFSET(高値!$E$6,IFERROR(MATCH($C174,銘柄管理!$B$6:$B$305,0),MATCH(TEXT($C174,"0"),銘柄管理!$B$6:$B$305,0))-1,0,1,25)))/MAX(OFFSET(高値!$E$6,IFERROR(MATCH($C174,銘柄管理!$B$6:$B$305,0),MATCH(TEXT($C174,"0"),銘柄管理!$B$6:$B$305,0))-1,0,1,25))*100,"")</f>
      </c>
      <c r="BE174">
        <f>IFERROR(($H174-$I174)/$F174*100,"")</f>
      </c>
      <c r="BF174">
        <f>IFERROR(-(($BA174-AVERAGE($BA$3:$BA$206))/STDEV($BA$3:$BA$206))-(($BE174-AVERAGE($BE$3:$BE$206))/STDEV($BE$3:$BE$206))-(($BB174-AVERAGE($BB$3:$BB$206))/STDEV($BB$3:$BB$206))-(($Z174-AVERAGE($Z$3:$Z$206))/STDEV($Z$3:$Z$206))-(($BC174-AVERAGE($BC$3:$BC$206))/STDEV($BC$3:$BC$206)),"")</f>
      </c>
      <c r="BG174">
        <f>IF(OR($C174="",$C174="TOPX",$BA174="",$BF174=""),0,IF(AND($BK$10=1,$BA174&lt;=$BK$2,$BB174&lt;=$BK$3,$BC174&lt;=$BK$4,$Z174&lt;=$BK$5,$Z174&gt;=$BK$6,$BD174&gt;=$BK$7,$BE174&lt;=$BK$8),1,0))</f>
      </c>
      <c r="BH174">
        <f>IF($C174="","",IF($BG174=1,"○ゲート通過",IF($BK$10&lt;&gt;1,"― この方向は停止中",IF($BA174&gt;$BK$2,"×値動きが荒い",IF($BB174&gt;$BK$3,"×レンジが広い",IF($BC174&gt;$BK$4,"×窓を開けて上昇",IF($Z174&gt;$BK$5,"×前日に急騰",IF($Z174&lt;$BK$6,"×前日に急落",IF($BD174&lt;$BK$7,"×高値から離れすぎ",IF($BE174&gt;$BK$8,"×当日の値幅が大きい","×")))))))))</f>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 t="shared" si="44"/>
        <v>-30.414912808177991</v>
      </c>
      <c r="M175" s="326">
        <f>IF(C175&lt;&gt;"",IFERROR(AVERAGE(出来高!E53:I53),""),"")</f>
        <v>2739840</v>
      </c>
      <c r="N175" s="326">
        <f>IF(C175&lt;&gt;"",IFERROR(AVERAGE(出来高!E53:AC53),""),"")</f>
        <v>1577064</v>
      </c>
      <c r="O175" s="328">
        <f t="shared" si="45"/>
        <v>0.59350181032469052</v>
      </c>
      <c r="P175" s="325" t="str">
        <f t="shared" si="46"/>
        <v>減少↓</v>
      </c>
      <c r="Q175" s="325" t="str">
        <f t="shared" si="47"/>
        <v>様子見▲</v>
      </c>
      <c r="R175" s="326">
        <f t="shared" si="48"/>
        <v>5323</v>
      </c>
      <c r="S175" s="326">
        <f t="shared" si="49"/>
        <v>6017</v>
      </c>
      <c r="T175" s="325">
        <f>IF(C175="","",IFERROR(IF(W175&lt;=22,-4,IF(W175&lt;=28,-2,IF(W175&lt;=45,2,IF(W175&lt;=55,1,0))))+IF(X175&lt;0,2,0)+IF(AD175="下降トレンド▼",3,IF(AD175="もみ合い→",1,0))+IF(V175="年初来安値圏●",3,IF(V175="安値圏",2,0))+IF(Q175="売り▼",2,0)+IF(P175="急増↑↑",2,IF(P175="増加↑",1,0))+IF(Z175&lt;0,1,0)+IF(L175&lt;=-30,2,IF(L175&lt;=-15,1,0))+IF(AE175="25日戻り売り★",2,IF(AE175="5日戻り売り○",1,0))+N(AL175)+N(AP175)+N(AU175),0))</f>
      </c>
      <c r="U175" s="325" t="str">
        <f t="shared" si="51"/>
        <v>要確認</v>
      </c>
      <c r="V175" s="325" t="str">
        <f t="shared" si="52"/>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 t="shared" si="53"/>
        <v>★逆張り売り | 下降トレンド▼ 5日戻り売り○ MACD- RSI:30.1 前日比:+0.4% [安値圏] [13点]</v>
      </c>
      <c r="Z175" s="331">
        <f t="shared" si="54"/>
        <v>0.36426712922810062</v>
      </c>
      <c r="AA175" s="325" t="str">
        <f t="shared" si="55"/>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 t="shared" si="56"/>
        <v>下降トレンド▼</v>
      </c>
      <c r="AE175" s="325" t="str">
        <f t="shared" si="57"/>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 t="shared" si="58"/>
        <v>13</v>
      </c>
      <c r="AH175">
        <f t="shared" si="59"/>
        <v>129825</v>
      </c>
      <c r="AI175" s="373">
        <f t="array" ref="AI175">IF(C175="","",IFERROR((INDEX(終値!$E:$E,MATCH(TEXT(C175,"0"),終値!$A:$A,0))-INDEX(終値!$E:$CZ,MATCH(TEXT(C175,"0"),終値!$A:$A,0),$AN$2))/INDEX(終値!$E:$CZ,MATCH(TEXT(C175,"0"),終値!$A:$A,0),$AN$2)*100,""))</f>
        <v>-16.831967802213597</v>
      </c>
      <c r="AJ175" s="373">
        <f t="array" ref="AJ175">IFERROR((終値!$E$5-INDEX(終値!$E$5:$CZ$5,1,$AN$2))/INDEX(終値!$E$5:$CZ$5,1,$AN$2)*100,"")</f>
        <v>1.0179378228534113</v>
      </c>
      <c r="AK175" s="374">
        <f t="shared" si="60"/>
        <v>-17.849905625067009</v>
      </c>
      <c r="AL175" s="372">
        <f t="shared" si="61"/>
        <v>3</v>
      </c>
      <c r="AO175" s="376" t="str">
        <f t="shared" si="62"/>
        <v>通常</v>
      </c>
      <c r="AP175" s="377">
        <f t="shared" si="63"/>
        <v>0</v>
      </c>
      <c r="AQ175">
        <f>IF(C175&lt;&gt;"",始値!F53,"")</f>
        <v>5634</v>
      </c>
      <c r="AR175">
        <f>IF(C175&lt;&gt;"",高値!F53,"")</f>
        <v>5821</v>
      </c>
      <c r="AS175">
        <f>IF(C175&lt;&gt;"",安値!F53,"")</f>
        <v>5611</v>
      </c>
      <c r="AT175" t="str">
        <f t="shared" si="64"/>
        <v>通常</v>
      </c>
      <c r="AU175">
        <f t="shared" si="65"/>
        <v>0</v>
      </c>
      <c r="BA175">
        <f>IFERROR((SUM(OFFSET(高値!$E$6,IFERROR(MATCH($C175,銘柄管理!$B$6:$B$305,0),MATCH(TEXT($C175,"0"),銘柄管理!$B$6:$B$305,0))-1,0,1,14))-SUM(OFFSET(安値!$E$6,IFERROR(MATCH($C175,銘柄管理!$B$6:$B$305,0),MATCH(TEXT($C175,"0"),銘柄管理!$B$6:$B$305,0))-1,0,1,14)))/SUM(OFFSET(終値!$E$6,IFERROR(MATCH($C175,銘柄管理!$B$6:$B$305,0),MATCH(TEXT($C175,"0"),銘柄管理!$B$6:$B$305,0))-1,0,1,14))*100,"")</f>
      </c>
      <c r="BB175">
        <f>IFERROR((MAX(OFFSET(高値!$E$6,IFERROR(MATCH($C175,銘柄管理!$B$6:$B$305,0),MATCH(TEXT($C175,"0"),銘柄管理!$B$6:$B$305,0))-1,0,1,25))-MIN(OFFSET(安値!$E$6,IFERROR(MATCH($C175,銘柄管理!$B$6:$B$305,0),MATCH(TEXT($C175,"0"),銘柄管理!$B$6:$B$305,0))-1,0,1,25)))/$E175*100,"")</f>
      </c>
      <c r="BC175">
        <f>IFERROR(($F175-$G175)/$G175*100,"")</f>
      </c>
      <c r="BD175">
        <f>IFERROR(($E175-MAX(OFFSET(高値!$E$6,IFERROR(MATCH($C175,銘柄管理!$B$6:$B$305,0),MATCH(TEXT($C175,"0"),銘柄管理!$B$6:$B$305,0))-1,0,1,25)))/MAX(OFFSET(高値!$E$6,IFERROR(MATCH($C175,銘柄管理!$B$6:$B$305,0),MATCH(TEXT($C175,"0"),銘柄管理!$B$6:$B$305,0))-1,0,1,25))*100,"")</f>
      </c>
      <c r="BE175">
        <f>IFERROR(($H175-$I175)/$F175*100,"")</f>
      </c>
      <c r="BF175">
        <f>IFERROR(-(($BA175-AVERAGE($BA$3:$BA$206))/STDEV($BA$3:$BA$206))-(($BE175-AVERAGE($BE$3:$BE$206))/STDEV($BE$3:$BE$206))-(($BB175-AVERAGE($BB$3:$BB$206))/STDEV($BB$3:$BB$206))-(($Z175-AVERAGE($Z$3:$Z$206))/STDEV($Z$3:$Z$206))-(($BC175-AVERAGE($BC$3:$BC$206))/STDEV($BC$3:$BC$206)),"")</f>
      </c>
      <c r="BG175">
        <f>IF(OR($C175="",$C175="TOPX",$BA175="",$BF175=""),0,IF(AND($BK$10=1,$BA175&lt;=$BK$2,$BB175&lt;=$BK$3,$BC175&lt;=$BK$4,$Z175&lt;=$BK$5,$Z175&gt;=$BK$6,$BD175&gt;=$BK$7,$BE175&lt;=$BK$8),1,0))</f>
      </c>
      <c r="BH175">
        <f>IF($C175="","",IF($BG175=1,"○ゲート通過",IF($BK$10&lt;&gt;1,"― この方向は停止中",IF($BA175&gt;$BK$2,"×値動きが荒い",IF($BB175&gt;$BK$3,"×レンジが広い",IF($BC175&gt;$BK$4,"×窓を開けて上昇",IF($Z175&gt;$BK$5,"×前日に急騰",IF($Z175&lt;$BK$6,"×前日に急落",IF($BD175&lt;$BK$7,"×高値から離れすぎ",IF($BE175&gt;$BK$8,"×当日の値幅が大きい","×")))))))))</f>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 t="shared" si="44"/>
        <v>-5.6117631188452721</v>
      </c>
      <c r="M176" s="333">
        <f>IF(C176&lt;&gt;"",IFERROR(AVERAGE(出来高!E54:I54),""),"")</f>
        <v>2527720</v>
      </c>
      <c r="N176" s="333">
        <f>IF(C176&lt;&gt;"",IFERROR(AVERAGE(出来高!E54:AC54),""),"")</f>
        <v>2598076</v>
      </c>
      <c r="O176" s="335">
        <f t="shared" si="45"/>
        <v>0.84368521829949517</v>
      </c>
      <c r="P176" s="212" t="str">
        <f t="shared" si="46"/>
        <v>減少↓</v>
      </c>
      <c r="Q176" s="212" t="str">
        <f t="shared" si="47"/>
        <v>様子見▲</v>
      </c>
      <c r="R176" s="333">
        <f t="shared" si="48"/>
        <v>6437</v>
      </c>
      <c r="S176" s="333">
        <f t="shared" si="49"/>
        <v>7277</v>
      </c>
      <c r="T176" s="325">
        <f>IF(C176="","",IFERROR(IF(W176&lt;=22,-4,IF(W176&lt;=28,-2,IF(W176&lt;=45,2,IF(W176&lt;=55,1,0))))+IF(X176&lt;0,2,0)+IF(AD176="下降トレンド▼",3,IF(AD176="もみ合い→",1,0))+IF(V176="年初来安値圏●",3,IF(V176="安値圏",2,0))+IF(Q176="売り▼",2,0)+IF(P176="急増↑↑",2,IF(P176="増加↑",1,0))+IF(Z176&lt;0,1,0)+IF(L176&lt;=-30,2,IF(L176&lt;=-15,1,0))+IF(AE176="25日戻り売り★",2,IF(AE176="5日戻り売り○",1,0))+N(AL176)+N(AP176)+N(AU176),0))</f>
      </c>
      <c r="U176" s="212" t="str">
        <f t="shared" si="51"/>
        <v>除外</v>
      </c>
      <c r="V176" s="212" t="str">
        <f t="shared" si="52"/>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 t="shared" si="53"/>
        <v>相場上昇・見送り | パーフェクト▲ MACD+ RSI:60.7 前日比:+0.5% [0点]</v>
      </c>
      <c r="Z176" s="338">
        <f t="shared" si="54"/>
        <v>0.50272910083309397</v>
      </c>
      <c r="AA176" s="212" t="str">
        <f t="shared" si="55"/>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 t="shared" si="56"/>
        <v>パーフェクト▲</v>
      </c>
      <c r="AE176" s="212" t="str">
        <f t="shared" si="57"/>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 t="shared" si="58"/>
        <v>0</v>
      </c>
      <c r="AH176">
        <f t="shared" si="59"/>
        <v>0</v>
      </c>
      <c r="AI176" s="373">
        <f t="array" ref="AI176">IF(C176="","",IFERROR((INDEX(終値!$E:$E,MATCH(TEXT(C176,"0"),終値!$A:$A,0))-INDEX(終値!$E:$CZ,MATCH(TEXT(C176,"0"),終値!$A:$A,0),$AN$2))/INDEX(終値!$E:$CZ,MATCH(TEXT(C176,"0"),終値!$A:$A,0),$AN$2)*100,""))</f>
        <v>11.952</v>
      </c>
      <c r="AJ176" s="373">
        <f t="array" ref="AJ176">IFERROR((終値!$E$5-INDEX(終値!$E$5:$CZ$5,1,$AN$2))/INDEX(終値!$E$5:$CZ$5,1,$AN$2)*100,"")</f>
        <v>1.0179378228534113</v>
      </c>
      <c r="AK176" s="374">
        <f t="shared" si="60"/>
        <v>10.934062177146588</v>
      </c>
      <c r="AL176" s="372">
        <f t="shared" si="61"/>
        <v>-2</v>
      </c>
      <c r="AO176" s="376" t="str">
        <f t="shared" si="62"/>
        <v>通常</v>
      </c>
      <c r="AP176" s="377">
        <f t="shared" si="63"/>
        <v>0</v>
      </c>
      <c r="AQ176">
        <f>IF(C176&lt;&gt;"",始値!F54,"")</f>
        <v>6863</v>
      </c>
      <c r="AR176">
        <f>IF(C176&lt;&gt;"",高値!F54,"")</f>
        <v>6963</v>
      </c>
      <c r="AS176">
        <f>IF(C176&lt;&gt;"",安値!F54,"")</f>
        <v>6852</v>
      </c>
      <c r="AT176" t="str">
        <f t="shared" si="64"/>
        <v>通常</v>
      </c>
      <c r="AU176">
        <f t="shared" si="65"/>
        <v>0</v>
      </c>
      <c r="BA176">
        <f>IFERROR((SUM(OFFSET(高値!$E$6,IFERROR(MATCH($C176,銘柄管理!$B$6:$B$305,0),MATCH(TEXT($C176,"0"),銘柄管理!$B$6:$B$305,0))-1,0,1,14))-SUM(OFFSET(安値!$E$6,IFERROR(MATCH($C176,銘柄管理!$B$6:$B$305,0),MATCH(TEXT($C176,"0"),銘柄管理!$B$6:$B$305,0))-1,0,1,14)))/SUM(OFFSET(終値!$E$6,IFERROR(MATCH($C176,銘柄管理!$B$6:$B$305,0),MATCH(TEXT($C176,"0"),銘柄管理!$B$6:$B$305,0))-1,0,1,14))*100,"")</f>
      </c>
      <c r="BB176">
        <f>IFERROR((MAX(OFFSET(高値!$E$6,IFERROR(MATCH($C176,銘柄管理!$B$6:$B$305,0),MATCH(TEXT($C176,"0"),銘柄管理!$B$6:$B$305,0))-1,0,1,25))-MIN(OFFSET(安値!$E$6,IFERROR(MATCH($C176,銘柄管理!$B$6:$B$305,0),MATCH(TEXT($C176,"0"),銘柄管理!$B$6:$B$305,0))-1,0,1,25)))/$E176*100,"")</f>
      </c>
      <c r="BC176">
        <f>IFERROR(($F176-$G176)/$G176*100,"")</f>
      </c>
      <c r="BD176">
        <f>IFERROR(($E176-MAX(OFFSET(高値!$E$6,IFERROR(MATCH($C176,銘柄管理!$B$6:$B$305,0),MATCH(TEXT($C176,"0"),銘柄管理!$B$6:$B$305,0))-1,0,1,25)))/MAX(OFFSET(高値!$E$6,IFERROR(MATCH($C176,銘柄管理!$B$6:$B$305,0),MATCH(TEXT($C176,"0"),銘柄管理!$B$6:$B$305,0))-1,0,1,25))*100,"")</f>
      </c>
      <c r="BE176">
        <f>IFERROR(($H176-$I176)/$F176*100,"")</f>
      </c>
      <c r="BF176">
        <f>IFERROR(-(($BA176-AVERAGE($BA$3:$BA$206))/STDEV($BA$3:$BA$206))-(($BE176-AVERAGE($BE$3:$BE$206))/STDEV($BE$3:$BE$206))-(($BB176-AVERAGE($BB$3:$BB$206))/STDEV($BB$3:$BB$206))-(($Z176-AVERAGE($Z$3:$Z$206))/STDEV($Z$3:$Z$206))-(($BC176-AVERAGE($BC$3:$BC$206))/STDEV($BC$3:$BC$206)),"")</f>
      </c>
      <c r="BG176">
        <f>IF(OR($C176="",$C176="TOPX",$BA176="",$BF176=""),0,IF(AND($BK$10=1,$BA176&lt;=$BK$2,$BB176&lt;=$BK$3,$BC176&lt;=$BK$4,$Z176&lt;=$BK$5,$Z176&gt;=$BK$6,$BD176&gt;=$BK$7,$BE176&lt;=$BK$8),1,0))</f>
      </c>
      <c r="BH176">
        <f>IF($C176="","",IF($BG176=1,"○ゲート通過",IF($BK$10&lt;&gt;1,"― この方向は停止中",IF($BA176&gt;$BK$2,"×値動きが荒い",IF($BB176&gt;$BK$3,"×レンジが広い",IF($BC176&gt;$BK$4,"×窓を開けて上昇",IF($Z176&gt;$BK$5,"×前日に急騰",IF($Z176&lt;$BK$6,"×前日に急落",IF($BD176&lt;$BK$7,"×高値から離れすぎ",IF($BE176&gt;$BK$8,"×当日の値幅が大きい","×")))))))))</f>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 t="shared" si="44"/>
        <v>-9.2924317062248107</v>
      </c>
      <c r="M177" s="326">
        <f>IF(C177&lt;&gt;"",IFERROR(AVERAGE(出来高!E58:I58),""),"")</f>
        <v>775400</v>
      </c>
      <c r="N177" s="326">
        <f>IF(C177&lt;&gt;"",IFERROR(AVERAGE(出来高!E58:AC58),""),"")</f>
        <v>580244</v>
      </c>
      <c r="O177" s="328">
        <f t="shared" si="45"/>
        <v>0.7973948929584731</v>
      </c>
      <c r="P177" s="325" t="str">
        <f t="shared" si="46"/>
        <v>減少↓</v>
      </c>
      <c r="Q177" s="325" t="str">
        <f t="shared" si="47"/>
        <v>中立→</v>
      </c>
      <c r="R177" s="326">
        <f t="shared" si="48"/>
        <v>3727</v>
      </c>
      <c r="S177" s="326">
        <f t="shared" si="49"/>
        <v>4213</v>
      </c>
      <c r="T177" s="325">
        <f>IF(C177="","",IFERROR(IF(W177&lt;=22,-4,IF(W177&lt;=28,-2,IF(W177&lt;=45,2,IF(W177&lt;=55,1,0))))+IF(X177&lt;0,2,0)+IF(AD177="下降トレンド▼",3,IF(AD177="もみ合い→",1,0))+IF(V177="年初来安値圏●",3,IF(V177="安値圏",2,0))+IF(Q177="売り▼",2,0)+IF(P177="急増↑↑",2,IF(P177="増加↑",1,0))+IF(Z177&lt;0,1,0)+IF(L177&lt;=-30,2,IF(L177&lt;=-15,1,0))+IF(AE177="25日戻り売り★",2,IF(AE177="5日戻り売り○",1,0))+N(AL177)+N(AP177)+N(AU177),0))</f>
      </c>
      <c r="U177" s="325" t="str">
        <f t="shared" si="51"/>
        <v>要確認</v>
      </c>
      <c r="V177" s="325" t="str">
        <f t="shared" si="52"/>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 t="shared" si="53"/>
        <v>○逆張り売り | もみ合い→ 25日戻り売り★ MACD- RSI:45.6 前日比:-0.8% [5点]</v>
      </c>
      <c r="Z177" s="331">
        <f t="shared" si="54"/>
        <v>-0.8080313418217433</v>
      </c>
      <c r="AA177" s="325" t="str">
        <f t="shared" si="55"/>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 t="shared" si="56"/>
        <v>もみ合い→</v>
      </c>
      <c r="AE177" s="325" t="str">
        <f t="shared" si="57"/>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 t="shared" si="58"/>
        <v>0</v>
      </c>
      <c r="AH177">
        <f t="shared" si="59"/>
        <v>0</v>
      </c>
      <c r="AI177" s="373">
        <f t="array" ref="AI177">IF(C177="","",IFERROR((INDEX(終値!$E:$E,MATCH(TEXT(C177,"0"),終値!$A:$A,0))-INDEX(終値!$E:$CZ,MATCH(TEXT(C177,"0"),終値!$A:$A,0),$AN$2))/INDEX(終値!$E:$CZ,MATCH(TEXT(C177,"0"),終値!$A:$A,0),$AN$2)*100,""))</f>
        <v>3.0002542588354943</v>
      </c>
      <c r="AJ177" s="373">
        <f t="array" ref="AJ177">IFERROR((終値!$E$5-INDEX(終値!$E$5:$CZ$5,1,$AN$2))/INDEX(終値!$E$5:$CZ$5,1,$AN$2)*100,"")</f>
        <v>1.0179378228534113</v>
      </c>
      <c r="AK177" s="374">
        <f t="shared" si="60"/>
        <v>1.9823164359820831</v>
      </c>
      <c r="AL177" s="372">
        <f t="shared" si="61"/>
        <v>-1</v>
      </c>
      <c r="AO177" s="376" t="str">
        <f t="shared" si="62"/>
        <v>通常</v>
      </c>
      <c r="AP177" s="377">
        <f t="shared" si="63"/>
        <v>0</v>
      </c>
      <c r="AQ177">
        <f>IF(C177&lt;&gt;"",始値!F58,"")</f>
        <v>4004</v>
      </c>
      <c r="AR177">
        <f>IF(C177&lt;&gt;"",高値!F58,"")</f>
        <v>4103</v>
      </c>
      <c r="AS177">
        <f>IF(C177&lt;&gt;"",安値!F58,"")</f>
        <v>3934</v>
      </c>
      <c r="AT177" t="str">
        <f t="shared" si="64"/>
        <v>通常</v>
      </c>
      <c r="AU177">
        <f t="shared" si="65"/>
        <v>0</v>
      </c>
      <c r="BA177">
        <f>IFERROR((SUM(OFFSET(高値!$E$6,IFERROR(MATCH($C177,銘柄管理!$B$6:$B$305,0),MATCH(TEXT($C177,"0"),銘柄管理!$B$6:$B$305,0))-1,0,1,14))-SUM(OFFSET(安値!$E$6,IFERROR(MATCH($C177,銘柄管理!$B$6:$B$305,0),MATCH(TEXT($C177,"0"),銘柄管理!$B$6:$B$305,0))-1,0,1,14)))/SUM(OFFSET(終値!$E$6,IFERROR(MATCH($C177,銘柄管理!$B$6:$B$305,0),MATCH(TEXT($C177,"0"),銘柄管理!$B$6:$B$305,0))-1,0,1,14))*100,"")</f>
      </c>
      <c r="BB177">
        <f>IFERROR((MAX(OFFSET(高値!$E$6,IFERROR(MATCH($C177,銘柄管理!$B$6:$B$305,0),MATCH(TEXT($C177,"0"),銘柄管理!$B$6:$B$305,0))-1,0,1,25))-MIN(OFFSET(安値!$E$6,IFERROR(MATCH($C177,銘柄管理!$B$6:$B$305,0),MATCH(TEXT($C177,"0"),銘柄管理!$B$6:$B$305,0))-1,0,1,25)))/$E177*100,"")</f>
      </c>
      <c r="BC177">
        <f>IFERROR(($F177-$G177)/$G177*100,"")</f>
      </c>
      <c r="BD177">
        <f>IFERROR(($E177-MAX(OFFSET(高値!$E$6,IFERROR(MATCH($C177,銘柄管理!$B$6:$B$305,0),MATCH(TEXT($C177,"0"),銘柄管理!$B$6:$B$305,0))-1,0,1,25)))/MAX(OFFSET(高値!$E$6,IFERROR(MATCH($C177,銘柄管理!$B$6:$B$305,0),MATCH(TEXT($C177,"0"),銘柄管理!$B$6:$B$305,0))-1,0,1,25))*100,"")</f>
      </c>
      <c r="BE177">
        <f>IFERROR(($H177-$I177)/$F177*100,"")</f>
      </c>
      <c r="BF177">
        <f>IFERROR(-(($BA177-AVERAGE($BA$3:$BA$206))/STDEV($BA$3:$BA$206))-(($BE177-AVERAGE($BE$3:$BE$206))/STDEV($BE$3:$BE$206))-(($BB177-AVERAGE($BB$3:$BB$206))/STDEV($BB$3:$BB$206))-(($Z177-AVERAGE($Z$3:$Z$206))/STDEV($Z$3:$Z$206))-(($BC177-AVERAGE($BC$3:$BC$206))/STDEV($BC$3:$BC$206)),"")</f>
      </c>
      <c r="BG177">
        <f>IF(OR($C177="",$C177="TOPX",$BA177="",$BF177=""),0,IF(AND($BK$10=1,$BA177&lt;=$BK$2,$BB177&lt;=$BK$3,$BC177&lt;=$BK$4,$Z177&lt;=$BK$5,$Z177&gt;=$BK$6,$BD177&gt;=$BK$7,$BE177&lt;=$BK$8),1,0))</f>
      </c>
      <c r="BH177">
        <f>IF($C177="","",IF($BG177=1,"○ゲート通過",IF($BK$10&lt;&gt;1,"― この方向は停止中",IF($BA177&gt;$BK$2,"×値動きが荒い",IF($BB177&gt;$BK$3,"×レンジが広い",IF($BC177&gt;$BK$4,"×窓を開けて上昇",IF($Z177&gt;$BK$5,"×前日に急騰",IF($Z177&lt;$BK$6,"×前日に急落",IF($BD177&lt;$BK$7,"×高値から離れすぎ",IF($BE177&gt;$BK$8,"×当日の値幅が大きい","×")))))))))</f>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 t="shared" si="44"/>
        <v>-3.8751625487646297</v>
      </c>
      <c r="M178" s="333">
        <f>IF(C178&lt;&gt;"",IFERROR(AVERAGE(出来高!E61:I61),""),"")</f>
        <v>362800</v>
      </c>
      <c r="N178" s="333">
        <f>IF(C178&lt;&gt;"",IFERROR(AVERAGE(出来高!E61:AC61),""),"")</f>
        <v>316412</v>
      </c>
      <c r="O178" s="335">
        <f t="shared" si="45"/>
        <v>0.87183020948180812</v>
      </c>
      <c r="P178" s="212" t="str">
        <f t="shared" si="46"/>
        <v>減少↓</v>
      </c>
      <c r="Q178" s="212" t="str">
        <f t="shared" si="47"/>
        <v>様子見▲</v>
      </c>
      <c r="R178" s="333">
        <f t="shared" si="48"/>
        <v>1700</v>
      </c>
      <c r="S178" s="333">
        <f t="shared" si="49"/>
        <v>1922</v>
      </c>
      <c r="T178" s="325">
        <f>IF(C178="","",IFERROR(IF(W178&lt;=22,-4,IF(W178&lt;=28,-2,IF(W178&lt;=45,2,IF(W178&lt;=55,1,0))))+IF(X178&lt;0,2,0)+IF(AD178="下降トレンド▼",3,IF(AD178="もみ合い→",1,0))+IF(V178="年初来安値圏●",3,IF(V178="安値圏",2,0))+IF(Q178="売り▼",2,0)+IF(P178="急増↑↑",2,IF(P178="増加↑",1,0))+IF(Z178&lt;0,1,0)+IF(L178&lt;=-30,2,IF(L178&lt;=-15,1,0))+IF(AE178="25日戻り売り★",2,IF(AE178="5日戻り売り○",1,0))+N(AL178)+N(AP178)+N(AU178),0))</f>
      </c>
      <c r="U178" s="212" t="str">
        <f t="shared" si="51"/>
        <v>除外</v>
      </c>
      <c r="V178" s="212" t="str">
        <f t="shared" si="52"/>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 t="shared" si="53"/>
        <v>△過熱・様子見 | パーフェクト▲ MACD+ RSI:74.4 [過熱] 前日比:+0.4% [1点]</v>
      </c>
      <c r="Z178" s="338">
        <f t="shared" si="54"/>
        <v>0.38022813688212925</v>
      </c>
      <c r="AA178" s="212" t="str">
        <f t="shared" si="55"/>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 t="shared" si="56"/>
        <v>パーフェクト▲</v>
      </c>
      <c r="AE178" s="212" t="str">
        <f t="shared" si="57"/>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 t="shared" si="58"/>
        <v>0</v>
      </c>
      <c r="AH178">
        <f t="shared" si="59"/>
        <v>0</v>
      </c>
      <c r="AI178" s="373">
        <f t="array" ref="AI178">IF(C178="","",IFERROR((INDEX(終値!$E:$E,MATCH(TEXT(C178,"0"),終値!$A:$A,0))-INDEX(終値!$E:$CZ,MATCH(TEXT(C178,"0"),終値!$A:$A,0),$AN$2))/INDEX(終値!$E:$CZ,MATCH(TEXT(C178,"0"),終値!$A:$A,0),$AN$2)*100,""))</f>
        <v>6.5436725281060832</v>
      </c>
      <c r="AJ178" s="373">
        <f t="array" ref="AJ178">IFERROR((終値!$E$5-INDEX(終値!$E$5:$CZ$5,1,$AN$2))/INDEX(終値!$E$5:$CZ$5,1,$AN$2)*100,"")</f>
        <v>1.0179378228534113</v>
      </c>
      <c r="AK178" s="374">
        <f t="shared" si="60"/>
        <v>5.5257347052526722</v>
      </c>
      <c r="AL178" s="372">
        <f t="shared" si="61"/>
        <v>-2</v>
      </c>
      <c r="AO178" s="376" t="str">
        <f t="shared" si="62"/>
        <v>通常</v>
      </c>
      <c r="AP178" s="377">
        <f t="shared" si="63"/>
        <v>0</v>
      </c>
      <c r="AQ178">
        <f>IF(C178&lt;&gt;"",始値!F61,"")</f>
        <v>1829</v>
      </c>
      <c r="AR178">
        <f>IF(C178&lt;&gt;"",高値!F61,"")</f>
        <v>1845</v>
      </c>
      <c r="AS178">
        <f>IF(C178&lt;&gt;"",安値!F61,"")</f>
        <v>1826.5</v>
      </c>
      <c r="AT178" t="str">
        <f t="shared" si="64"/>
        <v>通常</v>
      </c>
      <c r="AU178">
        <f t="shared" si="65"/>
        <v>0</v>
      </c>
      <c r="BA178">
        <f>IFERROR((SUM(OFFSET(高値!$E$6,IFERROR(MATCH($C178,銘柄管理!$B$6:$B$305,0),MATCH(TEXT($C178,"0"),銘柄管理!$B$6:$B$305,0))-1,0,1,14))-SUM(OFFSET(安値!$E$6,IFERROR(MATCH($C178,銘柄管理!$B$6:$B$305,0),MATCH(TEXT($C178,"0"),銘柄管理!$B$6:$B$305,0))-1,0,1,14)))/SUM(OFFSET(終値!$E$6,IFERROR(MATCH($C178,銘柄管理!$B$6:$B$305,0),MATCH(TEXT($C178,"0"),銘柄管理!$B$6:$B$305,0))-1,0,1,14))*100,"")</f>
      </c>
      <c r="BB178">
        <f>IFERROR((MAX(OFFSET(高値!$E$6,IFERROR(MATCH($C178,銘柄管理!$B$6:$B$305,0),MATCH(TEXT($C178,"0"),銘柄管理!$B$6:$B$305,0))-1,0,1,25))-MIN(OFFSET(安値!$E$6,IFERROR(MATCH($C178,銘柄管理!$B$6:$B$305,0),MATCH(TEXT($C178,"0"),銘柄管理!$B$6:$B$305,0))-1,0,1,25)))/$E178*100,"")</f>
      </c>
      <c r="BC178">
        <f>IFERROR(($F178-$G178)/$G178*100,"")</f>
      </c>
      <c r="BD178">
        <f>IFERROR(($E178-MAX(OFFSET(高値!$E$6,IFERROR(MATCH($C178,銘柄管理!$B$6:$B$305,0),MATCH(TEXT($C178,"0"),銘柄管理!$B$6:$B$305,0))-1,0,1,25)))/MAX(OFFSET(高値!$E$6,IFERROR(MATCH($C178,銘柄管理!$B$6:$B$305,0),MATCH(TEXT($C178,"0"),銘柄管理!$B$6:$B$305,0))-1,0,1,25))*100,"")</f>
      </c>
      <c r="BE178">
        <f>IFERROR(($H178-$I178)/$F178*100,"")</f>
      </c>
      <c r="BF178">
        <f>IFERROR(-(($BA178-AVERAGE($BA$3:$BA$206))/STDEV($BA$3:$BA$206))-(($BE178-AVERAGE($BE$3:$BE$206))/STDEV($BE$3:$BE$206))-(($BB178-AVERAGE($BB$3:$BB$206))/STDEV($BB$3:$BB$206))-(($Z178-AVERAGE($Z$3:$Z$206))/STDEV($Z$3:$Z$206))-(($BC178-AVERAGE($BC$3:$BC$206))/STDEV($BC$3:$BC$206)),"")</f>
      </c>
      <c r="BG178">
        <f>IF(OR($C178="",$C178="TOPX",$BA178="",$BF178=""),0,IF(AND($BK$10=1,$BA178&lt;=$BK$2,$BB178&lt;=$BK$3,$BC178&lt;=$BK$4,$Z178&lt;=$BK$5,$Z178&gt;=$BK$6,$BD178&gt;=$BK$7,$BE178&lt;=$BK$8),1,0))</f>
      </c>
      <c r="BH178">
        <f>IF($C178="","",IF($BG178=1,"○ゲート通過",IF($BK$10&lt;&gt;1,"― この方向は停止中",IF($BA178&gt;$BK$2,"×値動きが荒い",IF($BB178&gt;$BK$3,"×レンジが広い",IF($BC178&gt;$BK$4,"×窓を開けて上昇",IF($Z178&gt;$BK$5,"×前日に急騰",IF($Z178&lt;$BK$6,"×前日に急落",IF($BD178&lt;$BK$7,"×高値から離れすぎ",IF($BE178&gt;$BK$8,"×当日の値幅が大きい","×")))))))))</f>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 t="shared" si="44"/>
        <v>-7.1061643835616444</v>
      </c>
      <c r="M179" s="326">
        <f>IF(C179&lt;&gt;"",IFERROR(AVERAGE(出来高!E63:I63),""),"")</f>
        <v>79260</v>
      </c>
      <c r="N179" s="326">
        <f>IF(C179&lt;&gt;"",IFERROR(AVERAGE(出来高!E63:AC63),""),"")</f>
        <v>83300</v>
      </c>
      <c r="O179" s="328">
        <f t="shared" si="45"/>
        <v>0.7292455210698966</v>
      </c>
      <c r="P179" s="325" t="str">
        <f t="shared" si="46"/>
        <v>減少↓</v>
      </c>
      <c r="Q179" s="325" t="str">
        <f t="shared" si="47"/>
        <v>様子見▲</v>
      </c>
      <c r="R179" s="326">
        <f t="shared" si="48"/>
        <v>998</v>
      </c>
      <c r="S179" s="326">
        <f t="shared" si="49"/>
        <v>1128</v>
      </c>
      <c r="T179" s="325">
        <f>IF(C179="","",IFERROR(IF(W179&lt;=22,-4,IF(W179&lt;=28,-2,IF(W179&lt;=45,2,IF(W179&lt;=55,1,0))))+IF(X179&lt;0,2,0)+IF(AD179="下降トレンド▼",3,IF(AD179="もみ合い→",1,0))+IF(V179="年初来安値圏●",3,IF(V179="安値圏",2,0))+IF(Q179="売り▼",2,0)+IF(P179="急増↑↑",2,IF(P179="増加↑",1,0))+IF(Z179&lt;0,1,0)+IF(L179&lt;=-30,2,IF(L179&lt;=-15,1,0))+IF(AE179="25日戻り売り★",2,IF(AE179="5日戻り売り○",1,0))+N(AL179)+N(AP179)+N(AU179),0))</f>
      </c>
      <c r="U179" s="325" t="str">
        <f t="shared" si="51"/>
        <v>除外</v>
      </c>
      <c r="V179" s="325" t="str">
        <f t="shared" si="52"/>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 t="shared" si="53"/>
        <v>相場上昇・見送り | パーフェクト▲ MACD- RSI:49.4 前日比:+1.7% [1点]</v>
      </c>
      <c r="Z179" s="331">
        <f t="shared" si="54"/>
        <v>1.6869728209934396</v>
      </c>
      <c r="AA179" s="325" t="str">
        <f t="shared" si="55"/>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 t="shared" si="56"/>
        <v>パーフェクト▲</v>
      </c>
      <c r="AE179" s="325" t="str">
        <f t="shared" si="57"/>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 t="shared" si="58"/>
        <v>0</v>
      </c>
      <c r="AH179">
        <f t="shared" si="59"/>
        <v>0</v>
      </c>
      <c r="AI179" s="373">
        <f t="array" ref="AI179">IF(C179="","",IFERROR((INDEX(終値!$E:$E,MATCH(TEXT(C179,"0"),終値!$A:$A,0))-INDEX(終値!$E:$CZ,MATCH(TEXT(C179,"0"),終値!$A:$A,0),$AN$2))/INDEX(終値!$E:$CZ,MATCH(TEXT(C179,"0"),終値!$A:$A,0),$AN$2)*100,""))</f>
        <v>3.0389363722697058</v>
      </c>
      <c r="AJ179" s="373">
        <f t="array" ref="AJ179">IFERROR((終値!$E$5-INDEX(終値!$E$5:$CZ$5,1,$AN$2))/INDEX(終値!$E$5:$CZ$5,1,$AN$2)*100,"")</f>
        <v>1.0179378228534113</v>
      </c>
      <c r="AK179" s="374">
        <f t="shared" si="60"/>
        <v>2.0209985494162943</v>
      </c>
      <c r="AL179" s="372">
        <f t="shared" si="61"/>
        <v>-1</v>
      </c>
      <c r="AO179" s="376" t="str">
        <f t="shared" si="62"/>
        <v>通常</v>
      </c>
      <c r="AP179" s="377">
        <f t="shared" si="63"/>
        <v>0</v>
      </c>
      <c r="AQ179">
        <f>IF(C179&lt;&gt;"",始値!F63,"")</f>
        <v>1074</v>
      </c>
      <c r="AR179">
        <f>IF(C179&lt;&gt;"",高値!F63,"")</f>
        <v>1079</v>
      </c>
      <c r="AS179">
        <f>IF(C179&lt;&gt;"",安値!F63,"")</f>
        <v>1067</v>
      </c>
      <c r="AT179" t="str">
        <f t="shared" si="64"/>
        <v>通常</v>
      </c>
      <c r="AU179">
        <f t="shared" si="65"/>
        <v>0</v>
      </c>
      <c r="BA179">
        <f>IFERROR((SUM(OFFSET(高値!$E$6,IFERROR(MATCH($C179,銘柄管理!$B$6:$B$305,0),MATCH(TEXT($C179,"0"),銘柄管理!$B$6:$B$305,0))-1,0,1,14))-SUM(OFFSET(安値!$E$6,IFERROR(MATCH($C179,銘柄管理!$B$6:$B$305,0),MATCH(TEXT($C179,"0"),銘柄管理!$B$6:$B$305,0))-1,0,1,14)))/SUM(OFFSET(終値!$E$6,IFERROR(MATCH($C179,銘柄管理!$B$6:$B$305,0),MATCH(TEXT($C179,"0"),銘柄管理!$B$6:$B$305,0))-1,0,1,14))*100,"")</f>
      </c>
      <c r="BB179">
        <f>IFERROR((MAX(OFFSET(高値!$E$6,IFERROR(MATCH($C179,銘柄管理!$B$6:$B$305,0),MATCH(TEXT($C179,"0"),銘柄管理!$B$6:$B$305,0))-1,0,1,25))-MIN(OFFSET(安値!$E$6,IFERROR(MATCH($C179,銘柄管理!$B$6:$B$305,0),MATCH(TEXT($C179,"0"),銘柄管理!$B$6:$B$305,0))-1,0,1,25)))/$E179*100,"")</f>
      </c>
      <c r="BC179">
        <f>IFERROR(($F179-$G179)/$G179*100,"")</f>
      </c>
      <c r="BD179">
        <f>IFERROR(($E179-MAX(OFFSET(高値!$E$6,IFERROR(MATCH($C179,銘柄管理!$B$6:$B$305,0),MATCH(TEXT($C179,"0"),銘柄管理!$B$6:$B$305,0))-1,0,1,25)))/MAX(OFFSET(高値!$E$6,IFERROR(MATCH($C179,銘柄管理!$B$6:$B$305,0),MATCH(TEXT($C179,"0"),銘柄管理!$B$6:$B$305,0))-1,0,1,25))*100,"")</f>
      </c>
      <c r="BE179">
        <f>IFERROR(($H179-$I179)/$F179*100,"")</f>
      </c>
      <c r="BF179">
        <f>IFERROR(-(($BA179-AVERAGE($BA$3:$BA$206))/STDEV($BA$3:$BA$206))-(($BE179-AVERAGE($BE$3:$BE$206))/STDEV($BE$3:$BE$206))-(($BB179-AVERAGE($BB$3:$BB$206))/STDEV($BB$3:$BB$206))-(($Z179-AVERAGE($Z$3:$Z$206))/STDEV($Z$3:$Z$206))-(($BC179-AVERAGE($BC$3:$BC$206))/STDEV($BC$3:$BC$206)),"")</f>
      </c>
      <c r="BG179">
        <f>IF(OR($C179="",$C179="TOPX",$BA179="",$BF179=""),0,IF(AND($BK$10=1,$BA179&lt;=$BK$2,$BB179&lt;=$BK$3,$BC179&lt;=$BK$4,$Z179&lt;=$BK$5,$Z179&gt;=$BK$6,$BD179&gt;=$BK$7,$BE179&lt;=$BK$8),1,0))</f>
      </c>
      <c r="BH179">
        <f>IF($C179="","",IF($BG179=1,"○ゲート通過",IF($BK$10&lt;&gt;1,"― この方向は停止中",IF($BA179&gt;$BK$2,"×値動きが荒い",IF($BB179&gt;$BK$3,"×レンジが広い",IF($BC179&gt;$BK$4,"×窓を開けて上昇",IF($Z179&gt;$BK$5,"×前日に急騰",IF($Z179&lt;$BK$6,"×前日に急落",IF($BD179&lt;$BK$7,"×高値から離れすぎ",IF($BE179&gt;$BK$8,"×当日の値幅が大きい","×")))))))))</f>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 t="shared" si="44"/>
        <v>-22.696929238985312</v>
      </c>
      <c r="M180" s="333">
        <f>IF(C180&lt;&gt;"",IFERROR(AVERAGE(出来高!E80:I80),""),"")</f>
        <v>101400</v>
      </c>
      <c r="N180" s="333">
        <f>IF(C180&lt;&gt;"",IFERROR(AVERAGE(出来高!E80:AC80),""),"")</f>
        <v>103262.5</v>
      </c>
      <c r="O180" s="335">
        <f t="shared" si="45"/>
        <v>1.1972386587771202</v>
      </c>
      <c r="P180" s="212" t="str">
        <f t="shared" si="46"/>
        <v>普通→</v>
      </c>
      <c r="Q180" s="212" t="str">
        <f t="shared" si="47"/>
        <v>様子見▲</v>
      </c>
      <c r="R180" s="333">
        <f t="shared" si="48"/>
        <v>5327</v>
      </c>
      <c r="S180" s="333">
        <f t="shared" si="49"/>
        <v>6022</v>
      </c>
      <c r="T180" s="325">
        <f>IF(C180="","",IFERROR(IF(W180&lt;=22,-4,IF(W180&lt;=28,-2,IF(W180&lt;=45,2,IF(W180&lt;=55,1,0))))+IF(X180&lt;0,2,0)+IF(AD180="下降トレンド▼",3,IF(AD180="もみ合い→",1,0))+IF(V180="年初来安値圏●",3,IF(V180="安値圏",2,0))+IF(Q180="売り▼",2,0)+IF(P180="急増↑↑",2,IF(P180="増加↑",1,0))+IF(Z180&lt;0,1,0)+IF(L180&lt;=-30,2,IF(L180&lt;=-15,1,0))+IF(AE180="25日戻り売り★",2,IF(AE180="5日戻り売り○",1,0))+N(AL180)+N(AP180)+N(AU180),0))</f>
      </c>
      <c r="U180" s="212" t="str">
        <f t="shared" si="51"/>
        <v>要確認</v>
      </c>
      <c r="V180" s="212" t="str">
        <f t="shared" si="52"/>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 t="shared" si="53"/>
        <v>相場上昇・見送り | パーフェクト▲ MACD- RSI:50.3 前日比:+0.9% [3点]</v>
      </c>
      <c r="Z180" s="338">
        <f t="shared" si="54"/>
        <v>0.87108013937282225</v>
      </c>
      <c r="AA180" s="212" t="str">
        <f t="shared" si="55"/>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 t="shared" si="56"/>
        <v>パーフェクト▲</v>
      </c>
      <c r="AE180" s="212" t="str">
        <f t="shared" si="57"/>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 t="shared" si="58"/>
        <v>0</v>
      </c>
      <c r="AH180">
        <f t="shared" si="59"/>
        <v>0</v>
      </c>
      <c r="AI180" s="373">
        <f t="array" ref="AI180">IF(C180="","",IFERROR((INDEX(終値!$E:$E,MATCH(TEXT(C180,"0"),終値!$A:$A,0))-INDEX(終値!$E:$CZ,MATCH(TEXT(C180,"0"),終値!$A:$A,0),$AN$2))/INDEX(終値!$E:$CZ,MATCH(TEXT(C180,"0"),終値!$A:$A,0),$AN$2)*100,""))</f>
        <v>2.6595744680851063</v>
      </c>
      <c r="AJ180" s="373">
        <f t="array" ref="AJ180">IFERROR((終値!$E$5-INDEX(終値!$E$5:$CZ$5,1,$AN$2))/INDEX(終値!$E$5:$CZ$5,1,$AN$2)*100,"")</f>
        <v>1.0179378228534113</v>
      </c>
      <c r="AK180" s="374">
        <f t="shared" si="60"/>
        <v>1.6416366452316951</v>
      </c>
      <c r="AL180" s="372">
        <f t="shared" si="61"/>
        <v>-1</v>
      </c>
      <c r="AO180" s="376" t="str">
        <f t="shared" si="62"/>
        <v>通常</v>
      </c>
      <c r="AP180" s="377">
        <f t="shared" si="63"/>
        <v>0</v>
      </c>
      <c r="AQ180">
        <f>IF(C180&lt;&gt;"",始値!F80,"")</f>
        <v>5750</v>
      </c>
      <c r="AR180">
        <f>IF(C180&lt;&gt;"",高値!F80,"")</f>
        <v>5770</v>
      </c>
      <c r="AS180">
        <f>IF(C180&lt;&gt;"",安値!F80,"")</f>
        <v>5710</v>
      </c>
      <c r="AT180" t="str">
        <f t="shared" si="64"/>
        <v>通常</v>
      </c>
      <c r="AU180">
        <f t="shared" si="65"/>
        <v>0</v>
      </c>
      <c r="BA180">
        <f>IFERROR((SUM(OFFSET(高値!$E$6,IFERROR(MATCH($C180,銘柄管理!$B$6:$B$305,0),MATCH(TEXT($C180,"0"),銘柄管理!$B$6:$B$305,0))-1,0,1,14))-SUM(OFFSET(安値!$E$6,IFERROR(MATCH($C180,銘柄管理!$B$6:$B$305,0),MATCH(TEXT($C180,"0"),銘柄管理!$B$6:$B$305,0))-1,0,1,14)))/SUM(OFFSET(終値!$E$6,IFERROR(MATCH($C180,銘柄管理!$B$6:$B$305,0),MATCH(TEXT($C180,"0"),銘柄管理!$B$6:$B$305,0))-1,0,1,14))*100,"")</f>
      </c>
      <c r="BB180">
        <f>IFERROR((MAX(OFFSET(高値!$E$6,IFERROR(MATCH($C180,銘柄管理!$B$6:$B$305,0),MATCH(TEXT($C180,"0"),銘柄管理!$B$6:$B$305,0))-1,0,1,25))-MIN(OFFSET(安値!$E$6,IFERROR(MATCH($C180,銘柄管理!$B$6:$B$305,0),MATCH(TEXT($C180,"0"),銘柄管理!$B$6:$B$305,0))-1,0,1,25)))/$E180*100,"")</f>
      </c>
      <c r="BC180">
        <f>IFERROR(($F180-$G180)/$G180*100,"")</f>
      </c>
      <c r="BD180">
        <f>IFERROR(($E180-MAX(OFFSET(高値!$E$6,IFERROR(MATCH($C180,銘柄管理!$B$6:$B$305,0),MATCH(TEXT($C180,"0"),銘柄管理!$B$6:$B$305,0))-1,0,1,25)))/MAX(OFFSET(高値!$E$6,IFERROR(MATCH($C180,銘柄管理!$B$6:$B$305,0),MATCH(TEXT($C180,"0"),銘柄管理!$B$6:$B$305,0))-1,0,1,25))*100,"")</f>
      </c>
      <c r="BE180">
        <f>IFERROR(($H180-$I180)/$F180*100,"")</f>
      </c>
      <c r="BF180">
        <f>IFERROR(-(($BA180-AVERAGE($BA$3:$BA$206))/STDEV($BA$3:$BA$206))-(($BE180-AVERAGE($BE$3:$BE$206))/STDEV($BE$3:$BE$206))-(($BB180-AVERAGE($BB$3:$BB$206))/STDEV($BB$3:$BB$206))-(($Z180-AVERAGE($Z$3:$Z$206))/STDEV($Z$3:$Z$206))-(($BC180-AVERAGE($BC$3:$BC$206))/STDEV($BC$3:$BC$206)),"")</f>
      </c>
      <c r="BG180">
        <f>IF(OR($C180="",$C180="TOPX",$BA180="",$BF180=""),0,IF(AND($BK$10=1,$BA180&lt;=$BK$2,$BB180&lt;=$BK$3,$BC180&lt;=$BK$4,$Z180&lt;=$BK$5,$Z180&gt;=$BK$6,$BD180&gt;=$BK$7,$BE180&lt;=$BK$8),1,0))</f>
      </c>
      <c r="BH180">
        <f>IF($C180="","",IF($BG180=1,"○ゲート通過",IF($BK$10&lt;&gt;1,"― この方向は停止中",IF($BA180&gt;$BK$2,"×値動きが荒い",IF($BB180&gt;$BK$3,"×レンジが広い",IF($BC180&gt;$BK$4,"×窓を開けて上昇",IF($Z180&gt;$BK$5,"×前日に急騰",IF($Z180&lt;$BK$6,"×前日に急落",IF($BD180&lt;$BK$7,"×高値から離れすぎ",IF($BE180&gt;$BK$8,"×当日の値幅が大きい","×")))))))))</f>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 t="shared" si="44"/>
        <v>-20.964685615848406</v>
      </c>
      <c r="M181" s="326">
        <f>IF(C181&lt;&gt;"",IFERROR(AVERAGE(出来高!E83:I83),""),"")</f>
        <v>2335540</v>
      </c>
      <c r="N181" s="326">
        <f>IF(C181&lt;&gt;"",IFERROR(AVERAGE(出来高!E83:AC83),""),"")</f>
        <v>2091572</v>
      </c>
      <c r="O181" s="328">
        <f t="shared" si="45"/>
        <v>1.0414293910615959</v>
      </c>
      <c r="P181" s="325" t="str">
        <f t="shared" si="46"/>
        <v>普通→</v>
      </c>
      <c r="Q181" s="325" t="str">
        <f t="shared" si="47"/>
        <v>様子見▲</v>
      </c>
      <c r="R181" s="326">
        <f t="shared" si="48"/>
        <v>4221</v>
      </c>
      <c r="S181" s="326">
        <f t="shared" si="49"/>
        <v>4772</v>
      </c>
      <c r="T181" s="325">
        <f>IF(C181="","",IFERROR(IF(W181&lt;=22,-4,IF(W181&lt;=28,-2,IF(W181&lt;=45,2,IF(W181&lt;=55,1,0))))+IF(X181&lt;0,2,0)+IF(AD181="下降トレンド▼",3,IF(AD181="もみ合い→",1,0))+IF(V181="年初来安値圏●",3,IF(V181="安値圏",2,0))+IF(Q181="売り▼",2,0)+IF(P181="急増↑↑",2,IF(P181="増加↑",1,0))+IF(Z181&lt;0,1,0)+IF(L181&lt;=-30,2,IF(L181&lt;=-15,1,0))+IF(AE181="25日戻り売り★",2,IF(AE181="5日戻り売り○",1,0))+N(AL181)+N(AP181)+N(AU181),0))</f>
      </c>
      <c r="U181" s="325" t="str">
        <f t="shared" si="51"/>
        <v>除外</v>
      </c>
      <c r="V181" s="325" t="str">
        <f t="shared" si="52"/>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 t="shared" si="53"/>
        <v>○逆張り売り | もみ合い→ 25日戻り売り★ MACD+ RSI:45.1 前日比:+1.7% [2点]</v>
      </c>
      <c r="Z181" s="331">
        <f t="shared" si="54"/>
        <v>1.661865721249723</v>
      </c>
      <c r="AA181" s="325" t="str">
        <f t="shared" si="55"/>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 t="shared" si="56"/>
        <v>もみ合い→</v>
      </c>
      <c r="AE181" s="325" t="str">
        <f t="shared" si="57"/>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 t="shared" si="58"/>
        <v>0</v>
      </c>
      <c r="AH181">
        <f t="shared" si="59"/>
        <v>0</v>
      </c>
      <c r="AI181" s="373">
        <f t="array" ref="AI181">IF(C181="","",IFERROR((INDEX(終値!$E:$E,MATCH(TEXT(C181,"0"),終値!$A:$A,0))-INDEX(終値!$E:$CZ,MATCH(TEXT(C181,"0"),終値!$A:$A,0),$AN$2))/INDEX(終値!$E:$CZ,MATCH(TEXT(C181,"0"),終値!$A:$A,0),$AN$2)*100,""))</f>
        <v>4.4864495559098154</v>
      </c>
      <c r="AJ181" s="373">
        <f t="array" ref="AJ181">IFERROR((終値!$E$5-INDEX(終値!$E$5:$CZ$5,1,$AN$2))/INDEX(終値!$E$5:$CZ$5,1,$AN$2)*100,"")</f>
        <v>1.0179378228534113</v>
      </c>
      <c r="AK181" s="374">
        <f t="shared" si="60"/>
        <v>3.4685117330564044</v>
      </c>
      <c r="AL181" s="372">
        <f t="shared" si="61"/>
        <v>-2</v>
      </c>
      <c r="AO181" s="376" t="str">
        <f t="shared" si="62"/>
        <v>通常</v>
      </c>
      <c r="AP181" s="377">
        <f t="shared" si="63"/>
        <v>0</v>
      </c>
      <c r="AQ181">
        <f>IF(C181&lt;&gt;"",始値!F83,"")</f>
        <v>4560</v>
      </c>
      <c r="AR181">
        <f>IF(C181&lt;&gt;"",高値!F83,"")</f>
        <v>4573</v>
      </c>
      <c r="AS181">
        <f>IF(C181&lt;&gt;"",安値!F83,"")</f>
        <v>4484</v>
      </c>
      <c r="AT181" t="str">
        <f t="shared" si="64"/>
        <v>通常</v>
      </c>
      <c r="AU181">
        <f t="shared" si="65"/>
        <v>0</v>
      </c>
      <c r="BA181">
        <f>IFERROR((SUM(OFFSET(高値!$E$6,IFERROR(MATCH($C181,銘柄管理!$B$6:$B$305,0),MATCH(TEXT($C181,"0"),銘柄管理!$B$6:$B$305,0))-1,0,1,14))-SUM(OFFSET(安値!$E$6,IFERROR(MATCH($C181,銘柄管理!$B$6:$B$305,0),MATCH(TEXT($C181,"0"),銘柄管理!$B$6:$B$305,0))-1,0,1,14)))/SUM(OFFSET(終値!$E$6,IFERROR(MATCH($C181,銘柄管理!$B$6:$B$305,0),MATCH(TEXT($C181,"0"),銘柄管理!$B$6:$B$305,0))-1,0,1,14))*100,"")</f>
      </c>
      <c r="BB181">
        <f>IFERROR((MAX(OFFSET(高値!$E$6,IFERROR(MATCH($C181,銘柄管理!$B$6:$B$305,0),MATCH(TEXT($C181,"0"),銘柄管理!$B$6:$B$305,0))-1,0,1,25))-MIN(OFFSET(安値!$E$6,IFERROR(MATCH($C181,銘柄管理!$B$6:$B$305,0),MATCH(TEXT($C181,"0"),銘柄管理!$B$6:$B$305,0))-1,0,1,25)))/$E181*100,"")</f>
      </c>
      <c r="BC181">
        <f>IFERROR(($F181-$G181)/$G181*100,"")</f>
      </c>
      <c r="BD181">
        <f>IFERROR(($E181-MAX(OFFSET(高値!$E$6,IFERROR(MATCH($C181,銘柄管理!$B$6:$B$305,0),MATCH(TEXT($C181,"0"),銘柄管理!$B$6:$B$305,0))-1,0,1,25)))/MAX(OFFSET(高値!$E$6,IFERROR(MATCH($C181,銘柄管理!$B$6:$B$305,0),MATCH(TEXT($C181,"0"),銘柄管理!$B$6:$B$305,0))-1,0,1,25))*100,"")</f>
      </c>
      <c r="BE181">
        <f>IFERROR(($H181-$I181)/$F181*100,"")</f>
      </c>
      <c r="BF181">
        <f>IFERROR(-(($BA181-AVERAGE($BA$3:$BA$206))/STDEV($BA$3:$BA$206))-(($BE181-AVERAGE($BE$3:$BE$206))/STDEV($BE$3:$BE$206))-(($BB181-AVERAGE($BB$3:$BB$206))/STDEV($BB$3:$BB$206))-(($Z181-AVERAGE($Z$3:$Z$206))/STDEV($Z$3:$Z$206))-(($BC181-AVERAGE($BC$3:$BC$206))/STDEV($BC$3:$BC$206)),"")</f>
      </c>
      <c r="BG181">
        <f>IF(OR($C181="",$C181="TOPX",$BA181="",$BF181=""),0,IF(AND($BK$10=1,$BA181&lt;=$BK$2,$BB181&lt;=$BK$3,$BC181&lt;=$BK$4,$Z181&lt;=$BK$5,$Z181&gt;=$BK$6,$BD181&gt;=$BK$7,$BE181&lt;=$BK$8),1,0))</f>
      </c>
      <c r="BH181">
        <f>IF($C181="","",IF($BG181=1,"○ゲート通過",IF($BK$10&lt;&gt;1,"― この方向は停止中",IF($BA181&gt;$BK$2,"×値動きが荒い",IF($BB181&gt;$BK$3,"×レンジが広い",IF($BC181&gt;$BK$4,"×窓を開けて上昇",IF($Z181&gt;$BK$5,"×前日に急騰",IF($Z181&lt;$BK$6,"×前日に急落",IF($BD181&lt;$BK$7,"×高値から離れすぎ",IF($BE181&gt;$BK$8,"×当日の値幅が大きい","×")))))))))</f>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 t="shared" si="44"/>
        <v>-2.6045996120809085</v>
      </c>
      <c r="M182" s="333">
        <f>IF(C182&lt;&gt;"",IFERROR(AVERAGE(出来高!E87:I87),""),"")</f>
        <v>6446200</v>
      </c>
      <c r="N182" s="333">
        <f>IF(C182&lt;&gt;"",IFERROR(AVERAGE(出来高!E87:AC87),""),"")</f>
        <v>5011324</v>
      </c>
      <c r="O182" s="335">
        <f t="shared" si="45"/>
        <v>0.75365331513139522</v>
      </c>
      <c r="P182" s="212" t="str">
        <f t="shared" si="46"/>
        <v>減少↓</v>
      </c>
      <c r="Q182" s="212" t="str">
        <f t="shared" si="47"/>
        <v>様子見▲</v>
      </c>
      <c r="R182" s="333">
        <f t="shared" si="48"/>
        <v>6468</v>
      </c>
      <c r="S182" s="333">
        <f t="shared" si="49"/>
        <v>7311</v>
      </c>
      <c r="T182" s="325">
        <f>IF(C182="","",IFERROR(IF(W182&lt;=22,-4,IF(W182&lt;=28,-2,IF(W182&lt;=45,2,IF(W182&lt;=55,1,0))))+IF(X182&lt;0,2,0)+IF(AD182="下降トレンド▼",3,IF(AD182="もみ合い→",1,0))+IF(V182="年初来安値圏●",3,IF(V182="安値圏",2,0))+IF(Q182="売り▼",2,0)+IF(P182="急増↑↑",2,IF(P182="増加↑",1,0))+IF(Z182&lt;0,1,0)+IF(L182&lt;=-30,2,IF(L182&lt;=-15,1,0))+IF(AE182="25日戻り売り★",2,IF(AE182="5日戻り売り○",1,0))+N(AL182)+N(AP182)+N(AU182),0))</f>
      </c>
      <c r="U182" s="212" t="str">
        <f t="shared" si="51"/>
        <v>除外</v>
      </c>
      <c r="V182" s="212" t="str">
        <f t="shared" si="52"/>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 t="shared" si="53"/>
        <v>△過熱・様子見 | パーフェクト▲ MACD+ RSI:70.3 [過熱] 前日比:+3.0% [1点]</v>
      </c>
      <c r="Z182" s="338">
        <f t="shared" si="54"/>
        <v>3.0036630036630036</v>
      </c>
      <c r="AA182" s="212" t="str">
        <f t="shared" si="55"/>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 t="shared" si="56"/>
        <v>パーフェクト▲</v>
      </c>
      <c r="AE182" s="212" t="str">
        <f t="shared" si="57"/>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 t="shared" si="58"/>
        <v>0</v>
      </c>
      <c r="AH182">
        <f t="shared" si="59"/>
        <v>0</v>
      </c>
      <c r="AI182" s="373">
        <f t="array" ref="AI182">IF(C182="","",IFERROR((INDEX(終値!$E:$E,MATCH(TEXT(C182,"0"),終値!$A:$A,0))-INDEX(終値!$E:$CZ,MATCH(TEXT(C182,"0"),終値!$A:$A,0),$AN$2))/INDEX(終値!$E:$CZ,MATCH(TEXT(C182,"0"),終値!$A:$A,0),$AN$2)*100,""))</f>
        <v>17.656903765690377</v>
      </c>
      <c r="AJ182" s="373">
        <f t="array" ref="AJ182">IFERROR((終値!$E$5-INDEX(終値!$E$5:$CZ$5,1,$AN$2))/INDEX(終値!$E$5:$CZ$5,1,$AN$2)*100,"")</f>
        <v>1.0179378228534113</v>
      </c>
      <c r="AK182" s="374">
        <f t="shared" si="60"/>
        <v>16.638965942836965</v>
      </c>
      <c r="AL182" s="372">
        <f t="shared" si="61"/>
        <v>-2</v>
      </c>
      <c r="AO182" s="376" t="str">
        <f t="shared" si="62"/>
        <v>通常</v>
      </c>
      <c r="AP182" s="377">
        <f t="shared" si="63"/>
        <v>0</v>
      </c>
      <c r="AQ182">
        <f>IF(C182&lt;&gt;"",始値!F87,"")</f>
        <v>6758</v>
      </c>
      <c r="AR182">
        <f>IF(C182&lt;&gt;"",高値!F87,"")</f>
        <v>6853</v>
      </c>
      <c r="AS182">
        <f>IF(C182&lt;&gt;"",安値!F87,"")</f>
        <v>6671</v>
      </c>
      <c r="AT182" t="str">
        <f t="shared" si="64"/>
        <v>通常</v>
      </c>
      <c r="AU182">
        <f t="shared" si="65"/>
        <v>0</v>
      </c>
      <c r="BA182">
        <f>IFERROR((SUM(OFFSET(高値!$E$6,IFERROR(MATCH($C182,銘柄管理!$B$6:$B$305,0),MATCH(TEXT($C182,"0"),銘柄管理!$B$6:$B$305,0))-1,0,1,14))-SUM(OFFSET(安値!$E$6,IFERROR(MATCH($C182,銘柄管理!$B$6:$B$305,0),MATCH(TEXT($C182,"0"),銘柄管理!$B$6:$B$305,0))-1,0,1,14)))/SUM(OFFSET(終値!$E$6,IFERROR(MATCH($C182,銘柄管理!$B$6:$B$305,0),MATCH(TEXT($C182,"0"),銘柄管理!$B$6:$B$305,0))-1,0,1,14))*100,"")</f>
      </c>
      <c r="BB182">
        <f>IFERROR((MAX(OFFSET(高値!$E$6,IFERROR(MATCH($C182,銘柄管理!$B$6:$B$305,0),MATCH(TEXT($C182,"0"),銘柄管理!$B$6:$B$305,0))-1,0,1,25))-MIN(OFFSET(安値!$E$6,IFERROR(MATCH($C182,銘柄管理!$B$6:$B$305,0),MATCH(TEXT($C182,"0"),銘柄管理!$B$6:$B$305,0))-1,0,1,25)))/$E182*100,"")</f>
      </c>
      <c r="BC182">
        <f>IFERROR(($F182-$G182)/$G182*100,"")</f>
      </c>
      <c r="BD182">
        <f>IFERROR(($E182-MAX(OFFSET(高値!$E$6,IFERROR(MATCH($C182,銘柄管理!$B$6:$B$305,0),MATCH(TEXT($C182,"0"),銘柄管理!$B$6:$B$305,0))-1,0,1,25)))/MAX(OFFSET(高値!$E$6,IFERROR(MATCH($C182,銘柄管理!$B$6:$B$305,0),MATCH(TEXT($C182,"0"),銘柄管理!$B$6:$B$305,0))-1,0,1,25))*100,"")</f>
      </c>
      <c r="BE182">
        <f>IFERROR(($H182-$I182)/$F182*100,"")</f>
      </c>
      <c r="BF182">
        <f>IFERROR(-(($BA182-AVERAGE($BA$3:$BA$206))/STDEV($BA$3:$BA$206))-(($BE182-AVERAGE($BE$3:$BE$206))/STDEV($BE$3:$BE$206))-(($BB182-AVERAGE($BB$3:$BB$206))/STDEV($BB$3:$BB$206))-(($Z182-AVERAGE($Z$3:$Z$206))/STDEV($Z$3:$Z$206))-(($BC182-AVERAGE($BC$3:$BC$206))/STDEV($BC$3:$BC$206)),"")</f>
      </c>
      <c r="BG182">
        <f>IF(OR($C182="",$C182="TOPX",$BA182="",$BF182=""),0,IF(AND($BK$10=1,$BA182&lt;=$BK$2,$BB182&lt;=$BK$3,$BC182&lt;=$BK$4,$Z182&lt;=$BK$5,$Z182&gt;=$BK$6,$BD182&gt;=$BK$7,$BE182&lt;=$BK$8),1,0))</f>
      </c>
      <c r="BH182">
        <f>IF($C182="","",IF($BG182=1,"○ゲート通過",IF($BK$10&lt;&gt;1,"― この方向は停止中",IF($BA182&gt;$BK$2,"×値動きが荒い",IF($BB182&gt;$BK$3,"×レンジが広い",IF($BC182&gt;$BK$4,"×窓を開けて上昇",IF($Z182&gt;$BK$5,"×前日に急騰",IF($Z182&lt;$BK$6,"×前日に急落",IF($BD182&lt;$BK$7,"×高値から離れすぎ",IF($BE182&gt;$BK$8,"×当日の値幅が大きい","×")))))))))</f>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 t="shared" si="44"/>
        <v>-12.591815320041972</v>
      </c>
      <c r="M183" s="326">
        <f>IF(C183&lt;&gt;"",IFERROR(AVERAGE(出来高!E94:I94),""),"")</f>
        <v>10733700</v>
      </c>
      <c r="N183" s="326">
        <f>IF(C183&lt;&gt;"",IFERROR(AVERAGE(出来高!E94:AC94),""),"")</f>
        <v>5775072</v>
      </c>
      <c r="O183" s="328">
        <f t="shared" si="45"/>
        <v>0.60344522392092192</v>
      </c>
      <c r="P183" s="325" t="str">
        <f t="shared" si="46"/>
        <v>減少↓</v>
      </c>
      <c r="Q183" s="325" t="str">
        <f t="shared" si="47"/>
        <v>様子見▲</v>
      </c>
      <c r="R183" s="326">
        <f t="shared" si="48"/>
        <v>1533</v>
      </c>
      <c r="S183" s="326">
        <f t="shared" si="49"/>
        <v>1733</v>
      </c>
      <c r="T183" s="325">
        <f>IF(C183="","",IFERROR(IF(W183&lt;=22,-4,IF(W183&lt;=28,-2,IF(W183&lt;=45,2,IF(W183&lt;=55,1,0))))+IF(X183&lt;0,2,0)+IF(AD183="下降トレンド▼",3,IF(AD183="もみ合い→",1,0))+IF(V183="年初来安値圏●",3,IF(V183="安値圏",2,0))+IF(Q183="売り▼",2,0)+IF(P183="急増↑↑",2,IF(P183="増加↑",1,0))+IF(Z183&lt;0,1,0)+IF(L183&lt;=-30,2,IF(L183&lt;=-15,1,0))+IF(AE183="25日戻り売り★",2,IF(AE183="5日戻り売り○",1,0))+N(AL183)+N(AP183)+N(AU183),0))</f>
      </c>
      <c r="U183" s="325" t="str">
        <f t="shared" si="51"/>
        <v>要確認</v>
      </c>
      <c r="V183" s="325" t="str">
        <f t="shared" si="52"/>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 t="shared" si="53"/>
        <v>相場上昇・見送り | もみ合い→ MACD- RSI:26.1 [売られ過ぎ] 前日比:+1.9% [6点]</v>
      </c>
      <c r="Z183" s="331">
        <f t="shared" si="54"/>
        <v>1.8960244648318043</v>
      </c>
      <c r="AA183" s="325" t="str">
        <f t="shared" si="55"/>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 t="shared" si="56"/>
        <v>もみ合い→</v>
      </c>
      <c r="AE183" s="325" t="str">
        <f t="shared" si="57"/>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 t="shared" si="58"/>
        <v>0</v>
      </c>
      <c r="AH183">
        <f t="shared" si="59"/>
        <v>0</v>
      </c>
      <c r="AI183" s="373">
        <f t="array" ref="AI183">IF(C183="","",IFERROR((INDEX(終値!$E:$E,MATCH(TEXT(C183,"0"),終値!$A:$A,0))-INDEX(終値!$E:$CZ,MATCH(TEXT(C183,"0"),終値!$A:$A,0),$AN$2))/INDEX(終値!$E:$CZ,MATCH(TEXT(C183,"0"),終値!$A:$A,0),$AN$2)*100,""))</f>
        <v>-6.5357643758765782</v>
      </c>
      <c r="AJ183" s="373">
        <f t="array" ref="AJ183">IFERROR((終値!$E$5-INDEX(終値!$E$5:$CZ$5,1,$AN$2))/INDEX(終値!$E$5:$CZ$5,1,$AN$2)*100,"")</f>
        <v>1.0179378228534113</v>
      </c>
      <c r="AK183" s="374">
        <f t="shared" si="60"/>
        <v>-7.5537021987299893</v>
      </c>
      <c r="AL183" s="372">
        <f t="shared" si="61"/>
        <v>3</v>
      </c>
      <c r="AO183" s="376" t="str">
        <f t="shared" si="62"/>
        <v>通常</v>
      </c>
      <c r="AP183" s="377">
        <f t="shared" si="63"/>
        <v>0</v>
      </c>
      <c r="AQ183">
        <f>IF(C183&lt;&gt;"",始値!F94,"")</f>
        <v>1610</v>
      </c>
      <c r="AR183">
        <f>IF(C183&lt;&gt;"",高値!F94,"")</f>
        <v>1639.5</v>
      </c>
      <c r="AS183">
        <f>IF(C183&lt;&gt;"",安値!F94,"")</f>
        <v>1605</v>
      </c>
      <c r="AT183" t="str">
        <f t="shared" si="64"/>
        <v>通常</v>
      </c>
      <c r="AU183">
        <f t="shared" si="65"/>
        <v>0</v>
      </c>
      <c r="BA183">
        <f>IFERROR((SUM(OFFSET(高値!$E$6,IFERROR(MATCH($C183,銘柄管理!$B$6:$B$305,0),MATCH(TEXT($C183,"0"),銘柄管理!$B$6:$B$305,0))-1,0,1,14))-SUM(OFFSET(安値!$E$6,IFERROR(MATCH($C183,銘柄管理!$B$6:$B$305,0),MATCH(TEXT($C183,"0"),銘柄管理!$B$6:$B$305,0))-1,0,1,14)))/SUM(OFFSET(終値!$E$6,IFERROR(MATCH($C183,銘柄管理!$B$6:$B$305,0),MATCH(TEXT($C183,"0"),銘柄管理!$B$6:$B$305,0))-1,0,1,14))*100,"")</f>
      </c>
      <c r="BB183">
        <f>IFERROR((MAX(OFFSET(高値!$E$6,IFERROR(MATCH($C183,銘柄管理!$B$6:$B$305,0),MATCH(TEXT($C183,"0"),銘柄管理!$B$6:$B$305,0))-1,0,1,25))-MIN(OFFSET(安値!$E$6,IFERROR(MATCH($C183,銘柄管理!$B$6:$B$305,0),MATCH(TEXT($C183,"0"),銘柄管理!$B$6:$B$305,0))-1,0,1,25)))/$E183*100,"")</f>
      </c>
      <c r="BC183">
        <f>IFERROR(($F183-$G183)/$G183*100,"")</f>
      </c>
      <c r="BD183">
        <f>IFERROR(($E183-MAX(OFFSET(高値!$E$6,IFERROR(MATCH($C183,銘柄管理!$B$6:$B$305,0),MATCH(TEXT($C183,"0"),銘柄管理!$B$6:$B$305,0))-1,0,1,25)))/MAX(OFFSET(高値!$E$6,IFERROR(MATCH($C183,銘柄管理!$B$6:$B$305,0),MATCH(TEXT($C183,"0"),銘柄管理!$B$6:$B$305,0))-1,0,1,25))*100,"")</f>
      </c>
      <c r="BE183">
        <f>IFERROR(($H183-$I183)/$F183*100,"")</f>
      </c>
      <c r="BF183">
        <f>IFERROR(-(($BA183-AVERAGE($BA$3:$BA$206))/STDEV($BA$3:$BA$206))-(($BE183-AVERAGE($BE$3:$BE$206))/STDEV($BE$3:$BE$206))-(($BB183-AVERAGE($BB$3:$BB$206))/STDEV($BB$3:$BB$206))-(($Z183-AVERAGE($Z$3:$Z$206))/STDEV($Z$3:$Z$206))-(($BC183-AVERAGE($BC$3:$BC$206))/STDEV($BC$3:$BC$206)),"")</f>
      </c>
      <c r="BG183">
        <f>IF(OR($C183="",$C183="TOPX",$BA183="",$BF183=""),0,IF(AND($BK$10=1,$BA183&lt;=$BK$2,$BB183&lt;=$BK$3,$BC183&lt;=$BK$4,$Z183&lt;=$BK$5,$Z183&gt;=$BK$6,$BD183&gt;=$BK$7,$BE183&lt;=$BK$8),1,0))</f>
      </c>
      <c r="BH183">
        <f>IF($C183="","",IF($BG183=1,"○ゲート通過",IF($BK$10&lt;&gt;1,"― この方向は停止中",IF($BA183&gt;$BK$2,"×値動きが荒い",IF($BB183&gt;$BK$3,"×レンジが広い",IF($BC183&gt;$BK$4,"×窓を開けて上昇",IF($Z183&gt;$BK$5,"×前日に急騰",IF($Z183&lt;$BK$6,"×前日に急落",IF($BD183&lt;$BK$7,"×高値から離れすぎ",IF($BE183&gt;$BK$8,"×当日の値幅が大きい","×")))))))))</f>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 t="shared" si="44"/>
        <v>-10.52832347892428</v>
      </c>
      <c r="M184" s="333">
        <f>IF(C184&lt;&gt;"",IFERROR(AVERAGE(出来高!E99:I99),""),"")</f>
        <v>1949820</v>
      </c>
      <c r="N184" s="333">
        <f>IF(C184&lt;&gt;"",IFERROR(AVERAGE(出来高!E99:AC99),""),"")</f>
        <v>1798724</v>
      </c>
      <c r="O184" s="335">
        <f t="shared" si="45"/>
        <v>0.72909294191258678</v>
      </c>
      <c r="P184" s="212" t="str">
        <f t="shared" si="46"/>
        <v>減少↓</v>
      </c>
      <c r="Q184" s="212" t="str">
        <f t="shared" si="47"/>
        <v>様子見▲</v>
      </c>
      <c r="R184" s="333">
        <f t="shared" si="48"/>
        <v>4316</v>
      </c>
      <c r="S184" s="333">
        <f t="shared" si="49"/>
        <v>4879</v>
      </c>
      <c r="T184" s="325">
        <f>IF(C184="","",IFERROR(IF(W184&lt;=22,-4,IF(W184&lt;=28,-2,IF(W184&lt;=45,2,IF(W184&lt;=55,1,0))))+IF(X184&lt;0,2,0)+IF(AD184="下降トレンド▼",3,IF(AD184="もみ合い→",1,0))+IF(V184="年初来安値圏●",3,IF(V184="安値圏",2,0))+IF(Q184="売り▼",2,0)+IF(P184="急増↑↑",2,IF(P184="増加↑",1,0))+IF(Z184&lt;0,1,0)+IF(L184&lt;=-30,2,IF(L184&lt;=-15,1,0))+IF(AE184="25日戻り売り★",2,IF(AE184="5日戻り売り○",1,0))+N(AL184)+N(AP184)+N(AU184),0))</f>
      </c>
      <c r="U184" s="212" t="str">
        <f t="shared" si="51"/>
        <v>除外</v>
      </c>
      <c r="V184" s="212" t="str">
        <f t="shared" si="52"/>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 t="shared" si="53"/>
        <v>相場上昇・見送り | パーフェクト▲ MACD+ RSI:59.1 前日比:+3.8% [-1点]</v>
      </c>
      <c r="Z184" s="338">
        <f t="shared" si="54"/>
        <v>3.7831858407079642</v>
      </c>
      <c r="AA184" s="212" t="str">
        <f t="shared" si="55"/>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 t="shared" si="56"/>
        <v>パーフェクト▲</v>
      </c>
      <c r="AE184" s="212" t="str">
        <f t="shared" si="57"/>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 t="shared" si="58"/>
        <v>0</v>
      </c>
      <c r="AH184">
        <f t="shared" si="59"/>
        <v>0</v>
      </c>
      <c r="AI184" s="373">
        <f t="array" ref="AI184">IF(C184="","",IFERROR((INDEX(終値!$E:$E,MATCH(TEXT(C184,"0"),終値!$A:$A,0))-INDEX(終値!$E:$CZ,MATCH(TEXT(C184,"0"),終値!$A:$A,0),$AN$2))/INDEX(終値!$E:$CZ,MATCH(TEXT(C184,"0"),終値!$A:$A,0),$AN$2)*100,""))</f>
        <v>14.164030177658798</v>
      </c>
      <c r="AJ184" s="373">
        <f t="array" ref="AJ184">IFERROR((終値!$E$5-INDEX(終値!$E$5:$CZ$5,1,$AN$2))/INDEX(終値!$E$5:$CZ$5,1,$AN$2)*100,"")</f>
        <v>1.0179378228534113</v>
      </c>
      <c r="AK184" s="374">
        <f t="shared" si="60"/>
        <v>13.146092354805386</v>
      </c>
      <c r="AL184" s="372">
        <f t="shared" si="61"/>
        <v>-2</v>
      </c>
      <c r="AO184" s="376" t="str">
        <f t="shared" si="62"/>
        <v>通常</v>
      </c>
      <c r="AP184" s="377">
        <f t="shared" si="63"/>
        <v>0</v>
      </c>
      <c r="AQ184">
        <f>IF(C184&lt;&gt;"",始値!F99,"")</f>
        <v>4590</v>
      </c>
      <c r="AR184">
        <f>IF(C184&lt;&gt;"",高値!F99,"")</f>
        <v>4607</v>
      </c>
      <c r="AS184">
        <f>IF(C184&lt;&gt;"",安値!F99,"")</f>
        <v>4476</v>
      </c>
      <c r="AT184" t="str">
        <f t="shared" si="64"/>
        <v>通常</v>
      </c>
      <c r="AU184">
        <f t="shared" si="65"/>
        <v>0</v>
      </c>
      <c r="BA184">
        <f>IFERROR((SUM(OFFSET(高値!$E$6,IFERROR(MATCH($C184,銘柄管理!$B$6:$B$305,0),MATCH(TEXT($C184,"0"),銘柄管理!$B$6:$B$305,0))-1,0,1,14))-SUM(OFFSET(安値!$E$6,IFERROR(MATCH($C184,銘柄管理!$B$6:$B$305,0),MATCH(TEXT($C184,"0"),銘柄管理!$B$6:$B$305,0))-1,0,1,14)))/SUM(OFFSET(終値!$E$6,IFERROR(MATCH($C184,銘柄管理!$B$6:$B$305,0),MATCH(TEXT($C184,"0"),銘柄管理!$B$6:$B$305,0))-1,0,1,14))*100,"")</f>
      </c>
      <c r="BB184">
        <f>IFERROR((MAX(OFFSET(高値!$E$6,IFERROR(MATCH($C184,銘柄管理!$B$6:$B$305,0),MATCH(TEXT($C184,"0"),銘柄管理!$B$6:$B$305,0))-1,0,1,25))-MIN(OFFSET(安値!$E$6,IFERROR(MATCH($C184,銘柄管理!$B$6:$B$305,0),MATCH(TEXT($C184,"0"),銘柄管理!$B$6:$B$305,0))-1,0,1,25)))/$E184*100,"")</f>
      </c>
      <c r="BC184">
        <f>IFERROR(($F184-$G184)/$G184*100,"")</f>
      </c>
      <c r="BD184">
        <f>IFERROR(($E184-MAX(OFFSET(高値!$E$6,IFERROR(MATCH($C184,銘柄管理!$B$6:$B$305,0),MATCH(TEXT($C184,"0"),銘柄管理!$B$6:$B$305,0))-1,0,1,25)))/MAX(OFFSET(高値!$E$6,IFERROR(MATCH($C184,銘柄管理!$B$6:$B$305,0),MATCH(TEXT($C184,"0"),銘柄管理!$B$6:$B$305,0))-1,0,1,25))*100,"")</f>
      </c>
      <c r="BE184">
        <f>IFERROR(($H184-$I184)/$F184*100,"")</f>
      </c>
      <c r="BF184">
        <f>IFERROR(-(($BA184-AVERAGE($BA$3:$BA$206))/STDEV($BA$3:$BA$206))-(($BE184-AVERAGE($BE$3:$BE$206))/STDEV($BE$3:$BE$206))-(($BB184-AVERAGE($BB$3:$BB$206))/STDEV($BB$3:$BB$206))-(($Z184-AVERAGE($Z$3:$Z$206))/STDEV($Z$3:$Z$206))-(($BC184-AVERAGE($BC$3:$BC$206))/STDEV($BC$3:$BC$206)),"")</f>
      </c>
      <c r="BG184">
        <f>IF(OR($C184="",$C184="TOPX",$BA184="",$BF184=""),0,IF(AND($BK$10=1,$BA184&lt;=$BK$2,$BB184&lt;=$BK$3,$BC184&lt;=$BK$4,$Z184&lt;=$BK$5,$Z184&gt;=$BK$6,$BD184&gt;=$BK$7,$BE184&lt;=$BK$8),1,0))</f>
      </c>
      <c r="BH184">
        <f>IF($C184="","",IF($BG184=1,"○ゲート通過",IF($BK$10&lt;&gt;1,"― この方向は停止中",IF($BA184&gt;$BK$2,"×値動きが荒い",IF($BB184&gt;$BK$3,"×レンジが広い",IF($BC184&gt;$BK$4,"×窓を開けて上昇",IF($Z184&gt;$BK$5,"×前日に急騰",IF($Z184&lt;$BK$6,"×前日に急落",IF($BD184&lt;$BK$7,"×高値から離れすぎ",IF($BE184&gt;$BK$8,"×当日の値幅が大きい","×")))))))))</f>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 t="shared" si="44"/>
        <v>-5.3816466552315614</v>
      </c>
      <c r="M185" s="326">
        <f>IF(C185&lt;&gt;"",IFERROR(AVERAGE(出来高!E108:I108),""),"")</f>
        <v>224060</v>
      </c>
      <c r="N185" s="326">
        <f>IF(C185&lt;&gt;"",IFERROR(AVERAGE(出来高!E108:AC108),""),"")</f>
        <v>182876</v>
      </c>
      <c r="O185" s="328">
        <f t="shared" si="45"/>
        <v>0.58421851289833082</v>
      </c>
      <c r="P185" s="325" t="str">
        <f t="shared" si="46"/>
        <v>減少↓</v>
      </c>
      <c r="Q185" s="325" t="str">
        <f t="shared" si="47"/>
        <v>様子見▲</v>
      </c>
      <c r="R185" s="326">
        <f t="shared" si="48"/>
        <v>4060</v>
      </c>
      <c r="S185" s="326">
        <f t="shared" si="49"/>
        <v>4590</v>
      </c>
      <c r="T185" s="325">
        <f>IF(C185="","",IFERROR(IF(W185&lt;=22,-4,IF(W185&lt;=28,-2,IF(W185&lt;=45,2,IF(W185&lt;=55,1,0))))+IF(X185&lt;0,2,0)+IF(AD185="下降トレンド▼",3,IF(AD185="もみ合い→",1,0))+IF(V185="年初来安値圏●",3,IF(V185="安値圏",2,0))+IF(Q185="売り▼",2,0)+IF(P185="急増↑↑",2,IF(P185="増加↑",1,0))+IF(Z185&lt;0,1,0)+IF(L185&lt;=-30,2,IF(L185&lt;=-15,1,0))+IF(AE185="25日戻り売り★",2,IF(AE185="5日戻り売り○",1,0))+N(AL185)+N(AP185)+N(AU185),0))</f>
      </c>
      <c r="U185" s="325" t="str">
        <f t="shared" si="51"/>
        <v>除外</v>
      </c>
      <c r="V185" s="325" t="str">
        <f t="shared" si="52"/>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 t="shared" si="53"/>
        <v>○逆張り売り | もみ合い→ 25日戻り売り★ MACD+ RSI:50.3 前日比:+1.1% [2点]</v>
      </c>
      <c r="Z185" s="331">
        <f t="shared" si="54"/>
        <v>1.0996563573883162</v>
      </c>
      <c r="AA185" s="325" t="str">
        <f t="shared" si="55"/>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 t="shared" si="56"/>
        <v>もみ合い→</v>
      </c>
      <c r="AE185" s="325" t="str">
        <f t="shared" si="57"/>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 t="shared" si="58"/>
        <v>0</v>
      </c>
      <c r="AH185">
        <f t="shared" si="59"/>
        <v>0</v>
      </c>
      <c r="AI185" s="373">
        <f t="array" ref="AI185">IF(C185="","",IFERROR((INDEX(終値!$E:$E,MATCH(TEXT(C185,"0"),終値!$A:$A,0))-INDEX(終値!$E:$CZ,MATCH(TEXT(C185,"0"),終値!$A:$A,0),$AN$2))/INDEX(終値!$E:$CZ,MATCH(TEXT(C185,"0"),終値!$A:$A,0),$AN$2)*100,""))</f>
        <v>6.0052846504924329</v>
      </c>
      <c r="AJ185" s="373">
        <f t="array" ref="AJ185">IFERROR((終値!$E$5-INDEX(終値!$E$5:$CZ$5,1,$AN$2))/INDEX(終値!$E$5:$CZ$5,1,$AN$2)*100,"")</f>
        <v>1.0179378228534113</v>
      </c>
      <c r="AK185" s="374">
        <f t="shared" si="60"/>
        <v>4.9873468276390218</v>
      </c>
      <c r="AL185" s="372">
        <f t="shared" si="61"/>
        <v>-2</v>
      </c>
      <c r="AO185" s="376" t="str">
        <f t="shared" si="62"/>
        <v>通常</v>
      </c>
      <c r="AP185" s="377">
        <f t="shared" si="63"/>
        <v>0</v>
      </c>
      <c r="AQ185">
        <f>IF(C185&lt;&gt;"",始値!F108,"")</f>
        <v>4389</v>
      </c>
      <c r="AR185">
        <f>IF(C185&lt;&gt;"",高値!F108,"")</f>
        <v>4409</v>
      </c>
      <c r="AS185">
        <f>IF(C185&lt;&gt;"",安値!F108,"")</f>
        <v>4350</v>
      </c>
      <c r="AT185" t="str">
        <f t="shared" si="64"/>
        <v>通常</v>
      </c>
      <c r="AU185">
        <f t="shared" si="65"/>
        <v>0</v>
      </c>
      <c r="BA185">
        <f>IFERROR((SUM(OFFSET(高値!$E$6,IFERROR(MATCH($C185,銘柄管理!$B$6:$B$305,0),MATCH(TEXT($C185,"0"),銘柄管理!$B$6:$B$305,0))-1,0,1,14))-SUM(OFFSET(安値!$E$6,IFERROR(MATCH($C185,銘柄管理!$B$6:$B$305,0),MATCH(TEXT($C185,"0"),銘柄管理!$B$6:$B$305,0))-1,0,1,14)))/SUM(OFFSET(終値!$E$6,IFERROR(MATCH($C185,銘柄管理!$B$6:$B$305,0),MATCH(TEXT($C185,"0"),銘柄管理!$B$6:$B$305,0))-1,0,1,14))*100,"")</f>
      </c>
      <c r="BB185">
        <f>IFERROR((MAX(OFFSET(高値!$E$6,IFERROR(MATCH($C185,銘柄管理!$B$6:$B$305,0),MATCH(TEXT($C185,"0"),銘柄管理!$B$6:$B$305,0))-1,0,1,25))-MIN(OFFSET(安値!$E$6,IFERROR(MATCH($C185,銘柄管理!$B$6:$B$305,0),MATCH(TEXT($C185,"0"),銘柄管理!$B$6:$B$305,0))-1,0,1,25)))/$E185*100,"")</f>
      </c>
      <c r="BC185">
        <f>IFERROR(($F185-$G185)/$G185*100,"")</f>
      </c>
      <c r="BD185">
        <f>IFERROR(($E185-MAX(OFFSET(高値!$E$6,IFERROR(MATCH($C185,銘柄管理!$B$6:$B$305,0),MATCH(TEXT($C185,"0"),銘柄管理!$B$6:$B$305,0))-1,0,1,25)))/MAX(OFFSET(高値!$E$6,IFERROR(MATCH($C185,銘柄管理!$B$6:$B$305,0),MATCH(TEXT($C185,"0"),銘柄管理!$B$6:$B$305,0))-1,0,1,25))*100,"")</f>
      </c>
      <c r="BE185">
        <f>IFERROR(($H185-$I185)/$F185*100,"")</f>
      </c>
      <c r="BF185">
        <f>IFERROR(-(($BA185-AVERAGE($BA$3:$BA$206))/STDEV($BA$3:$BA$206))-(($BE185-AVERAGE($BE$3:$BE$206))/STDEV($BE$3:$BE$206))-(($BB185-AVERAGE($BB$3:$BB$206))/STDEV($BB$3:$BB$206))-(($Z185-AVERAGE($Z$3:$Z$206))/STDEV($Z$3:$Z$206))-(($BC185-AVERAGE($BC$3:$BC$206))/STDEV($BC$3:$BC$206)),"")</f>
      </c>
      <c r="BG185">
        <f>IF(OR($C185="",$C185="TOPX",$BA185="",$BF185=""),0,IF(AND($BK$10=1,$BA185&lt;=$BK$2,$BB185&lt;=$BK$3,$BC185&lt;=$BK$4,$Z185&lt;=$BK$5,$Z185&gt;=$BK$6,$BD185&gt;=$BK$7,$BE185&lt;=$BK$8),1,0))</f>
      </c>
      <c r="BH185">
        <f>IF($C185="","",IF($BG185=1,"○ゲート通過",IF($BK$10&lt;&gt;1,"― この方向は停止中",IF($BA185&gt;$BK$2,"×値動きが荒い",IF($BB185&gt;$BK$3,"×レンジが広い",IF($BC185&gt;$BK$4,"×窓を開けて上昇",IF($Z185&gt;$BK$5,"×前日に急騰",IF($Z185&lt;$BK$6,"×前日に急落",IF($BD185&lt;$BK$7,"×高値から離れすぎ",IF($BE185&gt;$BK$8,"×当日の値幅が大きい","×")))))))))</f>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 t="shared" si="44"/>
        <v>-76.963470319634709</v>
      </c>
      <c r="M186" s="333">
        <f>IF(C186&lt;&gt;"",IFERROR(AVERAGE(出来高!E128:I128),""),"")</f>
        <v>1592960</v>
      </c>
      <c r="N186" s="333">
        <f>IF(C186&lt;&gt;"",IFERROR(AVERAGE(出来高!E128:AC128),""),"")</f>
        <v>1896187.5</v>
      </c>
      <c r="O186" s="335">
        <f t="shared" si="45"/>
        <v>0.82362394535958217</v>
      </c>
      <c r="P186" s="212" t="str">
        <f t="shared" si="46"/>
        <v>減少↓</v>
      </c>
      <c r="Q186" s="212" t="str">
        <f t="shared" si="47"/>
        <v>中立→</v>
      </c>
      <c r="R186" s="333">
        <f t="shared" si="48"/>
        <v>1857</v>
      </c>
      <c r="S186" s="333">
        <f t="shared" si="49"/>
        <v>2099</v>
      </c>
      <c r="T186" s="325">
        <f>IF(C186="","",IFERROR(IF(W186&lt;=22,-4,IF(W186&lt;=28,-2,IF(W186&lt;=45,2,IF(W186&lt;=55,1,0))))+IF(X186&lt;0,2,0)+IF(AD186="下降トレンド▼",3,IF(AD186="もみ合い→",1,0))+IF(V186="年初来安値圏●",3,IF(V186="安値圏",2,0))+IF(Q186="売り▼",2,0)+IF(P186="急増↑↑",2,IF(P186="増加↑",1,0))+IF(Z186&lt;0,1,0)+IF(L186&lt;=-30,2,IF(L186&lt;=-15,1,0))+IF(AE186="25日戻り売り★",2,IF(AE186="5日戻り売り○",1,0))+N(AL186)+N(AP186)+N(AU186),0))</f>
      </c>
      <c r="U186" s="212" t="str">
        <f t="shared" si="51"/>
        <v>要確認</v>
      </c>
      <c r="V186" s="212" t="str">
        <f t="shared" si="52"/>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 t="shared" si="53"/>
        <v>相場上昇・見送り | パーフェクト▲ MACD+ RSI:51.5 前日比:-4.1% [年初来安値圏] [5点]</v>
      </c>
      <c r="Z186" s="338">
        <f t="shared" si="54"/>
        <v>-4.1330166270783852</v>
      </c>
      <c r="AA186" s="212" t="str">
        <f t="shared" si="55"/>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 t="shared" si="56"/>
        <v>パーフェクト▲</v>
      </c>
      <c r="AE186" s="212" t="str">
        <f t="shared" si="57"/>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 t="shared" si="58"/>
        <v>0</v>
      </c>
      <c r="AH186">
        <f t="shared" si="59"/>
        <v>0</v>
      </c>
      <c r="AI186" s="373">
        <f t="array" ref="AI186">IF(C186="","",IFERROR((INDEX(終値!$E:$E,MATCH(TEXT(C186,"0"),終値!$A:$A,0))-INDEX(終値!$E:$CZ,MATCH(TEXT(C186,"0"),終値!$A:$A,0),$AN$2))/INDEX(終値!$E:$CZ,MATCH(TEXT(C186,"0"),終値!$A:$A,0),$AN$2)*100,""))</f>
        <v>4.1279669762641902</v>
      </c>
      <c r="AJ186" s="373">
        <f t="array" ref="AJ186">IFERROR((終値!$E$5-INDEX(終値!$E$5:$CZ$5,1,$AN$2))/INDEX(終値!$E$5:$CZ$5,1,$AN$2)*100,"")</f>
        <v>1.0179378228534113</v>
      </c>
      <c r="AK186" s="374">
        <f t="shared" si="60"/>
        <v>3.1100291534107791</v>
      </c>
      <c r="AL186" s="372">
        <f t="shared" si="61"/>
        <v>-2</v>
      </c>
      <c r="AO186" s="376" t="str">
        <f t="shared" si="62"/>
        <v>通常</v>
      </c>
      <c r="AP186" s="377">
        <f t="shared" si="63"/>
        <v>0</v>
      </c>
      <c r="AQ186">
        <f>IF(C186&lt;&gt;"",始値!F128,"")</f>
        <v>2025</v>
      </c>
      <c r="AR186">
        <f>IF(C186&lt;&gt;"",高値!F128,"")</f>
        <v>2128</v>
      </c>
      <c r="AS186">
        <f>IF(C186&lt;&gt;"",安値!F128,"")</f>
        <v>2011</v>
      </c>
      <c r="AT186" t="str">
        <f t="shared" si="64"/>
        <v>通常</v>
      </c>
      <c r="AU186">
        <f t="shared" si="65"/>
        <v>0</v>
      </c>
      <c r="BA186">
        <f>IFERROR((SUM(OFFSET(高値!$E$6,IFERROR(MATCH($C186,銘柄管理!$B$6:$B$305,0),MATCH(TEXT($C186,"0"),銘柄管理!$B$6:$B$305,0))-1,0,1,14))-SUM(OFFSET(安値!$E$6,IFERROR(MATCH($C186,銘柄管理!$B$6:$B$305,0),MATCH(TEXT($C186,"0"),銘柄管理!$B$6:$B$305,0))-1,0,1,14)))/SUM(OFFSET(終値!$E$6,IFERROR(MATCH($C186,銘柄管理!$B$6:$B$305,0),MATCH(TEXT($C186,"0"),銘柄管理!$B$6:$B$305,0))-1,0,1,14))*100,"")</f>
      </c>
      <c r="BB186">
        <f>IFERROR((MAX(OFFSET(高値!$E$6,IFERROR(MATCH($C186,銘柄管理!$B$6:$B$305,0),MATCH(TEXT($C186,"0"),銘柄管理!$B$6:$B$305,0))-1,0,1,25))-MIN(OFFSET(安値!$E$6,IFERROR(MATCH($C186,銘柄管理!$B$6:$B$305,0),MATCH(TEXT($C186,"0"),銘柄管理!$B$6:$B$305,0))-1,0,1,25)))/$E186*100,"")</f>
      </c>
      <c r="BC186">
        <f>IFERROR(($F186-$G186)/$G186*100,"")</f>
      </c>
      <c r="BD186">
        <f>IFERROR(($E186-MAX(OFFSET(高値!$E$6,IFERROR(MATCH($C186,銘柄管理!$B$6:$B$305,0),MATCH(TEXT($C186,"0"),銘柄管理!$B$6:$B$305,0))-1,0,1,25)))/MAX(OFFSET(高値!$E$6,IFERROR(MATCH($C186,銘柄管理!$B$6:$B$305,0),MATCH(TEXT($C186,"0"),銘柄管理!$B$6:$B$305,0))-1,0,1,25))*100,"")</f>
      </c>
      <c r="BE186">
        <f>IFERROR(($H186-$I186)/$F186*100,"")</f>
      </c>
      <c r="BF186">
        <f>IFERROR(-(($BA186-AVERAGE($BA$3:$BA$206))/STDEV($BA$3:$BA$206))-(($BE186-AVERAGE($BE$3:$BE$206))/STDEV($BE$3:$BE$206))-(($BB186-AVERAGE($BB$3:$BB$206))/STDEV($BB$3:$BB$206))-(($Z186-AVERAGE($Z$3:$Z$206))/STDEV($Z$3:$Z$206))-(($BC186-AVERAGE($BC$3:$BC$206))/STDEV($BC$3:$BC$206)),"")</f>
      </c>
      <c r="BG186">
        <f>IF(OR($C186="",$C186="TOPX",$BA186="",$BF186=""),0,IF(AND($BK$10=1,$BA186&lt;=$BK$2,$BB186&lt;=$BK$3,$BC186&lt;=$BK$4,$Z186&lt;=$BK$5,$Z186&gt;=$BK$6,$BD186&gt;=$BK$7,$BE186&lt;=$BK$8),1,0))</f>
      </c>
      <c r="BH186">
        <f>IF($C186="","",IF($BG186=1,"○ゲート通過",IF($BK$10&lt;&gt;1,"― この方向は停止中",IF($BA186&gt;$BK$2,"×値動きが荒い",IF($BB186&gt;$BK$3,"×レンジが広い",IF($BC186&gt;$BK$4,"×窓を開けて上昇",IF($Z186&gt;$BK$5,"×前日に急騰",IF($Z186&lt;$BK$6,"×前日に急落",IF($BD186&lt;$BK$7,"×高値から離れすぎ",IF($BE186&gt;$BK$8,"×当日の値幅が大きい","×")))))))))</f>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 t="shared" si="44"/>
        <v>-27.299465240641712</v>
      </c>
      <c r="M187" s="326">
        <f>IF(C187&lt;&gt;"",IFERROR(AVERAGE(出来高!E131:I131),""),"")</f>
        <v>832400</v>
      </c>
      <c r="N187" s="326">
        <f>IF(C187&lt;&gt;"",IFERROR(AVERAGE(出来高!E131:AC131),""),"")</f>
        <v>860668</v>
      </c>
      <c r="O187" s="328">
        <f t="shared" si="45"/>
        <v>1.3565593464680441</v>
      </c>
      <c r="P187" s="325" t="str">
        <f t="shared" si="46"/>
        <v>普通→</v>
      </c>
      <c r="Q187" s="325" t="str">
        <f t="shared" si="47"/>
        <v>様子見▲</v>
      </c>
      <c r="R187" s="326">
        <f t="shared" si="48"/>
        <v>2501</v>
      </c>
      <c r="S187" s="326">
        <f t="shared" si="49"/>
        <v>2828</v>
      </c>
      <c r="T187" s="325">
        <f>IF(C187="","",IFERROR(IF(W187&lt;=22,-4,IF(W187&lt;=28,-2,IF(W187&lt;=45,2,IF(W187&lt;=55,1,0))))+IF(X187&lt;0,2,0)+IF(AD187="下降トレンド▼",3,IF(AD187="もみ合い→",1,0))+IF(V187="年初来安値圏●",3,IF(V187="安値圏",2,0))+IF(Q187="売り▼",2,0)+IF(P187="急増↑↑",2,IF(P187="増加↑",1,0))+IF(Z187&lt;0,1,0)+IF(L187&lt;=-30,2,IF(L187&lt;=-15,1,0))+IF(AE187="25日戻り売り★",2,IF(AE187="5日戻り売り○",1,0))+N(AL187)+N(AP187)+N(AU187),0))</f>
      </c>
      <c r="U187" s="325" t="str">
        <f t="shared" si="51"/>
        <v>要確認</v>
      </c>
      <c r="V187" s="325" t="str">
        <f t="shared" si="52"/>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 t="shared" si="53"/>
        <v>相場上昇・見送り | パーフェクト▲ MACD- RSI:51.6 前日比:+3.3% [安値圏] [7点]</v>
      </c>
      <c r="Z187" s="331">
        <f t="shared" si="54"/>
        <v>3.2662362324344856</v>
      </c>
      <c r="AA187" s="325" t="str">
        <f t="shared" si="55"/>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 t="shared" si="56"/>
        <v>パーフェクト▲</v>
      </c>
      <c r="AE187" s="325" t="str">
        <f t="shared" si="57"/>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 t="shared" si="58"/>
        <v>7</v>
      </c>
      <c r="AH187">
        <f t="shared" si="59"/>
        <v>69813</v>
      </c>
      <c r="AI187" s="373">
        <f t="array" ref="AI187">IF(C187="","",IFERROR((INDEX(終値!$E:$E,MATCH(TEXT(C187,"0"),終値!$A:$A,0))-INDEX(終値!$E:$CZ,MATCH(TEXT(C187,"0"),終値!$A:$A,0),$AN$2))/INDEX(終値!$E:$CZ,MATCH(TEXT(C187,"0"),終値!$A:$A,0),$AN$2)*100,""))</f>
        <v>-2.5797205302758868</v>
      </c>
      <c r="AJ187" s="373">
        <f t="array" ref="AJ187">IFERROR((終値!$E$5-INDEX(終値!$E$5:$CZ$5,1,$AN$2))/INDEX(終値!$E$5:$CZ$5,1,$AN$2)*100,"")</f>
        <v>1.0179378228534113</v>
      </c>
      <c r="AK187" s="374">
        <f t="shared" si="60"/>
        <v>-3.5976583531292983</v>
      </c>
      <c r="AL187" s="372">
        <f t="shared" si="61"/>
        <v>1</v>
      </c>
      <c r="AO187" s="376" t="str">
        <f t="shared" si="62"/>
        <v>通常</v>
      </c>
      <c r="AP187" s="377">
        <f t="shared" si="63"/>
        <v>0</v>
      </c>
      <c r="AQ187">
        <f>IF(C187&lt;&gt;"",始値!F131,"")</f>
        <v>2532</v>
      </c>
      <c r="AR187">
        <f>IF(C187&lt;&gt;"",高値!F131,"")</f>
        <v>2665</v>
      </c>
      <c r="AS187">
        <f>IF(C187&lt;&gt;"",安値!F131,"")</f>
        <v>2526</v>
      </c>
      <c r="AT187" t="str">
        <f t="shared" si="64"/>
        <v>通常</v>
      </c>
      <c r="AU187">
        <f t="shared" si="65"/>
        <v>0</v>
      </c>
      <c r="BA187">
        <f>IFERROR((SUM(OFFSET(高値!$E$6,IFERROR(MATCH($C187,銘柄管理!$B$6:$B$305,0),MATCH(TEXT($C187,"0"),銘柄管理!$B$6:$B$305,0))-1,0,1,14))-SUM(OFFSET(安値!$E$6,IFERROR(MATCH($C187,銘柄管理!$B$6:$B$305,0),MATCH(TEXT($C187,"0"),銘柄管理!$B$6:$B$305,0))-1,0,1,14)))/SUM(OFFSET(終値!$E$6,IFERROR(MATCH($C187,銘柄管理!$B$6:$B$305,0),MATCH(TEXT($C187,"0"),銘柄管理!$B$6:$B$305,0))-1,0,1,14))*100,"")</f>
      </c>
      <c r="BB187">
        <f>IFERROR((MAX(OFFSET(高値!$E$6,IFERROR(MATCH($C187,銘柄管理!$B$6:$B$305,0),MATCH(TEXT($C187,"0"),銘柄管理!$B$6:$B$305,0))-1,0,1,25))-MIN(OFFSET(安値!$E$6,IFERROR(MATCH($C187,銘柄管理!$B$6:$B$305,0),MATCH(TEXT($C187,"0"),銘柄管理!$B$6:$B$305,0))-1,0,1,25)))/$E187*100,"")</f>
      </c>
      <c r="BC187">
        <f>IFERROR(($F187-$G187)/$G187*100,"")</f>
      </c>
      <c r="BD187">
        <f>IFERROR(($E187-MAX(OFFSET(高値!$E$6,IFERROR(MATCH($C187,銘柄管理!$B$6:$B$305,0),MATCH(TEXT($C187,"0"),銘柄管理!$B$6:$B$305,0))-1,0,1,25)))/MAX(OFFSET(高値!$E$6,IFERROR(MATCH($C187,銘柄管理!$B$6:$B$305,0),MATCH(TEXT($C187,"0"),銘柄管理!$B$6:$B$305,0))-1,0,1,25))*100,"")</f>
      </c>
      <c r="BE187">
        <f>IFERROR(($H187-$I187)/$F187*100,"")</f>
      </c>
      <c r="BF187">
        <f>IFERROR(-(($BA187-AVERAGE($BA$3:$BA$206))/STDEV($BA$3:$BA$206))-(($BE187-AVERAGE($BE$3:$BE$206))/STDEV($BE$3:$BE$206))-(($BB187-AVERAGE($BB$3:$BB$206))/STDEV($BB$3:$BB$206))-(($Z187-AVERAGE($Z$3:$Z$206))/STDEV($Z$3:$Z$206))-(($BC187-AVERAGE($BC$3:$BC$206))/STDEV($BC$3:$BC$206)),"")</f>
      </c>
      <c r="BG187">
        <f>IF(OR($C187="",$C187="TOPX",$BA187="",$BF187=""),0,IF(AND($BK$10=1,$BA187&lt;=$BK$2,$BB187&lt;=$BK$3,$BC187&lt;=$BK$4,$Z187&lt;=$BK$5,$Z187&gt;=$BK$6,$BD187&gt;=$BK$7,$BE187&lt;=$BK$8),1,0))</f>
      </c>
      <c r="BH187">
        <f>IF($C187="","",IF($BG187=1,"○ゲート通過",IF($BK$10&lt;&gt;1,"― この方向は停止中",IF($BA187&gt;$BK$2,"×値動きが荒い",IF($BB187&gt;$BK$3,"×レンジが広い",IF($BC187&gt;$BK$4,"×窓を開けて上昇",IF($Z187&gt;$BK$5,"×前日に急騰",IF($Z187&lt;$BK$6,"×前日に急落",IF($BD187&lt;$BK$7,"×高値から離れすぎ",IF($BE187&gt;$BK$8,"×当日の値幅が大きい","×")))))))))</f>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 t="shared" si="44"/>
        <v>-66.196319018404907</v>
      </c>
      <c r="M188" s="333">
        <f>IF(C188&lt;&gt;"",IFERROR(AVERAGE(出来高!E139:I139),""),"")</f>
        <v>58120</v>
      </c>
      <c r="N188" s="333">
        <f>IF(C188&lt;&gt;"",IFERROR(AVERAGE(出来高!E139:AC139),""),"")</f>
        <v>67176</v>
      </c>
      <c r="O188" s="335">
        <f t="shared" si="45"/>
        <v>0.35443909153475567</v>
      </c>
      <c r="P188" s="212" t="str">
        <f t="shared" si="46"/>
        <v>減少↓</v>
      </c>
      <c r="Q188" s="212" t="str">
        <f t="shared" si="47"/>
        <v>中立→</v>
      </c>
      <c r="R188" s="333">
        <f t="shared" si="48"/>
        <v>507</v>
      </c>
      <c r="S188" s="333">
        <f t="shared" si="49"/>
        <v>573</v>
      </c>
      <c r="T188" s="325">
        <f>IF(C188="","",IFERROR(IF(W188&lt;=22,-4,IF(W188&lt;=28,-2,IF(W188&lt;=45,2,IF(W188&lt;=55,1,0))))+IF(X188&lt;0,2,0)+IF(AD188="下降トレンド▼",3,IF(AD188="もみ合い→",1,0))+IF(V188="年初来安値圏●",3,IF(V188="安値圏",2,0))+IF(Q188="売り▼",2,0)+IF(P188="急増↑↑",2,IF(P188="増加↑",1,0))+IF(Z188&lt;0,1,0)+IF(L188&lt;=-30,2,IF(L188&lt;=-15,1,0))+IF(AE188="25日戻り売り★",2,IF(AE188="5日戻り売り○",1,0))+N(AL188)+N(AP188)+N(AU188),0))</f>
      </c>
      <c r="U188" s="212" t="str">
        <f t="shared" si="51"/>
        <v>要確認</v>
      </c>
      <c r="V188" s="212" t="str">
        <f t="shared" si="52"/>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 t="shared" si="53"/>
        <v>相場上昇・見送り | パーフェクト▲ MACD- RSI:47.6 前日比:-0.7% [年初来安値圏] [9点]</v>
      </c>
      <c r="Z188" s="338">
        <f t="shared" si="54"/>
        <v>-0.72072072072072069</v>
      </c>
      <c r="AA188" s="212" t="str">
        <f t="shared" si="55"/>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 t="shared" si="56"/>
        <v>パーフェクト▲</v>
      </c>
      <c r="AE188" s="212" t="str">
        <f t="shared" si="57"/>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 t="shared" si="58"/>
        <v>9</v>
      </c>
      <c r="AH188">
        <f t="shared" si="59"/>
        <v>89812</v>
      </c>
      <c r="AI188" s="373">
        <f t="array" ref="AI188">IF(C188="","",IFERROR((INDEX(終値!$E:$E,MATCH(TEXT(C188,"0"),終値!$A:$A,0))-INDEX(終値!$E:$CZ,MATCH(TEXT(C188,"0"),終値!$A:$A,0),$AN$2))/INDEX(終値!$E:$CZ,MATCH(TEXT(C188,"0"),終値!$A:$A,0),$AN$2)*100,""))</f>
        <v>-0.54151624548736454</v>
      </c>
      <c r="AJ188" s="373">
        <f t="array" ref="AJ188">IFERROR((終値!$E$5-INDEX(終値!$E$5:$CZ$5,1,$AN$2))/INDEX(終値!$E$5:$CZ$5,1,$AN$2)*100,"")</f>
        <v>1.0179378228534113</v>
      </c>
      <c r="AK188" s="374">
        <f t="shared" si="60"/>
        <v>-1.5594540683407758</v>
      </c>
      <c r="AL188" s="372">
        <f t="shared" si="61"/>
        <v>1</v>
      </c>
      <c r="AO188" s="376" t="str">
        <f t="shared" si="62"/>
        <v>通常</v>
      </c>
      <c r="AP188" s="377">
        <f t="shared" si="63"/>
        <v>0</v>
      </c>
      <c r="AQ188">
        <f>IF(C188&lt;&gt;"",始値!F139,"")</f>
        <v>552</v>
      </c>
      <c r="AR188">
        <f>IF(C188&lt;&gt;"",高値!F139,"")</f>
        <v>572</v>
      </c>
      <c r="AS188">
        <f>IF(C188&lt;&gt;"",安値!F139,"")</f>
        <v>542</v>
      </c>
      <c r="AT188" t="str">
        <f t="shared" si="64"/>
        <v>通常</v>
      </c>
      <c r="AU188">
        <f t="shared" si="65"/>
        <v>0</v>
      </c>
      <c r="BA188">
        <f>IFERROR((SUM(OFFSET(高値!$E$6,IFERROR(MATCH($C188,銘柄管理!$B$6:$B$305,0),MATCH(TEXT($C188,"0"),銘柄管理!$B$6:$B$305,0))-1,0,1,14))-SUM(OFFSET(安値!$E$6,IFERROR(MATCH($C188,銘柄管理!$B$6:$B$305,0),MATCH(TEXT($C188,"0"),銘柄管理!$B$6:$B$305,0))-1,0,1,14)))/SUM(OFFSET(終値!$E$6,IFERROR(MATCH($C188,銘柄管理!$B$6:$B$305,0),MATCH(TEXT($C188,"0"),銘柄管理!$B$6:$B$305,0))-1,0,1,14))*100,"")</f>
      </c>
      <c r="BB188">
        <f>IFERROR((MAX(OFFSET(高値!$E$6,IFERROR(MATCH($C188,銘柄管理!$B$6:$B$305,0),MATCH(TEXT($C188,"0"),銘柄管理!$B$6:$B$305,0))-1,0,1,25))-MIN(OFFSET(安値!$E$6,IFERROR(MATCH($C188,銘柄管理!$B$6:$B$305,0),MATCH(TEXT($C188,"0"),銘柄管理!$B$6:$B$305,0))-1,0,1,25)))/$E188*100,"")</f>
      </c>
      <c r="BC188">
        <f>IFERROR(($F188-$G188)/$G188*100,"")</f>
      </c>
      <c r="BD188">
        <f>IFERROR(($E188-MAX(OFFSET(高値!$E$6,IFERROR(MATCH($C188,銘柄管理!$B$6:$B$305,0),MATCH(TEXT($C188,"0"),銘柄管理!$B$6:$B$305,0))-1,0,1,25)))/MAX(OFFSET(高値!$E$6,IFERROR(MATCH($C188,銘柄管理!$B$6:$B$305,0),MATCH(TEXT($C188,"0"),銘柄管理!$B$6:$B$305,0))-1,0,1,25))*100,"")</f>
      </c>
      <c r="BE188">
        <f>IFERROR(($H188-$I188)/$F188*100,"")</f>
      </c>
      <c r="BF188">
        <f>IFERROR(-(($BA188-AVERAGE($BA$3:$BA$206))/STDEV($BA$3:$BA$206))-(($BE188-AVERAGE($BE$3:$BE$206))/STDEV($BE$3:$BE$206))-(($BB188-AVERAGE($BB$3:$BB$206))/STDEV($BB$3:$BB$206))-(($Z188-AVERAGE($Z$3:$Z$206))/STDEV($Z$3:$Z$206))-(($BC188-AVERAGE($BC$3:$BC$206))/STDEV($BC$3:$BC$206)),"")</f>
      </c>
      <c r="BG188">
        <f>IF(OR($C188="",$C188="TOPX",$BA188="",$BF188=""),0,IF(AND($BK$10=1,$BA188&lt;=$BK$2,$BB188&lt;=$BK$3,$BC188&lt;=$BK$4,$Z188&lt;=$BK$5,$Z188&gt;=$BK$6,$BD188&gt;=$BK$7,$BE188&lt;=$BK$8),1,0))</f>
      </c>
      <c r="BH188">
        <f>IF($C188="","",IF($BG188=1,"○ゲート通過",IF($BK$10&lt;&gt;1,"― この方向は停止中",IF($BA188&gt;$BK$2,"×値動きが荒い",IF($BB188&gt;$BK$3,"×レンジが広い",IF($BC188&gt;$BK$4,"×窓を開けて上昇",IF($Z188&gt;$BK$5,"×前日に急騰",IF($Z188&lt;$BK$6,"×前日に急落",IF($BD188&lt;$BK$7,"×高値から離れすぎ",IF($BE188&gt;$BK$8,"×当日の値幅が大きい","×")))))))))</f>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 t="shared" si="44"/>
        <v>-70.731707317073173</v>
      </c>
      <c r="M189" s="326">
        <f>IF(C189&lt;&gt;"",IFERROR(AVERAGE(出来高!E140:I140),""),"")</f>
        <v>11598340</v>
      </c>
      <c r="N189" s="326">
        <f>IF(C189&lt;&gt;"",IFERROR(AVERAGE(出来高!E140:AC140),""),"")</f>
        <v>23217912.5</v>
      </c>
      <c r="O189" s="328">
        <f t="shared" si="45"/>
        <v>1.1462329954114123</v>
      </c>
      <c r="P189" s="325" t="str">
        <f t="shared" si="46"/>
        <v>普通→</v>
      </c>
      <c r="Q189" s="325" t="str">
        <f t="shared" si="47"/>
        <v>中立→</v>
      </c>
      <c r="R189" s="326">
        <f t="shared" si="48"/>
        <v>44</v>
      </c>
      <c r="S189" s="326">
        <f t="shared" si="49"/>
        <v>50</v>
      </c>
      <c r="T189" s="325">
        <f>IF(C189="","",IFERROR(IF(W189&lt;=22,-4,IF(W189&lt;=28,-2,IF(W189&lt;=45,2,IF(W189&lt;=55,1,0))))+IF(X189&lt;0,2,0)+IF(AD189="下降トレンド▼",3,IF(AD189="もみ合い→",1,0))+IF(V189="年初来安値圏●",3,IF(V189="安値圏",2,0))+IF(Q189="売り▼",2,0)+IF(P189="急増↑↑",2,IF(P189="増加↑",1,0))+IF(Z189&lt;0,1,0)+IF(L189&lt;=-30,2,IF(L189&lt;=-15,1,0))+IF(AE189="25日戻り売り★",2,IF(AE189="5日戻り売り○",1,0))+N(AL189)+N(AP189)+N(AU189),0))</f>
      </c>
      <c r="U189" s="325" t="str">
        <f t="shared" si="51"/>
        <v>要確認</v>
      </c>
      <c r="V189" s="325" t="str">
        <f t="shared" si="52"/>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 t="shared" si="53"/>
        <v>相場上昇・見送り | パーフェクト▲ MACD- RSI:49.6 前日比:-2.0% [年初来安値圏] [11点]</v>
      </c>
      <c r="Z189" s="331">
        <f t="shared" si="54"/>
        <v>-2.0408163265306123</v>
      </c>
      <c r="AA189" s="325" t="str">
        <f t="shared" si="55"/>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 t="shared" si="56"/>
        <v>パーフェクト▲</v>
      </c>
      <c r="AE189" s="325" t="str">
        <f t="shared" si="57"/>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 t="shared" si="58"/>
        <v>11</v>
      </c>
      <c r="AH189">
        <f t="shared" si="59"/>
        <v>109811</v>
      </c>
      <c r="AI189" s="373">
        <f t="array" ref="AI189">IF(C189="","",IFERROR((INDEX(終値!$E:$E,MATCH(TEXT(C189,"0"),終値!$A:$A,0))-INDEX(終値!$E:$CZ,MATCH(TEXT(C189,"0"),終値!$A:$A,0),$AN$2))/INDEX(終値!$E:$CZ,MATCH(TEXT(C189,"0"),終値!$A:$A,0),$AN$2)*100,""))</f>
        <v>-11.111111111111111</v>
      </c>
      <c r="AJ189" s="373">
        <f t="array" ref="AJ189">IFERROR((終値!$E$5-INDEX(終値!$E$5:$CZ$5,1,$AN$2))/INDEX(終値!$E$5:$CZ$5,1,$AN$2)*100,"")</f>
        <v>1.0179378228534113</v>
      </c>
      <c r="AK189" s="374">
        <f t="shared" si="60"/>
        <v>-12.129048933964523</v>
      </c>
      <c r="AL189" s="372">
        <f t="shared" si="61"/>
        <v>3</v>
      </c>
      <c r="AO189" s="376" t="str">
        <f t="shared" si="62"/>
        <v>通常</v>
      </c>
      <c r="AP189" s="377">
        <f t="shared" si="63"/>
        <v>0</v>
      </c>
      <c r="AQ189">
        <f>IF(C189&lt;&gt;"",始値!F140,"")</f>
        <v>46</v>
      </c>
      <c r="AR189">
        <f>IF(C189&lt;&gt;"",高値!F140,"")</f>
        <v>49</v>
      </c>
      <c r="AS189">
        <f>IF(C189&lt;&gt;"",安値!F140,"")</f>
        <v>46</v>
      </c>
      <c r="AT189" t="str">
        <f t="shared" si="64"/>
        <v>通常</v>
      </c>
      <c r="AU189">
        <f t="shared" si="65"/>
        <v>0</v>
      </c>
      <c r="BA189">
        <f>IFERROR((SUM(OFFSET(高値!$E$6,IFERROR(MATCH($C189,銘柄管理!$B$6:$B$305,0),MATCH(TEXT($C189,"0"),銘柄管理!$B$6:$B$305,0))-1,0,1,14))-SUM(OFFSET(安値!$E$6,IFERROR(MATCH($C189,銘柄管理!$B$6:$B$305,0),MATCH(TEXT($C189,"0"),銘柄管理!$B$6:$B$305,0))-1,0,1,14)))/SUM(OFFSET(終値!$E$6,IFERROR(MATCH($C189,銘柄管理!$B$6:$B$305,0),MATCH(TEXT($C189,"0"),銘柄管理!$B$6:$B$305,0))-1,0,1,14))*100,"")</f>
      </c>
      <c r="BB189">
        <f>IFERROR((MAX(OFFSET(高値!$E$6,IFERROR(MATCH($C189,銘柄管理!$B$6:$B$305,0),MATCH(TEXT($C189,"0"),銘柄管理!$B$6:$B$305,0))-1,0,1,25))-MIN(OFFSET(安値!$E$6,IFERROR(MATCH($C189,銘柄管理!$B$6:$B$305,0),MATCH(TEXT($C189,"0"),銘柄管理!$B$6:$B$305,0))-1,0,1,25)))/$E189*100,"")</f>
      </c>
      <c r="BC189">
        <f>IFERROR(($F189-$G189)/$G189*100,"")</f>
      </c>
      <c r="BD189">
        <f>IFERROR(($E189-MAX(OFFSET(高値!$E$6,IFERROR(MATCH($C189,銘柄管理!$B$6:$B$305,0),MATCH(TEXT($C189,"0"),銘柄管理!$B$6:$B$305,0))-1,0,1,25)))/MAX(OFFSET(高値!$E$6,IFERROR(MATCH($C189,銘柄管理!$B$6:$B$305,0),MATCH(TEXT($C189,"0"),銘柄管理!$B$6:$B$305,0))-1,0,1,25))*100,"")</f>
      </c>
      <c r="BE189">
        <f>IFERROR(($H189-$I189)/$F189*100,"")</f>
      </c>
      <c r="BF189">
        <f>IFERROR(-(($BA189-AVERAGE($BA$3:$BA$206))/STDEV($BA$3:$BA$206))-(($BE189-AVERAGE($BE$3:$BE$206))/STDEV($BE$3:$BE$206))-(($BB189-AVERAGE($BB$3:$BB$206))/STDEV($BB$3:$BB$206))-(($Z189-AVERAGE($Z$3:$Z$206))/STDEV($Z$3:$Z$206))-(($BC189-AVERAGE($BC$3:$BC$206))/STDEV($BC$3:$BC$206)),"")</f>
      </c>
      <c r="BG189">
        <f>IF(OR($C189="",$C189="TOPX",$BA189="",$BF189=""),0,IF(AND($BK$10=1,$BA189&lt;=$BK$2,$BB189&lt;=$BK$3,$BC189&lt;=$BK$4,$Z189&lt;=$BK$5,$Z189&gt;=$BK$6,$BD189&gt;=$BK$7,$BE189&lt;=$BK$8),1,0))</f>
      </c>
      <c r="BH189">
        <f>IF($C189="","",IF($BG189=1,"○ゲート通過",IF($BK$10&lt;&gt;1,"― この方向は停止中",IF($BA189&gt;$BK$2,"×値動きが荒い",IF($BB189&gt;$BK$3,"×レンジが広い",IF($BC189&gt;$BK$4,"×窓を開けて上昇",IF($Z189&gt;$BK$5,"×前日に急騰",IF($Z189&lt;$BK$6,"×前日に急落",IF($BD189&lt;$BK$7,"×高値から離れすぎ",IF($BE189&gt;$BK$8,"×当日の値幅が大きい","×")))))))))</f>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 t="shared" si="44"/>
        <v>-57.781954887218049</v>
      </c>
      <c r="M190" s="333">
        <f>IF(C190&lt;&gt;"",IFERROR(AVERAGE(出来高!E149:I149),""),"")</f>
        <v>11600</v>
      </c>
      <c r="N190" s="333">
        <f>IF(C190&lt;&gt;"",IFERROR(AVERAGE(出来高!E149:AC149),""),"")</f>
        <v>11600</v>
      </c>
      <c r="O190" s="335">
        <f t="shared" si="45"/>
        <v>0.80172413793103448</v>
      </c>
      <c r="P190" s="212" t="str">
        <f t="shared" si="46"/>
        <v>減少↓</v>
      </c>
      <c r="Q190" s="212" t="str">
        <f t="shared" si="47"/>
        <v>中立→</v>
      </c>
      <c r="R190" s="333">
        <f t="shared" si="48"/>
        <v>1033</v>
      </c>
      <c r="S190" s="333">
        <f t="shared" si="49"/>
        <v>1168</v>
      </c>
      <c r="T190" s="325">
        <f>IF(C190="","",IFERROR(IF(W190&lt;=22,-4,IF(W190&lt;=28,-2,IF(W190&lt;=45,2,IF(W190&lt;=55,1,0))))+IF(X190&lt;0,2,0)+IF(AD190="下降トレンド▼",3,IF(AD190="もみ合い→",1,0))+IF(V190="年初来安値圏●",3,IF(V190="安値圏",2,0))+IF(Q190="売り▼",2,0)+IF(P190="急増↑↑",2,IF(P190="増加↑",1,0))+IF(Z190&lt;0,1,0)+IF(L190&lt;=-30,2,IF(L190&lt;=-15,1,0))+IF(AE190="25日戻り売り★",2,IF(AE190="5日戻り売り○",1,0))+N(AL190)+N(AP190)+N(AU190),0))</f>
      </c>
      <c r="U190" s="212" t="str">
        <f t="shared" si="51"/>
        <v>要確認</v>
      </c>
      <c r="V190" s="212" t="str">
        <f t="shared" si="52"/>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 t="shared" si="53"/>
        <v>相場上昇・見送り | パーフェクト▲ MACD+ RSI:50.0 前日比:-3.9% [年初来安値圏] [大陰線▼] [9点]</v>
      </c>
      <c r="Z190" s="338">
        <f t="shared" si="54"/>
        <v>-3.8527397260273974</v>
      </c>
      <c r="AA190" s="212" t="str">
        <f t="shared" si="55"/>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 t="shared" si="56"/>
        <v>パーフェクト▲</v>
      </c>
      <c r="AE190" s="212" t="str">
        <f t="shared" si="57"/>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 t="shared" si="58"/>
        <v>9</v>
      </c>
      <c r="AH190">
        <f t="shared" si="59"/>
        <v>89810</v>
      </c>
      <c r="AI190" s="373" t="str">
        <f t="array" ref="AI190">IF(C190="","",IFERROR((INDEX(終値!$E:$E,MATCH(TEXT(C190,"0"),終値!$A:$A,0))-INDEX(終値!$E:$CZ,MATCH(TEXT(C190,"0"),終値!$A:$A,0),$AN$2))/INDEX(終値!$E:$CZ,MATCH(TEXT(C190,"0"),終値!$A:$A,0),$AN$2)*100,""))</f>
        <v/>
      </c>
      <c r="AJ190" s="373">
        <f t="array" ref="AJ190">IFERROR((終値!$E$5-INDEX(終値!$E$5:$CZ$5,1,$AN$2))/INDEX(終値!$E$5:$CZ$5,1,$AN$2)*100,"")</f>
        <v>1.0179378228534113</v>
      </c>
      <c r="AK190" s="374" t="str">
        <f t="shared" si="60"/>
        <v/>
      </c>
      <c r="AL190" s="372" t="str">
        <f t="shared" si="61"/>
        <v/>
      </c>
      <c r="AO190" s="376" t="str">
        <f t="shared" si="62"/>
        <v>大陰線▼</v>
      </c>
      <c r="AP190" s="377">
        <f t="shared" si="63"/>
        <v>2</v>
      </c>
      <c r="AQ190">
        <f>IF(C190&lt;&gt;"",始値!F149,"")</f>
        <v>1138</v>
      </c>
      <c r="AR190">
        <f>IF(C190&lt;&gt;"",高値!F149,"")</f>
        <v>1170</v>
      </c>
      <c r="AS190">
        <f>IF(C190&lt;&gt;"",安値!F149,"")</f>
        <v>1134</v>
      </c>
      <c r="AT190" t="str">
        <f t="shared" si="64"/>
        <v>通常</v>
      </c>
      <c r="AU190">
        <f t="shared" si="65"/>
        <v>0</v>
      </c>
      <c r="BA190">
        <f>IFERROR((SUM(OFFSET(高値!$E$6,IFERROR(MATCH($C190,銘柄管理!$B$6:$B$305,0),MATCH(TEXT($C190,"0"),銘柄管理!$B$6:$B$305,0))-1,0,1,14))-SUM(OFFSET(安値!$E$6,IFERROR(MATCH($C190,銘柄管理!$B$6:$B$305,0),MATCH(TEXT($C190,"0"),銘柄管理!$B$6:$B$305,0))-1,0,1,14)))/SUM(OFFSET(終値!$E$6,IFERROR(MATCH($C190,銘柄管理!$B$6:$B$305,0),MATCH(TEXT($C190,"0"),銘柄管理!$B$6:$B$305,0))-1,0,1,14))*100,"")</f>
      </c>
      <c r="BB190">
        <f>IFERROR((MAX(OFFSET(高値!$E$6,IFERROR(MATCH($C190,銘柄管理!$B$6:$B$305,0),MATCH(TEXT($C190,"0"),銘柄管理!$B$6:$B$305,0))-1,0,1,25))-MIN(OFFSET(安値!$E$6,IFERROR(MATCH($C190,銘柄管理!$B$6:$B$305,0),MATCH(TEXT($C190,"0"),銘柄管理!$B$6:$B$305,0))-1,0,1,25)))/$E190*100,"")</f>
      </c>
      <c r="BC190">
        <f>IFERROR(($F190-$G190)/$G190*100,"")</f>
      </c>
      <c r="BD190">
        <f>IFERROR(($E190-MAX(OFFSET(高値!$E$6,IFERROR(MATCH($C190,銘柄管理!$B$6:$B$305,0),MATCH(TEXT($C190,"0"),銘柄管理!$B$6:$B$305,0))-1,0,1,25)))/MAX(OFFSET(高値!$E$6,IFERROR(MATCH($C190,銘柄管理!$B$6:$B$305,0),MATCH(TEXT($C190,"0"),銘柄管理!$B$6:$B$305,0))-1,0,1,25))*100,"")</f>
      </c>
      <c r="BE190">
        <f>IFERROR(($H190-$I190)/$F190*100,"")</f>
      </c>
      <c r="BF190">
        <f>IFERROR(-(($BA190-AVERAGE($BA$3:$BA$206))/STDEV($BA$3:$BA$206))-(($BE190-AVERAGE($BE$3:$BE$206))/STDEV($BE$3:$BE$206))-(($BB190-AVERAGE($BB$3:$BB$206))/STDEV($BB$3:$BB$206))-(($Z190-AVERAGE($Z$3:$Z$206))/STDEV($Z$3:$Z$206))-(($BC190-AVERAGE($BC$3:$BC$206))/STDEV($BC$3:$BC$206)),"")</f>
      </c>
      <c r="BG190">
        <f>IF(OR($C190="",$C190="TOPX",$BA190="",$BF190=""),0,IF(AND($BK$10=1,$BA190&lt;=$BK$2,$BB190&lt;=$BK$3,$BC190&lt;=$BK$4,$Z190&lt;=$BK$5,$Z190&gt;=$BK$6,$BD190&gt;=$BK$7,$BE190&lt;=$BK$8),1,0))</f>
      </c>
      <c r="BH190">
        <f>IF($C190="","",IF($BG190=1,"○ゲート通過",IF($BK$10&lt;&gt;1,"― この方向は停止中",IF($BA190&gt;$BK$2,"×値動きが荒い",IF($BB190&gt;$BK$3,"×レンジが広い",IF($BC190&gt;$BK$4,"×窓を開けて上昇",IF($Z190&gt;$BK$5,"×前日に急騰",IF($Z190&lt;$BK$6,"×前日に急落",IF($BD190&lt;$BK$7,"×高値から離れすぎ",IF($BE190&gt;$BK$8,"×当日の値幅が大きい","×")))))))))</f>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 t="shared" si="44"/>
        <v>-28.886363636363637</v>
      </c>
      <c r="M191" s="326">
        <f>IF(C191&lt;&gt;"",IFERROR(AVERAGE(出来高!E172:I172),""),"")</f>
        <v>7272040</v>
      </c>
      <c r="N191" s="326">
        <f>IF(C191&lt;&gt;"",IFERROR(AVERAGE(出来高!E172:AC172),""),"")</f>
        <v>3990348</v>
      </c>
      <c r="O191" s="328">
        <f t="shared" si="45"/>
        <v>1.1688192034147227</v>
      </c>
      <c r="P191" s="325" t="str">
        <f t="shared" si="46"/>
        <v>普通→</v>
      </c>
      <c r="Q191" s="325" t="str">
        <f t="shared" si="47"/>
        <v>様子見▲</v>
      </c>
      <c r="R191" s="326">
        <f t="shared" si="48"/>
        <v>1439</v>
      </c>
      <c r="S191" s="326">
        <f t="shared" si="49"/>
        <v>1627</v>
      </c>
      <c r="T191" s="325">
        <f>IF(C191="","",IFERROR(IF(W191&lt;=22,-4,IF(W191&lt;=28,-2,IF(W191&lt;=45,2,IF(W191&lt;=55,1,0))))+IF(X191&lt;0,2,0)+IF(AD191="下降トレンド▼",3,IF(AD191="もみ合い→",1,0))+IF(V191="年初来安値圏●",3,IF(V191="安値圏",2,0))+IF(Q191="売り▼",2,0)+IF(P191="急増↑↑",2,IF(P191="増加↑",1,0))+IF(Z191&lt;0,1,0)+IF(L191&lt;=-30,2,IF(L191&lt;=-15,1,0))+IF(AE191="25日戻り売り★",2,IF(AE191="5日戻り売り○",1,0))+N(AL191)+N(AP191)+N(AU191),0))</f>
      </c>
      <c r="U191" s="325" t="str">
        <f t="shared" si="51"/>
        <v>除外</v>
      </c>
      <c r="V191" s="325" t="str">
        <f t="shared" si="52"/>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 t="shared" si="53"/>
        <v>相場上昇・見送り | パーフェクト▲ MACD+ RSI:53.6 前日比:+4.3% [安値圏] [2点]</v>
      </c>
      <c r="Z191" s="331">
        <f t="shared" si="54"/>
        <v>4.2652449183605468</v>
      </c>
      <c r="AA191" s="325" t="str">
        <f t="shared" si="55"/>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 t="shared" si="56"/>
        <v>パーフェクト▲</v>
      </c>
      <c r="AE191" s="325" t="str">
        <f t="shared" si="57"/>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 t="shared" si="58"/>
        <v>0</v>
      </c>
      <c r="AH191">
        <f t="shared" si="59"/>
        <v>0</v>
      </c>
      <c r="AI191" s="373">
        <f t="array" ref="AI191">IF(C191="","",IFERROR((INDEX(終値!$E:$E,MATCH(TEXT(C191,"0"),終値!$A:$A,0))-INDEX(終値!$E:$CZ,MATCH(TEXT(C191,"0"),終値!$A:$A,0),$AN$2))/INDEX(終値!$E:$CZ,MATCH(TEXT(C191,"0"),終値!$A:$A,0),$AN$2)*100,""))</f>
        <v>14.447695683979516</v>
      </c>
      <c r="AJ191" s="373">
        <f t="array" ref="AJ191">IFERROR((終値!$E$5-INDEX(終値!$E$5:$CZ$5,1,$AN$2))/INDEX(終値!$E$5:$CZ$5,1,$AN$2)*100,"")</f>
        <v>1.0179378228534113</v>
      </c>
      <c r="AK191" s="374">
        <f t="shared" si="60"/>
        <v>13.429757861126104</v>
      </c>
      <c r="AL191" s="372">
        <f t="shared" si="61"/>
        <v>-2</v>
      </c>
      <c r="AO191" s="376" t="str">
        <f t="shared" si="62"/>
        <v>通常</v>
      </c>
      <c r="AP191" s="377">
        <f t="shared" si="63"/>
        <v>0</v>
      </c>
      <c r="AQ191">
        <f>IF(C191&lt;&gt;"",始値!F172,"")</f>
        <v>1449.5</v>
      </c>
      <c r="AR191">
        <f>IF(C191&lt;&gt;"",高値!F172,"")</f>
        <v>1504</v>
      </c>
      <c r="AS191">
        <f>IF(C191&lt;&gt;"",安値!F172,"")</f>
        <v>1443</v>
      </c>
      <c r="AT191" t="str">
        <f t="shared" si="64"/>
        <v>通常</v>
      </c>
      <c r="AU191">
        <f t="shared" si="65"/>
        <v>0</v>
      </c>
      <c r="BA191">
        <f>IFERROR((SUM(OFFSET(高値!$E$6,IFERROR(MATCH($C191,銘柄管理!$B$6:$B$305,0),MATCH(TEXT($C191,"0"),銘柄管理!$B$6:$B$305,0))-1,0,1,14))-SUM(OFFSET(安値!$E$6,IFERROR(MATCH($C191,銘柄管理!$B$6:$B$305,0),MATCH(TEXT($C191,"0"),銘柄管理!$B$6:$B$305,0))-1,0,1,14)))/SUM(OFFSET(終値!$E$6,IFERROR(MATCH($C191,銘柄管理!$B$6:$B$305,0),MATCH(TEXT($C191,"0"),銘柄管理!$B$6:$B$305,0))-1,0,1,14))*100,"")</f>
      </c>
      <c r="BB191">
        <f>IFERROR((MAX(OFFSET(高値!$E$6,IFERROR(MATCH($C191,銘柄管理!$B$6:$B$305,0),MATCH(TEXT($C191,"0"),銘柄管理!$B$6:$B$305,0))-1,0,1,25))-MIN(OFFSET(安値!$E$6,IFERROR(MATCH($C191,銘柄管理!$B$6:$B$305,0),MATCH(TEXT($C191,"0"),銘柄管理!$B$6:$B$305,0))-1,0,1,25)))/$E191*100,"")</f>
      </c>
      <c r="BC191">
        <f>IFERROR(($F191-$G191)/$G191*100,"")</f>
      </c>
      <c r="BD191">
        <f>IFERROR(($E191-MAX(OFFSET(高値!$E$6,IFERROR(MATCH($C191,銘柄管理!$B$6:$B$305,0),MATCH(TEXT($C191,"0"),銘柄管理!$B$6:$B$305,0))-1,0,1,25)))/MAX(OFFSET(高値!$E$6,IFERROR(MATCH($C191,銘柄管理!$B$6:$B$305,0),MATCH(TEXT($C191,"0"),銘柄管理!$B$6:$B$305,0))-1,0,1,25))*100,"")</f>
      </c>
      <c r="BE191">
        <f>IFERROR(($H191-$I191)/$F191*100,"")</f>
      </c>
      <c r="BF191">
        <f>IFERROR(-(($BA191-AVERAGE($BA$3:$BA$206))/STDEV($BA$3:$BA$206))-(($BE191-AVERAGE($BE$3:$BE$206))/STDEV($BE$3:$BE$206))-(($BB191-AVERAGE($BB$3:$BB$206))/STDEV($BB$3:$BB$206))-(($Z191-AVERAGE($Z$3:$Z$206))/STDEV($Z$3:$Z$206))-(($BC191-AVERAGE($BC$3:$BC$206))/STDEV($BC$3:$BC$206)),"")</f>
      </c>
      <c r="BG191">
        <f>IF(OR($C191="",$C191="TOPX",$BA191="",$BF191=""),0,IF(AND($BK$10=1,$BA191&lt;=$BK$2,$BB191&lt;=$BK$3,$BC191&lt;=$BK$4,$Z191&lt;=$BK$5,$Z191&gt;=$BK$6,$BD191&gt;=$BK$7,$BE191&lt;=$BK$8),1,0))</f>
      </c>
      <c r="BH191">
        <f>IF($C191="","",IF($BG191=1,"○ゲート通過",IF($BK$10&lt;&gt;1,"― この方向は停止中",IF($BA191&gt;$BK$2,"×値動きが荒い",IF($BB191&gt;$BK$3,"×レンジが広い",IF($BC191&gt;$BK$4,"×窓を開けて上昇",IF($Z191&gt;$BK$5,"×前日に急騰",IF($Z191&lt;$BK$6,"×前日に急落",IF($BD191&lt;$BK$7,"×高値から離れすぎ",IF($BE191&gt;$BK$8,"×当日の値幅が大きい","×")))))))))</f>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 t="shared" si="44"/>
        <v>-27.236180904522612</v>
      </c>
      <c r="M192" s="333">
        <f>IF(C192&lt;&gt;"",IFERROR(AVERAGE(出来高!E173:I173),""),"")</f>
        <v>37320</v>
      </c>
      <c r="N192" s="333">
        <f>IF(C192&lt;&gt;"",IFERROR(AVERAGE(出来高!E173:AC173),""),"")</f>
        <v>51466.666666666664</v>
      </c>
      <c r="O192" s="335">
        <f t="shared" si="45"/>
        <v>0.969989281886388</v>
      </c>
      <c r="P192" s="212" t="str">
        <f t="shared" si="46"/>
        <v>減少↓</v>
      </c>
      <c r="Q192" s="212" t="str">
        <f t="shared" si="47"/>
        <v>様子見▲</v>
      </c>
      <c r="R192" s="333">
        <f t="shared" si="48"/>
        <v>666</v>
      </c>
      <c r="S192" s="333">
        <f t="shared" si="49"/>
        <v>753</v>
      </c>
      <c r="T192" s="325">
        <f>IF(C192="","",IFERROR(IF(W192&lt;=22,-4,IF(W192&lt;=28,-2,IF(W192&lt;=45,2,IF(W192&lt;=55,1,0))))+IF(X192&lt;0,2,0)+IF(AD192="下降トレンド▼",3,IF(AD192="もみ合い→",1,0))+IF(V192="年初来安値圏●",3,IF(V192="安値圏",2,0))+IF(Q192="売り▼",2,0)+IF(P192="急増↑↑",2,IF(P192="増加↑",1,0))+IF(Z192&lt;0,1,0)+IF(L192&lt;=-30,2,IF(L192&lt;=-15,1,0))+IF(AE192="25日戻り売り★",2,IF(AE192="5日戻り売り○",1,0))+N(AL192)+N(AP192)+N(AU192),0))</f>
      </c>
      <c r="U192" s="212" t="str">
        <f t="shared" si="51"/>
        <v>要確認</v>
      </c>
      <c r="V192" s="212" t="str">
        <f t="shared" si="52"/>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 t="shared" si="53"/>
        <v>相場上昇・見送り | パーフェクト▲ MACD- RSI:49.6 前日比:+1.5% [安値圏] [6点]</v>
      </c>
      <c r="Z192" s="338">
        <f t="shared" si="54"/>
        <v>1.5427769985974753</v>
      </c>
      <c r="AA192" s="212" t="str">
        <f t="shared" si="55"/>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 t="shared" si="56"/>
        <v>パーフェクト▲</v>
      </c>
      <c r="AE192" s="212" t="str">
        <f t="shared" si="57"/>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 t="shared" si="58"/>
        <v>0</v>
      </c>
      <c r="AH192">
        <f t="shared" si="59"/>
        <v>0</v>
      </c>
      <c r="AI192" s="373">
        <f t="array" ref="AI192">IF(C192="","",IFERROR((INDEX(終値!$E:$E,MATCH(TEXT(C192,"0"),終値!$A:$A,0))-INDEX(終値!$E:$CZ,MATCH(TEXT(C192,"0"),終値!$A:$A,0),$AN$2))/INDEX(終値!$E:$CZ,MATCH(TEXT(C192,"0"),終値!$A:$A,0),$AN$2)*100,""))</f>
        <v>0.83565459610027859</v>
      </c>
      <c r="AJ192" s="373">
        <f t="array" ref="AJ192">IFERROR((終値!$E$5-INDEX(終値!$E$5:$CZ$5,1,$AN$2))/INDEX(終値!$E$5:$CZ$5,1,$AN$2)*100,"")</f>
        <v>1.0179378228534113</v>
      </c>
      <c r="AK192" s="374">
        <f t="shared" si="60"/>
        <v>-0.18228322675313269</v>
      </c>
      <c r="AL192" s="372">
        <f t="shared" si="61"/>
        <v>1</v>
      </c>
      <c r="AO192" s="376" t="str">
        <f t="shared" si="62"/>
        <v>通常</v>
      </c>
      <c r="AP192" s="377">
        <f t="shared" si="63"/>
        <v>0</v>
      </c>
      <c r="AQ192">
        <f>IF(C192&lt;&gt;"",始値!F173,"")</f>
        <v>706</v>
      </c>
      <c r="AR192">
        <f>IF(C192&lt;&gt;"",高値!F173,"")</f>
        <v>716</v>
      </c>
      <c r="AS192">
        <f>IF(C192&lt;&gt;"",安値!F173,"")</f>
        <v>706</v>
      </c>
      <c r="AT192" t="str">
        <f t="shared" si="64"/>
        <v>通常</v>
      </c>
      <c r="AU192">
        <f t="shared" si="65"/>
        <v>0</v>
      </c>
      <c r="BA192">
        <f>IFERROR((SUM(OFFSET(高値!$E$6,IFERROR(MATCH($C192,銘柄管理!$B$6:$B$305,0),MATCH(TEXT($C192,"0"),銘柄管理!$B$6:$B$305,0))-1,0,1,14))-SUM(OFFSET(安値!$E$6,IFERROR(MATCH($C192,銘柄管理!$B$6:$B$305,0),MATCH(TEXT($C192,"0"),銘柄管理!$B$6:$B$305,0))-1,0,1,14)))/SUM(OFFSET(終値!$E$6,IFERROR(MATCH($C192,銘柄管理!$B$6:$B$305,0),MATCH(TEXT($C192,"0"),銘柄管理!$B$6:$B$305,0))-1,0,1,14))*100,"")</f>
      </c>
      <c r="BB192">
        <f>IFERROR((MAX(OFFSET(高値!$E$6,IFERROR(MATCH($C192,銘柄管理!$B$6:$B$305,0),MATCH(TEXT($C192,"0"),銘柄管理!$B$6:$B$305,0))-1,0,1,25))-MIN(OFFSET(安値!$E$6,IFERROR(MATCH($C192,銘柄管理!$B$6:$B$305,0),MATCH(TEXT($C192,"0"),銘柄管理!$B$6:$B$305,0))-1,0,1,25)))/$E192*100,"")</f>
      </c>
      <c r="BC192">
        <f>IFERROR(($F192-$G192)/$G192*100,"")</f>
      </c>
      <c r="BD192">
        <f>IFERROR(($E192-MAX(OFFSET(高値!$E$6,IFERROR(MATCH($C192,銘柄管理!$B$6:$B$305,0),MATCH(TEXT($C192,"0"),銘柄管理!$B$6:$B$305,0))-1,0,1,25)))/MAX(OFFSET(高値!$E$6,IFERROR(MATCH($C192,銘柄管理!$B$6:$B$305,0),MATCH(TEXT($C192,"0"),銘柄管理!$B$6:$B$305,0))-1,0,1,25))*100,"")</f>
      </c>
      <c r="BE192">
        <f>IFERROR(($H192-$I192)/$F192*100,"")</f>
      </c>
      <c r="BF192">
        <f>IFERROR(-(($BA192-AVERAGE($BA$3:$BA$206))/STDEV($BA$3:$BA$206))-(($BE192-AVERAGE($BE$3:$BE$206))/STDEV($BE$3:$BE$206))-(($BB192-AVERAGE($BB$3:$BB$206))/STDEV($BB$3:$BB$206))-(($Z192-AVERAGE($Z$3:$Z$206))/STDEV($Z$3:$Z$206))-(($BC192-AVERAGE($BC$3:$BC$206))/STDEV($BC$3:$BC$206)),"")</f>
      </c>
      <c r="BG192">
        <f>IF(OR($C192="",$C192="TOPX",$BA192="",$BF192=""),0,IF(AND($BK$10=1,$BA192&lt;=$BK$2,$BB192&lt;=$BK$3,$BC192&lt;=$BK$4,$Z192&lt;=$BK$5,$Z192&gt;=$BK$6,$BD192&gt;=$BK$7,$BE192&lt;=$BK$8),1,0))</f>
      </c>
      <c r="BH192">
        <f>IF($C192="","",IF($BG192=1,"○ゲート通過",IF($BK$10&lt;&gt;1,"― この方向は停止中",IF($BA192&gt;$BK$2,"×値動きが荒い",IF($BB192&gt;$BK$3,"×レンジが広い",IF($BC192&gt;$BK$4,"×窓を開けて上昇",IF($Z192&gt;$BK$5,"×前日に急騰",IF($Z192&lt;$BK$6,"×前日に急落",IF($BD192&lt;$BK$7,"×高値から離れすぎ",IF($BE192&gt;$BK$8,"×当日の値幅が大きい","×")))))))))</f>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 t="shared" si="44"/>
        <v>-8.9191232048374918</v>
      </c>
      <c r="M193" s="326">
        <f>IF(C193&lt;&gt;"",IFERROR(AVERAGE(出来高!E186:I186),""),"")</f>
        <v>3383820</v>
      </c>
      <c r="N193" s="326">
        <f>IF(C193&lt;&gt;"",IFERROR(AVERAGE(出来高!E186:AC186),""),"")</f>
        <v>2731824</v>
      </c>
      <c r="O193" s="328">
        <f t="shared" si="45"/>
        <v>0.93223043778924408</v>
      </c>
      <c r="P193" s="325" t="str">
        <f t="shared" si="46"/>
        <v>減少↓</v>
      </c>
      <c r="Q193" s="325" t="str">
        <f t="shared" si="47"/>
        <v>様子見▲</v>
      </c>
      <c r="R193" s="326">
        <f t="shared" si="48"/>
        <v>1109</v>
      </c>
      <c r="S193" s="326">
        <f t="shared" si="49"/>
        <v>1253</v>
      </c>
      <c r="T193" s="325">
        <f>IF(C193="","",IFERROR(IF(W193&lt;=22,-4,IF(W193&lt;=28,-2,IF(W193&lt;=45,2,IF(W193&lt;=55,1,0))))+IF(X193&lt;0,2,0)+IF(AD193="下降トレンド▼",3,IF(AD193="もみ合い→",1,0))+IF(V193="年初来安値圏●",3,IF(V193="安値圏",2,0))+IF(Q193="売り▼",2,0)+IF(P193="急増↑↑",2,IF(P193="増加↑",1,0))+IF(Z193&lt;0,1,0)+IF(L193&lt;=-30,2,IF(L193&lt;=-15,1,0))+IF(AE193="25日戻り売り★",2,IF(AE193="5日戻り売り○",1,0))+N(AL193)+N(AP193)+N(AU193),0))</f>
      </c>
      <c r="U193" s="325" t="str">
        <f t="shared" si="51"/>
        <v>除外</v>
      </c>
      <c r="V193" s="325" t="str">
        <f t="shared" si="52"/>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 t="shared" si="53"/>
        <v>相場上昇・見送り | パーフェクト▲ MACD+ RSI:69.2 前日比:+1.8% [0点]</v>
      </c>
      <c r="Z193" s="331">
        <f t="shared" si="54"/>
        <v>1.8166455428812844</v>
      </c>
      <c r="AA193" s="325" t="str">
        <f t="shared" si="55"/>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 t="shared" si="56"/>
        <v>パーフェクト▲</v>
      </c>
      <c r="AE193" s="325" t="str">
        <f t="shared" si="57"/>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 t="shared" si="58"/>
        <v>0</v>
      </c>
      <c r="AH193">
        <f t="shared" si="59"/>
        <v>0</v>
      </c>
      <c r="AI193" s="373">
        <f t="array" ref="AI193">IF(C193="","",IFERROR((INDEX(終値!$E:$E,MATCH(TEXT(C193,"0"),終値!$A:$A,0))-INDEX(終値!$E:$CZ,MATCH(TEXT(C193,"0"),終値!$A:$A,0),$AN$2))/INDEX(終値!$E:$CZ,MATCH(TEXT(C193,"0"),終値!$A:$A,0),$AN$2)*100,""))</f>
        <v>13.465160075329566</v>
      </c>
      <c r="AJ193" s="373">
        <f t="array" ref="AJ193">IFERROR((終値!$E$5-INDEX(終値!$E$5:$CZ$5,1,$AN$2))/INDEX(終値!$E$5:$CZ$5,1,$AN$2)*100,"")</f>
        <v>1.0179378228534113</v>
      </c>
      <c r="AK193" s="374">
        <f t="shared" si="60"/>
        <v>12.447222252476154</v>
      </c>
      <c r="AL193" s="372">
        <f t="shared" si="61"/>
        <v>-2</v>
      </c>
      <c r="AO193" s="376" t="str">
        <f t="shared" si="62"/>
        <v>通常</v>
      </c>
      <c r="AP193" s="377">
        <f t="shared" si="63"/>
        <v>0</v>
      </c>
      <c r="AQ193">
        <f>IF(C193&lt;&gt;"",始値!F186,"")</f>
        <v>1192</v>
      </c>
      <c r="AR193">
        <f>IF(C193&lt;&gt;"",高値!F186,"")</f>
        <v>1208</v>
      </c>
      <c r="AS193">
        <f>IF(C193&lt;&gt;"",安値!F186,"")</f>
        <v>1183</v>
      </c>
      <c r="AT193" t="str">
        <f t="shared" si="64"/>
        <v>通常</v>
      </c>
      <c r="AU193">
        <f t="shared" si="65"/>
        <v>0</v>
      </c>
      <c r="BA193">
        <f>IFERROR((SUM(OFFSET(高値!$E$6,IFERROR(MATCH($C193,銘柄管理!$B$6:$B$305,0),MATCH(TEXT($C193,"0"),銘柄管理!$B$6:$B$305,0))-1,0,1,14))-SUM(OFFSET(安値!$E$6,IFERROR(MATCH($C193,銘柄管理!$B$6:$B$305,0),MATCH(TEXT($C193,"0"),銘柄管理!$B$6:$B$305,0))-1,0,1,14)))/SUM(OFFSET(終値!$E$6,IFERROR(MATCH($C193,銘柄管理!$B$6:$B$305,0),MATCH(TEXT($C193,"0"),銘柄管理!$B$6:$B$305,0))-1,0,1,14))*100,"")</f>
      </c>
      <c r="BB193">
        <f>IFERROR((MAX(OFFSET(高値!$E$6,IFERROR(MATCH($C193,銘柄管理!$B$6:$B$305,0),MATCH(TEXT($C193,"0"),銘柄管理!$B$6:$B$305,0))-1,0,1,25))-MIN(OFFSET(安値!$E$6,IFERROR(MATCH($C193,銘柄管理!$B$6:$B$305,0),MATCH(TEXT($C193,"0"),銘柄管理!$B$6:$B$305,0))-1,0,1,25)))/$E193*100,"")</f>
      </c>
      <c r="BC193">
        <f>IFERROR(($F193-$G193)/$G193*100,"")</f>
      </c>
      <c r="BD193">
        <f>IFERROR(($E193-MAX(OFFSET(高値!$E$6,IFERROR(MATCH($C193,銘柄管理!$B$6:$B$305,0),MATCH(TEXT($C193,"0"),銘柄管理!$B$6:$B$305,0))-1,0,1,25)))/MAX(OFFSET(高値!$E$6,IFERROR(MATCH($C193,銘柄管理!$B$6:$B$305,0),MATCH(TEXT($C193,"0"),銘柄管理!$B$6:$B$305,0))-1,0,1,25))*100,"")</f>
      </c>
      <c r="BE193">
        <f>IFERROR(($H193-$I193)/$F193*100,"")</f>
      </c>
      <c r="BF193">
        <f>IFERROR(-(($BA193-AVERAGE($BA$3:$BA$206))/STDEV($BA$3:$BA$206))-(($BE193-AVERAGE($BE$3:$BE$206))/STDEV($BE$3:$BE$206))-(($BB193-AVERAGE($BB$3:$BB$206))/STDEV($BB$3:$BB$206))-(($Z193-AVERAGE($Z$3:$Z$206))/STDEV($Z$3:$Z$206))-(($BC193-AVERAGE($BC$3:$BC$206))/STDEV($BC$3:$BC$206)),"")</f>
      </c>
      <c r="BG193">
        <f>IF(OR($C193="",$C193="TOPX",$BA193="",$BF193=""),0,IF(AND($BK$10=1,$BA193&lt;=$BK$2,$BB193&lt;=$BK$3,$BC193&lt;=$BK$4,$Z193&lt;=$BK$5,$Z193&gt;=$BK$6,$BD193&gt;=$BK$7,$BE193&lt;=$BK$8),1,0))</f>
      </c>
      <c r="BH193">
        <f>IF($C193="","",IF($BG193=1,"○ゲート通過",IF($BK$10&lt;&gt;1,"― この方向は停止中",IF($BA193&gt;$BK$2,"×値動きが荒い",IF($BB193&gt;$BK$3,"×レンジが広い",IF($BC193&gt;$BK$4,"×窓を開けて上昇",IF($Z193&gt;$BK$5,"×前日に急騰",IF($Z193&lt;$BK$6,"×前日に急落",IF($BD193&lt;$BK$7,"×高値から離れすぎ",IF($BE193&gt;$BK$8,"×当日の値幅が大きい","×")))))))))</f>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 t="shared" si="44"/>
        <v>-10.184667039731393</v>
      </c>
      <c r="M194" s="333">
        <f>IF(C194&lt;&gt;"",IFERROR(AVERAGE(出来高!E191:I191),""),"")</f>
        <v>23540</v>
      </c>
      <c r="N194" s="333">
        <f>IF(C194&lt;&gt;"",IFERROR(AVERAGE(出来高!E191:AC191),""),"")</f>
        <v>23432</v>
      </c>
      <c r="O194" s="335">
        <f t="shared" si="45"/>
        <v>1.1682242990654206</v>
      </c>
      <c r="P194" s="212" t="str">
        <f t="shared" si="46"/>
        <v>普通→</v>
      </c>
      <c r="Q194" s="212" t="str">
        <f t="shared" si="47"/>
        <v>様子見▲</v>
      </c>
      <c r="R194" s="333">
        <f t="shared" si="48"/>
        <v>1477</v>
      </c>
      <c r="S194" s="333">
        <f t="shared" si="49"/>
        <v>1669</v>
      </c>
      <c r="T194" s="325">
        <f>IF(C194="","",IFERROR(IF(W194&lt;=22,-4,IF(W194&lt;=28,-2,IF(W194&lt;=45,2,IF(W194&lt;=55,1,0))))+IF(X194&lt;0,2,0)+IF(AD194="下降トレンド▼",3,IF(AD194="もみ合い→",1,0))+IF(V194="年初来安値圏●",3,IF(V194="安値圏",2,0))+IF(Q194="売り▼",2,0)+IF(P194="急増↑↑",2,IF(P194="増加↑",1,0))+IF(Z194&lt;0,1,0)+IF(L194&lt;=-30,2,IF(L194&lt;=-15,1,0))+IF(AE194="25日戻り売り★",2,IF(AE194="5日戻り売り○",1,0))+N(AL194)+N(AP194)+N(AU194),0))</f>
      </c>
      <c r="U194" s="212" t="str">
        <f t="shared" si="51"/>
        <v>除外</v>
      </c>
      <c r="V194" s="212" t="str">
        <f t="shared" si="52"/>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 t="shared" si="53"/>
        <v>相場上昇・見送り | パーフェクト▲ MACD+ RSI:59.8 前日比:+1.1% [-1点]</v>
      </c>
      <c r="Z194" s="338">
        <f t="shared" si="54"/>
        <v>1.1342155009451798</v>
      </c>
      <c r="AA194" s="212" t="str">
        <f t="shared" si="55"/>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 t="shared" si="56"/>
        <v>パーフェクト▲</v>
      </c>
      <c r="AE194" s="212" t="str">
        <f t="shared" si="57"/>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 t="shared" si="58"/>
        <v>0</v>
      </c>
      <c r="AH194">
        <f t="shared" si="59"/>
        <v>0</v>
      </c>
      <c r="AI194" s="373">
        <f t="array" ref="AI194">IF(C194="","",IFERROR((INDEX(終値!$E:$E,MATCH(TEXT(C194,"0"),終値!$A:$A,0))-INDEX(終値!$E:$CZ,MATCH(TEXT(C194,"0"),終値!$A:$A,0),$AN$2))/INDEX(終値!$E:$CZ,MATCH(TEXT(C194,"0"),終値!$A:$A,0),$AN$2)*100,""))</f>
        <v>5.6616194865042786</v>
      </c>
      <c r="AJ194" s="373">
        <f t="array" ref="AJ194">IFERROR((終値!$E$5-INDEX(終値!$E$5:$CZ$5,1,$AN$2))/INDEX(終値!$E$5:$CZ$5,1,$AN$2)*100,"")</f>
        <v>1.0179378228534113</v>
      </c>
      <c r="AK194" s="374">
        <f t="shared" si="60"/>
        <v>4.6436816636508675</v>
      </c>
      <c r="AL194" s="372">
        <f t="shared" si="61"/>
        <v>-2</v>
      </c>
      <c r="AO194" s="376" t="str">
        <f t="shared" si="62"/>
        <v>通常</v>
      </c>
      <c r="AP194" s="377">
        <f t="shared" si="63"/>
        <v>0</v>
      </c>
      <c r="AQ194">
        <f>IF(C194&lt;&gt;"",始値!F191,"")</f>
        <v>1580</v>
      </c>
      <c r="AR194">
        <f>IF(C194&lt;&gt;"",高値!F191,"")</f>
        <v>1592</v>
      </c>
      <c r="AS194">
        <f>IF(C194&lt;&gt;"",安値!F191,"")</f>
        <v>1571</v>
      </c>
      <c r="AT194" t="str">
        <f t="shared" si="64"/>
        <v>通常</v>
      </c>
      <c r="AU194">
        <f t="shared" si="65"/>
        <v>0</v>
      </c>
      <c r="BA194">
        <f>IFERROR((SUM(OFFSET(高値!$E$6,IFERROR(MATCH($C194,銘柄管理!$B$6:$B$305,0),MATCH(TEXT($C194,"0"),銘柄管理!$B$6:$B$305,0))-1,0,1,14))-SUM(OFFSET(安値!$E$6,IFERROR(MATCH($C194,銘柄管理!$B$6:$B$305,0),MATCH(TEXT($C194,"0"),銘柄管理!$B$6:$B$305,0))-1,0,1,14)))/SUM(OFFSET(終値!$E$6,IFERROR(MATCH($C194,銘柄管理!$B$6:$B$305,0),MATCH(TEXT($C194,"0"),銘柄管理!$B$6:$B$305,0))-1,0,1,14))*100,"")</f>
      </c>
      <c r="BB194">
        <f>IFERROR((MAX(OFFSET(高値!$E$6,IFERROR(MATCH($C194,銘柄管理!$B$6:$B$305,0),MATCH(TEXT($C194,"0"),銘柄管理!$B$6:$B$305,0))-1,0,1,25))-MIN(OFFSET(安値!$E$6,IFERROR(MATCH($C194,銘柄管理!$B$6:$B$305,0),MATCH(TEXT($C194,"0"),銘柄管理!$B$6:$B$305,0))-1,0,1,25)))/$E194*100,"")</f>
      </c>
      <c r="BC194">
        <f>IFERROR(($F194-$G194)/$G194*100,"")</f>
      </c>
      <c r="BD194">
        <f>IFERROR(($E194-MAX(OFFSET(高値!$E$6,IFERROR(MATCH($C194,銘柄管理!$B$6:$B$305,0),MATCH(TEXT($C194,"0"),銘柄管理!$B$6:$B$305,0))-1,0,1,25)))/MAX(OFFSET(高値!$E$6,IFERROR(MATCH($C194,銘柄管理!$B$6:$B$305,0),MATCH(TEXT($C194,"0"),銘柄管理!$B$6:$B$305,0))-1,0,1,25))*100,"")</f>
      </c>
      <c r="BE194">
        <f>IFERROR(($H194-$I194)/$F194*100,"")</f>
      </c>
      <c r="BF194">
        <f>IFERROR(-(($BA194-AVERAGE($BA$3:$BA$206))/STDEV($BA$3:$BA$206))-(($BE194-AVERAGE($BE$3:$BE$206))/STDEV($BE$3:$BE$206))-(($BB194-AVERAGE($BB$3:$BB$206))/STDEV($BB$3:$BB$206))-(($Z194-AVERAGE($Z$3:$Z$206))/STDEV($Z$3:$Z$206))-(($BC194-AVERAGE($BC$3:$BC$206))/STDEV($BC$3:$BC$206)),"")</f>
      </c>
      <c r="BG194">
        <f>IF(OR($C194="",$C194="TOPX",$BA194="",$BF194=""),0,IF(AND($BK$10=1,$BA194&lt;=$BK$2,$BB194&lt;=$BK$3,$BC194&lt;=$BK$4,$Z194&lt;=$BK$5,$Z194&gt;=$BK$6,$BD194&gt;=$BK$7,$BE194&lt;=$BK$8),1,0))</f>
      </c>
      <c r="BH194">
        <f>IF($C194="","",IF($BG194=1,"○ゲート通過",IF($BK$10&lt;&gt;1,"― この方向は停止中",IF($BA194&gt;$BK$2,"×値動きが荒い",IF($BB194&gt;$BK$3,"×レンジが広い",IF($BC194&gt;$BK$4,"×窓を開けて上昇",IF($Z194&gt;$BK$5,"×前日に急騰",IF($Z194&lt;$BK$6,"×前日に急落",IF($BD194&lt;$BK$7,"×高値から離れすぎ",IF($BE194&gt;$BK$8,"×当日の値幅が大きい","×")))))))))</f>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 t="shared" ref="L195:L206" si="66">IF(AND(E195&lt;&gt;"",K195&lt;&gt;"",K195&lt;&gt;0),(E195-K195)/K195*100,"")</f>
        <v>-33.633020024519823</v>
      </c>
      <c r="M195" s="326">
        <f>IF(C195&lt;&gt;"",IFERROR(AVERAGE(出来高!E192:I192),""),"")</f>
        <v>483740</v>
      </c>
      <c r="N195" s="326">
        <f>IF(C195&lt;&gt;"",IFERROR(AVERAGE(出来高!E192:AC192),""),"")</f>
        <v>425448</v>
      </c>
      <c r="O195" s="328">
        <f t="shared" ref="O195:O206" si="67">IF(AND(J195&lt;&gt;"",M195&lt;&gt;"",M195&lt;&gt;0),J195/M195,"")</f>
        <v>0.80725182949518337</v>
      </c>
      <c r="P195" s="325" t="str">
        <f t="shared" ref="P195:P206" si="68">IF(O195="","",IF(O195&gt;=2,"急増↑↑",IF(O195&gt;=1.5,"増加↑",IF(O195&gt;=1,"普通→","減少↓"))))</f>
        <v>減少↓</v>
      </c>
      <c r="Q195" s="325" t="str">
        <f t="shared" ref="Q195:Q206" si="69">IF(E195="","",IF(AND(E195&lt;G195,O195&gt;=1.5),"売り▼",IF(E195&gt;G195,"様子見▲","中立→")))</f>
        <v>様子見▲</v>
      </c>
      <c r="R195" s="326">
        <f t="shared" ref="R195:R206" si="70">IF(E195&lt;&gt;"",ROUND(E195*0.92,0),"")</f>
        <v>1494</v>
      </c>
      <c r="S195" s="326">
        <f t="shared" ref="S195:S206" si="71">IF(E195&lt;&gt;"",ROUND(E195*1.04,0),"")</f>
        <v>1689</v>
      </c>
      <c r="T195" s="325">
        <f>IF(C195="","",IFERROR(IF(W195&lt;=22,-4,IF(W195&lt;=28,-2,IF(W195&lt;=45,2,IF(W195&lt;=55,1,0))))+IF(X195&lt;0,2,0)+IF(AD195="下降トレンド▼",3,IF(AD195="もみ合い→",1,0))+IF(V195="年初来安値圏●",3,IF(V195="安値圏",2,0))+IF(Q195="売り▼",2,0)+IF(P195="急増↑↑",2,IF(P195="増加↑",1,0))+IF(Z195&lt;0,1,0)+IF(L195&lt;=-30,2,IF(L195&lt;=-15,1,0))+IF(AE195="25日戻り売り★",2,IF(AE195="5日戻り売り○",1,0))+N(AL195)+N(AP195)+N(AU195),0))</f>
      </c>
      <c r="U195" s="325" t="str">
        <f t="shared" ref="U195:U206" si="73">IF(T195="","",IF(AND(T195&gt;=3,O195&gt;=1.5),"有効",IF(T195&gt;=3,"要確認","除外")))</f>
        <v>要確認</v>
      </c>
      <c r="V195" s="325" t="str">
        <f t="shared" ref="V195:V206" si="74">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 t="shared" ref="Z195:Z206" si="76">IF(AND(E195&lt;&gt;"",G195&lt;&gt;"",G195&lt;&gt;0),(E195-G195)/G195*100,"")</f>
        <v>1.5634771732332706</v>
      </c>
      <c r="AA195" s="325" t="str">
        <f t="shared" ref="AA195:AA206" si="77">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 t="shared" ref="AD195:AD206" si="78">IF(OR(C195="",AB195="",AC195="",AB195=0,AC195=0),"",IF(AND(E195&gt;AB195,AB195&gt;AC195),"パーフェクト▲",IF(E195&gt;AC195,"上昇トレンド▲",IF(AND(E195&lt;AB195,AB195&lt;AC195),"下降トレンド▼","もみ合い→"))))</f>
        <v>もみ合い→</v>
      </c>
      <c r="AE195" s="325" t="str">
        <f t="shared" ref="AE195:AE206" si="79">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 t="shared" ref="AG195:AG206" si="80">IF(AND(T195&gt;=7,C195&lt;&gt;""),T195,0)</f>
        <v>10</v>
      </c>
      <c r="AH195">
        <f t="shared" ref="AH195:AH206" si="81">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IFERROR((終値!$E$5-INDEX(終値!$E$5:$CZ$5,1,$AN$2))/INDEX(終値!$E$5:$CZ$5,1,$AN$2)*100,"")</f>
        <v>1.0179378228534113</v>
      </c>
      <c r="AK195" s="374">
        <f t="shared" ref="AK195:AK206" si="82">IF(OR(AI195="",AJ195=""),"",AI195-AJ195)</f>
        <v>-4.062713942256396</v>
      </c>
      <c r="AL195" s="372">
        <f t="shared" ref="AL195:AL206" si="83">IF(AK195="","",IF(AK195&lt;-5,3,IF(AK195&lt;0,1,IF(AK195&lt;3,-1,-2))))</f>
        <v>1</v>
      </c>
      <c r="AO195" s="376" t="str">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 t="shared" ref="AP195:AP206" si="85">IF($AO195="上ヒゲ陰線▼",2,IF($AO195="大陰線▼",2,IF($AO195="長い下ヒゲ(反発警戒)",-2,0)))</f>
        <v>0</v>
      </c>
      <c r="AQ195">
        <f>IF(C195&lt;&gt;"",始値!F192,"")</f>
        <v>1605</v>
      </c>
      <c r="AR195">
        <f>IF(C195&lt;&gt;"",高値!F192,"")</f>
        <v>1619</v>
      </c>
      <c r="AS195">
        <f>IF(C195&lt;&gt;"",安値!F192,"")</f>
        <v>1599</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 t="shared" ref="AU195:AU206" si="87">IF(AT195="上ヒゲ陰線▼",2,IF(AT195="大陰線▼",2,IF(AT195="長い下ヒゲ(反発)",-2,0)))</f>
        <v>2</v>
      </c>
      <c r="BA195">
        <f>IFERROR((SUM(OFFSET(高値!$E$6,IFERROR(MATCH($C195,銘柄管理!$B$6:$B$305,0),MATCH(TEXT($C195,"0"),銘柄管理!$B$6:$B$305,0))-1,0,1,14))-SUM(OFFSET(安値!$E$6,IFERROR(MATCH($C195,銘柄管理!$B$6:$B$305,0),MATCH(TEXT($C195,"0"),銘柄管理!$B$6:$B$305,0))-1,0,1,14)))/SUM(OFFSET(終値!$E$6,IFERROR(MATCH($C195,銘柄管理!$B$6:$B$305,0),MATCH(TEXT($C195,"0"),銘柄管理!$B$6:$B$305,0))-1,0,1,14))*100,"")</f>
      </c>
      <c r="BB195">
        <f>IFERROR((MAX(OFFSET(高値!$E$6,IFERROR(MATCH($C195,銘柄管理!$B$6:$B$305,0),MATCH(TEXT($C195,"0"),銘柄管理!$B$6:$B$305,0))-1,0,1,25))-MIN(OFFSET(安値!$E$6,IFERROR(MATCH($C195,銘柄管理!$B$6:$B$305,0),MATCH(TEXT($C195,"0"),銘柄管理!$B$6:$B$305,0))-1,0,1,25)))/$E195*100,"")</f>
      </c>
      <c r="BC195">
        <f>IFERROR(($F195-$G195)/$G195*100,"")</f>
      </c>
      <c r="BD195">
        <f>IFERROR(($E195-MAX(OFFSET(高値!$E$6,IFERROR(MATCH($C195,銘柄管理!$B$6:$B$305,0),MATCH(TEXT($C195,"0"),銘柄管理!$B$6:$B$305,0))-1,0,1,25)))/MAX(OFFSET(高値!$E$6,IFERROR(MATCH($C195,銘柄管理!$B$6:$B$305,0),MATCH(TEXT($C195,"0"),銘柄管理!$B$6:$B$305,0))-1,0,1,25))*100,"")</f>
      </c>
      <c r="BE195">
        <f>IFERROR(($H195-$I195)/$F195*100,"")</f>
      </c>
      <c r="BF195">
        <f>IFERROR(-(($BA195-AVERAGE($BA$3:$BA$206))/STDEV($BA$3:$BA$206))-(($BE195-AVERAGE($BE$3:$BE$206))/STDEV($BE$3:$BE$206))-(($BB195-AVERAGE($BB$3:$BB$206))/STDEV($BB$3:$BB$206))-(($Z195-AVERAGE($Z$3:$Z$206))/STDEV($Z$3:$Z$206))-(($BC195-AVERAGE($BC$3:$BC$206))/STDEV($BC$3:$BC$206)),"")</f>
      </c>
      <c r="BG195">
        <f>IF(OR($C195="",$C195="TOPX",$BA195="",$BF195=""),0,IF(AND($BK$10=1,$BA195&lt;=$BK$2,$BB195&lt;=$BK$3,$BC195&lt;=$BK$4,$Z195&lt;=$BK$5,$Z195&gt;=$BK$6,$BD195&gt;=$BK$7,$BE195&lt;=$BK$8),1,0))</f>
      </c>
      <c r="BH195">
        <f>IF($C195="","",IF($BG195=1,"○ゲート通過",IF($BK$10&lt;&gt;1,"― この方向は停止中",IF($BA195&gt;$BK$2,"×値動きが荒い",IF($BB195&gt;$BK$3,"×レンジが広い",IF($BC195&gt;$BK$4,"×窓を開けて上昇",IF($Z195&gt;$BK$5,"×前日に急騰",IF($Z195&lt;$BK$6,"×前日に急落",IF($BD195&lt;$BK$7,"×高値から離れすぎ",IF($BE195&gt;$BK$8,"×当日の値幅が大きい","×")))))))))</f>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 t="shared" si="66"/>
        <v>-8.3143507972665152</v>
      </c>
      <c r="M196" s="333">
        <f>IF(C196&lt;&gt;"",IFERROR(AVERAGE(出来高!E194:I194),""),"")</f>
        <v>620160</v>
      </c>
      <c r="N196" s="333">
        <f>IF(C196&lt;&gt;"",IFERROR(AVERAGE(出来高!E194:AC194),""),"")</f>
        <v>589525</v>
      </c>
      <c r="O196" s="335">
        <f t="shared" si="67"/>
        <v>0.98942208462332304</v>
      </c>
      <c r="P196" s="212" t="str">
        <f t="shared" si="68"/>
        <v>減少↓</v>
      </c>
      <c r="Q196" s="212" t="str">
        <f t="shared" si="69"/>
        <v>様子見▲</v>
      </c>
      <c r="R196" s="333">
        <f t="shared" si="70"/>
        <v>7406</v>
      </c>
      <c r="S196" s="333">
        <f t="shared" si="71"/>
        <v>8372</v>
      </c>
      <c r="T196" s="325">
        <f>IF(C196="","",IFERROR(IF(W196&lt;=22,-4,IF(W196&lt;=28,-2,IF(W196&lt;=45,2,IF(W196&lt;=55,1,0))))+IF(X196&lt;0,2,0)+IF(AD196="下降トレンド▼",3,IF(AD196="もみ合い→",1,0))+IF(V196="年初来安値圏●",3,IF(V196="安値圏",2,0))+IF(Q196="売り▼",2,0)+IF(P196="急増↑↑",2,IF(P196="増加↑",1,0))+IF(Z196&lt;0,1,0)+IF(L196&lt;=-30,2,IF(L196&lt;=-15,1,0))+IF(AE196="25日戻り売り★",2,IF(AE196="5日戻り売り○",1,0))+N(AL196)+N(AP196)+N(AU196),0))</f>
      </c>
      <c r="U196" s="212" t="str">
        <f t="shared" si="73"/>
        <v>除外</v>
      </c>
      <c r="V196" s="212" t="str">
        <f t="shared" si="74"/>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 t="shared" si="75"/>
        <v>相場上昇・見送り | 上昇トレンド▲ 5日戻り売り○ MACD+ RSI:51.3 前日比:+0.8%前日[大陰線▼] [2点]</v>
      </c>
      <c r="Z196" s="338">
        <f t="shared" si="76"/>
        <v>0.75093867334167708</v>
      </c>
      <c r="AA196" s="212" t="str">
        <f t="shared" si="77"/>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 t="shared" si="78"/>
        <v>上昇トレンド▲</v>
      </c>
      <c r="AE196" s="212" t="str">
        <f t="shared" si="79"/>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 t="shared" si="80"/>
        <v>0</v>
      </c>
      <c r="AH196">
        <f t="shared" si="81"/>
        <v>0</v>
      </c>
      <c r="AI196" s="373">
        <f t="array" ref="AI196">IF(C196="","",IFERROR((INDEX(終値!$E:$E,MATCH(TEXT(C196,"0"),終値!$A:$A,0))-INDEX(終値!$E:$CZ,MATCH(TEXT(C196,"0"),終値!$A:$A,0),$AN$2))/INDEX(終値!$E:$CZ,MATCH(TEXT(C196,"0"),終値!$A:$A,0),$AN$2)*100,""))</f>
        <v>9.6730245231607626</v>
      </c>
      <c r="AJ196" s="373">
        <f t="array" ref="AJ196">IFERROR((終値!$E$5-INDEX(終値!$E$5:$CZ$5,1,$AN$2))/INDEX(終値!$E$5:$CZ$5,1,$AN$2)*100,"")</f>
        <v>1.0179378228534113</v>
      </c>
      <c r="AK196" s="374">
        <f t="shared" si="82"/>
        <v>8.6550867003073506</v>
      </c>
      <c r="AL196" s="372">
        <f t="shared" si="83"/>
        <v>-2</v>
      </c>
      <c r="AO196" s="376" t="str">
        <f t="shared" si="84"/>
        <v>通常</v>
      </c>
      <c r="AP196" s="377">
        <f t="shared" si="85"/>
        <v>0</v>
      </c>
      <c r="AQ196">
        <f>IF(C196&lt;&gt;"",始値!F194,"")</f>
        <v>8140</v>
      </c>
      <c r="AR196">
        <f>IF(C196&lt;&gt;"",高値!F194,"")</f>
        <v>8150</v>
      </c>
      <c r="AS196">
        <f>IF(C196&lt;&gt;"",安値!F194,"")</f>
        <v>7980</v>
      </c>
      <c r="AT196" t="str">
        <f t="shared" si="86"/>
        <v>大陰線▼</v>
      </c>
      <c r="AU196">
        <f t="shared" si="87"/>
        <v>2</v>
      </c>
      <c r="BA196">
        <f>IFERROR((SUM(OFFSET(高値!$E$6,IFERROR(MATCH($C196,銘柄管理!$B$6:$B$305,0),MATCH(TEXT($C196,"0"),銘柄管理!$B$6:$B$305,0))-1,0,1,14))-SUM(OFFSET(安値!$E$6,IFERROR(MATCH($C196,銘柄管理!$B$6:$B$305,0),MATCH(TEXT($C196,"0"),銘柄管理!$B$6:$B$305,0))-1,0,1,14)))/SUM(OFFSET(終値!$E$6,IFERROR(MATCH($C196,銘柄管理!$B$6:$B$305,0),MATCH(TEXT($C196,"0"),銘柄管理!$B$6:$B$305,0))-1,0,1,14))*100,"")</f>
      </c>
      <c r="BB196">
        <f>IFERROR((MAX(OFFSET(高値!$E$6,IFERROR(MATCH($C196,銘柄管理!$B$6:$B$305,0),MATCH(TEXT($C196,"0"),銘柄管理!$B$6:$B$305,0))-1,0,1,25))-MIN(OFFSET(安値!$E$6,IFERROR(MATCH($C196,銘柄管理!$B$6:$B$305,0),MATCH(TEXT($C196,"0"),銘柄管理!$B$6:$B$305,0))-1,0,1,25)))/$E196*100,"")</f>
      </c>
      <c r="BC196">
        <f>IFERROR(($F196-$G196)/$G196*100,"")</f>
      </c>
      <c r="BD196">
        <f>IFERROR(($E196-MAX(OFFSET(高値!$E$6,IFERROR(MATCH($C196,銘柄管理!$B$6:$B$305,0),MATCH(TEXT($C196,"0"),銘柄管理!$B$6:$B$305,0))-1,0,1,25)))/MAX(OFFSET(高値!$E$6,IFERROR(MATCH($C196,銘柄管理!$B$6:$B$305,0),MATCH(TEXT($C196,"0"),銘柄管理!$B$6:$B$305,0))-1,0,1,25))*100,"")</f>
      </c>
      <c r="BE196">
        <f>IFERROR(($H196-$I196)/$F196*100,"")</f>
      </c>
      <c r="BF196">
        <f>IFERROR(-(($BA196-AVERAGE($BA$3:$BA$206))/STDEV($BA$3:$BA$206))-(($BE196-AVERAGE($BE$3:$BE$206))/STDEV($BE$3:$BE$206))-(($BB196-AVERAGE($BB$3:$BB$206))/STDEV($BB$3:$BB$206))-(($Z196-AVERAGE($Z$3:$Z$206))/STDEV($Z$3:$Z$206))-(($BC196-AVERAGE($BC$3:$BC$206))/STDEV($BC$3:$BC$206)),"")</f>
      </c>
      <c r="BG196">
        <f>IF(OR($C196="",$C196="TOPX",$BA196="",$BF196=""),0,IF(AND($BK$10=1,$BA196&lt;=$BK$2,$BB196&lt;=$BK$3,$BC196&lt;=$BK$4,$Z196&lt;=$BK$5,$Z196&gt;=$BK$6,$BD196&gt;=$BK$7,$BE196&lt;=$BK$8),1,0))</f>
      </c>
      <c r="BH196">
        <f>IF($C196="","",IF($BG196=1,"○ゲート通過",IF($BK$10&lt;&gt;1,"― この方向は停止中",IF($BA196&gt;$BK$2,"×値動きが荒い",IF($BB196&gt;$BK$3,"×レンジが広い",IF($BC196&gt;$BK$4,"×窓を開けて上昇",IF($Z196&gt;$BK$5,"×前日に急騰",IF($Z196&lt;$BK$6,"×前日に急落",IF($BD196&lt;$BK$7,"×高値から離れすぎ",IF($BE196&gt;$BK$8,"×当日の値幅が大きい","×")))))))))</f>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 t="shared" si="66"/>
        <v>-23.233486943164365</v>
      </c>
      <c r="M197" s="326">
        <f>IF(C197&lt;&gt;"",IFERROR(AVERAGE(出来高!E207:I207),""),"")</f>
        <v>29811200</v>
      </c>
      <c r="N197" s="326">
        <f>IF(C197&lt;&gt;"",IFERROR(AVERAGE(出来高!E207:AC207),""),"")</f>
        <v>20416600</v>
      </c>
      <c r="O197" s="328">
        <f t="shared" si="67"/>
        <v>0.66469313546586517</v>
      </c>
      <c r="P197" s="325" t="str">
        <f t="shared" si="68"/>
        <v>減少↓</v>
      </c>
      <c r="Q197" s="325" t="str">
        <f t="shared" si="69"/>
        <v>中立→</v>
      </c>
      <c r="R197" s="326">
        <f t="shared" si="70"/>
        <v>3678</v>
      </c>
      <c r="S197" s="326">
        <f t="shared" si="71"/>
        <v>4158</v>
      </c>
      <c r="T197" s="325">
        <f>IF(C197="","",IFERROR(IF(W197&lt;=22,-4,IF(W197&lt;=28,-2,IF(W197&lt;=45,2,IF(W197&lt;=55,1,0))))+IF(X197&lt;0,2,0)+IF(AD197="下降トレンド▼",3,IF(AD197="もみ合い→",1,0))+IF(V197="年初来安値圏●",3,IF(V197="安値圏",2,0))+IF(Q197="売り▼",2,0)+IF(P197="急増↑↑",2,IF(P197="増加↑",1,0))+IF(Z197&lt;0,1,0)+IF(L197&lt;=-30,2,IF(L197&lt;=-15,1,0))+IF(AE197="25日戻り売り★",2,IF(AE197="5日戻り売り○",1,0))+N(AL197)+N(AP197)+N(AU197),0))</f>
      </c>
      <c r="U197" s="325" t="str">
        <f t="shared" si="73"/>
        <v>除外</v>
      </c>
      <c r="V197" s="325" t="str">
        <f t="shared" si="74"/>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 t="shared" si="75"/>
        <v>相場上昇・見送り | パーフェクト▲ MACD+ RSI:58.1 前日比:-0.1%前日[長い下ヒゲ(反発)] [-1点]</v>
      </c>
      <c r="Z197" s="331">
        <f t="shared" si="76"/>
        <v>-0.05</v>
      </c>
      <c r="AA197" s="325" t="str">
        <f t="shared" si="77"/>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 t="shared" si="78"/>
        <v>パーフェクト▲</v>
      </c>
      <c r="AE197" s="325" t="str">
        <f t="shared" si="79"/>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 t="shared" si="80"/>
        <v>0</v>
      </c>
      <c r="AH197">
        <f t="shared" si="81"/>
        <v>0</v>
      </c>
      <c r="AI197" s="373">
        <f t="array" ref="AI197">IF(C197="","",IFERROR((INDEX(終値!$E:$E,MATCH(TEXT(C197,"0"),終値!$A:$A,0))-INDEX(終値!$E:$CZ,MATCH(TEXT(C197,"0"),終値!$A:$A,0),$AN$2))/INDEX(終値!$E:$CZ,MATCH(TEXT(C197,"0"),終値!$A:$A,0),$AN$2)*100,""))</f>
        <v>7.0128479657387581</v>
      </c>
      <c r="AJ197" s="373">
        <f t="array" ref="AJ197">IFERROR((終値!$E$5-INDEX(終値!$E$5:$CZ$5,1,$AN$2))/INDEX(終値!$E$5:$CZ$5,1,$AN$2)*100,"")</f>
        <v>1.0179378228534113</v>
      </c>
      <c r="AK197" s="374">
        <f t="shared" si="82"/>
        <v>5.9949101428853471</v>
      </c>
      <c r="AL197" s="372">
        <f t="shared" si="83"/>
        <v>-2</v>
      </c>
      <c r="AO197" s="376" t="str">
        <f t="shared" si="84"/>
        <v>通常</v>
      </c>
      <c r="AP197" s="377">
        <f t="shared" si="85"/>
        <v>0</v>
      </c>
      <c r="AQ197">
        <f>IF(C197&lt;&gt;"",始値!F207,"")</f>
        <v>4040</v>
      </c>
      <c r="AR197">
        <f>IF(C197&lt;&gt;"",高値!F207,"")</f>
        <v>4072</v>
      </c>
      <c r="AS197">
        <f>IF(C197&lt;&gt;"",安値!F207,"")</f>
        <v>3887</v>
      </c>
      <c r="AT197" t="str">
        <f t="shared" si="86"/>
        <v>長い下ヒゲ(反発)</v>
      </c>
      <c r="AU197">
        <f t="shared" si="87"/>
        <v>-2</v>
      </c>
      <c r="BA197">
        <f>IFERROR((SUM(OFFSET(高値!$E$6,IFERROR(MATCH($C197,銘柄管理!$B$6:$B$305,0),MATCH(TEXT($C197,"0"),銘柄管理!$B$6:$B$305,0))-1,0,1,14))-SUM(OFFSET(安値!$E$6,IFERROR(MATCH($C197,銘柄管理!$B$6:$B$305,0),MATCH(TEXT($C197,"0"),銘柄管理!$B$6:$B$305,0))-1,0,1,14)))/SUM(OFFSET(終値!$E$6,IFERROR(MATCH($C197,銘柄管理!$B$6:$B$305,0),MATCH(TEXT($C197,"0"),銘柄管理!$B$6:$B$305,0))-1,0,1,14))*100,"")</f>
      </c>
      <c r="BB197">
        <f>IFERROR((MAX(OFFSET(高値!$E$6,IFERROR(MATCH($C197,銘柄管理!$B$6:$B$305,0),MATCH(TEXT($C197,"0"),銘柄管理!$B$6:$B$305,0))-1,0,1,25))-MIN(OFFSET(安値!$E$6,IFERROR(MATCH($C197,銘柄管理!$B$6:$B$305,0),MATCH(TEXT($C197,"0"),銘柄管理!$B$6:$B$305,0))-1,0,1,25)))/$E197*100,"")</f>
      </c>
      <c r="BC197">
        <f>IFERROR(($F197-$G197)/$G197*100,"")</f>
      </c>
      <c r="BD197">
        <f>IFERROR(($E197-MAX(OFFSET(高値!$E$6,IFERROR(MATCH($C197,銘柄管理!$B$6:$B$305,0),MATCH(TEXT($C197,"0"),銘柄管理!$B$6:$B$305,0))-1,0,1,25)))/MAX(OFFSET(高値!$E$6,IFERROR(MATCH($C197,銘柄管理!$B$6:$B$305,0),MATCH(TEXT($C197,"0"),銘柄管理!$B$6:$B$305,0))-1,0,1,25))*100,"")</f>
      </c>
      <c r="BE197">
        <f>IFERROR(($H197-$I197)/$F197*100,"")</f>
      </c>
      <c r="BF197">
        <f>IFERROR(-(($BA197-AVERAGE($BA$3:$BA$206))/STDEV($BA$3:$BA$206))-(($BE197-AVERAGE($BE$3:$BE$206))/STDEV($BE$3:$BE$206))-(($BB197-AVERAGE($BB$3:$BB$206))/STDEV($BB$3:$BB$206))-(($Z197-AVERAGE($Z$3:$Z$206))/STDEV($Z$3:$Z$206))-(($BC197-AVERAGE($BC$3:$BC$206))/STDEV($BC$3:$BC$206)),"")</f>
      </c>
      <c r="BG197">
        <f>IF(OR($C197="",$C197="TOPX",$BA197="",$BF197=""),0,IF(AND($BK$10=1,$BA197&lt;=$BK$2,$BB197&lt;=$BK$3,$BC197&lt;=$BK$4,$Z197&lt;=$BK$5,$Z197&gt;=$BK$6,$BD197&gt;=$BK$7,$BE197&lt;=$BK$8),1,0))</f>
      </c>
      <c r="BH197">
        <f>IF($C197="","",IF($BG197=1,"○ゲート通過",IF($BK$10&lt;&gt;1,"― この方向は停止中",IF($BA197&gt;$BK$2,"×値動きが荒い",IF($BB197&gt;$BK$3,"×レンジが広い",IF($BC197&gt;$BK$4,"×窓を開けて上昇",IF($Z197&gt;$BK$5,"×前日に急騰",IF($Z197&lt;$BK$6,"×前日に急落",IF($BD197&lt;$BK$7,"×高値から離れすぎ",IF($BE197&gt;$BK$8,"×当日の値幅が大きい","×")))))))))</f>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 t="shared" si="66"/>
        <v>-3.2335011926848662</v>
      </c>
      <c r="M198" s="333">
        <f>IF(C198&lt;&gt;"",IFERROR(AVERAGE(出来高!E33:I33),""),"")</f>
        <v>5796960</v>
      </c>
      <c r="N198" s="333">
        <f>IF(C198&lt;&gt;"",IFERROR(AVERAGE(出来高!E33:AC33),""),"")</f>
        <v>4949128</v>
      </c>
      <c r="O198" s="335">
        <f t="shared" si="67"/>
        <v>0.62831208081477186</v>
      </c>
      <c r="P198" s="212" t="str">
        <f t="shared" si="68"/>
        <v>減少↓</v>
      </c>
      <c r="Q198" s="212" t="str">
        <f t="shared" si="69"/>
        <v>様子見▲</v>
      </c>
      <c r="R198" s="333">
        <f t="shared" si="70"/>
        <v>1679</v>
      </c>
      <c r="S198" s="333">
        <f t="shared" si="71"/>
        <v>1899</v>
      </c>
      <c r="T198" s="325">
        <f>IF(C198="","",IFERROR(IF(W198&lt;=22,-4,IF(W198&lt;=28,-2,IF(W198&lt;=45,2,IF(W198&lt;=55,1,0))))+IF(X198&lt;0,2,0)+IF(AD198="下降トレンド▼",3,IF(AD198="もみ合い→",1,0))+IF(V198="年初来安値圏●",3,IF(V198="安値圏",2,0))+IF(Q198="売り▼",2,0)+IF(P198="急増↑↑",2,IF(P198="増加↑",1,0))+IF(Z198&lt;0,1,0)+IF(L198&lt;=-30,2,IF(L198&lt;=-15,1,0))+IF(AE198="25日戻り売り★",2,IF(AE198="5日戻り売り○",1,0))+N(AL198)+N(AP198)+N(AU198),0))</f>
      </c>
      <c r="U198" s="212" t="str">
        <f t="shared" si="73"/>
        <v>除外</v>
      </c>
      <c r="V198" s="212" t="str">
        <f t="shared" si="74"/>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 t="shared" si="75"/>
        <v>相場上昇・見送り | パーフェクト▲ MACD+ RSI:41.7 前日比:+0.8% [-2点]</v>
      </c>
      <c r="Z198" s="338">
        <f t="shared" si="76"/>
        <v>0.80066261733848698</v>
      </c>
      <c r="AA198" s="212" t="str">
        <f t="shared" si="77"/>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 t="shared" si="78"/>
        <v>パーフェクト▲</v>
      </c>
      <c r="AE198" s="212" t="str">
        <f t="shared" si="79"/>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 t="shared" si="80"/>
        <v>0</v>
      </c>
      <c r="AH198">
        <f t="shared" si="81"/>
        <v>0</v>
      </c>
      <c r="AI198" s="373">
        <f t="array" ref="AI198">IF(C198="","",IFERROR((INDEX(終値!$E:$E,MATCH(TEXT(C198,"0"),終値!$A:$A,0))-INDEX(終値!$E:$CZ,MATCH(TEXT(C198,"0"),終値!$A:$A,0),$AN$2))/INDEX(終値!$E:$CZ,MATCH(TEXT(C198,"0"),終値!$A:$A,0),$AN$2)*100,""))</f>
        <v>11.890897946674839</v>
      </c>
      <c r="AJ198" s="373">
        <f t="array" ref="AJ198">IFERROR((終値!$E$5-INDEX(終値!$E$5:$CZ$5,1,$AN$2))/INDEX(終値!$E$5:$CZ$5,1,$AN$2)*100,"")</f>
        <v>1.0179378228534113</v>
      </c>
      <c r="AK198" s="374">
        <f t="shared" si="82"/>
        <v>10.872960123821427</v>
      </c>
      <c r="AL198" s="372">
        <f t="shared" si="83"/>
        <v>-2</v>
      </c>
      <c r="AO198" s="376" t="str">
        <f t="shared" si="84"/>
        <v>通常</v>
      </c>
      <c r="AP198" s="377">
        <f t="shared" si="85"/>
        <v>0</v>
      </c>
      <c r="AQ198">
        <f>IF(C198&lt;&gt;"",始値!F33,"")</f>
        <v>1787</v>
      </c>
      <c r="AR198">
        <f>IF(C198&lt;&gt;"",高値!F33,"")</f>
        <v>1830</v>
      </c>
      <c r="AS198">
        <f>IF(C198&lt;&gt;"",安値!F33,"")</f>
        <v>1782</v>
      </c>
      <c r="AT198" t="str">
        <f t="shared" si="86"/>
        <v>通常</v>
      </c>
      <c r="AU198">
        <f t="shared" si="87"/>
        <v>0</v>
      </c>
      <c r="BA198">
        <f>IFERROR((SUM(OFFSET(高値!$E$6,IFERROR(MATCH($C198,銘柄管理!$B$6:$B$305,0),MATCH(TEXT($C198,"0"),銘柄管理!$B$6:$B$305,0))-1,0,1,14))-SUM(OFFSET(安値!$E$6,IFERROR(MATCH($C198,銘柄管理!$B$6:$B$305,0),MATCH(TEXT($C198,"0"),銘柄管理!$B$6:$B$305,0))-1,0,1,14)))/SUM(OFFSET(終値!$E$6,IFERROR(MATCH($C198,銘柄管理!$B$6:$B$305,0),MATCH(TEXT($C198,"0"),銘柄管理!$B$6:$B$305,0))-1,0,1,14))*100,"")</f>
      </c>
      <c r="BB198">
        <f>IFERROR((MAX(OFFSET(高値!$E$6,IFERROR(MATCH($C198,銘柄管理!$B$6:$B$305,0),MATCH(TEXT($C198,"0"),銘柄管理!$B$6:$B$305,0))-1,0,1,25))-MIN(OFFSET(安値!$E$6,IFERROR(MATCH($C198,銘柄管理!$B$6:$B$305,0),MATCH(TEXT($C198,"0"),銘柄管理!$B$6:$B$305,0))-1,0,1,25)))/$E198*100,"")</f>
      </c>
      <c r="BC198">
        <f>IFERROR(($F198-$G198)/$G198*100,"")</f>
      </c>
      <c r="BD198">
        <f>IFERROR(($E198-MAX(OFFSET(高値!$E$6,IFERROR(MATCH($C198,銘柄管理!$B$6:$B$305,0),MATCH(TEXT($C198,"0"),銘柄管理!$B$6:$B$305,0))-1,0,1,25)))/MAX(OFFSET(高値!$E$6,IFERROR(MATCH($C198,銘柄管理!$B$6:$B$305,0),MATCH(TEXT($C198,"0"),銘柄管理!$B$6:$B$305,0))-1,0,1,25))*100,"")</f>
      </c>
      <c r="BE198">
        <f>IFERROR(($H198-$I198)/$F198*100,"")</f>
      </c>
      <c r="BF198">
        <f>IFERROR(-(($BA198-AVERAGE($BA$3:$BA$206))/STDEV($BA$3:$BA$206))-(($BE198-AVERAGE($BE$3:$BE$206))/STDEV($BE$3:$BE$206))-(($BB198-AVERAGE($BB$3:$BB$206))/STDEV($BB$3:$BB$206))-(($Z198-AVERAGE($Z$3:$Z$206))/STDEV($Z$3:$Z$206))-(($BC198-AVERAGE($BC$3:$BC$206))/STDEV($BC$3:$BC$206)),"")</f>
      </c>
      <c r="BG198">
        <f>IF(OR($C198="",$C198="TOPX",$BA198="",$BF198=""),0,IF(AND($BK$10=1,$BA198&lt;=$BK$2,$BB198&lt;=$BK$3,$BC198&lt;=$BK$4,$Z198&lt;=$BK$5,$Z198&gt;=$BK$6,$BD198&gt;=$BK$7,$BE198&lt;=$BK$8),1,0))</f>
      </c>
      <c r="BH198">
        <f>IF($C198="","",IF($BG198=1,"○ゲート通過",IF($BK$10&lt;&gt;1,"― この方向は停止中",IF($BA198&gt;$BK$2,"×値動きが荒い",IF($BB198&gt;$BK$3,"×レンジが広い",IF($BC198&gt;$BK$4,"×窓を開けて上昇",IF($Z198&gt;$BK$5,"×前日に急騰",IF($Z198&lt;$BK$6,"×前日に急落",IF($BD198&lt;$BK$7,"×高値から離れすぎ",IF($BE198&gt;$BK$8,"×当日の値幅が大きい","×")))))))))</f>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 t="shared" si="66"/>
        <v>-3.6063569682151591</v>
      </c>
      <c r="M199" s="326">
        <f>IF(C199&lt;&gt;"",IFERROR(AVERAGE(出来高!E40:I40),""),"")</f>
        <v>12119640</v>
      </c>
      <c r="N199" s="326">
        <f>IF(C199&lt;&gt;"",IFERROR(AVERAGE(出来高!E40:AC40),""),"")</f>
        <v>11148344</v>
      </c>
      <c r="O199" s="328">
        <f t="shared" si="67"/>
        <v>0.6971081649289913</v>
      </c>
      <c r="P199" s="325" t="str">
        <f t="shared" si="68"/>
        <v>減少↓</v>
      </c>
      <c r="Q199" s="325" t="str">
        <f t="shared" si="69"/>
        <v>様子見▲</v>
      </c>
      <c r="R199" s="326">
        <f t="shared" si="70"/>
        <v>1451</v>
      </c>
      <c r="S199" s="326">
        <f t="shared" si="71"/>
        <v>1640</v>
      </c>
      <c r="T199" s="325">
        <f>IF(C199="","",IFERROR(IF(W199&lt;=22,-4,IF(W199&lt;=28,-2,IF(W199&lt;=45,2,IF(W199&lt;=55,1,0))))+IF(X199&lt;0,2,0)+IF(AD199="下降トレンド▼",3,IF(AD199="もみ合い→",1,0))+IF(V199="年初来安値圏●",3,IF(V199="安値圏",2,0))+IF(Q199="売り▼",2,0)+IF(P199="急増↑↑",2,IF(P199="増加↑",1,0))+IF(Z199&lt;0,1,0)+IF(L199&lt;=-30,2,IF(L199&lt;=-15,1,0))+IF(AE199="25日戻り売り★",2,IF(AE199="5日戻り売り○",1,0))+N(AL199)+N(AP199)+N(AU199),0))</f>
      </c>
      <c r="U199" s="325" t="str">
        <f t="shared" si="73"/>
        <v>除外</v>
      </c>
      <c r="V199" s="325" t="str">
        <f t="shared" si="74"/>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 t="shared" si="75"/>
        <v>相場上昇・見送り | パーフェクト▲ MACD+ RSI:43.2 前日比:+1.2% [-2点]</v>
      </c>
      <c r="Z199" s="331">
        <f t="shared" si="76"/>
        <v>1.1870388193776067</v>
      </c>
      <c r="AA199" s="325" t="str">
        <f t="shared" si="77"/>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 t="shared" si="78"/>
        <v>パーフェクト▲</v>
      </c>
      <c r="AE199" s="325" t="str">
        <f t="shared" si="79"/>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 t="shared" si="80"/>
        <v>0</v>
      </c>
      <c r="AH199">
        <f t="shared" si="81"/>
        <v>0</v>
      </c>
      <c r="AI199" s="373">
        <f t="array" ref="AI199">IF(C199="","",IFERROR((INDEX(終値!$E:$E,MATCH(TEXT(C199,"0"),終値!$A:$A,0))-INDEX(終値!$E:$CZ,MATCH(TEXT(C199,"0"),終値!$A:$A,0),$AN$2))/INDEX(終値!$E:$CZ,MATCH(TEXT(C199,"0"),終値!$A:$A,0),$AN$2)*100,""))</f>
        <v>9.5519277526919062</v>
      </c>
      <c r="AJ199" s="373">
        <f t="array" ref="AJ199">IFERROR((終値!$E$5-INDEX(終値!$E$5:$CZ$5,1,$AN$2))/INDEX(終値!$E$5:$CZ$5,1,$AN$2)*100,"")</f>
        <v>1.0179378228534113</v>
      </c>
      <c r="AK199" s="374">
        <f t="shared" si="82"/>
        <v>8.5339899298384942</v>
      </c>
      <c r="AL199" s="372">
        <f t="shared" si="83"/>
        <v>-2</v>
      </c>
      <c r="AO199" s="376" t="str">
        <f t="shared" si="84"/>
        <v>通常</v>
      </c>
      <c r="AP199" s="377">
        <f t="shared" si="85"/>
        <v>0</v>
      </c>
      <c r="AQ199">
        <f>IF(C199&lt;&gt;"",始値!F40,"")</f>
        <v>1548</v>
      </c>
      <c r="AR199">
        <f>IF(C199&lt;&gt;"",高値!F40,"")</f>
        <v>1566</v>
      </c>
      <c r="AS199">
        <f>IF(C199&lt;&gt;"",安値!F40,"")</f>
        <v>1531.5</v>
      </c>
      <c r="AT199" t="str">
        <f t="shared" si="86"/>
        <v>通常</v>
      </c>
      <c r="AU199">
        <f t="shared" si="87"/>
        <v>0</v>
      </c>
      <c r="BA199">
        <f>IFERROR((SUM(OFFSET(高値!$E$6,IFERROR(MATCH($C199,銘柄管理!$B$6:$B$305,0),MATCH(TEXT($C199,"0"),銘柄管理!$B$6:$B$305,0))-1,0,1,14))-SUM(OFFSET(安値!$E$6,IFERROR(MATCH($C199,銘柄管理!$B$6:$B$305,0),MATCH(TEXT($C199,"0"),銘柄管理!$B$6:$B$305,0))-1,0,1,14)))/SUM(OFFSET(終値!$E$6,IFERROR(MATCH($C199,銘柄管理!$B$6:$B$305,0),MATCH(TEXT($C199,"0"),銘柄管理!$B$6:$B$305,0))-1,0,1,14))*100,"")</f>
      </c>
      <c r="BB199">
        <f>IFERROR((MAX(OFFSET(高値!$E$6,IFERROR(MATCH($C199,銘柄管理!$B$6:$B$305,0),MATCH(TEXT($C199,"0"),銘柄管理!$B$6:$B$305,0))-1,0,1,25))-MIN(OFFSET(安値!$E$6,IFERROR(MATCH($C199,銘柄管理!$B$6:$B$305,0),MATCH(TEXT($C199,"0"),銘柄管理!$B$6:$B$305,0))-1,0,1,25)))/$E199*100,"")</f>
      </c>
      <c r="BC199">
        <f>IFERROR(($F199-$G199)/$G199*100,"")</f>
      </c>
      <c r="BD199">
        <f>IFERROR(($E199-MAX(OFFSET(高値!$E$6,IFERROR(MATCH($C199,銘柄管理!$B$6:$B$305,0),MATCH(TEXT($C199,"0"),銘柄管理!$B$6:$B$305,0))-1,0,1,25)))/MAX(OFFSET(高値!$E$6,IFERROR(MATCH($C199,銘柄管理!$B$6:$B$305,0),MATCH(TEXT($C199,"0"),銘柄管理!$B$6:$B$305,0))-1,0,1,25))*100,"")</f>
      </c>
      <c r="BE199">
        <f>IFERROR(($H199-$I199)/$F199*100,"")</f>
      </c>
      <c r="BF199">
        <f>IFERROR(-(($BA199-AVERAGE($BA$3:$BA$206))/STDEV($BA$3:$BA$206))-(($BE199-AVERAGE($BE$3:$BE$206))/STDEV($BE$3:$BE$206))-(($BB199-AVERAGE($BB$3:$BB$206))/STDEV($BB$3:$BB$206))-(($Z199-AVERAGE($Z$3:$Z$206))/STDEV($Z$3:$Z$206))-(($BC199-AVERAGE($BC$3:$BC$206))/STDEV($BC$3:$BC$206)),"")</f>
      </c>
      <c r="BG199">
        <f>IF(OR($C199="",$C199="TOPX",$BA199="",$BF199=""),0,IF(AND($BK$10=1,$BA199&lt;=$BK$2,$BB199&lt;=$BK$3,$BC199&lt;=$BK$4,$Z199&lt;=$BK$5,$Z199&gt;=$BK$6,$BD199&gt;=$BK$7,$BE199&lt;=$BK$8),1,0))</f>
      </c>
      <c r="BH199">
        <f>IF($C199="","",IF($BG199=1,"○ゲート通過",IF($BK$10&lt;&gt;1,"― この方向は停止中",IF($BA199&gt;$BK$2,"×値動きが荒い",IF($BB199&gt;$BK$3,"×レンジが広い",IF($BC199&gt;$BK$4,"×窓を開けて上昇",IF($Z199&gt;$BK$5,"×前日に急騰",IF($Z199&lt;$BK$6,"×前日に急落",IF($BD199&lt;$BK$7,"×高値から離れすぎ",IF($BE199&gt;$BK$8,"×当日の値幅が大きい","×")))))))))</f>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 t="shared" si="66"/>
        <v>-1.9397651863195506</v>
      </c>
      <c r="M200" s="333">
        <f>IF(C200&lt;&gt;"",IFERROR(AVERAGE(出来高!E43:I43),""),"")</f>
        <v>8316500</v>
      </c>
      <c r="N200" s="333">
        <f>IF(C200&lt;&gt;"",IFERROR(AVERAGE(出来高!E43:AC43),""),"")</f>
        <v>9897258.333333334</v>
      </c>
      <c r="O200" s="335">
        <f t="shared" si="67"/>
        <v>0.90636686105933983</v>
      </c>
      <c r="P200" s="212" t="str">
        <f t="shared" si="68"/>
        <v>減少↓</v>
      </c>
      <c r="Q200" s="212" t="str">
        <f t="shared" si="69"/>
        <v>様子見▲</v>
      </c>
      <c r="R200" s="333">
        <f t="shared" si="70"/>
        <v>1767</v>
      </c>
      <c r="S200" s="333">
        <f t="shared" si="71"/>
        <v>1998</v>
      </c>
      <c r="T200" s="325">
        <f>IF(C200="","",IFERROR(IF(W200&lt;=22,-4,IF(W200&lt;=28,-2,IF(W200&lt;=45,2,IF(W200&lt;=55,1,0))))+IF(X200&lt;0,2,0)+IF(AD200="下降トレンド▼",3,IF(AD200="もみ合い→",1,0))+IF(V200="年初来安値圏●",3,IF(V200="安値圏",2,0))+IF(Q200="売り▼",2,0)+IF(P200="急増↑↑",2,IF(P200="増加↑",1,0))+IF(Z200&lt;0,1,0)+IF(L200&lt;=-30,2,IF(L200&lt;=-15,1,0))+IF(AE200="25日戻り売り★",2,IF(AE200="5日戻り売り○",1,0))+N(AL200)+N(AP200)+N(AU200),0))</f>
      </c>
      <c r="U200" s="212" t="str">
        <f t="shared" si="73"/>
        <v>除外</v>
      </c>
      <c r="V200" s="212" t="str">
        <f t="shared" si="74"/>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 t="shared" si="75"/>
        <v>相場上昇・見送り | パーフェクト▲ MACD+ RSI:50.3 前日比:+0.4% [-1点]</v>
      </c>
      <c r="Z200" s="338">
        <f t="shared" si="76"/>
        <v>0.39195192056441075</v>
      </c>
      <c r="AA200" s="212" t="str">
        <f t="shared" si="77"/>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 t="shared" si="78"/>
        <v>パーフェクト▲</v>
      </c>
      <c r="AE200" s="212" t="str">
        <f t="shared" si="79"/>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 t="shared" si="80"/>
        <v>0</v>
      </c>
      <c r="AH200">
        <f t="shared" si="81"/>
        <v>0</v>
      </c>
      <c r="AI200" s="373">
        <f t="array" ref="AI200">IF(C200="","",IFERROR((INDEX(終値!$E:$E,MATCH(TEXT(C200,"0"),終値!$A:$A,0))-INDEX(終値!$E:$CZ,MATCH(TEXT(C200,"0"),終値!$A:$A,0),$AN$2))/INDEX(終値!$E:$CZ,MATCH(TEXT(C200,"0"),終値!$A:$A,0),$AN$2)*100,""))</f>
        <v>7.2585147962032384</v>
      </c>
      <c r="AJ200" s="373">
        <f t="array" ref="AJ200">IFERROR((終値!$E$5-INDEX(終値!$E$5:$CZ$5,1,$AN$2))/INDEX(終値!$E$5:$CZ$5,1,$AN$2)*100,"")</f>
        <v>1.0179378228534113</v>
      </c>
      <c r="AK200" s="374">
        <f t="shared" si="82"/>
        <v>6.2405769733498273</v>
      </c>
      <c r="AL200" s="372">
        <f t="shared" si="83"/>
        <v>-2</v>
      </c>
      <c r="AO200" s="376" t="str">
        <f t="shared" si="84"/>
        <v>通常</v>
      </c>
      <c r="AP200" s="377">
        <f t="shared" si="85"/>
        <v>0</v>
      </c>
      <c r="AQ200">
        <f>IF(C200&lt;&gt;"",始値!F43,"")</f>
        <v>1891.5</v>
      </c>
      <c r="AR200">
        <f>IF(C200&lt;&gt;"",高値!F43,"")</f>
        <v>1914.5</v>
      </c>
      <c r="AS200">
        <f>IF(C200&lt;&gt;"",安値!F43,"")</f>
        <v>1880</v>
      </c>
      <c r="AT200" t="str">
        <f t="shared" si="86"/>
        <v>通常</v>
      </c>
      <c r="AU200">
        <f t="shared" si="87"/>
        <v>0</v>
      </c>
      <c r="BA200">
        <f>IFERROR((SUM(OFFSET(高値!$E$6,IFERROR(MATCH($C200,銘柄管理!$B$6:$B$305,0),MATCH(TEXT($C200,"0"),銘柄管理!$B$6:$B$305,0))-1,0,1,14))-SUM(OFFSET(安値!$E$6,IFERROR(MATCH($C200,銘柄管理!$B$6:$B$305,0),MATCH(TEXT($C200,"0"),銘柄管理!$B$6:$B$305,0))-1,0,1,14)))/SUM(OFFSET(終値!$E$6,IFERROR(MATCH($C200,銘柄管理!$B$6:$B$305,0),MATCH(TEXT($C200,"0"),銘柄管理!$B$6:$B$305,0))-1,0,1,14))*100,"")</f>
      </c>
      <c r="BB200">
        <f>IFERROR((MAX(OFFSET(高値!$E$6,IFERROR(MATCH($C200,銘柄管理!$B$6:$B$305,0),MATCH(TEXT($C200,"0"),銘柄管理!$B$6:$B$305,0))-1,0,1,25))-MIN(OFFSET(安値!$E$6,IFERROR(MATCH($C200,銘柄管理!$B$6:$B$305,0),MATCH(TEXT($C200,"0"),銘柄管理!$B$6:$B$305,0))-1,0,1,25)))/$E200*100,"")</f>
      </c>
      <c r="BC200">
        <f>IFERROR(($F200-$G200)/$G200*100,"")</f>
      </c>
      <c r="BD200">
        <f>IFERROR(($E200-MAX(OFFSET(高値!$E$6,IFERROR(MATCH($C200,銘柄管理!$B$6:$B$305,0),MATCH(TEXT($C200,"0"),銘柄管理!$B$6:$B$305,0))-1,0,1,25)))/MAX(OFFSET(高値!$E$6,IFERROR(MATCH($C200,銘柄管理!$B$6:$B$305,0),MATCH(TEXT($C200,"0"),銘柄管理!$B$6:$B$305,0))-1,0,1,25))*100,"")</f>
      </c>
      <c r="BE200">
        <f>IFERROR(($H200-$I200)/$F200*100,"")</f>
      </c>
      <c r="BF200">
        <f>IFERROR(-(($BA200-AVERAGE($BA$3:$BA$206))/STDEV($BA$3:$BA$206))-(($BE200-AVERAGE($BE$3:$BE$206))/STDEV($BE$3:$BE$206))-(($BB200-AVERAGE($BB$3:$BB$206))/STDEV($BB$3:$BB$206))-(($Z200-AVERAGE($Z$3:$Z$206))/STDEV($Z$3:$Z$206))-(($BC200-AVERAGE($BC$3:$BC$206))/STDEV($BC$3:$BC$206)),"")</f>
      </c>
      <c r="BG200">
        <f>IF(OR($C200="",$C200="TOPX",$BA200="",$BF200=""),0,IF(AND($BK$10=1,$BA200&lt;=$BK$2,$BB200&lt;=$BK$3,$BC200&lt;=$BK$4,$Z200&lt;=$BK$5,$Z200&gt;=$BK$6,$BD200&gt;=$BK$7,$BE200&lt;=$BK$8),1,0))</f>
      </c>
      <c r="BH200">
        <f>IF($C200="","",IF($BG200=1,"○ゲート通過",IF($BK$10&lt;&gt;1,"― この方向は停止中",IF($BA200&gt;$BK$2,"×値動きが荒い",IF($BB200&gt;$BK$3,"×レンジが広い",IF($BC200&gt;$BK$4,"×窓を開けて上昇",IF($Z200&gt;$BK$5,"×前日に急騰",IF($Z200&lt;$BK$6,"×前日に急落",IF($BD200&lt;$BK$7,"×高値から離れすぎ",IF($BE200&gt;$BK$8,"×当日の値幅が大きい","×")))))))))</f>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 t="shared" si="66"/>
        <v>-6.2680304222397067</v>
      </c>
      <c r="M201" s="326">
        <f>IF(C201&lt;&gt;"",IFERROR(AVERAGE(出来高!E45:I45),""),"")</f>
        <v>45988060</v>
      </c>
      <c r="N201" s="326">
        <f>IF(C201&lt;&gt;"",IFERROR(AVERAGE(出来高!E45:AC45),""),"")</f>
        <v>43282364</v>
      </c>
      <c r="O201" s="328">
        <f t="shared" si="67"/>
        <v>0.7767494432250458</v>
      </c>
      <c r="P201" s="325" t="str">
        <f t="shared" si="68"/>
        <v>減少↓</v>
      </c>
      <c r="Q201" s="325" t="str">
        <f t="shared" si="69"/>
        <v>様子見▲</v>
      </c>
      <c r="R201" s="326">
        <f t="shared" si="70"/>
        <v>3288</v>
      </c>
      <c r="S201" s="326">
        <f t="shared" si="71"/>
        <v>3717</v>
      </c>
      <c r="T201" s="325">
        <f>IF(C201="","",IFERROR(IF(W201&lt;=22,-4,IF(W201&lt;=28,-2,IF(W201&lt;=45,2,IF(W201&lt;=55,1,0))))+IF(X201&lt;0,2,0)+IF(AD201="下降トレンド▼",3,IF(AD201="もみ合い→",1,0))+IF(V201="年初来安値圏●",3,IF(V201="安値圏",2,0))+IF(Q201="売り▼",2,0)+IF(P201="急増↑↑",2,IF(P201="増加↑",1,0))+IF(Z201&lt;0,1,0)+IF(L201&lt;=-30,2,IF(L201&lt;=-15,1,0))+IF(AE201="25日戻り売り★",2,IF(AE201="5日戻り売り○",1,0))+N(AL201)+N(AP201)+N(AU201),0))</f>
      </c>
      <c r="U201" s="325" t="str">
        <f t="shared" si="73"/>
        <v>除外</v>
      </c>
      <c r="V201" s="325" t="str">
        <f t="shared" si="74"/>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 t="shared" si="75"/>
        <v>相場上昇・見送り | 上昇トレンド▲ MACD+ RSI:42.5 前日比:+0.9% [-2点]</v>
      </c>
      <c r="Z201" s="331">
        <f t="shared" si="76"/>
        <v>0.93194012990680597</v>
      </c>
      <c r="AA201" s="325" t="str">
        <f t="shared" si="77"/>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 t="shared" si="78"/>
        <v>上昇トレンド▲</v>
      </c>
      <c r="AE201" s="325" t="str">
        <f t="shared" si="79"/>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 t="shared" si="80"/>
        <v>0</v>
      </c>
      <c r="AH201">
        <f t="shared" si="81"/>
        <v>0</v>
      </c>
      <c r="AI201" s="373">
        <f t="array" ref="AI201">IF(C201="","",IFERROR((INDEX(終値!$E:$E,MATCH(TEXT(C201,"0"),終値!$A:$A,0))-INDEX(終値!$E:$CZ,MATCH(TEXT(C201,"0"),終値!$A:$A,0),$AN$2))/INDEX(終値!$E:$CZ,MATCH(TEXT(C201,"0"),終値!$A:$A,0),$AN$2)*100,""))</f>
        <v>10.07083461656914</v>
      </c>
      <c r="AJ201" s="373">
        <f t="array" ref="AJ201">IFERROR((終値!$E$5-INDEX(終値!$E$5:$CZ$5,1,$AN$2))/INDEX(終値!$E$5:$CZ$5,1,$AN$2)*100,"")</f>
        <v>1.0179378228534113</v>
      </c>
      <c r="AK201" s="374">
        <f t="shared" si="82"/>
        <v>9.0528967937157283</v>
      </c>
      <c r="AL201" s="372">
        <f t="shared" si="83"/>
        <v>-2</v>
      </c>
      <c r="AO201" s="376" t="str">
        <f t="shared" si="84"/>
        <v>通常</v>
      </c>
      <c r="AP201" s="377">
        <f t="shared" si="85"/>
        <v>0</v>
      </c>
      <c r="AQ201">
        <f>IF(C201&lt;&gt;"",始値!F45,"")</f>
        <v>3480</v>
      </c>
      <c r="AR201">
        <f>IF(C201&lt;&gt;"",高値!F45,"")</f>
        <v>3558</v>
      </c>
      <c r="AS201">
        <f>IF(C201&lt;&gt;"",安値!F45,"")</f>
        <v>3449</v>
      </c>
      <c r="AT201" t="str">
        <f t="shared" si="86"/>
        <v>通常</v>
      </c>
      <c r="AU201">
        <f t="shared" si="87"/>
        <v>0</v>
      </c>
      <c r="BA201">
        <f>IFERROR((SUM(OFFSET(高値!$E$6,IFERROR(MATCH($C201,銘柄管理!$B$6:$B$305,0),MATCH(TEXT($C201,"0"),銘柄管理!$B$6:$B$305,0))-1,0,1,14))-SUM(OFFSET(安値!$E$6,IFERROR(MATCH($C201,銘柄管理!$B$6:$B$305,0),MATCH(TEXT($C201,"0"),銘柄管理!$B$6:$B$305,0))-1,0,1,14)))/SUM(OFFSET(終値!$E$6,IFERROR(MATCH($C201,銘柄管理!$B$6:$B$305,0),MATCH(TEXT($C201,"0"),銘柄管理!$B$6:$B$305,0))-1,0,1,14))*100,"")</f>
      </c>
      <c r="BB201">
        <f>IFERROR((MAX(OFFSET(高値!$E$6,IFERROR(MATCH($C201,銘柄管理!$B$6:$B$305,0),MATCH(TEXT($C201,"0"),銘柄管理!$B$6:$B$305,0))-1,0,1,25))-MIN(OFFSET(安値!$E$6,IFERROR(MATCH($C201,銘柄管理!$B$6:$B$305,0),MATCH(TEXT($C201,"0"),銘柄管理!$B$6:$B$305,0))-1,0,1,25)))/$E201*100,"")</f>
      </c>
      <c r="BC201">
        <f>IFERROR(($F201-$G201)/$G201*100,"")</f>
      </c>
      <c r="BD201">
        <f>IFERROR(($E201-MAX(OFFSET(高値!$E$6,IFERROR(MATCH($C201,銘柄管理!$B$6:$B$305,0),MATCH(TEXT($C201,"0"),銘柄管理!$B$6:$B$305,0))-1,0,1,25)))/MAX(OFFSET(高値!$E$6,IFERROR(MATCH($C201,銘柄管理!$B$6:$B$305,0),MATCH(TEXT($C201,"0"),銘柄管理!$B$6:$B$305,0))-1,0,1,25))*100,"")</f>
      </c>
      <c r="BE201">
        <f>IFERROR(($H201-$I201)/$F201*100,"")</f>
      </c>
      <c r="BF201">
        <f>IFERROR(-(($BA201-AVERAGE($BA$3:$BA$206))/STDEV($BA$3:$BA$206))-(($BE201-AVERAGE($BE$3:$BE$206))/STDEV($BE$3:$BE$206))-(($BB201-AVERAGE($BB$3:$BB$206))/STDEV($BB$3:$BB$206))-(($Z201-AVERAGE($Z$3:$Z$206))/STDEV($Z$3:$Z$206))-(($BC201-AVERAGE($BC$3:$BC$206))/STDEV($BC$3:$BC$206)),"")</f>
      </c>
      <c r="BG201">
        <f>IF(OR($C201="",$C201="TOPX",$BA201="",$BF201=""),0,IF(AND($BK$10=1,$BA201&lt;=$BK$2,$BB201&lt;=$BK$3,$BC201&lt;=$BK$4,$Z201&lt;=$BK$5,$Z201&gt;=$BK$6,$BD201&gt;=$BK$7,$BE201&lt;=$BK$8),1,0))</f>
      </c>
      <c r="BH201">
        <f>IF($C201="","",IF($BG201=1,"○ゲート通過",IF($BK$10&lt;&gt;1,"― この方向は停止中",IF($BA201&gt;$BK$2,"×値動きが荒い",IF($BB201&gt;$BK$3,"×レンジが広い",IF($BC201&gt;$BK$4,"×窓を開けて上昇",IF($Z201&gt;$BK$5,"×前日に急騰",IF($Z201&lt;$BK$6,"×前日に急落",IF($BD201&lt;$BK$7,"×高値から離れすぎ",IF($BE201&gt;$BK$8,"×当日の値幅が大きい","×")))))))))</f>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 t="shared" si="66"/>
        <v>-2.6308724832214763</v>
      </c>
      <c r="M202" s="333">
        <f>IF(C202&lt;&gt;"",IFERROR(AVERAGE(出来高!E75:I75),""),"")</f>
        <v>221900</v>
      </c>
      <c r="N202" s="333">
        <f>IF(C202&lt;&gt;"",IFERROR(AVERAGE(出来高!E75:AC75),""),"")</f>
        <v>202564</v>
      </c>
      <c r="O202" s="335">
        <f t="shared" si="67"/>
        <v>1.1216764308246958</v>
      </c>
      <c r="P202" s="212" t="str">
        <f t="shared" si="68"/>
        <v>普通→</v>
      </c>
      <c r="Q202" s="212" t="str">
        <f t="shared" si="69"/>
        <v>様子見▲</v>
      </c>
      <c r="R202" s="333">
        <f t="shared" si="70"/>
        <v>1668</v>
      </c>
      <c r="S202" s="333">
        <f t="shared" si="71"/>
        <v>1886</v>
      </c>
      <c r="T202" s="325">
        <f>IF(C202="","",IFERROR(IF(W202&lt;=22,-4,IF(W202&lt;=28,-2,IF(W202&lt;=45,2,IF(W202&lt;=55,1,0))))+IF(X202&lt;0,2,0)+IF(AD202="下降トレンド▼",3,IF(AD202="もみ合い→",1,0))+IF(V202="年初来安値圏●",3,IF(V202="安値圏",2,0))+IF(Q202="売り▼",2,0)+IF(P202="急増↑↑",2,IF(P202="増加↑",1,0))+IF(Z202&lt;0,1,0)+IF(L202&lt;=-30,2,IF(L202&lt;=-15,1,0))+IF(AE202="25日戻り売り★",2,IF(AE202="5日戻り売り○",1,0))+N(AL202)+N(AP202)+N(AU202),0))</f>
      </c>
      <c r="U202" s="212" t="str">
        <f t="shared" si="73"/>
        <v>除外</v>
      </c>
      <c r="V202" s="212" t="str">
        <f t="shared" si="74"/>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 t="shared" si="75"/>
        <v>相場上昇・見送り | パーフェクト▲ MACD+ RSI:47.0 前日比:+2.1%前日[長い下ヒゲ(反発)] [-4点]</v>
      </c>
      <c r="Z202" s="338">
        <f t="shared" si="76"/>
        <v>2.1402421852999156</v>
      </c>
      <c r="AA202" s="212" t="str">
        <f t="shared" si="77"/>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 t="shared" si="78"/>
        <v>パーフェクト▲</v>
      </c>
      <c r="AE202" s="212" t="str">
        <f t="shared" si="79"/>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 t="shared" si="80"/>
        <v>0</v>
      </c>
      <c r="AH202">
        <f t="shared" si="81"/>
        <v>0</v>
      </c>
      <c r="AI202" s="373">
        <f t="array" ref="AI202">IF(C202="","",IFERROR((INDEX(終値!$E:$E,MATCH(TEXT(C202,"0"),終値!$A:$A,0))-INDEX(終値!$E:$CZ,MATCH(TEXT(C202,"0"),終値!$A:$A,0),$AN$2))/INDEX(終値!$E:$CZ,MATCH(TEXT(C202,"0"),終値!$A:$A,0),$AN$2)*100,""))</f>
        <v>7.0859167404783001</v>
      </c>
      <c r="AJ202" s="373">
        <f t="array" ref="AJ202">IFERROR((終値!$E$5-INDEX(終値!$E$5:$CZ$5,1,$AN$2))/INDEX(終値!$E$5:$CZ$5,1,$AN$2)*100,"")</f>
        <v>1.0179378228534113</v>
      </c>
      <c r="AK202" s="374">
        <f t="shared" si="82"/>
        <v>6.0679789176248891</v>
      </c>
      <c r="AL202" s="372">
        <f t="shared" si="83"/>
        <v>-2</v>
      </c>
      <c r="AO202" s="376" t="str">
        <f t="shared" si="84"/>
        <v>通常</v>
      </c>
      <c r="AP202" s="377">
        <f t="shared" si="85"/>
        <v>0</v>
      </c>
      <c r="AQ202">
        <f>IF(C202&lt;&gt;"",始値!F75,"")</f>
        <v>1789.5</v>
      </c>
      <c r="AR202">
        <f>IF(C202&lt;&gt;"",高値!F75,"")</f>
        <v>1789.5</v>
      </c>
      <c r="AS202">
        <f>IF(C202&lt;&gt;"",安値!F75,"")</f>
        <v>1758.5</v>
      </c>
      <c r="AT202" t="str">
        <f t="shared" si="86"/>
        <v>長い下ヒゲ(反発)</v>
      </c>
      <c r="AU202">
        <f t="shared" si="87"/>
        <v>-2</v>
      </c>
      <c r="BA202">
        <f>IFERROR((SUM(OFFSET(高値!$E$6,IFERROR(MATCH($C202,銘柄管理!$B$6:$B$305,0),MATCH(TEXT($C202,"0"),銘柄管理!$B$6:$B$305,0))-1,0,1,14))-SUM(OFFSET(安値!$E$6,IFERROR(MATCH($C202,銘柄管理!$B$6:$B$305,0),MATCH(TEXT($C202,"0"),銘柄管理!$B$6:$B$305,0))-1,0,1,14)))/SUM(OFFSET(終値!$E$6,IFERROR(MATCH($C202,銘柄管理!$B$6:$B$305,0),MATCH(TEXT($C202,"0"),銘柄管理!$B$6:$B$305,0))-1,0,1,14))*100,"")</f>
      </c>
      <c r="BB202">
        <f>IFERROR((MAX(OFFSET(高値!$E$6,IFERROR(MATCH($C202,銘柄管理!$B$6:$B$305,0),MATCH(TEXT($C202,"0"),銘柄管理!$B$6:$B$305,0))-1,0,1,25))-MIN(OFFSET(安値!$E$6,IFERROR(MATCH($C202,銘柄管理!$B$6:$B$305,0),MATCH(TEXT($C202,"0"),銘柄管理!$B$6:$B$305,0))-1,0,1,25)))/$E202*100,"")</f>
      </c>
      <c r="BC202">
        <f>IFERROR(($F202-$G202)/$G202*100,"")</f>
      </c>
      <c r="BD202">
        <f>IFERROR(($E202-MAX(OFFSET(高値!$E$6,IFERROR(MATCH($C202,銘柄管理!$B$6:$B$305,0),MATCH(TEXT($C202,"0"),銘柄管理!$B$6:$B$305,0))-1,0,1,25)))/MAX(OFFSET(高値!$E$6,IFERROR(MATCH($C202,銘柄管理!$B$6:$B$305,0),MATCH(TEXT($C202,"0"),銘柄管理!$B$6:$B$305,0))-1,0,1,25))*100,"")</f>
      </c>
      <c r="BE202">
        <f>IFERROR(($H202-$I202)/$F202*100,"")</f>
      </c>
      <c r="BF202">
        <f>IFERROR(-(($BA202-AVERAGE($BA$3:$BA$206))/STDEV($BA$3:$BA$206))-(($BE202-AVERAGE($BE$3:$BE$206))/STDEV($BE$3:$BE$206))-(($BB202-AVERAGE($BB$3:$BB$206))/STDEV($BB$3:$BB$206))-(($Z202-AVERAGE($Z$3:$Z$206))/STDEV($Z$3:$Z$206))-(($BC202-AVERAGE($BC$3:$BC$206))/STDEV($BC$3:$BC$206)),"")</f>
      </c>
      <c r="BG202">
        <f>IF(OR($C202="",$C202="TOPX",$BA202="",$BF202=""),0,IF(AND($BK$10=1,$BA202&lt;=$BK$2,$BB202&lt;=$BK$3,$BC202&lt;=$BK$4,$Z202&lt;=$BK$5,$Z202&gt;=$BK$6,$BD202&gt;=$BK$7,$BE202&lt;=$BK$8),1,0))</f>
      </c>
      <c r="BH202">
        <f>IF($C202="","",IF($BG202=1,"○ゲート通過",IF($BK$10&lt;&gt;1,"― この方向は停止中",IF($BA202&gt;$BK$2,"×値動きが荒い",IF($BB202&gt;$BK$3,"×レンジが広い",IF($BC202&gt;$BK$4,"×窓を開けて上昇",IF($Z202&gt;$BK$5,"×前日に急騰",IF($Z202&lt;$BK$6,"×前日に急落",IF($BD202&lt;$BK$7,"×高値から離れすぎ",IF($BE202&gt;$BK$8,"×当日の値幅が大きい","×")))))))))</f>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 t="shared" si="66"/>
        <v>-25.1035521526296</v>
      </c>
      <c r="M203" s="326">
        <f>IF(C203&lt;&gt;"",IFERROR(AVERAGE(出来高!E115:I115),""),"")</f>
        <v>1019980</v>
      </c>
      <c r="N203" s="326">
        <f>IF(C203&lt;&gt;"",IFERROR(AVERAGE(出来高!E115:AC115),""),"")</f>
        <v>1033772</v>
      </c>
      <c r="O203" s="328">
        <f t="shared" si="67"/>
        <v>0.84540873350457857</v>
      </c>
      <c r="P203" s="325" t="str">
        <f t="shared" si="68"/>
        <v>減少↓</v>
      </c>
      <c r="Q203" s="325" t="str">
        <f t="shared" si="69"/>
        <v>様子見▲</v>
      </c>
      <c r="R203" s="326">
        <f t="shared" si="70"/>
        <v>5490</v>
      </c>
      <c r="S203" s="326">
        <f t="shared" si="71"/>
        <v>6206</v>
      </c>
      <c r="T203" s="325">
        <f>IF(C203="","",IFERROR(IF(W203&lt;=22,-4,IF(W203&lt;=28,-2,IF(W203&lt;=45,2,IF(W203&lt;=55,1,0))))+IF(X203&lt;0,2,0)+IF(AD203="下降トレンド▼",3,IF(AD203="もみ合い→",1,0))+IF(V203="年初来安値圏●",3,IF(V203="安値圏",2,0))+IF(Q203="売り▼",2,0)+IF(P203="急増↑↑",2,IF(P203="増加↑",1,0))+IF(Z203&lt;0,1,0)+IF(L203&lt;=-30,2,IF(L203&lt;=-15,1,0))+IF(AE203="25日戻り売り★",2,IF(AE203="5日戻り売り○",1,0))+N(AL203)+N(AP203)+N(AU203),0))</f>
      </c>
      <c r="U203" s="325" t="str">
        <f t="shared" si="73"/>
        <v>要確認</v>
      </c>
      <c r="V203" s="325" t="str">
        <f t="shared" si="74"/>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 t="shared" si="75"/>
        <v>★逆張り売り | 下降トレンド▼ 5日戻り売り○ MACD+ RSI:39.6 前日比:+0.5% [安値圏] [8点]</v>
      </c>
      <c r="Z203" s="331">
        <f t="shared" si="76"/>
        <v>0.50530570995452251</v>
      </c>
      <c r="AA203" s="325" t="str">
        <f t="shared" si="77"/>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 t="shared" si="78"/>
        <v>下降トレンド▼</v>
      </c>
      <c r="AE203" s="325" t="str">
        <f t="shared" si="79"/>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 t="shared" si="80"/>
        <v>8</v>
      </c>
      <c r="AH203">
        <f t="shared" si="81"/>
        <v>79797</v>
      </c>
      <c r="AI203" s="373">
        <f t="array" ref="AI203">IF(C203="","",IFERROR((INDEX(終値!$E:$E,MATCH(TEXT(C203,"0"),終値!$A:$A,0))-INDEX(終値!$E:$CZ,MATCH(TEXT(C203,"0"),終値!$A:$A,0),$AN$2))/INDEX(終値!$E:$CZ,MATCH(TEXT(C203,"0"),終値!$A:$A,0),$AN$2)*100,""))</f>
        <v>-0.33405712376816438</v>
      </c>
      <c r="AJ203" s="373">
        <f t="array" ref="AJ203">IFERROR((終値!$E$5-INDEX(終値!$E$5:$CZ$5,1,$AN$2))/INDEX(終値!$E$5:$CZ$5,1,$AN$2)*100,"")</f>
        <v>1.0179378228534113</v>
      </c>
      <c r="AK203" s="374">
        <f t="shared" si="82"/>
        <v>-1.3519949466215757</v>
      </c>
      <c r="AL203" s="372">
        <f t="shared" si="83"/>
        <v>1</v>
      </c>
      <c r="AO203" s="376" t="str">
        <f t="shared" si="84"/>
        <v>通常</v>
      </c>
      <c r="AP203" s="377">
        <f t="shared" si="85"/>
        <v>0</v>
      </c>
      <c r="AQ203">
        <f>IF(C203&lt;&gt;"",始値!F115,"")</f>
        <v>6059</v>
      </c>
      <c r="AR203">
        <f>IF(C203&lt;&gt;"",高値!F115,"")</f>
        <v>6079</v>
      </c>
      <c r="AS203">
        <f>IF(C203&lt;&gt;"",安値!F115,"")</f>
        <v>5901</v>
      </c>
      <c r="AT203" t="str">
        <f t="shared" si="86"/>
        <v>通常</v>
      </c>
      <c r="AU203">
        <f t="shared" si="87"/>
        <v>0</v>
      </c>
      <c r="BA203">
        <f>IFERROR((SUM(OFFSET(高値!$E$6,IFERROR(MATCH($C203,銘柄管理!$B$6:$B$305,0),MATCH(TEXT($C203,"0"),銘柄管理!$B$6:$B$305,0))-1,0,1,14))-SUM(OFFSET(安値!$E$6,IFERROR(MATCH($C203,銘柄管理!$B$6:$B$305,0),MATCH(TEXT($C203,"0"),銘柄管理!$B$6:$B$305,0))-1,0,1,14)))/SUM(OFFSET(終値!$E$6,IFERROR(MATCH($C203,銘柄管理!$B$6:$B$305,0),MATCH(TEXT($C203,"0"),銘柄管理!$B$6:$B$305,0))-1,0,1,14))*100,"")</f>
      </c>
      <c r="BB203">
        <f>IFERROR((MAX(OFFSET(高値!$E$6,IFERROR(MATCH($C203,銘柄管理!$B$6:$B$305,0),MATCH(TEXT($C203,"0"),銘柄管理!$B$6:$B$305,0))-1,0,1,25))-MIN(OFFSET(安値!$E$6,IFERROR(MATCH($C203,銘柄管理!$B$6:$B$305,0),MATCH(TEXT($C203,"0"),銘柄管理!$B$6:$B$305,0))-1,0,1,25)))/$E203*100,"")</f>
      </c>
      <c r="BC203">
        <f>IFERROR(($F203-$G203)/$G203*100,"")</f>
      </c>
      <c r="BD203">
        <f>IFERROR(($E203-MAX(OFFSET(高値!$E$6,IFERROR(MATCH($C203,銘柄管理!$B$6:$B$305,0),MATCH(TEXT($C203,"0"),銘柄管理!$B$6:$B$305,0))-1,0,1,25)))/MAX(OFFSET(高値!$E$6,IFERROR(MATCH($C203,銘柄管理!$B$6:$B$305,0),MATCH(TEXT($C203,"0"),銘柄管理!$B$6:$B$305,0))-1,0,1,25))*100,"")</f>
      </c>
      <c r="BE203">
        <f>IFERROR(($H203-$I203)/$F203*100,"")</f>
      </c>
      <c r="BF203">
        <f>IFERROR(-(($BA203-AVERAGE($BA$3:$BA$206))/STDEV($BA$3:$BA$206))-(($BE203-AVERAGE($BE$3:$BE$206))/STDEV($BE$3:$BE$206))-(($BB203-AVERAGE($BB$3:$BB$206))/STDEV($BB$3:$BB$206))-(($Z203-AVERAGE($Z$3:$Z$206))/STDEV($Z$3:$Z$206))-(($BC203-AVERAGE($BC$3:$BC$206))/STDEV($BC$3:$BC$206)),"")</f>
      </c>
      <c r="BG203">
        <f>IF(OR($C203="",$C203="TOPX",$BA203="",$BF203=""),0,IF(AND($BK$10=1,$BA203&lt;=$BK$2,$BB203&lt;=$BK$3,$BC203&lt;=$BK$4,$Z203&lt;=$BK$5,$Z203&gt;=$BK$6,$BD203&gt;=$BK$7,$BE203&lt;=$BK$8),1,0))</f>
      </c>
      <c r="BH203">
        <f>IF($C203="","",IF($BG203=1,"○ゲート通過",IF($BK$10&lt;&gt;1,"― この方向は停止中",IF($BA203&gt;$BK$2,"×値動きが荒い",IF($BB203&gt;$BK$3,"×レンジが広い",IF($BC203&gt;$BK$4,"×窓を開けて上昇",IF($Z203&gt;$BK$5,"×前日に急騰",IF($Z203&lt;$BK$6,"×前日に急落",IF($BD203&lt;$BK$7,"×高値から離れすぎ",IF($BE203&gt;$BK$8,"×当日の値幅が大きい","×")))))))))</f>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 t="shared" si="66"/>
        <v>-2.5178504321683577</v>
      </c>
      <c r="M204" s="333">
        <f>IF(C204&lt;&gt;"",IFERROR(AVERAGE(出来高!E122:I122),""),"")</f>
        <v>1120580</v>
      </c>
      <c r="N204" s="333">
        <f>IF(C204&lt;&gt;"",IFERROR(AVERAGE(出来高!E122:AC122),""),"")</f>
        <v>970820</v>
      </c>
      <c r="O204" s="335">
        <f t="shared" si="67"/>
        <v>1.0559710150100841</v>
      </c>
      <c r="P204" s="212" t="str">
        <f t="shared" si="68"/>
        <v>普通→</v>
      </c>
      <c r="Q204" s="212" t="str">
        <f t="shared" si="69"/>
        <v>様子見▲</v>
      </c>
      <c r="R204" s="333">
        <f t="shared" si="70"/>
        <v>2386</v>
      </c>
      <c r="S204" s="333">
        <f t="shared" si="71"/>
        <v>2698</v>
      </c>
      <c r="T204" s="325">
        <f>IF(C204="","",IFERROR(IF(W204&lt;=22,-4,IF(W204&lt;=28,-2,IF(W204&lt;=45,2,IF(W204&lt;=55,1,0))))+IF(X204&lt;0,2,0)+IF(AD204="下降トレンド▼",3,IF(AD204="もみ合い→",1,0))+IF(V204="年初来安値圏●",3,IF(V204="安値圏",2,0))+IF(Q204="売り▼",2,0)+IF(P204="急増↑↑",2,IF(P204="増加↑",1,0))+IF(Z204&lt;0,1,0)+IF(L204&lt;=-30,2,IF(L204&lt;=-15,1,0))+IF(AE204="25日戻り売り★",2,IF(AE204="5日戻り売り○",1,0))+N(AL204)+N(AP204)+N(AU204),0))</f>
      </c>
      <c r="U204" s="212" t="str">
        <f t="shared" si="73"/>
        <v>除外</v>
      </c>
      <c r="V204" s="212" t="str">
        <f t="shared" si="74"/>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 t="shared" si="75"/>
        <v>相場上昇・見送り | パーフェクト▲ MACD+ RSI:46.6 前日比:+1.0% [-2点]</v>
      </c>
      <c r="Z204" s="338">
        <f t="shared" si="76"/>
        <v>1.0124610591900312</v>
      </c>
      <c r="AA204" s="212" t="str">
        <f t="shared" si="77"/>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 t="shared" si="78"/>
        <v>パーフェクト▲</v>
      </c>
      <c r="AE204" s="212" t="str">
        <f t="shared" si="79"/>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 t="shared" si="80"/>
        <v>0</v>
      </c>
      <c r="AH204">
        <f t="shared" si="81"/>
        <v>0</v>
      </c>
      <c r="AI204" s="373">
        <f t="array" ref="AI204">IF(C204="","",IFERROR((INDEX(終値!$E:$E,MATCH(TEXT(C204,"0"),終値!$A:$A,0))-INDEX(終値!$E:$CZ,MATCH(TEXT(C204,"0"),終値!$A:$A,0),$AN$2))/INDEX(終値!$E:$CZ,MATCH(TEXT(C204,"0"),終値!$A:$A,0),$AN$2)*100,""))</f>
        <v>9.985160059359762</v>
      </c>
      <c r="AJ204" s="373">
        <f t="array" ref="AJ204">IFERROR((終値!$E$5-INDEX(終値!$E$5:$CZ$5,1,$AN$2))/INDEX(終値!$E$5:$CZ$5,1,$AN$2)*100,"")</f>
        <v>1.0179378228534113</v>
      </c>
      <c r="AK204" s="374">
        <f t="shared" si="82"/>
        <v>8.9672222365063501</v>
      </c>
      <c r="AL204" s="372">
        <f t="shared" si="83"/>
        <v>-2</v>
      </c>
      <c r="AO204" s="376" t="str">
        <f t="shared" si="84"/>
        <v>通常</v>
      </c>
      <c r="AP204" s="377">
        <f t="shared" si="85"/>
        <v>0</v>
      </c>
      <c r="AQ204">
        <f>IF(C204&lt;&gt;"",始値!F122,"")</f>
        <v>2496.5</v>
      </c>
      <c r="AR204">
        <f>IF(C204&lt;&gt;"",高値!F122,"")</f>
        <v>2570</v>
      </c>
      <c r="AS204">
        <f>IF(C204&lt;&gt;"",安値!F122,"")</f>
        <v>2496.5</v>
      </c>
      <c r="AT204" t="str">
        <f t="shared" si="86"/>
        <v>通常</v>
      </c>
      <c r="AU204">
        <f t="shared" si="87"/>
        <v>0</v>
      </c>
      <c r="BA204">
        <f>IFERROR((SUM(OFFSET(高値!$E$6,IFERROR(MATCH($C204,銘柄管理!$B$6:$B$305,0),MATCH(TEXT($C204,"0"),銘柄管理!$B$6:$B$305,0))-1,0,1,14))-SUM(OFFSET(安値!$E$6,IFERROR(MATCH($C204,銘柄管理!$B$6:$B$305,0),MATCH(TEXT($C204,"0"),銘柄管理!$B$6:$B$305,0))-1,0,1,14)))/SUM(OFFSET(終値!$E$6,IFERROR(MATCH($C204,銘柄管理!$B$6:$B$305,0),MATCH(TEXT($C204,"0"),銘柄管理!$B$6:$B$305,0))-1,0,1,14))*100,"")</f>
      </c>
      <c r="BB204">
        <f>IFERROR((MAX(OFFSET(高値!$E$6,IFERROR(MATCH($C204,銘柄管理!$B$6:$B$305,0),MATCH(TEXT($C204,"0"),銘柄管理!$B$6:$B$305,0))-1,0,1,25))-MIN(OFFSET(安値!$E$6,IFERROR(MATCH($C204,銘柄管理!$B$6:$B$305,0),MATCH(TEXT($C204,"0"),銘柄管理!$B$6:$B$305,0))-1,0,1,25)))/$E204*100,"")</f>
      </c>
      <c r="BC204">
        <f>IFERROR(($F204-$G204)/$G204*100,"")</f>
      </c>
      <c r="BD204">
        <f>IFERROR(($E204-MAX(OFFSET(高値!$E$6,IFERROR(MATCH($C204,銘柄管理!$B$6:$B$305,0),MATCH(TEXT($C204,"0"),銘柄管理!$B$6:$B$305,0))-1,0,1,25)))/MAX(OFFSET(高値!$E$6,IFERROR(MATCH($C204,銘柄管理!$B$6:$B$305,0),MATCH(TEXT($C204,"0"),銘柄管理!$B$6:$B$305,0))-1,0,1,25))*100,"")</f>
      </c>
      <c r="BE204">
        <f>IFERROR(($H204-$I204)/$F204*100,"")</f>
      </c>
      <c r="BF204">
        <f>IFERROR(-(($BA204-AVERAGE($BA$3:$BA$206))/STDEV($BA$3:$BA$206))-(($BE204-AVERAGE($BE$3:$BE$206))/STDEV($BE$3:$BE$206))-(($BB204-AVERAGE($BB$3:$BB$206))/STDEV($BB$3:$BB$206))-(($Z204-AVERAGE($Z$3:$Z$206))/STDEV($Z$3:$Z$206))-(($BC204-AVERAGE($BC$3:$BC$206))/STDEV($BC$3:$BC$206)),"")</f>
      </c>
      <c r="BG204">
        <f>IF(OR($C204="",$C204="TOPX",$BA204="",$BF204=""),0,IF(AND($BK$10=1,$BA204&lt;=$BK$2,$BB204&lt;=$BK$3,$BC204&lt;=$BK$4,$Z204&lt;=$BK$5,$Z204&gt;=$BK$6,$BD204&gt;=$BK$7,$BE204&lt;=$BK$8),1,0))</f>
      </c>
      <c r="BH204">
        <f>IF($C204="","",IF($BG204=1,"○ゲート通過",IF($BK$10&lt;&gt;1,"― この方向は停止中",IF($BA204&gt;$BK$2,"×値動きが荒い",IF($BB204&gt;$BK$3,"×レンジが広い",IF($BC204&gt;$BK$4,"×窓を開けて上昇",IF($Z204&gt;$BK$5,"×前日に急騰",IF($Z204&lt;$BK$6,"×前日に急落",IF($BD204&lt;$BK$7,"×高値から離れすぎ",IF($BE204&gt;$BK$8,"×当日の値幅が大きい","×")))))))))</f>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 t="shared" si="66"/>
        <v>-36.785046728971963</v>
      </c>
      <c r="M205" s="326">
        <f>IF(C205&lt;&gt;"",IFERROR(AVERAGE(出来高!E130:I130),""),"")</f>
        <v>3070460</v>
      </c>
      <c r="N205" s="326">
        <f>IF(C205&lt;&gt;"",IFERROR(AVERAGE(出来高!E130:AC130),""),"")</f>
        <v>2849779.1666666665</v>
      </c>
      <c r="O205" s="328">
        <f t="shared" si="67"/>
        <v>1.0250255662018068</v>
      </c>
      <c r="P205" s="325" t="str">
        <f t="shared" si="68"/>
        <v>普通→</v>
      </c>
      <c r="Q205" s="325" t="str">
        <f t="shared" si="69"/>
        <v>様子見▲</v>
      </c>
      <c r="R205" s="326">
        <f t="shared" si="70"/>
        <v>6223</v>
      </c>
      <c r="S205" s="326">
        <f t="shared" si="71"/>
        <v>7035</v>
      </c>
      <c r="T205" s="325">
        <f>IF(C205="","",IFERROR(IF(W205&lt;=22,-4,IF(W205&lt;=28,-2,IF(W205&lt;=45,2,IF(W205&lt;=55,1,0))))+IF(X205&lt;0,2,0)+IF(AD205="下降トレンド▼",3,IF(AD205="もみ合い→",1,0))+IF(V205="年初来安値圏●",3,IF(V205="安値圏",2,0))+IF(Q205="売り▼",2,0)+IF(P205="急増↑↑",2,IF(P205="増加↑",1,0))+IF(Z205&lt;0,1,0)+IF(L205&lt;=-30,2,IF(L205&lt;=-15,1,0))+IF(AE205="25日戻り売り★",2,IF(AE205="5日戻り売り○",1,0))+N(AL205)+N(AP205)+N(AU205),0))</f>
      </c>
      <c r="U205" s="325" t="str">
        <f t="shared" si="73"/>
        <v>要確認</v>
      </c>
      <c r="V205" s="325" t="str">
        <f t="shared" si="74"/>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 t="shared" si="75"/>
        <v>相場上昇・見送り | パーフェクト▲ MACD- RSI:48.5 前日比:+1.1% [安値圏] [9点]</v>
      </c>
      <c r="Z205" s="331">
        <f t="shared" si="76"/>
        <v>1.1363636363636365</v>
      </c>
      <c r="AA205" s="325" t="str">
        <f t="shared" si="77"/>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 t="shared" si="78"/>
        <v>パーフェクト▲</v>
      </c>
      <c r="AE205" s="325" t="str">
        <f t="shared" si="79"/>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 t="shared" si="80"/>
        <v>9</v>
      </c>
      <c r="AH205">
        <f t="shared" si="81"/>
        <v>89795</v>
      </c>
      <c r="AI205" s="373">
        <f t="array" ref="AI205">IF(C205="","",IFERROR((INDEX(終値!$E:$E,MATCH(TEXT(C205,"0"),終値!$A:$A,0))-INDEX(終値!$E:$CZ,MATCH(TEXT(C205,"0"),終値!$A:$A,0),$AN$2))/INDEX(終値!$E:$CZ,MATCH(TEXT(C205,"0"),終値!$A:$A,0),$AN$2)*100,""))</f>
        <v>-7.1006729844801537</v>
      </c>
      <c r="AJ205" s="373">
        <f t="array" ref="AJ205">IFERROR((終値!$E$5-INDEX(終値!$E$5:$CZ$5,1,$AN$2))/INDEX(終値!$E$5:$CZ$5,1,$AN$2)*100,"")</f>
        <v>1.0179378228534113</v>
      </c>
      <c r="AK205" s="374">
        <f t="shared" si="82"/>
        <v>-8.1186108073335657</v>
      </c>
      <c r="AL205" s="372">
        <f t="shared" si="83"/>
        <v>3</v>
      </c>
      <c r="AO205" s="376" t="str">
        <f t="shared" si="84"/>
        <v>通常</v>
      </c>
      <c r="AP205" s="377">
        <f t="shared" si="85"/>
        <v>0</v>
      </c>
      <c r="AQ205">
        <f>IF(C205&lt;&gt;"",始値!F130,"")</f>
        <v>6601</v>
      </c>
      <c r="AR205">
        <f>IF(C205&lt;&gt;"",高値!F130,"")</f>
        <v>6693</v>
      </c>
      <c r="AS205">
        <f>IF(C205&lt;&gt;"",安値!F130,"")</f>
        <v>6601</v>
      </c>
      <c r="AT205" t="str">
        <f t="shared" si="86"/>
        <v>通常</v>
      </c>
      <c r="AU205">
        <f t="shared" si="87"/>
        <v>0</v>
      </c>
      <c r="BA205">
        <f>IFERROR((SUM(OFFSET(高値!$E$6,IFERROR(MATCH($C205,銘柄管理!$B$6:$B$305,0),MATCH(TEXT($C205,"0"),銘柄管理!$B$6:$B$305,0))-1,0,1,14))-SUM(OFFSET(安値!$E$6,IFERROR(MATCH($C205,銘柄管理!$B$6:$B$305,0),MATCH(TEXT($C205,"0"),銘柄管理!$B$6:$B$305,0))-1,0,1,14)))/SUM(OFFSET(終値!$E$6,IFERROR(MATCH($C205,銘柄管理!$B$6:$B$305,0),MATCH(TEXT($C205,"0"),銘柄管理!$B$6:$B$305,0))-1,0,1,14))*100,"")</f>
      </c>
      <c r="BB205">
        <f>IFERROR((MAX(OFFSET(高値!$E$6,IFERROR(MATCH($C205,銘柄管理!$B$6:$B$305,0),MATCH(TEXT($C205,"0"),銘柄管理!$B$6:$B$305,0))-1,0,1,25))-MIN(OFFSET(安値!$E$6,IFERROR(MATCH($C205,銘柄管理!$B$6:$B$305,0),MATCH(TEXT($C205,"0"),銘柄管理!$B$6:$B$305,0))-1,0,1,25)))/$E205*100,"")</f>
      </c>
      <c r="BC205">
        <f>IFERROR(($F205-$G205)/$G205*100,"")</f>
      </c>
      <c r="BD205">
        <f>IFERROR(($E205-MAX(OFFSET(高値!$E$6,IFERROR(MATCH($C205,銘柄管理!$B$6:$B$305,0),MATCH(TEXT($C205,"0"),銘柄管理!$B$6:$B$305,0))-1,0,1,25)))/MAX(OFFSET(高値!$E$6,IFERROR(MATCH($C205,銘柄管理!$B$6:$B$305,0),MATCH(TEXT($C205,"0"),銘柄管理!$B$6:$B$305,0))-1,0,1,25))*100,"")</f>
      </c>
      <c r="BE205">
        <f>IFERROR(($H205-$I205)/$F205*100,"")</f>
      </c>
      <c r="BF205">
        <f>IFERROR(-(($BA205-AVERAGE($BA$3:$BA$206))/STDEV($BA$3:$BA$206))-(($BE205-AVERAGE($BE$3:$BE$206))/STDEV($BE$3:$BE$206))-(($BB205-AVERAGE($BB$3:$BB$206))/STDEV($BB$3:$BB$206))-(($Z205-AVERAGE($Z$3:$Z$206))/STDEV($Z$3:$Z$206))-(($BC205-AVERAGE($BC$3:$BC$206))/STDEV($BC$3:$BC$206)),"")</f>
      </c>
      <c r="BG205">
        <f>IF(OR($C205="",$C205="TOPX",$BA205="",$BF205=""),0,IF(AND($BK$10=1,$BA205&lt;=$BK$2,$BB205&lt;=$BK$3,$BC205&lt;=$BK$4,$Z205&lt;=$BK$5,$Z205&gt;=$BK$6,$BD205&gt;=$BK$7,$BE205&lt;=$BK$8),1,0))</f>
      </c>
      <c r="BH205">
        <f>IF($C205="","",IF($BG205=1,"○ゲート通過",IF($BK$10&lt;&gt;1,"― この方向は停止中",IF($BA205&gt;$BK$2,"×値動きが荒い",IF($BB205&gt;$BK$3,"×レンジが広い",IF($BC205&gt;$BK$4,"×窓を開けて上昇",IF($Z205&gt;$BK$5,"×前日に急騰",IF($Z205&lt;$BK$6,"×前日に急落",IF($BD205&lt;$BK$7,"×高値から離れすぎ",IF($BE205&gt;$BK$8,"×当日の値幅が大きい","×")))))))))</f>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 t="shared" si="66"/>
        <v>-23.659914565247348</v>
      </c>
      <c r="M206" s="333">
        <f>IF(C206&lt;&gt;"",IFERROR(AVERAGE(出来高!E202:I202),""),"")</f>
        <v>1659760</v>
      </c>
      <c r="N206" s="333">
        <f>IF(C206&lt;&gt;"",IFERROR(AVERAGE(出来高!E202:AC202),""),"")</f>
        <v>1258908</v>
      </c>
      <c r="O206" s="335">
        <f t="shared" si="67"/>
        <v>0.86922205620089654</v>
      </c>
      <c r="P206" s="212" t="str">
        <f t="shared" si="68"/>
        <v>減少↓</v>
      </c>
      <c r="Q206" s="212" t="str">
        <f t="shared" si="69"/>
        <v>様子見▲</v>
      </c>
      <c r="R206" s="333">
        <f t="shared" si="70"/>
        <v>5097</v>
      </c>
      <c r="S206" s="333">
        <f t="shared" si="71"/>
        <v>5762</v>
      </c>
      <c r="T206" s="325">
        <f>IF(C206="","",IFERROR(IF(W206&lt;=22,-4,IF(W206&lt;=28,-2,IF(W206&lt;=45,2,IF(W206&lt;=55,1,0))))+IF(X206&lt;0,2,0)+IF(AD206="下降トレンド▼",3,IF(AD206="もみ合い→",1,0))+IF(V206="年初来安値圏●",3,IF(V206="安値圏",2,0))+IF(Q206="売り▼",2,0)+IF(P206="急増↑↑",2,IF(P206="増加↑",1,0))+IF(Z206&lt;0,1,0)+IF(L206&lt;=-30,2,IF(L206&lt;=-15,1,0))+IF(AE206="25日戻り売り★",2,IF(AE206="5日戻り売り○",1,0))+N(AL206)+N(AP206)+N(AU206),0))</f>
      </c>
      <c r="U206" s="212" t="str">
        <f t="shared" si="73"/>
        <v>除外</v>
      </c>
      <c r="V206" s="212" t="str">
        <f t="shared" si="74"/>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 t="shared" si="75"/>
        <v>相場上昇・見送り | パーフェクト▲ MACD+ RSI:56.9 前日比:+2.8% [安値圏] [2点]</v>
      </c>
      <c r="Z206" s="338">
        <f t="shared" si="76"/>
        <v>2.8401707815110449</v>
      </c>
      <c r="AA206" s="212" t="str">
        <f t="shared" si="77"/>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 t="shared" si="78"/>
        <v>パーフェクト▲</v>
      </c>
      <c r="AE206" s="212" t="str">
        <f t="shared" si="79"/>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 t="shared" si="80"/>
        <v>0</v>
      </c>
      <c r="AH206">
        <f t="shared" si="81"/>
        <v>0</v>
      </c>
      <c r="AI206" s="373">
        <f t="array" ref="AI206">IF(C206="","",IFERROR((INDEX(終値!$E:$E,MATCH(TEXT(C206,"0"),終値!$A:$A,0))-INDEX(終値!$E:$CZ,MATCH(TEXT(C206,"0"),終値!$A:$A,0),$AN$2))/INDEX(終値!$E:$CZ,MATCH(TEXT(C206,"0"),終値!$A:$A,0),$AN$2)*100,""))</f>
        <v>7.3851521612715647</v>
      </c>
      <c r="AJ206" s="373">
        <f t="array" ref="AJ206">IFERROR((終値!$E$5-INDEX(終値!$E$5:$CZ$5,1,$AN$2))/INDEX(終値!$E$5:$CZ$5,1,$AN$2)*100,"")</f>
        <v>1.0179378228534113</v>
      </c>
      <c r="AK206" s="374">
        <f t="shared" si="82"/>
        <v>6.3672143384181537</v>
      </c>
      <c r="AL206" s="372">
        <f t="shared" si="83"/>
        <v>-2</v>
      </c>
      <c r="AO206" s="376" t="str">
        <f t="shared" si="84"/>
        <v>通常</v>
      </c>
      <c r="AP206" s="377">
        <f t="shared" si="85"/>
        <v>0</v>
      </c>
      <c r="AQ206">
        <f>IF(C206&lt;&gt;"",始値!F202,"")</f>
        <v>5255</v>
      </c>
      <c r="AR206">
        <f>IF(C206&lt;&gt;"",高値!F202,"")</f>
        <v>5387</v>
      </c>
      <c r="AS206">
        <f>IF(C206&lt;&gt;"",安値!F202,"")</f>
        <v>5217</v>
      </c>
      <c r="AT206" t="str">
        <f t="shared" si="86"/>
        <v>通常</v>
      </c>
      <c r="AU206">
        <f t="shared" si="87"/>
        <v>0</v>
      </c>
      <c r="BA206">
        <f>IFERROR((SUM(OFFSET(高値!$E$6,IFERROR(MATCH($C206,銘柄管理!$B$6:$B$305,0),MATCH(TEXT($C206,"0"),銘柄管理!$B$6:$B$305,0))-1,0,1,14))-SUM(OFFSET(安値!$E$6,IFERROR(MATCH($C206,銘柄管理!$B$6:$B$305,0),MATCH(TEXT($C206,"0"),銘柄管理!$B$6:$B$305,0))-1,0,1,14)))/SUM(OFFSET(終値!$E$6,IFERROR(MATCH($C206,銘柄管理!$B$6:$B$305,0),MATCH(TEXT($C206,"0"),銘柄管理!$B$6:$B$305,0))-1,0,1,14))*100,"")</f>
      </c>
      <c r="BB206">
        <f>IFERROR((MAX(OFFSET(高値!$E$6,IFERROR(MATCH($C206,銘柄管理!$B$6:$B$305,0),MATCH(TEXT($C206,"0"),銘柄管理!$B$6:$B$305,0))-1,0,1,25))-MIN(OFFSET(安値!$E$6,IFERROR(MATCH($C206,銘柄管理!$B$6:$B$305,0),MATCH(TEXT($C206,"0"),銘柄管理!$B$6:$B$305,0))-1,0,1,25)))/$E206*100,"")</f>
      </c>
      <c r="BC206">
        <f>IFERROR(($F206-$G206)/$G206*100,"")</f>
      </c>
      <c r="BD206">
        <f>IFERROR(($E206-MAX(OFFSET(高値!$E$6,IFERROR(MATCH($C206,銘柄管理!$B$6:$B$305,0),MATCH(TEXT($C206,"0"),銘柄管理!$B$6:$B$305,0))-1,0,1,25)))/MAX(OFFSET(高値!$E$6,IFERROR(MATCH($C206,銘柄管理!$B$6:$B$305,0),MATCH(TEXT($C206,"0"),銘柄管理!$B$6:$B$305,0))-1,0,1,25))*100,"")</f>
      </c>
      <c r="BE206">
        <f>IFERROR(($H206-$I206)/$F206*100,"")</f>
      </c>
      <c r="BF206">
        <f>IFERROR(-(($BA206-AVERAGE($BA$3:$BA$206))/STDEV($BA$3:$BA$206))-(($BE206-AVERAGE($BE$3:$BE$206))/STDEV($BE$3:$BE$206))-(($BB206-AVERAGE($BB$3:$BB$206))/STDEV($BB$3:$BB$206))-(($Z206-AVERAGE($Z$3:$Z$206))/STDEV($Z$3:$Z$206))-(($BC206-AVERAGE($BC$3:$BC$206))/STDEV($BC$3:$BC$206)),"")</f>
      </c>
      <c r="BG206">
        <f>IF(OR($C206="",$C206="TOPX",$BA206="",$BF206=""),0,IF(AND($BK$10=1,$BA206&lt;=$BK$2,$BB206&lt;=$BK$3,$BC206&lt;=$BK$4,$Z206&lt;=$BK$5,$Z206&gt;=$BK$6,$BD206&gt;=$BK$7,$BE206&lt;=$BK$8),1,0))</f>
      </c>
      <c r="BH206">
        <f>IF($C206="","",IF($BG206=1,"○ゲート通過",IF($BK$10&lt;&gt;1,"― この方向は停止中",IF($BA206&gt;$BK$2,"×値動きが荒い",IF($BB206&gt;$BK$3,"×レンジが広い",IF($BC206&gt;$BK$4,"×窓を開けて上昇",IF($Z206&gt;$BK$5,"×前日に急騰",IF($Z206&lt;$BK$6,"×前日に急落",IF($BD206&lt;$BK$7,"×高値から離れすぎ",IF($BE206&gt;$BK$8,"×当日の値幅が大きい","×")))))))))</f>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CZ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10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10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10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10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10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10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10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10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10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10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10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10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10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10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10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78"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78"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78"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78"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78"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78"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78"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78"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78"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78"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78"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78"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78"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78"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78"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78"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78"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78"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78"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78"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78"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78"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78"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78"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78"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78"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78"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78"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78"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78"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78"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78"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78"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78"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78"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78"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78"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78"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78"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78"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78"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78"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78"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78"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78"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78"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78"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78"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78"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78"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78"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78"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78"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78"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78"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78"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78"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78"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78"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78"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78"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78"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78"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78"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78"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78"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78"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78"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78"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78"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78"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78"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78"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78"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78"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78"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78"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78"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78"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78"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78"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78"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78"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78"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78"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78"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78"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78"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78"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78"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78"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78"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78"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78"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78"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78"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78"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78"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78"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78"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78"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78"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78"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78"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78"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78"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78"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78"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78"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78"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78"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78"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78"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78"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78"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78"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78"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78"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78"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78"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78"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78"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78"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78"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78"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78"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78"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78"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78"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78"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78"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78"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78"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78"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78"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78"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78"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78"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78"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78"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78"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78"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78"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78"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78"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78"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78"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78"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78"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78"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78"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78"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78"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78"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78"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78"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78"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78"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78"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78"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78"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78"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78"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78"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78"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78"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78"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78"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78"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78"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78"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78"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78"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78"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78"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78"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78"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78"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78"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78"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78"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78"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78"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78"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78"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78"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78"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78"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78"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78"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78"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78"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78"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78"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78"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78"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78"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78"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78"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78"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78">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78">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78">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78">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78">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78">
      <c r="A228" s="74" t="s">
        <v>441</v>
      </c>
      <c r="C228" s="541">
        <f>_xll.RssMarket("3696","始値")</f>
        <v>2065</v>
      </c>
      <c r="E228" s="551">
        <v>2065</v>
      </c>
      <c r="F228" s="1">
        <v>2070</v>
      </c>
    </row>
    <row r="229" spans="1:78">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78">
      <c r="A230" s="74" t="s">
        <v>443</v>
      </c>
      <c r="B230" s="1" t="str">
        <f>銘柄管理!C230</f>
        <v>ＦＯＯＤ＆ＬＩＦＥＣＯＭＰＡＮ</v>
      </c>
      <c r="C230" s="541">
        <f>_xll.RssMarket("3563","始値")</f>
        <v>6001</v>
      </c>
      <c r="E230" s="547">
        <v>6001</v>
      </c>
      <c r="F230" s="1">
        <v>5724</v>
      </c>
    </row>
    <row r="231" spans="1:78">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78">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78">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78">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78">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78">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78">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78">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78">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78">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78">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78">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78">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78">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78">
      <c r="A245" s="74" t="s">
        <v>458</v>
      </c>
      <c r="B245" s="1" t="str">
        <f>銘柄管理!C245</f>
        <v>グローバルウェイ</v>
      </c>
      <c r="C245" s="541">
        <f>_xll.RssMarket("3936","始値")</f>
        <v>158</v>
      </c>
      <c r="E245" s="547">
        <v>158</v>
      </c>
      <c r="F245" s="1">
        <v>160</v>
      </c>
    </row>
    <row r="246" spans="1:78">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78">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78">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78">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78">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78">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78">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78">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78">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78">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78">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78">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78">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78">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78">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78">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78">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78">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78">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78">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78">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78">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78">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78">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78">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78">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78">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78">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78">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78">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78">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78">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78">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78">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78">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78">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78">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78">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78">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78">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78">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78">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78">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78">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78">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78">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78">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78">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78">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78">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78">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78">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78">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78">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78">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78">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78">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78">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78">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78">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78">
      <c r="A306" s="75"/>
    </row>
    <row r="307" spans="1:78">
      <c r="A307" s="75"/>
    </row>
    <row r="308" spans="1:78">
      <c r="A308" s="75"/>
    </row>
    <row r="309" spans="1:78">
      <c r="A309" s="75"/>
    </row>
    <row r="310" spans="1:78">
      <c r="A310" s="75"/>
    </row>
    <row r="311" spans="1:78">
      <c r="A311" s="75"/>
    </row>
    <row r="312" spans="1:78">
      <c r="A312" s="75"/>
    </row>
    <row r="313" spans="1:78">
      <c r="A313" s="75"/>
    </row>
    <row r="314" spans="1:78">
      <c r="A314" s="75"/>
    </row>
    <row r="315" spans="1:78">
      <c r="A315" s="75"/>
    </row>
    <row r="316" spans="1:78">
      <c r="A316" s="75"/>
    </row>
    <row r="317" spans="1:78">
      <c r="A317" s="75"/>
    </row>
    <row r="318" spans="1:78">
      <c r="A318" s="75"/>
    </row>
    <row r="319" spans="1:78">
      <c r="A319" s="75"/>
    </row>
    <row r="320" spans="1:78">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CZ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10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10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10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10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10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10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10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10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10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10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10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10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10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78"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78"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78"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78"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78"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78"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78"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78"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78"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78"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78"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78"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78"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78"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78"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78"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78"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78"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78"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78"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78"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78"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78"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78"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78"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78"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78"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78"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78"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78"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78"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78"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78"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78"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78"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78"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78"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78"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78"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78"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78"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78"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78"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78"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78"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78"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78"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78"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78"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78"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78"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78"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78"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78"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78"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78"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78"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78"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78"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78"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78"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78"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78"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78"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78"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78"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78"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78"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78"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78"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78"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78"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78"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78"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78"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78"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78"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78"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78"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78"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78"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78"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78"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78"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78"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78"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78"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78"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78"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78"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78"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78"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78"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78"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78"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78"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78"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78"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78"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78"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78"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78"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78"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78"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78"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78"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78"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78"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78"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78"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78"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78"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78"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78"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78"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78"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78"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78"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78"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78"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78"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78"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78"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78"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78"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78"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78"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78"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78"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78"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78"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78"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78"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78"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78"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78"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78"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78"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78"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78"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78"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78"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78"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78"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78"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78"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78"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78"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78"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78"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78"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78"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78"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78"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78"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78"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78"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78"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78"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78"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78"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78"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78"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78"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78"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78"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78"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78"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78"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78"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78"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78"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78"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78"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78"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78"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78"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78"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78"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78"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78"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78"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78"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78"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78"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78"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78"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78"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78">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78">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78">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78">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78">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78">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78">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78">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78">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78">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78">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78">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78">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78">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78">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78">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78">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78">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78">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78">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78">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78">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78">
      <c r="A228" s="62" t="s">
        <v>441</v>
      </c>
      <c r="C228" s="1">
        <f>_xll.RssMarket("3696","高値")</f>
        <v>2104</v>
      </c>
      <c r="E228" s="2">
        <v>2104</v>
      </c>
      <c r="F228" s="1">
        <v>2090</v>
      </c>
    </row>
    <row r="229" spans="1:78">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78">
      <c r="A230" s="62" t="s">
        <v>443</v>
      </c>
      <c r="B230" s="1" t="str">
        <f>銘柄管理!C230</f>
        <v>ＦＯＯＤ＆ＬＩＦＥＣＯＭＰＡＮ</v>
      </c>
      <c r="C230" s="1">
        <f>_xll.RssMarket("3563","高値")</f>
        <v>6062</v>
      </c>
      <c r="E230" s="1">
        <v>6062</v>
      </c>
      <c r="F230" s="1">
        <v>5923</v>
      </c>
    </row>
    <row r="231" spans="1:78">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78">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78">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78">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78">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78">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78">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78">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78">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78">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78">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78">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78">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78">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78">
      <c r="A245" s="62" t="s">
        <v>458</v>
      </c>
      <c r="B245" s="1" t="str">
        <f>銘柄管理!C245</f>
        <v>グローバルウェイ</v>
      </c>
      <c r="C245" s="1">
        <f>_xll.RssMarket("3936","高値")</f>
        <v>161</v>
      </c>
      <c r="E245" s="1">
        <v>161</v>
      </c>
      <c r="F245" s="1">
        <v>164</v>
      </c>
    </row>
    <row r="246" spans="1:78">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78">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78">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78">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78">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78">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78">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78">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78">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78">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78">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78">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78">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78">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78">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78">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78">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78">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78">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78">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78">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78">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78">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78">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78">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78">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78">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78">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78">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78">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78">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78">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78">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78">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78">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78">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78">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78">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78">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78">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78">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78">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78">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78">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78">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78">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78">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78">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78">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78">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78">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78">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78">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78">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78">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78">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78">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78">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78">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78">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CZ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10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10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10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10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10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10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10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10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10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10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10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10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10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78"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78"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78"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78"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78"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78"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78"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78"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78"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78"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78"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78"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78"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78"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78"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78"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78"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78"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78"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78"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78"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78"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78"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78"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78"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78"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78"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78"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78"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78"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78"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78"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78"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78"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78"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78"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78"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78"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78"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78"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78"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78"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78"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78"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78"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78"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78"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78"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78"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78"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78"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78"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78"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78"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78"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78"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78"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78"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78"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78"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78"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78"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78"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78"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78"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78"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78"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78"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78"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78"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78"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78"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78"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78"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78"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78"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78"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78"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78"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78"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78"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78"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78"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78"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78"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78"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78"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78"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78"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78"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78"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78"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78"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78"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78"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78"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78"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78"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78"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78"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78"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78"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78"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78"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78"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78"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78"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78"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78"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78"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78"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78"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78"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78"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78"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78"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78"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78"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78"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78"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78"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78"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78"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78"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78"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78"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78"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78"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78"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78"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78"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78"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78"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78"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78"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78"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78"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78"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78"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78"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78"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78"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78"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78"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78"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78"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78"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78"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78"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78"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78"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78"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78"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78"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78"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78"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78"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78"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78"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78"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78"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78"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78"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78"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78"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78"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78"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78"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78"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78"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78"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78"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78"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78"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78"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78"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78"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78"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78"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78"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78"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78"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78"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78"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78"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78"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78"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78"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78">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78">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78">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78">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78">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78">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78">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78">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78">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78">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78">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78">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78">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78">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78">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78">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78">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78">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78">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78">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78">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78">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78">
      <c r="A228" s="62" t="s">
        <v>441</v>
      </c>
      <c r="C228" s="1">
        <f>_xll.RssMarket("3696","安値")</f>
        <v>2051</v>
      </c>
      <c r="E228" s="2">
        <v>2051</v>
      </c>
      <c r="F228" s="1">
        <v>2055</v>
      </c>
    </row>
    <row r="229" spans="1:78">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78">
      <c r="A230" s="62" t="s">
        <v>443</v>
      </c>
      <c r="B230" s="1" t="str">
        <f>銘柄管理!C230</f>
        <v>ＦＯＯＤ＆ＬＩＦＥＣＯＭＰＡＮ</v>
      </c>
      <c r="C230" s="1">
        <f>_xll.RssMarket("3563","安値")</f>
        <v>5786</v>
      </c>
      <c r="E230" s="1">
        <v>5786</v>
      </c>
      <c r="F230" s="1">
        <v>5633</v>
      </c>
    </row>
    <row r="231" spans="1:78">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78">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78">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78">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78">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78">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78">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78">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78">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78">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78">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78">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78">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78">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78">
      <c r="A245" s="62" t="s">
        <v>458</v>
      </c>
      <c r="B245" s="1" t="str">
        <f>銘柄管理!C245</f>
        <v>グローバルウェイ</v>
      </c>
      <c r="C245" s="1">
        <f>_xll.RssMarket("3936","安値")</f>
        <v>155</v>
      </c>
      <c r="E245" s="1">
        <v>155</v>
      </c>
      <c r="F245" s="1">
        <v>158</v>
      </c>
    </row>
    <row r="246" spans="1:78">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78">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78">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78">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78">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78">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78">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78">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78">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78">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78">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78">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78">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78">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78">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78">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78">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78">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78">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78">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78">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78">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78">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78">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78">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78">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78">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78">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78">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78">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78">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78">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78">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78">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78">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78">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78">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78">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78">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78">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78">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78">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78">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78">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78">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78">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78">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78">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78">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78">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78">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78">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78">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78">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78">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78">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78">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78">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78">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78">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78">
      <c r="A306" s="64"/>
    </row>
    <row r="307" spans="1:78">
      <c r="A307" s="64"/>
    </row>
    <row r="308" spans="1:78">
      <c r="A308" s="64"/>
    </row>
    <row r="309" spans="1:78">
      <c r="A309" s="64"/>
    </row>
    <row r="310" spans="1:78">
      <c r="A310" s="64"/>
    </row>
    <row r="311" spans="1:78">
      <c r="A311" s="64"/>
    </row>
    <row r="312" spans="1:78">
      <c r="A312" s="64"/>
    </row>
    <row r="313" spans="1:78">
      <c r="A313" s="64"/>
    </row>
    <row r="314" spans="1:78">
      <c r="A314" s="64"/>
    </row>
    <row r="315" spans="1:78">
      <c r="A315" s="64"/>
    </row>
    <row r="316" spans="1:78">
      <c r="A316" s="64"/>
    </row>
    <row r="317" spans="1:78">
      <c r="A317" s="64"/>
    </row>
    <row r="318" spans="1:78">
      <c r="A318" s="64"/>
    </row>
    <row r="319" spans="1:78">
      <c r="A319" s="64"/>
    </row>
    <row r="320" spans="1:78">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CZ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s>
  <sheetData>
    <row r="1" spans="1:10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10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10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10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10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10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10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10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10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10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10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10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10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10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10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10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78"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78"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78"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78"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78"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78"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78"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78"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78"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78"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78"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78"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78"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78"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78"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78"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78"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78"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78"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78"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78"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78"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78"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78"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78"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78"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78"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78"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78"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78"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78"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78"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78"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78"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78"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78"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78"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78"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78"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78"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78"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78"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78"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78"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78"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78"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78"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78"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78"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78"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78"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78"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78"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78"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78"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78"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78"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78"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78"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78"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78"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78"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78"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78"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78"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78"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78"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78"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78"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78"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78"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78"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78"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78"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78"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78"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78"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78"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78"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78"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78"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78"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78"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78"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78"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78"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78"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78"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78"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78"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78"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78"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78"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78"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78"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78"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78"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78"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78"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78"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78"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78"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78"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78"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78"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78"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78"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78"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78"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78"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78"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78"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78"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78"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78"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78"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78"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78"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78"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78"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78"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78"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78"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78"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78"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78"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78"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78"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78"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78"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78"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78"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78"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78"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78"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78"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78"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78"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78"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78"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78"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78"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78"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78"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78"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78"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78"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78"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78"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78"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78"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78"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78"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78"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78"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78"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78"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78"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78"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78"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78"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78"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78"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78"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78"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78"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78"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78"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78"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78"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78"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78"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78"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78"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78"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78"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78"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78"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78"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78"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78"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78"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78"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78"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78"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78"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78"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78"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78">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78">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78">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78">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78">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78">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78">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78">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78">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78">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78">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78">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78">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78">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78">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78">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78">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78">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78">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78">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78">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78">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78">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78">
      <c r="A228" s="62" t="s">
        <v>441</v>
      </c>
      <c r="C228" s="4">
        <f>_xll.RssMarket("3696","現在値")</f>
        <v>2072</v>
      </c>
      <c r="D228" s="4">
        <f t="shared" si="7"/>
        <v>0</v>
      </c>
      <c r="E228" s="67">
        <v>2072</v>
      </c>
      <c r="F228" s="4">
        <v>2057</v>
      </c>
    </row>
    <row r="229" spans="1:78">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78">
      <c r="A230" s="62" t="s">
        <v>443</v>
      </c>
      <c r="B230" s="4" t="str">
        <f>銘柄管理!C230</f>
        <v>ＦＯＯＤ＆ＬＩＦＥＣＯＭＰＡＮ</v>
      </c>
      <c r="C230" s="4">
        <f>_xll.RssMarket("3563","現在値")</f>
        <v>5820</v>
      </c>
      <c r="D230" s="4">
        <f t="shared" si="7"/>
        <v>0</v>
      </c>
      <c r="E230" s="4">
        <v>5820</v>
      </c>
      <c r="F230" s="4">
        <v>5901</v>
      </c>
    </row>
    <row r="231" spans="1:78">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78">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78">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78">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78">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78">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78">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78">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78">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78">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78">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78">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78">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78">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78">
      <c r="A245" s="62" t="s">
        <v>458</v>
      </c>
      <c r="B245" s="4" t="str">
        <f>銘柄管理!C245</f>
        <v>グローバルウェイ</v>
      </c>
      <c r="C245" s="4">
        <f>_xll.RssMarket("3936","現在値")</f>
        <v>158</v>
      </c>
      <c r="D245" s="4">
        <f t="shared" si="7"/>
        <v>0</v>
      </c>
      <c r="E245" s="4">
        <v>158</v>
      </c>
      <c r="F245" s="4">
        <v>160</v>
      </c>
    </row>
    <row r="246" spans="1:78">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78">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78">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78">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78">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78">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78">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78">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78">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78">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78">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78">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78">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78">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78">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78">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78">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78">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78">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78">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78">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78">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78">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78">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78">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78">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78">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78">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78">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78">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78">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78">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78">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78">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78">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78">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78">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78">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78">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78">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78">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78">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78">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78">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78">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78">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78">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78">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78">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78">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78">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78">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78">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78">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78">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78">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78">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78">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78">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78">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78">
      <c r="A306" s="63"/>
    </row>
    <row r="307" spans="1:78">
      <c r="A307" s="63"/>
    </row>
    <row r="308" spans="1:78">
      <c r="A308" s="63"/>
    </row>
    <row r="309" spans="1:78">
      <c r="A309" s="63"/>
    </row>
    <row r="310" spans="1:78">
      <c r="A310" s="63"/>
    </row>
    <row r="311" spans="1:78">
      <c r="A311" s="63"/>
    </row>
    <row r="312" spans="1:78">
      <c r="A312" s="63"/>
    </row>
    <row r="313" spans="1:78">
      <c r="A313" s="63"/>
    </row>
    <row r="314" spans="1:78">
      <c r="A314" s="63"/>
    </row>
    <row r="315" spans="1:78">
      <c r="A315" s="63"/>
    </row>
    <row r="316" spans="1:78">
      <c r="A316" s="63"/>
    </row>
    <row r="317" spans="1:78">
      <c r="A317" s="63"/>
    </row>
    <row r="318" spans="1:78">
      <c r="A318" s="63"/>
    </row>
    <row r="319" spans="1:78">
      <c r="A319" s="63"/>
    </row>
    <row r="320" spans="1:78">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CZ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10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10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10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10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10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10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10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10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10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10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10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10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10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10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10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10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78"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78"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78"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78"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78"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78"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78"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78"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78"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78"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78"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78"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78"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78"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78"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78"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78"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78"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78"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78"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78"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78"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78"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78"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78"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78"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78"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78"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78"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78"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78"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78"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78"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78"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78"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78"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78"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78"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78"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78"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78"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78"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78"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78"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78"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78"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78"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78"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78"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78"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78"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78"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78"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78"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78"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78"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78"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78"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78"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78"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78"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78"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78"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78"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78"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78"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78"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78"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78"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78"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78"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78"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78"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78"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78"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78"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78"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78"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78"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78"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78"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78"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78"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78"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78"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78"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78"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78"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78"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78"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78"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78"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78"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78"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78"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78"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78"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78"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78"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78"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78"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78"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78"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78"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78"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78"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78"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78"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78"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78"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78"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78"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78"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78"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78"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78"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78"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78"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78"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78"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78"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78"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78"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78"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78"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78"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78"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78"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78"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78"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78"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78"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78"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78"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78"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78"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78"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78"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78"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78"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78"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78"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78"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78"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78"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78"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78"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78"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78"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78"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78"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78"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78"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78"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78"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78"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78"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78"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78"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78"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78"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78"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78"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78"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78"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78"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78"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78"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78"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78"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78"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78"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78"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78"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78"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78"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78"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78"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78"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78"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78"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78"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78"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78"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78"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78"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78"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78"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78"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78"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78"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78"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78"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78"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78"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78"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78"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78"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78"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78"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78"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78"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78"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78"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78"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78"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78"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78"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78"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78"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78"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78" s="80" customFormat="1" ht="18.75" customHeight="1">
      <c r="A228" s="394" t="s">
        <v>441</v>
      </c>
      <c r="B228" s="80" t="str">
        <f>銘柄管理!C228</f>
        <v>セレス</v>
      </c>
      <c r="C228" s="80">
        <f>_xll.RssMarket("3696","出来高")</f>
        <v>103400</v>
      </c>
      <c r="D228" s="82">
        <f t="shared" si="3"/>
        <v>0</v>
      </c>
      <c r="E228" s="81">
        <v>103400</v>
      </c>
      <c r="F228" s="80">
        <v>103100</v>
      </c>
    </row>
    <row r="229" spans="1:78"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78"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78"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78"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78">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78">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78">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78">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78">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78">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78">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78">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78">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78">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78">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78">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78">
      <c r="A245" s="394" t="s">
        <v>458</v>
      </c>
      <c r="B245" s="1" t="str">
        <f>銘柄管理!C245</f>
        <v>グローバルウェイ</v>
      </c>
      <c r="C245" s="1">
        <f>_xll.RssMarket("3936","出来高")</f>
        <v>96800</v>
      </c>
      <c r="D245" s="82">
        <f t="shared" si="3"/>
        <v>0</v>
      </c>
      <c r="E245" s="1">
        <v>96800</v>
      </c>
      <c r="F245" s="1">
        <v>236500</v>
      </c>
    </row>
    <row r="246" spans="1:78">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78">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78">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78">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78">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78">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78">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78">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78">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78">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78">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78">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78">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78">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78">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78">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78">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78">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78">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78">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78">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78">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78">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78">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78">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78">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78">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78">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78">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78">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78">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78">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78">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78">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78">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78">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78">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78">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78">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78">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78">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78">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78">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78">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78">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78">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78">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78">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78">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78">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78">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78">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78">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78">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78">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78">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78">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78">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78">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78">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78">
      <c r="A306" s="396"/>
      <c r="D306" s="82">
        <f t="shared" si="5"/>
        <v>0</v>
      </c>
    </row>
    <row r="307" spans="1:78">
      <c r="A307" s="396"/>
      <c r="D307" s="82">
        <f t="shared" si="5"/>
        <v>0</v>
      </c>
    </row>
    <row r="308" spans="1:78">
      <c r="A308" s="396"/>
      <c r="D308" s="82">
        <f t="shared" si="5"/>
        <v>0</v>
      </c>
    </row>
    <row r="309" spans="1:78">
      <c r="A309" s="396"/>
      <c r="D309" s="82">
        <f t="shared" si="5"/>
        <v>0</v>
      </c>
    </row>
    <row r="310" spans="1:78">
      <c r="A310" s="396"/>
      <c r="D310" s="82">
        <f t="shared" si="5"/>
        <v>0</v>
      </c>
    </row>
    <row r="311" spans="1:78">
      <c r="A311" s="396"/>
      <c r="D311" s="82">
        <f t="shared" si="5"/>
        <v>0</v>
      </c>
    </row>
    <row r="312" spans="1:78">
      <c r="A312" s="396"/>
      <c r="D312" s="82">
        <f t="shared" si="5"/>
        <v>0</v>
      </c>
    </row>
    <row r="313" spans="1:78">
      <c r="A313" s="396"/>
      <c r="D313" s="82">
        <f t="shared" si="5"/>
        <v>0</v>
      </c>
    </row>
    <row r="314" spans="1:78">
      <c r="A314" s="396"/>
      <c r="D314" s="82">
        <f t="shared" si="5"/>
        <v>0</v>
      </c>
    </row>
    <row r="315" spans="1:78">
      <c r="A315" s="396"/>
      <c r="D315" s="82">
        <f t="shared" si="5"/>
        <v>0</v>
      </c>
    </row>
    <row r="316" spans="1:78">
      <c r="A316" s="396"/>
      <c r="D316" s="82">
        <f t="shared" si="5"/>
        <v>0</v>
      </c>
    </row>
    <row r="317" spans="1:78">
      <c r="A317" s="396"/>
      <c r="D317" s="82">
        <f t="shared" si="5"/>
        <v>0</v>
      </c>
    </row>
    <row r="318" spans="1:78">
      <c r="A318" s="396"/>
      <c r="D318" s="82">
        <f t="shared" si="5"/>
        <v>0</v>
      </c>
    </row>
    <row r="319" spans="1:78">
      <c r="A319" s="396"/>
      <c r="D319" s="82">
        <f t="shared" si="5"/>
        <v>0</v>
      </c>
    </row>
    <row r="320" spans="1:78">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