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阻抗单主页" sheetId="1" r:id="rId1"/>
  </sheets>
  <calcPr calcId="152511" calcOnSave="0"/>
</workbook>
</file>

<file path=xl/calcChain.xml><?xml version="1.0" encoding="utf-8"?>
<calcChain xmlns="http://schemas.openxmlformats.org/spreadsheetml/2006/main">
  <c r="L13" i="1" l="1"/>
  <c r="K13" i="1"/>
  <c r="J13" i="1"/>
  <c r="L12" i="1"/>
  <c r="K12" i="1"/>
  <c r="J12" i="1"/>
  <c r="K11" i="1"/>
  <c r="J11" i="1"/>
  <c r="K10" i="1"/>
  <c r="J10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R6" i="1"/>
  <c r="J6" i="1"/>
  <c r="W11" i="1"/>
  <c r="W12" i="1"/>
  <c r="W13" i="1"/>
  <c r="V11" i="1"/>
  <c r="X11" i="1" s="1"/>
  <c r="V12" i="1"/>
  <c r="V13" i="1"/>
  <c r="X13" i="1" s="1"/>
  <c r="W10" i="1"/>
  <c r="V10" i="1"/>
  <c r="X10" i="1" s="1"/>
  <c r="K6" i="1" s="1"/>
  <c r="I7" i="1"/>
  <c r="H7" i="1"/>
  <c r="I6" i="1"/>
  <c r="H6" i="1"/>
  <c r="W7" i="1" l="1"/>
  <c r="W6" i="1"/>
  <c r="W5" i="1"/>
  <c r="X12" i="1"/>
  <c r="V5" i="1"/>
  <c r="V7" i="1"/>
  <c r="V6" i="1"/>
  <c r="K7" i="1"/>
  <c r="J7" i="1"/>
  <c r="S5" i="1" l="1"/>
</calcChain>
</file>

<file path=xl/comments1.xml><?xml version="1.0" encoding="utf-8"?>
<comments xmlns="http://schemas.openxmlformats.org/spreadsheetml/2006/main">
  <authors>
    <author>作者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mil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mil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mil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ohm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mil</t>
        </r>
      </text>
    </comment>
  </commentList>
</comments>
</file>

<file path=xl/sharedStrings.xml><?xml version="1.0" encoding="utf-8"?>
<sst xmlns="http://schemas.openxmlformats.org/spreadsheetml/2006/main" count="74" uniqueCount="66">
  <si>
    <t>阻抗设计确认单</t>
    <phoneticPr fontId="1" type="noConversion"/>
  </si>
  <si>
    <t>产品型号</t>
    <phoneticPr fontId="1" type="noConversion"/>
  </si>
  <si>
    <t>补偿值</t>
    <phoneticPr fontId="1" type="noConversion"/>
  </si>
  <si>
    <t>序号</t>
    <phoneticPr fontId="1" type="noConversion"/>
  </si>
  <si>
    <t>下线宽</t>
    <phoneticPr fontId="1" type="noConversion"/>
  </si>
  <si>
    <t>上线宽</t>
    <phoneticPr fontId="1" type="noConversion"/>
  </si>
  <si>
    <t>间距</t>
    <phoneticPr fontId="1" type="noConversion"/>
  </si>
  <si>
    <t>体积法</t>
    <phoneticPr fontId="1" type="noConversion"/>
  </si>
  <si>
    <t>设计人员</t>
    <phoneticPr fontId="1" type="noConversion"/>
  </si>
  <si>
    <t>补偿1.5</t>
    <phoneticPr fontId="1" type="noConversion"/>
  </si>
  <si>
    <t>设计日期</t>
    <phoneticPr fontId="1" type="noConversion"/>
  </si>
  <si>
    <t>补偿1.2</t>
    <phoneticPr fontId="1" type="noConversion"/>
  </si>
  <si>
    <t>客户要求</t>
    <phoneticPr fontId="1" type="noConversion"/>
  </si>
  <si>
    <t>阻抗调整</t>
    <phoneticPr fontId="1" type="noConversion"/>
  </si>
  <si>
    <t>介质厚度/介电常数</t>
    <phoneticPr fontId="1" type="noConversion"/>
  </si>
  <si>
    <t>备注</t>
    <phoneticPr fontId="1" type="noConversion"/>
  </si>
  <si>
    <t>线宽</t>
    <phoneticPr fontId="1" type="noConversion"/>
  </si>
  <si>
    <t>线距</t>
    <phoneticPr fontId="1" type="noConversion"/>
  </si>
  <si>
    <t>共面距</t>
    <phoneticPr fontId="1" type="noConversion"/>
  </si>
  <si>
    <t>要求值</t>
    <phoneticPr fontId="1" type="noConversion"/>
  </si>
  <si>
    <t>公差</t>
    <phoneticPr fontId="1" type="noConversion"/>
  </si>
  <si>
    <t>计算值</t>
    <phoneticPr fontId="1" type="noConversion"/>
  </si>
  <si>
    <t>Er1</t>
    <phoneticPr fontId="1" type="noConversion"/>
  </si>
  <si>
    <t>Er2</t>
    <phoneticPr fontId="1" type="noConversion"/>
  </si>
  <si>
    <t>Er3</t>
    <phoneticPr fontId="1" type="noConversion"/>
  </si>
  <si>
    <t>Er4</t>
    <phoneticPr fontId="1" type="noConversion"/>
  </si>
  <si>
    <t>例</t>
    <phoneticPr fontId="1" type="noConversion"/>
  </si>
  <si>
    <t>备注：</t>
    <phoneticPr fontId="1" type="noConversion"/>
  </si>
  <si>
    <t>共面距</t>
    <phoneticPr fontId="1" type="noConversion"/>
  </si>
  <si>
    <t>层别/类型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</si>
  <si>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</si>
  <si>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</si>
  <si>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</si>
  <si>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</si>
  <si>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客户答复：</t>
    <phoneticPr fontId="1" type="noConversion"/>
  </si>
  <si>
    <t>审核：</t>
    <phoneticPr fontId="1" type="noConversion"/>
  </si>
  <si>
    <t>日期：</t>
    <phoneticPr fontId="1" type="noConversion"/>
  </si>
  <si>
    <t>阻抗区域</t>
    <phoneticPr fontId="1" type="noConversion"/>
  </si>
  <si>
    <t>阻抗层</t>
    <phoneticPr fontId="1" type="noConversion"/>
  </si>
  <si>
    <t>屏蔽层</t>
    <phoneticPr fontId="1" type="noConversion"/>
  </si>
  <si>
    <t>DK均值</t>
    <phoneticPr fontId="1" type="noConversion"/>
  </si>
  <si>
    <t>EM 106</t>
    <phoneticPr fontId="1" type="noConversion"/>
  </si>
  <si>
    <t>EM 1080</t>
    <phoneticPr fontId="1" type="noConversion"/>
  </si>
  <si>
    <t>IT 106</t>
    <phoneticPr fontId="1" type="noConversion"/>
  </si>
  <si>
    <t>IT 1080</t>
    <phoneticPr fontId="1" type="noConversion"/>
  </si>
  <si>
    <t>IT 1080H</t>
    <phoneticPr fontId="1" type="noConversion"/>
  </si>
  <si>
    <t>TU 106</t>
    <phoneticPr fontId="1" type="noConversion"/>
  </si>
  <si>
    <t>TU 1080</t>
    <phoneticPr fontId="1" type="noConversion"/>
  </si>
  <si>
    <t>VT 106</t>
    <phoneticPr fontId="1" type="noConversion"/>
  </si>
  <si>
    <t>VT 1080</t>
    <phoneticPr fontId="1" type="noConversion"/>
  </si>
  <si>
    <t>张数</t>
    <phoneticPr fontId="1" type="noConversion"/>
  </si>
  <si>
    <r>
      <t>PP</t>
    </r>
    <r>
      <rPr>
        <sz val="10"/>
        <color theme="1"/>
        <rFont val="宋体"/>
        <family val="3"/>
        <charset val="134"/>
      </rPr>
      <t>类型</t>
    </r>
    <phoneticPr fontId="1" type="noConversion"/>
  </si>
  <si>
    <t>H 1-4</t>
    <phoneticPr fontId="1" type="noConversion"/>
  </si>
  <si>
    <t>Er 1-4</t>
    <phoneticPr fontId="1" type="noConversion"/>
  </si>
  <si>
    <t>6S7CT01A0A0</t>
    <phoneticPr fontId="1" type="noConversion"/>
  </si>
  <si>
    <t>杨欢</t>
  </si>
  <si>
    <t>L2/5</t>
    <phoneticPr fontId="1" type="noConversion"/>
  </si>
  <si>
    <t>+/-10%</t>
  </si>
  <si>
    <t>柔性单端</t>
  </si>
  <si>
    <t>刚性单端</t>
  </si>
  <si>
    <t>柔性区域</t>
  </si>
  <si>
    <t>刚性区域</t>
  </si>
  <si>
    <t>1&amp;3</t>
    <phoneticPr fontId="1" type="noConversion"/>
  </si>
  <si>
    <t>4&amp;6</t>
    <phoneticPr fontId="1" type="noConversion"/>
  </si>
  <si>
    <t>接受建议</t>
  </si>
  <si>
    <t>王宇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</si>
</sst>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8"/>
      <color theme="1"/>
      <name val="微软雅黑"/>
      <family val="2"/>
      <charset val="134"/>
    </font>
    <font>
      <sz val="8"/>
      <color theme="1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Tahoma"/>
      <family val="2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1" fontId="4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1" fontId="4" fillId="2" borderId="12" xfId="0" applyNumberFormat="1" applyFont="1" applyFill="1" applyBorder="1" applyAlignment="1" applyProtection="1">
      <alignment horizontal="center" vertical="center" wrapText="1"/>
      <protection locked="0"/>
    </xf>
    <xf numFmtId="11" fontId="4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1" fontId="4" fillId="2" borderId="17" xfId="0" applyNumberFormat="1" applyFont="1" applyFill="1" applyBorder="1" applyAlignment="1" applyProtection="1">
      <alignment horizontal="center" vertical="center" wrapText="1"/>
      <protection locked="0"/>
    </xf>
    <xf numFmtId="11" fontId="4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>
      <alignment vertical="center"/>
    </xf>
    <xf numFmtId="14" fontId="4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10" fillId="0" borderId="10" xfId="0" applyNumberFormat="1" applyFont="1" applyFill="1" applyBorder="1" applyAlignment="1">
      <alignment horizontal="center" vertical="center"/>
    </xf>
    <xf numFmtId="176" fontId="10" fillId="0" borderId="17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4" fontId="9" fillId="3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3</xdr:col>
      <xdr:colOff>95250</xdr:colOff>
      <xdr:row>3</xdr:row>
      <xdr:rowOff>206221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14300"/>
          <a:ext cx="1409700" cy="52054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7"/>
  <sheetViews>
    <sheetView tabSelected="1" topLeftCell="A4" zoomScaleNormal="100" workbookViewId="0">
      <selection activeCell="D17" sqref="D17:E17"/>
    </sheetView>
  </sheetViews>
  <sheetFormatPr defaultRowHeight="13.5" x14ac:dyDescent="0.15"/>
  <cols>
    <col min="1" max="1" width="2.125" customWidth="1"/>
    <col min="2" max="2" width="9" customWidth="1"/>
    <col min="3" max="3" width="8.625" customWidth="1"/>
    <col min="4" max="21" width="7.625" customWidth="1"/>
    <col min="22" max="24" width="9" hidden="1" customWidth="1"/>
    <col min="25" max="42" width="0" hidden="1" customWidth="1"/>
  </cols>
  <sheetData>
    <row r="1" spans="1:42" ht="6.75" customHeight="1" thickBot="1" x14ac:dyDescent="0.2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42" ht="13.5" customHeight="1" x14ac:dyDescent="0.1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7"/>
      <c r="T2" s="52"/>
      <c r="U2" s="58"/>
    </row>
    <row r="3" spans="1:42" ht="13.5" customHeight="1" x14ac:dyDescent="0.1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9"/>
    </row>
    <row r="4" spans="1:42" ht="18.75" customHeight="1" thickBot="1" x14ac:dyDescent="0.2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19" t="s">
        <v>40</v>
      </c>
      <c r="T4" s="19" t="s">
        <v>51</v>
      </c>
      <c r="U4" s="20" t="s">
        <v>50</v>
      </c>
      <c r="V4" s="16"/>
      <c r="W4" s="16"/>
      <c r="X4" s="16"/>
      <c r="Y4" s="16"/>
      <c r="Z4" s="16"/>
      <c r="AA4" s="17" t="s">
        <v>41</v>
      </c>
      <c r="AB4" s="17" t="s">
        <v>42</v>
      </c>
      <c r="AC4" s="17" t="s">
        <v>43</v>
      </c>
      <c r="AD4" s="17" t="s">
        <v>44</v>
      </c>
      <c r="AE4" s="17" t="s">
        <v>45</v>
      </c>
      <c r="AF4" s="17" t="s">
        <v>46</v>
      </c>
      <c r="AG4" s="17" t="s">
        <v>47</v>
      </c>
      <c r="AH4" s="17" t="s">
        <v>48</v>
      </c>
      <c r="AI4" s="17" t="s">
        <v>49</v>
      </c>
      <c r="AJ4" s="16"/>
      <c r="AK4" s="16"/>
      <c r="AL4" s="16"/>
      <c r="AM4" s="16"/>
      <c r="AN4" s="16"/>
      <c r="AO4" s="16"/>
      <c r="AP4" s="16"/>
    </row>
    <row r="5" spans="1:42" ht="16.5" x14ac:dyDescent="0.15">
      <c r="B5" s="39" t="s">
        <v>1</v>
      </c>
      <c r="C5" s="40"/>
      <c r="D5" s="39" t="s">
        <v>54</v>
      </c>
      <c r="E5" s="40"/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13" t="s">
        <v>28</v>
      </c>
      <c r="L5" s="2"/>
      <c r="M5" s="4" t="s">
        <v>7</v>
      </c>
      <c r="N5" s="3">
        <v>1</v>
      </c>
      <c r="O5" s="3">
        <v>2</v>
      </c>
      <c r="P5" s="3">
        <v>3</v>
      </c>
      <c r="Q5" s="3">
        <v>4</v>
      </c>
      <c r="R5" s="3" t="s">
        <v>40</v>
      </c>
      <c r="S5" s="49" t="e">
        <f>(V5*W5+V6*W6+V7*W7)/(V5+V6+V7)</f>
        <v>#DIV/0!</v>
      </c>
      <c r="T5" s="21"/>
      <c r="U5" s="22"/>
      <c r="V5" s="18">
        <f>SUM(X5:AF5)*AG5</f>
        <v>0</v>
      </c>
      <c r="W5" s="18">
        <f>SUM(AH5:AP5)</f>
        <v>0</v>
      </c>
      <c r="X5" s="18">
        <f>IF(T5="EM 106",56,0)</f>
        <v>0</v>
      </c>
      <c r="Y5" s="18">
        <f>IF(T5="EM 1080",84,0)</f>
        <v>0</v>
      </c>
      <c r="Z5" s="18">
        <f>IF(T5="IT 106",50,0)</f>
        <v>0</v>
      </c>
      <c r="AA5" s="18">
        <f>IF(T5="IT 1080",75,0)</f>
        <v>0</v>
      </c>
      <c r="AB5" s="18">
        <f>IF(T5="IT 1080H",90,0)</f>
        <v>0</v>
      </c>
      <c r="AC5" s="18">
        <f>IF(T5="TU 106",55.88,0)</f>
        <v>0</v>
      </c>
      <c r="AD5" s="18">
        <f>IF(T5="TU 1080",81.28,0)</f>
        <v>0</v>
      </c>
      <c r="AE5" s="18">
        <f>IF(T5="VT 106",50,0)</f>
        <v>0</v>
      </c>
      <c r="AF5" s="18">
        <f>IF(T5="VT 1080",75,0)</f>
        <v>0</v>
      </c>
      <c r="AG5" s="18">
        <f>IF(U5&gt;0,RIGHT(U5,1),0)</f>
        <v>0</v>
      </c>
      <c r="AH5" s="18">
        <f>IF(T5="EM 106",3.7,0)</f>
        <v>0</v>
      </c>
      <c r="AI5" s="18">
        <f>IF(T5="EM 1080",3.9,0)</f>
        <v>0</v>
      </c>
      <c r="AJ5" s="18">
        <f>IF(T5="IT 106",3.8,0)</f>
        <v>0</v>
      </c>
      <c r="AK5" s="18">
        <f>IF(T5="IT 1080",3.9,0)</f>
        <v>0</v>
      </c>
      <c r="AL5" s="18">
        <f>IF(T5="IT 1080H",3.9,0)</f>
        <v>0</v>
      </c>
      <c r="AM5" s="18">
        <f>IF(T5="TU 106",3.45,0)</f>
        <v>0</v>
      </c>
      <c r="AN5" s="18">
        <f>IF(T5="TU 1080",3.6,0)</f>
        <v>0</v>
      </c>
      <c r="AO5" s="18">
        <f>IF(T5="VT 106",3.5,0)</f>
        <v>0</v>
      </c>
      <c r="AP5" s="18">
        <f>IF(T5="VT 1080",4,0)</f>
        <v>0</v>
      </c>
    </row>
    <row r="6" spans="1:42" ht="16.5" x14ac:dyDescent="0.15">
      <c r="B6" s="30" t="s">
        <v>8</v>
      </c>
      <c r="C6" s="31"/>
      <c r="D6" s="30" t="s">
        <v>55</v>
      </c>
      <c r="E6" s="41"/>
      <c r="F6" s="3" t="s">
        <v>9</v>
      </c>
      <c r="G6" s="3"/>
      <c r="H6" s="3" t="e">
        <f>VLOOKUP(G6,A10:I13,9,FALSE)+0.7</f>
        <v>#N/A</v>
      </c>
      <c r="I6" s="3" t="e">
        <f>VLOOKUP(G6,A10:I13,9,FALSE)-0.7</f>
        <v>#N/A</v>
      </c>
      <c r="J6" s="3" t="e">
        <f>VLOOKUP(G6,A10:J13,10,FALSE)-0.7</f>
        <v>#N/A</v>
      </c>
      <c r="K6" s="14" t="e">
        <f>VLOOKUP(G6,A10:K13,11,FALSE)-0.7</f>
        <v>#N/A</v>
      </c>
      <c r="L6" s="2"/>
      <c r="M6" s="4" t="s">
        <v>52</v>
      </c>
      <c r="N6" s="3"/>
      <c r="O6" s="3"/>
      <c r="P6" s="3"/>
      <c r="Q6" s="3"/>
      <c r="R6" s="47" t="e">
        <f>(N6*N7+O6*O7+P6*P7+Q6*Q7)/(N6+O6+P6+Q6)</f>
        <v>#DIV/0!</v>
      </c>
      <c r="S6" s="49"/>
      <c r="T6" s="21"/>
      <c r="U6" s="22"/>
      <c r="V6" s="18">
        <f>SUM(X6:AF6)*AG6</f>
        <v>0</v>
      </c>
      <c r="W6" s="18">
        <f>SUM(AH6:AP6)</f>
        <v>0</v>
      </c>
      <c r="X6" s="18">
        <f>IF(T6="EM 106",56,0)</f>
        <v>0</v>
      </c>
      <c r="Y6" s="18">
        <f>IF(T6="EM 1080",84,0)</f>
        <v>0</v>
      </c>
      <c r="Z6" s="18">
        <f>IF(T6="IT 106",50,0)</f>
        <v>0</v>
      </c>
      <c r="AA6" s="18">
        <f>IF(T6="IT 1080",75,0)</f>
        <v>0</v>
      </c>
      <c r="AB6" s="18">
        <f>IF(T6="IT 1080H",90,0)</f>
        <v>0</v>
      </c>
      <c r="AC6" s="18">
        <f>IF(T6="TU 106",55.88,0)</f>
        <v>0</v>
      </c>
      <c r="AD6" s="18">
        <f>IF(T6="TU 1080",81.28,0)</f>
        <v>0</v>
      </c>
      <c r="AE6" s="18">
        <f>IF(T6="VT 106",50,0)</f>
        <v>0</v>
      </c>
      <c r="AF6" s="18">
        <f>IF(T6="VT 1080",75,0)</f>
        <v>0</v>
      </c>
      <c r="AG6" s="18">
        <f>IF(U6&gt;0,RIGHT(U6,1),0)</f>
        <v>0</v>
      </c>
      <c r="AH6" s="18">
        <f>IF(T6="EM 106",3.7,0)</f>
        <v>0</v>
      </c>
      <c r="AI6" s="18">
        <f>IF(T6="EM 1080",3.9,0)</f>
        <v>0</v>
      </c>
      <c r="AJ6" s="18">
        <f>IF(T6="IT 106",3.8,0)</f>
        <v>0</v>
      </c>
      <c r="AK6" s="18">
        <f>IF(T6="IT 1080",3.9,0)</f>
        <v>0</v>
      </c>
      <c r="AL6" s="18">
        <f>IF(T6="IT 1080H",3.9,0)</f>
        <v>0</v>
      </c>
      <c r="AM6" s="18">
        <f>IF(T6="TU 106",3.45,0)</f>
        <v>0</v>
      </c>
      <c r="AN6" s="18">
        <f>IF(T6="TU 1080",3.6,0)</f>
        <v>0</v>
      </c>
      <c r="AO6" s="18">
        <f>IF(T6="VT 106",3.5,0)</f>
        <v>0</v>
      </c>
      <c r="AP6" s="18">
        <f>IF(T6="VT 1080",4,0)</f>
        <v>0</v>
      </c>
    </row>
    <row r="7" spans="1:42" ht="16.5" x14ac:dyDescent="0.15">
      <c r="B7" s="30" t="s">
        <v>10</v>
      </c>
      <c r="C7" s="31"/>
      <c r="D7" s="42">
        <v>42997</v>
      </c>
      <c r="E7" s="31"/>
      <c r="F7" s="3" t="s">
        <v>11</v>
      </c>
      <c r="G7" s="3"/>
      <c r="H7" s="5" t="e">
        <f>VLOOKUP(G7,A10:I13,9,FALSE)+0.6</f>
        <v>#N/A</v>
      </c>
      <c r="I7" s="3" t="e">
        <f>VLOOKUP(G7,A10:I13,9,FALSE)-0.6</f>
        <v>#N/A</v>
      </c>
      <c r="J7" s="3" t="e">
        <f>VLOOKUP(G7,A10:J13,10,FALSE)-0.6</f>
        <v>#N/A</v>
      </c>
      <c r="K7" s="14" t="e">
        <f>VLOOKUP(G6,A10:K13,11,FALSE)-0.6</f>
        <v>#N/A</v>
      </c>
      <c r="L7" s="2"/>
      <c r="M7" s="6" t="s">
        <v>53</v>
      </c>
      <c r="N7" s="5"/>
      <c r="O7" s="3"/>
      <c r="P7" s="3"/>
      <c r="Q7" s="3"/>
      <c r="R7" s="48"/>
      <c r="S7" s="50"/>
      <c r="T7" s="23"/>
      <c r="U7" s="24"/>
      <c r="V7" s="18">
        <f>SUM(X7:AF7)*AG7</f>
        <v>0</v>
      </c>
      <c r="W7" s="18">
        <f>SUM(AH7:AP7)</f>
        <v>0</v>
      </c>
      <c r="X7" s="18">
        <f>IF(T7="EM 106",56,0)</f>
        <v>0</v>
      </c>
      <c r="Y7" s="18">
        <f>IF(T7="EM 1080",84,0)</f>
        <v>0</v>
      </c>
      <c r="Z7" s="18">
        <f>IF(T7="IT 106",50,0)</f>
        <v>0</v>
      </c>
      <c r="AA7" s="18">
        <f>IF(T7="IT 1080",75,0)</f>
        <v>0</v>
      </c>
      <c r="AB7" s="18">
        <f>IF(T7="IT 1080H",90,0)</f>
        <v>0</v>
      </c>
      <c r="AC7" s="18">
        <f>IF(T7="TU 106",55.88,0)</f>
        <v>0</v>
      </c>
      <c r="AD7" s="18">
        <f>IF(T7="TU 1080",81.28,0)</f>
        <v>0</v>
      </c>
      <c r="AE7" s="18">
        <f>IF(T7="VT 106",50,0)</f>
        <v>0</v>
      </c>
      <c r="AF7" s="18">
        <f>IF(T7="VT 1080",75,0)</f>
        <v>0</v>
      </c>
      <c r="AG7" s="18">
        <f>IF(U7&gt;0,RIGHT(U7,1),0)</f>
        <v>0</v>
      </c>
      <c r="AH7" s="18">
        <f>IF(T7="EM 106",3.7,0)</f>
        <v>0</v>
      </c>
      <c r="AI7" s="18">
        <f>IF(T7="EM 1080",3.9,0)</f>
        <v>0</v>
      </c>
      <c r="AJ7" s="18">
        <f>IF(T7="IT 106",3.8,0)</f>
        <v>0</v>
      </c>
      <c r="AK7" s="18">
        <f>IF(T7="IT 1080",3.9,0)</f>
        <v>0</v>
      </c>
      <c r="AL7" s="18">
        <f>IF(T7="IT 1080H",3.9,0)</f>
        <v>0</v>
      </c>
      <c r="AM7" s="18">
        <f>IF(T7="TU 106",3.45,0)</f>
        <v>0</v>
      </c>
      <c r="AN7" s="18">
        <f>IF(T7="TU 1080",3.6,0)</f>
        <v>0</v>
      </c>
      <c r="AO7" s="18">
        <f>IF(T7="VT 106",3.5,0)</f>
        <v>0</v>
      </c>
      <c r="AP7" s="18">
        <f>IF(T7="VT 1080",4,0)</f>
        <v>0</v>
      </c>
    </row>
    <row r="8" spans="1:42" ht="16.5" x14ac:dyDescent="0.15">
      <c r="B8" s="43" t="s">
        <v>12</v>
      </c>
      <c r="C8" s="45"/>
      <c r="D8" s="45"/>
      <c r="E8" s="45"/>
      <c r="F8" s="45"/>
      <c r="G8" s="45"/>
      <c r="H8" s="46"/>
      <c r="I8" s="36" t="s">
        <v>13</v>
      </c>
      <c r="J8" s="37"/>
      <c r="K8" s="37"/>
      <c r="L8" s="38"/>
      <c r="M8" s="43" t="s">
        <v>14</v>
      </c>
      <c r="N8" s="44"/>
      <c r="O8" s="45"/>
      <c r="P8" s="45"/>
      <c r="Q8" s="45"/>
      <c r="R8" s="45"/>
      <c r="S8" s="44"/>
      <c r="T8" s="44"/>
      <c r="U8" s="15" t="s">
        <v>15</v>
      </c>
      <c r="V8" s="16"/>
      <c r="W8" s="16"/>
      <c r="X8" s="16"/>
    </row>
    <row r="9" spans="1:42" ht="16.5" customHeight="1" x14ac:dyDescent="0.15">
      <c r="B9" s="30" t="s">
        <v>29</v>
      </c>
      <c r="C9" s="31"/>
      <c r="D9" s="8" t="s">
        <v>16</v>
      </c>
      <c r="E9" s="8" t="s">
        <v>17</v>
      </c>
      <c r="F9" s="8" t="s">
        <v>18</v>
      </c>
      <c r="G9" s="7" t="s">
        <v>19</v>
      </c>
      <c r="H9" s="7" t="s">
        <v>20</v>
      </c>
      <c r="I9" s="9" t="s">
        <v>16</v>
      </c>
      <c r="J9" s="9" t="s">
        <v>17</v>
      </c>
      <c r="K9" s="9" t="s">
        <v>18</v>
      </c>
      <c r="L9" s="9" t="s">
        <v>21</v>
      </c>
      <c r="M9" s="8" t="s">
        <v>30</v>
      </c>
      <c r="N9" s="7" t="s">
        <v>22</v>
      </c>
      <c r="O9" s="7" t="s">
        <v>31</v>
      </c>
      <c r="P9" s="7" t="s">
        <v>23</v>
      </c>
      <c r="Q9" s="7" t="s">
        <v>32</v>
      </c>
      <c r="R9" s="7" t="s">
        <v>24</v>
      </c>
      <c r="S9" s="7" t="s">
        <v>33</v>
      </c>
      <c r="T9" s="7" t="s">
        <v>25</v>
      </c>
      <c r="U9" s="7" t="s">
        <v>26</v>
      </c>
      <c r="V9" s="16"/>
      <c r="W9" s="16"/>
      <c r="X9" s="16"/>
    </row>
    <row r="10" spans="1:42" ht="16.5" x14ac:dyDescent="0.15">
      <c r="A10" s="1">
        <v>1</v>
      </c>
      <c r="B10" s="10" t="s">
        <v>56</v>
      </c>
      <c r="C10" s="10" t="s">
        <v>58</v>
      </c>
      <c r="D10" s="7">
        <v>6</v>
      </c>
      <c r="E10" s="7"/>
      <c r="F10" s="7"/>
      <c r="G10" s="7">
        <v>50</v>
      </c>
      <c r="H10" s="11" t="s">
        <v>57</v>
      </c>
      <c r="I10" s="9">
        <v>6</v>
      </c>
      <c r="J10" s="9" t="str">
        <f t="shared" ref="J10:J13" si="0">IF(E10&gt;0,D10+E10-I10," ")</f>
        <v xml:space="preserve"> </v>
      </c>
      <c r="K10" s="9" t="str">
        <f t="shared" ref="K10:K13" si="1">IF(F10&gt;0,X10," ")</f>
        <v xml:space="preserve"> </v>
      </c>
      <c r="L10" s="9">
        <v>49.4</v>
      </c>
      <c r="M10" s="7">
        <v>2.9</v>
      </c>
      <c r="N10" s="7">
        <v>2.8</v>
      </c>
      <c r="O10" s="7"/>
      <c r="P10" s="7"/>
      <c r="Q10" s="7"/>
      <c r="R10" s="7"/>
      <c r="S10" s="7"/>
      <c r="T10" s="7"/>
      <c r="U10" s="7"/>
      <c r="V10">
        <f>F10-(ABS(D10-I10))/2</f>
        <v>0</v>
      </c>
      <c r="W10" s="12">
        <f>F10+(ABS(D10-I10))/2</f>
        <v>0</v>
      </c>
      <c r="X10">
        <f>IF(D10&gt;I10,W10,V10)</f>
        <v>0</v>
      </c>
    </row>
    <row r="11" spans="1:42" ht="16.5" x14ac:dyDescent="0.15">
      <c r="A11" s="1">
        <v>2</v>
      </c>
      <c r="B11" s="10" t="s">
        <v>56</v>
      </c>
      <c r="C11" s="10" t="s">
        <v>59</v>
      </c>
      <c r="D11" s="7">
        <v>6</v>
      </c>
      <c r="E11" s="7"/>
      <c r="F11" s="7"/>
      <c r="G11" s="7">
        <v>50</v>
      </c>
      <c r="H11" s="11" t="s">
        <v>57</v>
      </c>
      <c r="I11" s="9">
        <v>4.5</v>
      </c>
      <c r="J11" s="9" t="str">
        <f t="shared" si="0"/>
        <v xml:space="preserve"> </v>
      </c>
      <c r="K11" s="9" t="str">
        <f t="shared" si="1"/>
        <v xml:space="preserve"> </v>
      </c>
      <c r="L11" s="9">
        <v>50.1</v>
      </c>
      <c r="M11" s="7">
        <v>2.9</v>
      </c>
      <c r="N11" s="7">
        <v>2.8</v>
      </c>
      <c r="O11" s="7">
        <v>10.3</v>
      </c>
      <c r="P11" s="7">
        <v>3.9</v>
      </c>
      <c r="Q11" s="7">
        <v>17.72</v>
      </c>
      <c r="R11" s="7">
        <v>4.25</v>
      </c>
      <c r="S11" s="7"/>
      <c r="T11" s="7"/>
      <c r="U11" s="7"/>
      <c r="V11">
        <f t="shared" ref="V11:V13" si="2">F11-(ABS(D11-I11))/2</f>
        <v>-0.75</v>
      </c>
      <c r="W11" s="12">
        <f t="shared" ref="W11:W13" si="3">F11+(ABS(D11-I11))/2</f>
        <v>0.75</v>
      </c>
      <c r="X11">
        <f t="shared" ref="X11:X13" si="4">IF(D11&gt;I11,W11,V11)</f>
        <v>0.75</v>
      </c>
    </row>
    <row r="12" spans="1:42" ht="16.5" x14ac:dyDescent="0.15">
      <c r="A12" s="1">
        <v>3</v>
      </c>
      <c r="B12" s="10"/>
      <c r="C12" s="10"/>
      <c r="D12" s="7"/>
      <c r="E12" s="7"/>
      <c r="F12" s="7"/>
      <c r="G12" s="7"/>
      <c r="H12" s="11"/>
      <c r="I12" s="9"/>
      <c r="J12" s="9" t="str">
        <f t="shared" si="0"/>
        <v xml:space="preserve"> </v>
      </c>
      <c r="K12" s="9" t="str">
        <f t="shared" si="1"/>
        <v xml:space="preserve"> </v>
      </c>
      <c r="L12" s="9" t="str">
        <f t="shared" ref="L12:L13" si="5">IF(G12&gt;0,G12," ")</f>
        <v xml:space="preserve"> </v>
      </c>
      <c r="M12" s="7"/>
      <c r="N12" s="7"/>
      <c r="O12" s="7"/>
      <c r="P12" s="7"/>
      <c r="Q12" s="7"/>
      <c r="R12" s="7"/>
      <c r="S12" s="7"/>
      <c r="T12" s="7"/>
      <c r="U12" s="7"/>
      <c r="V12">
        <f t="shared" si="2"/>
        <v>0</v>
      </c>
      <c r="W12" s="12">
        <f t="shared" si="3"/>
        <v>0</v>
      </c>
      <c r="X12">
        <f t="shared" si="4"/>
        <v>0</v>
      </c>
    </row>
    <row r="13" spans="1:42" ht="20.25" customHeight="1" x14ac:dyDescent="0.15">
      <c r="A13" s="1">
        <v>4</v>
      </c>
      <c r="B13" s="10"/>
      <c r="C13" s="10"/>
      <c r="D13" s="7"/>
      <c r="E13" s="7"/>
      <c r="F13" s="7"/>
      <c r="G13" s="7"/>
      <c r="H13" s="11"/>
      <c r="I13" s="9"/>
      <c r="J13" s="9" t="str">
        <f t="shared" si="0"/>
        <v xml:space="preserve"> </v>
      </c>
      <c r="K13" s="9" t="str">
        <f t="shared" si="1"/>
        <v xml:space="preserve"> </v>
      </c>
      <c r="L13" s="9" t="str">
        <f t="shared" si="5"/>
        <v xml:space="preserve"> </v>
      </c>
      <c r="M13" s="7"/>
      <c r="N13" s="7"/>
      <c r="O13" s="7"/>
      <c r="P13" s="7"/>
      <c r="Q13" s="7"/>
      <c r="R13" s="7"/>
      <c r="S13" s="7"/>
      <c r="T13" s="7"/>
      <c r="U13" s="7"/>
      <c r="V13">
        <f t="shared" si="2"/>
        <v>0</v>
      </c>
      <c r="W13" s="12">
        <f t="shared" si="3"/>
        <v>0</v>
      </c>
      <c r="X13">
        <f t="shared" si="4"/>
        <v>0</v>
      </c>
    </row>
    <row r="14" spans="1:42" ht="16.5" x14ac:dyDescent="0.15">
      <c r="B14" s="32" t="s">
        <v>27</v>
      </c>
      <c r="C14" s="33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9"/>
    </row>
    <row r="15" spans="1:42" ht="16.5" x14ac:dyDescent="0.15">
      <c r="B15" s="25" t="s">
        <v>34</v>
      </c>
      <c r="C15" s="26"/>
      <c r="D15" s="25" t="s">
        <v>64</v>
      </c>
      <c r="E15" s="26"/>
      <c r="H15" s="15" t="s">
        <v>37</v>
      </c>
      <c r="I15" s="15" t="s">
        <v>60</v>
      </c>
      <c r="J15" s="15" t="s">
        <v>61</v>
      </c>
      <c r="K15" s="15" t="s">
        <v>60</v>
      </c>
      <c r="L15" s="15" t="s">
        <v>61</v>
      </c>
      <c r="M15" s="15"/>
      <c r="N15" s="15"/>
      <c r="O15" s="15"/>
      <c r="P15" s="15"/>
      <c r="Q15" s="15"/>
      <c r="R15" s="15"/>
      <c r="S15" s="15"/>
      <c r="T15" s="15"/>
      <c r="U15" s="15"/>
    </row>
    <row r="16" spans="1:42" ht="16.5" x14ac:dyDescent="0.15">
      <c r="B16" s="25" t="s">
        <v>35</v>
      </c>
      <c r="C16" s="26"/>
      <c r="D16" s="34" t="s">
        <v>65</v>
      </c>
      <c r="E16" s="34"/>
      <c r="H16" s="7" t="s">
        <v>38</v>
      </c>
      <c r="I16" s="7">
        <v>2</v>
      </c>
      <c r="J16" s="7">
        <v>2</v>
      </c>
      <c r="K16" s="7">
        <v>5</v>
      </c>
      <c r="L16" s="7">
        <v>5</v>
      </c>
      <c r="M16" s="7"/>
      <c r="N16" s="7"/>
      <c r="O16" s="7"/>
      <c r="P16" s="7"/>
      <c r="Q16" s="7"/>
      <c r="R16" s="7"/>
      <c r="S16" s="7"/>
      <c r="T16" s="7"/>
      <c r="U16" s="7"/>
    </row>
    <row r="17" spans="2:21" ht="16.5" x14ac:dyDescent="0.15">
      <c r="B17" s="25" t="s">
        <v>36</v>
      </c>
      <c r="C17" s="26"/>
      <c r="D17" s="60">
        <v>42997</v>
      </c>
      <c r="E17" s="34"/>
      <c r="H17" s="7" t="s">
        <v>39</v>
      </c>
      <c r="I17" s="7">
        <v>3</v>
      </c>
      <c r="J17" s="7" t="s">
        <v>62</v>
      </c>
      <c r="K17" s="7">
        <v>4</v>
      </c>
      <c r="L17" s="7" t="s">
        <v>63</v>
      </c>
      <c r="M17" s="7"/>
      <c r="N17" s="7"/>
      <c r="O17" s="7"/>
      <c r="P17" s="7"/>
      <c r="Q17" s="7"/>
      <c r="R17" s="7"/>
      <c r="S17" s="7"/>
      <c r="T17" s="7"/>
      <c r="U17" s="7"/>
    </row>
  </sheetData>
  <mergeCells count="23">
    <mergeCell ref="B1:U1"/>
    <mergeCell ref="I8:L8"/>
    <mergeCell ref="D5:E5"/>
    <mergeCell ref="D6:E6"/>
    <mergeCell ref="D7:E7"/>
    <mergeCell ref="B5:C5"/>
    <mergeCell ref="B6:C6"/>
    <mergeCell ref="B7:C7"/>
    <mergeCell ref="M8:T8"/>
    <mergeCell ref="B8:H8"/>
    <mergeCell ref="R6:R7"/>
    <mergeCell ref="S5:S7"/>
    <mergeCell ref="B2:R4"/>
    <mergeCell ref="S2:U3"/>
    <mergeCell ref="B16:C16"/>
    <mergeCell ref="B17:C17"/>
    <mergeCell ref="D14:U14"/>
    <mergeCell ref="B9:C9"/>
    <mergeCell ref="B14:C14"/>
    <mergeCell ref="B15:C15"/>
    <mergeCell ref="D15:E15"/>
    <mergeCell ref="D16:E16"/>
    <mergeCell ref="D17:E17"/>
  </mergeCells>
  <phoneticPr fontId="1" type="noConversion"/>
  <dataValidations disablePrompts="1" count="8">
    <dataValidation type="list" allowBlank="1" showInputMessage="1" showErrorMessage="1" sqref="I15:U15">
      <formula1>"刚性区域,柔性区域"</formula1>
    </dataValidation>
    <dataValidation type="list" allowBlank="1" showInputMessage="1" showErrorMessage="1" sqref="D15">
      <formula1>"接受建议,不接受建议"</formula1>
    </dataValidation>
    <dataValidation type="list" allowBlank="1" showInputMessage="1" showErrorMessage="1" sqref="G6:G7">
      <formula1>"1,2,3,4,5,6,7,8,9,10,11,12,13,14,15"</formula1>
    </dataValidation>
    <dataValidation type="list" allowBlank="1" showInputMessage="1" showErrorMessage="1" sqref="H10:H13">
      <formula1>"+/-10%,+/-5ohm"</formula1>
    </dataValidation>
    <dataValidation type="list" allowBlank="1" showInputMessage="1" showErrorMessage="1" sqref="C10:C13">
      <formula1>"柔性单端,柔性差分,柔性单端共面,柔性差分共面,刚性单端,刚性差分,刚性单端共面,刚性差分共面"</formula1>
    </dataValidation>
    <dataValidation type="list" allowBlank="1" showInputMessage="1" showErrorMessage="1" sqref="D6:E6">
      <formula1>"王星,杨欢,马海雷,黄文龙,杨欣,李亚奇,吴卓谦"</formula1>
    </dataValidation>
    <dataValidation type="list" allowBlank="1" showInputMessage="1" showErrorMessage="1" sqref="U5:U7">
      <formula1>"x1,x2,x3,x4,x5"</formula1>
    </dataValidation>
    <dataValidation type="list" allowBlank="1" showInputMessage="1" showErrorMessage="1" sqref="T5:T7">
      <formula1>$AA$4:$AI$4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阻抗单主页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2017-09-19T08:06:11Z</dcterms:modified>
</cp:coreProperties>
</file>